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775" firstSheet="10" activeTab="10"/>
  </bookViews>
  <sheets>
    <sheet name="Март" sheetId="1" state="hidden" r:id="rId1"/>
    <sheet name="Сводная Март" sheetId="4" state="hidden" r:id="rId2"/>
    <sheet name="Апрель" sheetId="5" state="hidden" r:id="rId3"/>
    <sheet name="Сводная Апрель" sheetId="6" state="hidden" r:id="rId4"/>
    <sheet name="Май" sheetId="7" state="hidden" r:id="rId5"/>
    <sheet name="Сводная Май" sheetId="8" state="hidden" r:id="rId6"/>
    <sheet name="Июнь" sheetId="9" state="hidden" r:id="rId7"/>
    <sheet name="Сводная Июнь" sheetId="10" state="hidden" r:id="rId8"/>
    <sheet name="Июль" sheetId="11" state="hidden" r:id="rId9"/>
    <sheet name="Сводная Июль" sheetId="12" state="hidden" r:id="rId10"/>
    <sheet name="Чек-лист _РИМ" sheetId="17" r:id="rId11"/>
  </sheets>
  <definedNames>
    <definedName name="_xlnm._FilterDatabase" localSheetId="2" hidden="1">Апрель!$A$1:$M$272</definedName>
    <definedName name="_xlnm._FilterDatabase" localSheetId="8" hidden="1">Июль!$A$1:$M$160</definedName>
    <definedName name="_xlnm._FilterDatabase" localSheetId="6" hidden="1">Июнь!$A$1:$M$220</definedName>
    <definedName name="_xlnm._FilterDatabase" localSheetId="4" hidden="1">Май!$A$1:$M$234</definedName>
    <definedName name="_xlnm._FilterDatabase" localSheetId="0" hidden="1">Март!$A$1:$M$264</definedName>
    <definedName name="_xlnm._FilterDatabase" localSheetId="3" hidden="1">'Сводная Апрель'!$AC$4:$AE$4</definedName>
    <definedName name="_xlnm._FilterDatabase" localSheetId="5" hidden="1">'Сводная Май'!$X$4:$Z$4</definedName>
    <definedName name="_xlnm._FilterDatabase" localSheetId="1" hidden="1">'Сводная Март'!$AA$2:$AC$42</definedName>
  </definedNames>
  <calcPr calcId="162913"/>
</workbook>
</file>

<file path=xl/calcChain.xml><?xml version="1.0" encoding="utf-8"?>
<calcChain xmlns="http://schemas.openxmlformats.org/spreadsheetml/2006/main">
  <c r="R59" i="12" l="1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R46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O43" i="12"/>
  <c r="K43" i="12"/>
  <c r="G43" i="12"/>
  <c r="C43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S40" i="12" s="1"/>
  <c r="S39" i="12"/>
  <c r="S38" i="12"/>
  <c r="S37" i="12"/>
  <c r="S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R23" i="12"/>
  <c r="R43" i="12" s="1"/>
  <c r="Q23" i="12"/>
  <c r="Q43" i="12" s="1"/>
  <c r="P23" i="12"/>
  <c r="P43" i="12" s="1"/>
  <c r="O23" i="12"/>
  <c r="N23" i="12"/>
  <c r="N43" i="12" s="1"/>
  <c r="M23" i="12"/>
  <c r="M43" i="12" s="1"/>
  <c r="L23" i="12"/>
  <c r="L43" i="12" s="1"/>
  <c r="K23" i="12"/>
  <c r="J23" i="12"/>
  <c r="J43" i="12" s="1"/>
  <c r="I23" i="12"/>
  <c r="I43" i="12" s="1"/>
  <c r="H23" i="12"/>
  <c r="H43" i="12" s="1"/>
  <c r="G23" i="12"/>
  <c r="F23" i="12"/>
  <c r="F43" i="12" s="1"/>
  <c r="E23" i="12"/>
  <c r="E43" i="12" s="1"/>
  <c r="D23" i="12"/>
  <c r="D43" i="12" s="1"/>
  <c r="C23" i="12"/>
  <c r="B23" i="12"/>
  <c r="B43" i="12" s="1"/>
  <c r="R20" i="12"/>
  <c r="R60" i="12" s="1"/>
  <c r="Q20" i="12"/>
  <c r="Q60" i="12" s="1"/>
  <c r="P20" i="12"/>
  <c r="P60" i="12" s="1"/>
  <c r="O20" i="12"/>
  <c r="O60" i="12" s="1"/>
  <c r="N20" i="12"/>
  <c r="N60" i="12" s="1"/>
  <c r="M20" i="12"/>
  <c r="M60" i="12" s="1"/>
  <c r="L20" i="12"/>
  <c r="L60" i="12" s="1"/>
  <c r="K20" i="12"/>
  <c r="K60" i="12" s="1"/>
  <c r="J20" i="12"/>
  <c r="J60" i="12" s="1"/>
  <c r="I20" i="12"/>
  <c r="I60" i="12" s="1"/>
  <c r="H20" i="12"/>
  <c r="H60" i="12" s="1"/>
  <c r="G20" i="12"/>
  <c r="G60" i="12" s="1"/>
  <c r="F20" i="12"/>
  <c r="F60" i="12" s="1"/>
  <c r="E20" i="12"/>
  <c r="E60" i="12" s="1"/>
  <c r="D20" i="12"/>
  <c r="D60" i="12" s="1"/>
  <c r="C20" i="12"/>
  <c r="C60" i="12" s="1"/>
  <c r="B20" i="12"/>
  <c r="B60" i="12" s="1"/>
  <c r="S19" i="12"/>
  <c r="S59" i="12" s="1"/>
  <c r="S18" i="12"/>
  <c r="S58" i="12" s="1"/>
  <c r="S17" i="12"/>
  <c r="S57" i="12" s="1"/>
  <c r="S16" i="12"/>
  <c r="S56" i="12" s="1"/>
  <c r="S15" i="12"/>
  <c r="S55" i="12" s="1"/>
  <c r="S14" i="12"/>
  <c r="S54" i="12" s="1"/>
  <c r="S13" i="12"/>
  <c r="S53" i="12" s="1"/>
  <c r="S12" i="12"/>
  <c r="S52" i="12" s="1"/>
  <c r="S11" i="12"/>
  <c r="S51" i="12" s="1"/>
  <c r="S10" i="12"/>
  <c r="S50" i="12" s="1"/>
  <c r="S9" i="12"/>
  <c r="S49" i="12" s="1"/>
  <c r="S8" i="12"/>
  <c r="S48" i="12" s="1"/>
  <c r="S7" i="12"/>
  <c r="S47" i="12" s="1"/>
  <c r="S6" i="12"/>
  <c r="S46" i="12" s="1"/>
  <c r="S5" i="12"/>
  <c r="S45" i="12" s="1"/>
  <c r="S4" i="12"/>
  <c r="S44" i="12" s="1"/>
  <c r="J53" i="11"/>
  <c r="J52" i="11"/>
  <c r="J51" i="11"/>
  <c r="J50" i="11"/>
  <c r="J49" i="11"/>
  <c r="J48" i="11"/>
  <c r="J47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B58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B52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S40" i="10" s="1"/>
  <c r="B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R20" i="10"/>
  <c r="R60" i="10" s="1"/>
  <c r="Q20" i="10"/>
  <c r="Q60" i="10" s="1"/>
  <c r="P20" i="10"/>
  <c r="P60" i="10" s="1"/>
  <c r="O20" i="10"/>
  <c r="O60" i="10" s="1"/>
  <c r="N20" i="10"/>
  <c r="N60" i="10" s="1"/>
  <c r="M20" i="10"/>
  <c r="M60" i="10" s="1"/>
  <c r="L20" i="10"/>
  <c r="L60" i="10" s="1"/>
  <c r="K20" i="10"/>
  <c r="K60" i="10" s="1"/>
  <c r="J20" i="10"/>
  <c r="J60" i="10" s="1"/>
  <c r="I20" i="10"/>
  <c r="I60" i="10" s="1"/>
  <c r="H20" i="10"/>
  <c r="H60" i="10" s="1"/>
  <c r="G20" i="10"/>
  <c r="G60" i="10" s="1"/>
  <c r="F20" i="10"/>
  <c r="F60" i="10" s="1"/>
  <c r="E20" i="10"/>
  <c r="E60" i="10" s="1"/>
  <c r="D20" i="10"/>
  <c r="D60" i="10" s="1"/>
  <c r="C20" i="10"/>
  <c r="C60" i="10" s="1"/>
  <c r="B20" i="10"/>
  <c r="S20" i="10" s="1"/>
  <c r="S60" i="10" s="1"/>
  <c r="S19" i="10"/>
  <c r="S59" i="10" s="1"/>
  <c r="S18" i="10"/>
  <c r="S58" i="10" s="1"/>
  <c r="S17" i="10"/>
  <c r="S57" i="10" s="1"/>
  <c r="S16" i="10"/>
  <c r="S56" i="10" s="1"/>
  <c r="S15" i="10"/>
  <c r="S55" i="10" s="1"/>
  <c r="S14" i="10"/>
  <c r="S54" i="10" s="1"/>
  <c r="S13" i="10"/>
  <c r="S53" i="10" s="1"/>
  <c r="S12" i="10"/>
  <c r="S52" i="10" s="1"/>
  <c r="S11" i="10"/>
  <c r="S51" i="10" s="1"/>
  <c r="S10" i="10"/>
  <c r="S50" i="10" s="1"/>
  <c r="S9" i="10"/>
  <c r="S49" i="10" s="1"/>
  <c r="S8" i="10"/>
  <c r="S48" i="10" s="1"/>
  <c r="S7" i="10"/>
  <c r="S47" i="10" s="1"/>
  <c r="S6" i="10"/>
  <c r="S46" i="10" s="1"/>
  <c r="S5" i="10"/>
  <c r="S45" i="10" s="1"/>
  <c r="S4" i="10"/>
  <c r="S44" i="10" s="1"/>
  <c r="J220" i="9"/>
  <c r="J219" i="9"/>
  <c r="J218" i="9"/>
  <c r="J217" i="9"/>
  <c r="J216" i="9"/>
  <c r="J215" i="9"/>
  <c r="J214" i="9"/>
  <c r="J213" i="9"/>
  <c r="J212" i="9"/>
  <c r="J211" i="9"/>
  <c r="J210" i="9"/>
  <c r="J209" i="9"/>
  <c r="J188" i="9"/>
  <c r="J187" i="9"/>
  <c r="J186" i="9"/>
  <c r="J126" i="9"/>
  <c r="J125" i="9"/>
  <c r="J124" i="9"/>
  <c r="J123" i="9"/>
  <c r="J122" i="9"/>
  <c r="J121" i="9"/>
  <c r="J120" i="9"/>
  <c r="J119" i="9"/>
  <c r="J118" i="9"/>
  <c r="J117" i="9"/>
  <c r="J116" i="9"/>
  <c r="J115" i="9"/>
  <c r="J110" i="9"/>
  <c r="J109" i="9"/>
  <c r="J108" i="9"/>
  <c r="J107" i="9"/>
  <c r="J106" i="9"/>
  <c r="J105" i="9"/>
  <c r="J104" i="9"/>
  <c r="J99" i="9"/>
  <c r="J98" i="9"/>
  <c r="J97" i="9"/>
  <c r="J96" i="9"/>
  <c r="J87" i="9"/>
  <c r="J86" i="9"/>
  <c r="J85" i="9"/>
  <c r="J84" i="9"/>
  <c r="J83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7" i="9"/>
  <c r="J6" i="9"/>
  <c r="J5" i="9"/>
  <c r="J4" i="9"/>
  <c r="J3" i="9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V40" i="8" s="1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U20" i="8"/>
  <c r="U60" i="8" s="1"/>
  <c r="T20" i="8"/>
  <c r="T60" i="8" s="1"/>
  <c r="S20" i="8"/>
  <c r="S60" i="8" s="1"/>
  <c r="R20" i="8"/>
  <c r="R60" i="8" s="1"/>
  <c r="Q20" i="8"/>
  <c r="Q60" i="8" s="1"/>
  <c r="P20" i="8"/>
  <c r="P60" i="8" s="1"/>
  <c r="O20" i="8"/>
  <c r="O60" i="8" s="1"/>
  <c r="N20" i="8"/>
  <c r="N60" i="8" s="1"/>
  <c r="M20" i="8"/>
  <c r="M60" i="8" s="1"/>
  <c r="L20" i="8"/>
  <c r="L60" i="8" s="1"/>
  <c r="K20" i="8"/>
  <c r="K60" i="8" s="1"/>
  <c r="J20" i="8"/>
  <c r="J60" i="8" s="1"/>
  <c r="I20" i="8"/>
  <c r="I60" i="8" s="1"/>
  <c r="H20" i="8"/>
  <c r="H60" i="8" s="1"/>
  <c r="G20" i="8"/>
  <c r="G60" i="8" s="1"/>
  <c r="F20" i="8"/>
  <c r="F60" i="8" s="1"/>
  <c r="E20" i="8"/>
  <c r="E60" i="8" s="1"/>
  <c r="D20" i="8"/>
  <c r="D60" i="8" s="1"/>
  <c r="C20" i="8"/>
  <c r="C60" i="8" s="1"/>
  <c r="B20" i="8"/>
  <c r="V20" i="8" s="1"/>
  <c r="V60" i="8" s="1"/>
  <c r="V19" i="8"/>
  <c r="V59" i="8" s="1"/>
  <c r="V18" i="8"/>
  <c r="V58" i="8" s="1"/>
  <c r="V17" i="8"/>
  <c r="V57" i="8" s="1"/>
  <c r="V16" i="8"/>
  <c r="V56" i="8" s="1"/>
  <c r="V15" i="8"/>
  <c r="V55" i="8" s="1"/>
  <c r="V14" i="8"/>
  <c r="V54" i="8" s="1"/>
  <c r="V13" i="8"/>
  <c r="V53" i="8" s="1"/>
  <c r="V12" i="8"/>
  <c r="V52" i="8" s="1"/>
  <c r="V11" i="8"/>
  <c r="V51" i="8" s="1"/>
  <c r="V10" i="8"/>
  <c r="V50" i="8" s="1"/>
  <c r="V9" i="8"/>
  <c r="V49" i="8" s="1"/>
  <c r="V8" i="8"/>
  <c r="V48" i="8" s="1"/>
  <c r="V7" i="8"/>
  <c r="V47" i="8" s="1"/>
  <c r="V6" i="8"/>
  <c r="V46" i="8" s="1"/>
  <c r="V5" i="8"/>
  <c r="V45" i="8" s="1"/>
  <c r="V4" i="8"/>
  <c r="V44" i="8" s="1"/>
  <c r="J229" i="7"/>
  <c r="J228" i="7"/>
  <c r="J227" i="7"/>
  <c r="J226" i="7"/>
  <c r="J225" i="7"/>
  <c r="J224" i="7"/>
  <c r="J223" i="7"/>
  <c r="J222" i="7"/>
  <c r="J221" i="7"/>
  <c r="J220" i="7"/>
  <c r="J219" i="7"/>
  <c r="J218" i="7"/>
  <c r="J217" i="7"/>
  <c r="J216" i="7"/>
  <c r="J215" i="7"/>
  <c r="J211" i="7"/>
  <c r="J210" i="7"/>
  <c r="J209" i="7"/>
  <c r="J208" i="7"/>
  <c r="J207" i="7"/>
  <c r="J206" i="7"/>
  <c r="J205" i="7"/>
  <c r="J204" i="7"/>
  <c r="J203" i="7"/>
  <c r="J202" i="7"/>
  <c r="J201" i="7"/>
  <c r="J200" i="7"/>
  <c r="J180" i="7"/>
  <c r="J179" i="7"/>
  <c r="J178" i="7"/>
  <c r="J177" i="7"/>
  <c r="J172" i="7"/>
  <c r="J171" i="7"/>
  <c r="J170" i="7"/>
  <c r="J169" i="7"/>
  <c r="J168" i="7"/>
  <c r="J167" i="7"/>
  <c r="J166" i="7"/>
  <c r="J165" i="7"/>
  <c r="J164" i="7"/>
  <c r="J150" i="7"/>
  <c r="J149" i="7"/>
  <c r="J148" i="7"/>
  <c r="J147" i="7"/>
  <c r="J146" i="7"/>
  <c r="J145" i="7"/>
  <c r="J144" i="7"/>
  <c r="J143" i="7"/>
  <c r="J142" i="7"/>
  <c r="J141" i="7"/>
  <c r="J137" i="7"/>
  <c r="J136" i="7"/>
  <c r="J135" i="7"/>
  <c r="J134" i="7"/>
  <c r="J125" i="7"/>
  <c r="J124" i="7"/>
  <c r="J123" i="7"/>
  <c r="J122" i="7"/>
  <c r="J119" i="7"/>
  <c r="J118" i="7"/>
  <c r="J105" i="7"/>
  <c r="J104" i="7"/>
  <c r="J103" i="7"/>
  <c r="J102" i="7"/>
  <c r="J101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2" i="7"/>
  <c r="J61" i="7"/>
  <c r="J60" i="7"/>
  <c r="J59" i="7"/>
  <c r="J58" i="7"/>
  <c r="J57" i="7"/>
  <c r="J56" i="7"/>
  <c r="J55" i="7"/>
  <c r="J54" i="7"/>
  <c r="J53" i="7"/>
  <c r="J52" i="7"/>
  <c r="J51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19" i="7"/>
  <c r="J18" i="7"/>
  <c r="J17" i="7"/>
  <c r="J16" i="7"/>
  <c r="J15" i="7"/>
  <c r="J14" i="7"/>
  <c r="J13" i="7"/>
  <c r="J4" i="7"/>
  <c r="J3" i="7"/>
  <c r="J2" i="7"/>
  <c r="Z59" i="6"/>
  <c r="Y59" i="6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Z56" i="6"/>
  <c r="Y56" i="6"/>
  <c r="X56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Z55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Z54" i="6"/>
  <c r="Y54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Z53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Z52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AA40" i="6" s="1"/>
  <c r="AA39" i="6"/>
  <c r="AA38" i="6"/>
  <c r="AA37" i="6"/>
  <c r="AA36" i="6"/>
  <c r="AA35" i="6"/>
  <c r="AA34" i="6"/>
  <c r="AA33" i="6"/>
  <c r="AA32" i="6"/>
  <c r="AA31" i="6"/>
  <c r="AA30" i="6"/>
  <c r="AA29" i="6"/>
  <c r="AA28" i="6"/>
  <c r="AA27" i="6"/>
  <c r="AA26" i="6"/>
  <c r="AA25" i="6"/>
  <c r="AA24" i="6"/>
  <c r="Z20" i="6"/>
  <c r="Z60" i="6" s="1"/>
  <c r="Y20" i="6"/>
  <c r="Y60" i="6" s="1"/>
  <c r="X20" i="6"/>
  <c r="X60" i="6" s="1"/>
  <c r="W20" i="6"/>
  <c r="W60" i="6" s="1"/>
  <c r="V20" i="6"/>
  <c r="V60" i="6" s="1"/>
  <c r="U20" i="6"/>
  <c r="U60" i="6" s="1"/>
  <c r="T20" i="6"/>
  <c r="T60" i="6" s="1"/>
  <c r="S20" i="6"/>
  <c r="S60" i="6" s="1"/>
  <c r="R20" i="6"/>
  <c r="R60" i="6" s="1"/>
  <c r="Q20" i="6"/>
  <c r="Q60" i="6" s="1"/>
  <c r="P20" i="6"/>
  <c r="P60" i="6" s="1"/>
  <c r="O20" i="6"/>
  <c r="O60" i="6" s="1"/>
  <c r="N20" i="6"/>
  <c r="N60" i="6" s="1"/>
  <c r="M20" i="6"/>
  <c r="M60" i="6" s="1"/>
  <c r="L20" i="6"/>
  <c r="L60" i="6" s="1"/>
  <c r="K20" i="6"/>
  <c r="K60" i="6" s="1"/>
  <c r="J20" i="6"/>
  <c r="J60" i="6" s="1"/>
  <c r="I20" i="6"/>
  <c r="I60" i="6" s="1"/>
  <c r="H20" i="6"/>
  <c r="H60" i="6" s="1"/>
  <c r="G20" i="6"/>
  <c r="G60" i="6" s="1"/>
  <c r="F20" i="6"/>
  <c r="F60" i="6" s="1"/>
  <c r="E20" i="6"/>
  <c r="E60" i="6" s="1"/>
  <c r="D20" i="6"/>
  <c r="D60" i="6" s="1"/>
  <c r="C20" i="6"/>
  <c r="C60" i="6" s="1"/>
  <c r="AA19" i="6"/>
  <c r="AA59" i="6" s="1"/>
  <c r="AA18" i="6"/>
  <c r="AA58" i="6" s="1"/>
  <c r="AA17" i="6"/>
  <c r="AA57" i="6" s="1"/>
  <c r="AA16" i="6"/>
  <c r="AA56" i="6" s="1"/>
  <c r="AA15" i="6"/>
  <c r="AA55" i="6" s="1"/>
  <c r="AA14" i="6"/>
  <c r="AA54" i="6" s="1"/>
  <c r="AA13" i="6"/>
  <c r="AA53" i="6" s="1"/>
  <c r="AA12" i="6"/>
  <c r="AA52" i="6" s="1"/>
  <c r="AA11" i="6"/>
  <c r="AA51" i="6" s="1"/>
  <c r="AA10" i="6"/>
  <c r="AA50" i="6" s="1"/>
  <c r="AA9" i="6"/>
  <c r="AA49" i="6" s="1"/>
  <c r="AA8" i="6"/>
  <c r="AA48" i="6" s="1"/>
  <c r="AA7" i="6"/>
  <c r="AA47" i="6" s="1"/>
  <c r="AA6" i="6"/>
  <c r="AA46" i="6" s="1"/>
  <c r="AA5" i="6"/>
  <c r="AA4" i="6"/>
  <c r="AA44" i="6" s="1"/>
  <c r="J272" i="5"/>
  <c r="J271" i="5"/>
  <c r="J270" i="5"/>
  <c r="J269" i="5"/>
  <c r="J268" i="5"/>
  <c r="J257" i="5"/>
  <c r="J256" i="5"/>
  <c r="J255" i="5"/>
  <c r="J254" i="5"/>
  <c r="J253" i="5"/>
  <c r="J252" i="5"/>
  <c r="J251" i="5"/>
  <c r="J250" i="5"/>
  <c r="J249" i="5"/>
  <c r="J248" i="5"/>
  <c r="J247" i="5"/>
  <c r="J246" i="5"/>
  <c r="J233" i="5"/>
  <c r="J232" i="5"/>
  <c r="J231" i="5"/>
  <c r="J230" i="5"/>
  <c r="J229" i="5"/>
  <c r="J228" i="5"/>
  <c r="J227" i="5"/>
  <c r="J226" i="5"/>
  <c r="J225" i="5"/>
  <c r="J224" i="5"/>
  <c r="J223" i="5"/>
  <c r="J222" i="5"/>
  <c r="J221" i="5"/>
  <c r="J220" i="5"/>
  <c r="J219" i="5"/>
  <c r="J218" i="5"/>
  <c r="J217" i="5"/>
  <c r="J216" i="5"/>
  <c r="J215" i="5"/>
  <c r="J214" i="5"/>
  <c r="J193" i="5"/>
  <c r="J192" i="5"/>
  <c r="J191" i="5"/>
  <c r="J190" i="5"/>
  <c r="J189" i="5"/>
  <c r="J188" i="5"/>
  <c r="J187" i="5"/>
  <c r="J186" i="5"/>
  <c r="J175" i="5"/>
  <c r="J174" i="5"/>
  <c r="J173" i="5"/>
  <c r="J172" i="5"/>
  <c r="J171" i="5"/>
  <c r="J170" i="5"/>
  <c r="J169" i="5"/>
  <c r="J168" i="5"/>
  <c r="J167" i="5"/>
  <c r="J162" i="5"/>
  <c r="J161" i="5"/>
  <c r="J160" i="5"/>
  <c r="J159" i="5"/>
  <c r="J154" i="5"/>
  <c r="J153" i="5"/>
  <c r="J152" i="5"/>
  <c r="J151" i="5"/>
  <c r="J150" i="5"/>
  <c r="J145" i="5"/>
  <c r="J144" i="5"/>
  <c r="J143" i="5"/>
  <c r="J142" i="5"/>
  <c r="J141" i="5"/>
  <c r="J140" i="5"/>
  <c r="J139" i="5"/>
  <c r="J138" i="5"/>
  <c r="J137" i="5"/>
  <c r="J136" i="5"/>
  <c r="J119" i="5"/>
  <c r="J114" i="5"/>
  <c r="J113" i="5"/>
  <c r="J112" i="5"/>
  <c r="J111" i="5"/>
  <c r="J96" i="5"/>
  <c r="J95" i="5"/>
  <c r="J94" i="5"/>
  <c r="J93" i="5"/>
  <c r="J92" i="5"/>
  <c r="J91" i="5"/>
  <c r="J90" i="5"/>
  <c r="J89" i="5"/>
  <c r="J88" i="5"/>
  <c r="J80" i="5"/>
  <c r="J79" i="5"/>
  <c r="J78" i="5"/>
  <c r="J77" i="5"/>
  <c r="J76" i="5"/>
  <c r="J75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42" i="5"/>
  <c r="J41" i="5"/>
  <c r="J40" i="5"/>
  <c r="J38" i="5"/>
  <c r="J37" i="5"/>
  <c r="J36" i="5"/>
  <c r="J21" i="5"/>
  <c r="J20" i="5"/>
  <c r="J19" i="5"/>
  <c r="J18" i="5"/>
  <c r="J17" i="5"/>
  <c r="J16" i="5"/>
  <c r="J15" i="5"/>
  <c r="J14" i="5"/>
  <c r="J13" i="5"/>
  <c r="J12" i="5"/>
  <c r="J4" i="5"/>
  <c r="J3" i="5"/>
  <c r="J2" i="5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X40" i="4"/>
  <c r="W40" i="4"/>
  <c r="V40" i="4"/>
  <c r="U40" i="4"/>
  <c r="T40" i="4"/>
  <c r="S40" i="4"/>
  <c r="R40" i="4"/>
  <c r="Q40" i="4"/>
  <c r="P40" i="4"/>
  <c r="O40" i="4"/>
  <c r="N40" i="4"/>
  <c r="M40" i="4"/>
  <c r="M60" i="4" s="1"/>
  <c r="L40" i="4"/>
  <c r="L60" i="4" s="1"/>
  <c r="K40" i="4"/>
  <c r="K60" i="4" s="1"/>
  <c r="J40" i="4"/>
  <c r="J60" i="4" s="1"/>
  <c r="I40" i="4"/>
  <c r="I60" i="4" s="1"/>
  <c r="H40" i="4"/>
  <c r="H60" i="4" s="1"/>
  <c r="G40" i="4"/>
  <c r="G60" i="4" s="1"/>
  <c r="F40" i="4"/>
  <c r="F60" i="4" s="1"/>
  <c r="E40" i="4"/>
  <c r="E60" i="4" s="1"/>
  <c r="D40" i="4"/>
  <c r="D60" i="4" s="1"/>
  <c r="C40" i="4"/>
  <c r="C60" i="4" s="1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X20" i="4"/>
  <c r="X60" i="4" s="1"/>
  <c r="W20" i="4"/>
  <c r="W60" i="4" s="1"/>
  <c r="V20" i="4"/>
  <c r="V60" i="4" s="1"/>
  <c r="U20" i="4"/>
  <c r="U60" i="4" s="1"/>
  <c r="T20" i="4"/>
  <c r="T60" i="4" s="1"/>
  <c r="S20" i="4"/>
  <c r="S60" i="4" s="1"/>
  <c r="R20" i="4"/>
  <c r="R60" i="4" s="1"/>
  <c r="Q20" i="4"/>
  <c r="Q60" i="4" s="1"/>
  <c r="P20" i="4"/>
  <c r="P60" i="4" s="1"/>
  <c r="O20" i="4"/>
  <c r="O60" i="4" s="1"/>
  <c r="N20" i="4"/>
  <c r="Y20" i="4" s="1"/>
  <c r="Y19" i="4"/>
  <c r="Y59" i="4" s="1"/>
  <c r="Y18" i="4"/>
  <c r="Y58" i="4" s="1"/>
  <c r="Y17" i="4"/>
  <c r="Y57" i="4" s="1"/>
  <c r="Y16" i="4"/>
  <c r="Y56" i="4" s="1"/>
  <c r="Y15" i="4"/>
  <c r="Y55" i="4" s="1"/>
  <c r="Y14" i="4"/>
  <c r="Y54" i="4" s="1"/>
  <c r="Y13" i="4"/>
  <c r="Y53" i="4" s="1"/>
  <c r="Y12" i="4"/>
  <c r="Y52" i="4" s="1"/>
  <c r="Y11" i="4"/>
  <c r="Y51" i="4" s="1"/>
  <c r="Y10" i="4"/>
  <c r="Y50" i="4" s="1"/>
  <c r="Y9" i="4"/>
  <c r="Y49" i="4" s="1"/>
  <c r="Y8" i="4"/>
  <c r="Y48" i="4" s="1"/>
  <c r="Y7" i="4"/>
  <c r="Y47" i="4" s="1"/>
  <c r="Y6" i="4"/>
  <c r="Y46" i="4" s="1"/>
  <c r="Y5" i="4"/>
  <c r="Y45" i="4" s="1"/>
  <c r="Y4" i="4"/>
  <c r="Y44" i="4" s="1"/>
  <c r="J260" i="1"/>
  <c r="J259" i="1"/>
  <c r="J258" i="1"/>
  <c r="J257" i="1"/>
  <c r="J252" i="1"/>
  <c r="J251" i="1"/>
  <c r="J250" i="1"/>
  <c r="J249" i="1"/>
  <c r="J248" i="1"/>
  <c r="J247" i="1"/>
  <c r="J246" i="1"/>
  <c r="J245" i="1"/>
  <c r="J244" i="1"/>
  <c r="J227" i="1"/>
  <c r="J226" i="1"/>
  <c r="J225" i="1"/>
  <c r="J224" i="1"/>
  <c r="J223" i="1"/>
  <c r="J222" i="1"/>
  <c r="J221" i="1"/>
  <c r="J220" i="1"/>
  <c r="J219" i="1"/>
  <c r="J218" i="1"/>
  <c r="J217" i="1"/>
  <c r="J206" i="1"/>
  <c r="J205" i="1"/>
  <c r="J204" i="1"/>
  <c r="J203" i="1"/>
  <c r="J190" i="1"/>
  <c r="J189" i="1"/>
  <c r="J188" i="1"/>
  <c r="J187" i="1"/>
  <c r="J186" i="1"/>
  <c r="J181" i="1"/>
  <c r="J180" i="1"/>
  <c r="J179" i="1"/>
  <c r="J178" i="1"/>
  <c r="J177" i="1"/>
  <c r="J176" i="1"/>
  <c r="J166" i="1"/>
  <c r="J150" i="1"/>
  <c r="J149" i="1"/>
  <c r="J148" i="1"/>
  <c r="J147" i="1"/>
  <c r="J146" i="1"/>
  <c r="J145" i="1"/>
  <c r="J138" i="1"/>
  <c r="J137" i="1"/>
  <c r="J136" i="1"/>
  <c r="J135" i="1"/>
  <c r="J129" i="1"/>
  <c r="J128" i="1"/>
  <c r="J127" i="1"/>
  <c r="J126" i="1"/>
  <c r="J125" i="1"/>
  <c r="J124" i="1"/>
  <c r="J123" i="1"/>
  <c r="J122" i="1"/>
  <c r="J113" i="1"/>
  <c r="J112" i="1"/>
  <c r="J111" i="1"/>
  <c r="J110" i="1"/>
  <c r="J109" i="1"/>
  <c r="J108" i="1"/>
  <c r="J107" i="1"/>
  <c r="J106" i="1"/>
  <c r="J91" i="1"/>
  <c r="J90" i="1"/>
  <c r="J89" i="1"/>
  <c r="J88" i="1"/>
  <c r="J87" i="1"/>
  <c r="J86" i="1"/>
  <c r="J85" i="1"/>
  <c r="J80" i="1"/>
  <c r="J79" i="1"/>
  <c r="J78" i="1"/>
  <c r="J77" i="1"/>
  <c r="J68" i="1"/>
  <c r="J67" i="1"/>
  <c r="J66" i="1"/>
  <c r="J65" i="1"/>
  <c r="J64" i="1"/>
  <c r="J63" i="1"/>
  <c r="J62" i="1"/>
  <c r="J61" i="1"/>
  <c r="J60" i="1"/>
  <c r="J40" i="1"/>
  <c r="J39" i="1"/>
  <c r="J38" i="1"/>
  <c r="J37" i="1"/>
  <c r="J36" i="1"/>
  <c r="J35" i="1"/>
  <c r="J34" i="1"/>
  <c r="J33" i="1"/>
  <c r="J32" i="1"/>
  <c r="J31" i="1"/>
  <c r="J30" i="1"/>
  <c r="J24" i="1"/>
  <c r="J23" i="1"/>
  <c r="J22" i="1"/>
  <c r="J21" i="1"/>
  <c r="J20" i="1"/>
  <c r="J19" i="1"/>
  <c r="J18" i="1"/>
  <c r="J17" i="1"/>
  <c r="J16" i="1"/>
  <c r="J15" i="1"/>
  <c r="J14" i="1"/>
  <c r="AA20" i="6" l="1"/>
  <c r="AA60" i="6" s="1"/>
  <c r="B60" i="8"/>
  <c r="B60" i="10"/>
  <c r="Y40" i="4"/>
  <c r="Y60" i="4" s="1"/>
  <c r="N60" i="4"/>
  <c r="S20" i="12"/>
  <c r="S60" i="12" s="1"/>
</calcChain>
</file>

<file path=xl/sharedStrings.xml><?xml version="1.0" encoding="utf-8"?>
<sst xmlns="http://schemas.openxmlformats.org/spreadsheetml/2006/main" count="10670" uniqueCount="3023">
  <si>
    <t>Дата проверки</t>
  </si>
  <si>
    <t xml:space="preserve">Город </t>
  </si>
  <si>
    <t xml:space="preserve">ФИО агента </t>
  </si>
  <si>
    <t>Время работы агента</t>
  </si>
  <si>
    <t>Адрес аудита</t>
  </si>
  <si>
    <t>Время аудита</t>
  </si>
  <si>
    <t>Агент был на месте</t>
  </si>
  <si>
    <t xml:space="preserve">Наличие бейджа </t>
  </si>
  <si>
    <t xml:space="preserve">Наличие рабочих материалов </t>
  </si>
  <si>
    <t>Ссылка на фотоотчет</t>
  </si>
  <si>
    <t xml:space="preserve">Комментарии </t>
  </si>
  <si>
    <t xml:space="preserve">Белгород </t>
  </si>
  <si>
    <t>с 15-00 до 20-00</t>
  </si>
  <si>
    <t>ул. 5 Августа, 40</t>
  </si>
  <si>
    <t>НЕТ</t>
  </si>
  <si>
    <t>Агент Роман сообощил нашему контролеру, что сегодня короткий рабочий день.  Во время разговора находился на ул. Александа Невского 8</t>
  </si>
  <si>
    <t>с 16:00 до 18:00</t>
  </si>
  <si>
    <t>ул. Спортивная д. 14</t>
  </si>
  <si>
    <t xml:space="preserve">Не брал трубку </t>
  </si>
  <si>
    <t>с 17:00 до 20:00</t>
  </si>
  <si>
    <t>ул. ЕСЕНИНА д. 14</t>
  </si>
  <si>
    <t>Уже закончил проверку и пошел по своим делам. Агент отказался вернуться к адресу по просьбе нашего контролера.</t>
  </si>
  <si>
    <t>с 17:00 до 21:00</t>
  </si>
  <si>
    <t>ул. Серегина .25</t>
  </si>
  <si>
    <t>Курск</t>
  </si>
  <si>
    <t>c 18.00 до 21.00</t>
  </si>
  <si>
    <t>ул. Республиканская. 8</t>
  </si>
  <si>
    <t>Не доступен</t>
  </si>
  <si>
    <t>с 18.00 до 21.00</t>
  </si>
  <si>
    <t>проспект Победы, 38</t>
  </si>
  <si>
    <t>Мирный пр-д, 5</t>
  </si>
  <si>
    <t>Ответил мужчина , в Ростелекоме у них никто не работает</t>
  </si>
  <si>
    <t>Советская, 26</t>
  </si>
  <si>
    <t>Не доступна</t>
  </si>
  <si>
    <t>Рязань</t>
  </si>
  <si>
    <t>ул. Мервенская, д. 30</t>
  </si>
  <si>
    <t>Агент Ангелина сообщила нашему контролеру, что предупредила свое руководство (супервайзера),что не сможет работать в этот день</t>
  </si>
  <si>
    <t>ул. Октябрьская, д. 45</t>
  </si>
  <si>
    <t>ш. Михайловское, д.77</t>
  </si>
  <si>
    <t>Наш контролер позвонил агенту Галине, но трубку взял её муж, сообщил, что Галина в данный момент на работе, пообщел нашему предствителю прислать действующий номер телефона агента. В течение 5 минут номер телефона не прислали, на повторные звонки муж Галины не брал трубку.</t>
  </si>
  <si>
    <t>с 17:00 до 21:03</t>
  </si>
  <si>
    <t>ш. Михайловское, д.75к1</t>
  </si>
  <si>
    <t>Адреса ш. Михайловское, д. 77 и ш. Михайловское, д. 75к1 являются соседними домами. Наш представитель замотался и забыл сфотографировать адрес дома. Приносим наши извинения, в дальнейшей работа такого больше не повторится.</t>
  </si>
  <si>
    <t>Не взяла трубку</t>
  </si>
  <si>
    <t>Менеджер</t>
  </si>
  <si>
    <t>Телефон менеджера</t>
  </si>
  <si>
    <t>Ли Виктория Аркадьевна</t>
  </si>
  <si>
    <t>8-980-526-26-81</t>
  </si>
  <si>
    <t>Бородина Светлана Георгиевна</t>
  </si>
  <si>
    <t>8-991-316-07-60</t>
  </si>
  <si>
    <t>Новиков Юрий Дмитриевич</t>
  </si>
  <si>
    <t>Камальдинов Чингиз Равильевич</t>
  </si>
  <si>
    <t>Звягинцева Юлия</t>
  </si>
  <si>
    <t>Жмакина Татьяна Александровна</t>
  </si>
  <si>
    <t>Марков Сергей</t>
  </si>
  <si>
    <t>Поникаров Владимир</t>
  </si>
  <si>
    <t>Шумаков Роман Эдуардович</t>
  </si>
  <si>
    <t>Злобин Сергей Александрович</t>
  </si>
  <si>
    <t xml:space="preserve">Королев Максим Александрович </t>
  </si>
  <si>
    <t>Сергеева Дарья</t>
  </si>
  <si>
    <t>Горевая Ангелина</t>
  </si>
  <si>
    <t xml:space="preserve">Петрова Галина </t>
  </si>
  <si>
    <t xml:space="preserve">Титко Серафим </t>
  </si>
  <si>
    <t>Петров Андрей</t>
  </si>
  <si>
    <t>8-905-692-05-37</t>
  </si>
  <si>
    <t>Гусев Максим Александрович</t>
  </si>
  <si>
    <t>8(999)764-84-86</t>
  </si>
  <si>
    <t>8(999)764-84-87</t>
  </si>
  <si>
    <t>Ярославль</t>
  </si>
  <si>
    <t>с 18:00 до 21:30</t>
  </si>
  <si>
    <t>Ул. Серго Орджоникидзе 20</t>
  </si>
  <si>
    <t>ДА</t>
  </si>
  <si>
    <t>Ул. Серго Орджоникидзе 22к2, 22к3</t>
  </si>
  <si>
    <t>Ул. Серго Орджоникидзе 29</t>
  </si>
  <si>
    <t>Ул.  Матросова 10</t>
  </si>
  <si>
    <t>Ярославская 27, 27к2</t>
  </si>
  <si>
    <t>Балтийская 8а, 16</t>
  </si>
  <si>
    <t>Ярославская 33</t>
  </si>
  <si>
    <t>Ул.  Мирная 5</t>
  </si>
  <si>
    <t>Батова 1 корп.2, 3</t>
  </si>
  <si>
    <t>Батова 3 корп.2, 3корп.3</t>
  </si>
  <si>
    <t>Батова 5</t>
  </si>
  <si>
    <t>см. комментарии</t>
  </si>
  <si>
    <t>было 3 звонка: 18:22, 18:34, в 20:06 - ответил что дома</t>
  </si>
  <si>
    <t>Богдановича 6 и 7</t>
  </si>
  <si>
    <t>Борков Евгений Валерьевич</t>
  </si>
  <si>
    <t>8(980)7403707</t>
  </si>
  <si>
    <t>Продан Илья Андреевич</t>
  </si>
  <si>
    <t>8(915)9739231</t>
  </si>
  <si>
    <t>по словам агента - заболел. Договаривался с менеджером.</t>
  </si>
  <si>
    <t>Алоян Шалва Григорьевич</t>
  </si>
  <si>
    <t>Ларионов Дмитрий Александрович</t>
  </si>
  <si>
    <t>Бурлаков Николай Эдуардович</t>
  </si>
  <si>
    <t>Журавлев Владислав Сергеевич</t>
  </si>
  <si>
    <t>Смыслов Алексей Олегович</t>
  </si>
  <si>
    <t>Кострыкин Данила Александрович</t>
  </si>
  <si>
    <t>Баранов Илья Сергеевич</t>
  </si>
  <si>
    <t>Тамбов</t>
  </si>
  <si>
    <t>ул. Советская, д.190 Д корп. 2</t>
  </si>
  <si>
    <t>https://yadi.sk/i/l9XEN6Sc3TJfzv</t>
  </si>
  <si>
    <t>Агент сообщил нашему контролеру, что сегодня он не работает</t>
  </si>
  <si>
    <t>ул. Тельмана 5</t>
  </si>
  <si>
    <t>https://yadi.sk/i/2OBWqtKb3TJfwF</t>
  </si>
  <si>
    <t>Агент сказал, что направляется на работу и находится в двух кварталах от адреса. Наш контролер подождал агента 10 минут, после позвонил еще раз. Агент сообщил, что будет на работе, только через 40-50 минут, так как ему необходимо доделать расклейку рекламной продукции на другом районе.</t>
  </si>
  <si>
    <t>Агапкина 19А</t>
  </si>
  <si>
    <t>https://yadi.sk/i/IDKMLUc33TJfjE</t>
  </si>
  <si>
    <t>Агент сообщил, что в данный момент работает по адресу Победы дом 7. Данный адрес находится в 5 минутах от ул. Агапкина 19А. Наш представитель попросил агента никуда не уходить и что он подойдет на данный адрес. Спустя 5 минут наш контролер подошел к адресу Победы дом 7, агент в течение 5 минут не брал трубку, затем до него все-таки дозвонились, он сообщил, что перезвонит. Наш контролер подождал у даного адреса еще 5 минут, на дальнейшие звонки агент сбрасывал трубку.</t>
  </si>
  <si>
    <t>с 18:00 до 21:00</t>
  </si>
  <si>
    <t>ул. Магистральная, д.41 корп. 2</t>
  </si>
  <si>
    <t>https://yadi.sk/i/Q8jjAynE3TJfrD</t>
  </si>
  <si>
    <t xml:space="preserve">На звонок нашего представителя ответил мужщина представился Романом мужем Наталии. Сообщил, что он с женой работали сегодня в паре, работу всю закончили и ушли домой, так же сообищил, что сегодня у них рабочий день с 17 до 20. </t>
  </si>
  <si>
    <t>ул. 5 августа дом 32</t>
  </si>
  <si>
    <t>Агент освободился раньше выехал в другой район</t>
  </si>
  <si>
    <t>с 17:00 до 19:00</t>
  </si>
  <si>
    <t>ул.Преображенская д.20</t>
  </si>
  <si>
    <t>Агент находился на основной работе,только собиралась идти на адрес</t>
  </si>
  <si>
    <t>с 19:00 до 21:00</t>
  </si>
  <si>
    <t>ул, Студенческая дом 6а</t>
  </si>
  <si>
    <t>Не взял трубку</t>
  </si>
  <si>
    <t>с 18:00 до 20:00</t>
  </si>
  <si>
    <t>ул. Железнякова д. 14</t>
  </si>
  <si>
    <t>Владимир</t>
  </si>
  <si>
    <t>с 17.30 до 20.00</t>
  </si>
  <si>
    <t>Безыменского 1</t>
  </si>
  <si>
    <t>Безыменского 1а</t>
  </si>
  <si>
    <t xml:space="preserve">Наш контролер позвонил агенту Никите, агент сообщил, что в данный момент стоит на остановке и ждет агента Сергея, который должен с ним работать на соседних адресах. На вопрос когда они будет на местах агент сообщил, что через 30 минут. </t>
  </si>
  <si>
    <t>Швецов Андрей Андреевич</t>
  </si>
  <si>
    <t>Горького 113Б</t>
  </si>
  <si>
    <t>Кузнецова Светлана Викторовна</t>
  </si>
  <si>
    <t>Белоконской 15В</t>
  </si>
  <si>
    <t>Кострома</t>
  </si>
  <si>
    <t>Смирнов Дмитрий Юрьевич</t>
  </si>
  <si>
    <t>МКР. ЯКИМАНИХА 2</t>
  </si>
  <si>
    <t>Агент сказал,что выезжает на адрес и будет через 40 минут</t>
  </si>
  <si>
    <t>Рогов Денис Дмитриевич</t>
  </si>
  <si>
    <t>МКР. ЯКИМАНИХА 4</t>
  </si>
  <si>
    <t>Номер агента набран неправильно или не существует</t>
  </si>
  <si>
    <t>Лебедев Владислав Юрьевич</t>
  </si>
  <si>
    <t>МКР. ЮБИЛЕЙНЫЙ 18</t>
  </si>
  <si>
    <t>Буравлев Евгений Владимирович</t>
  </si>
  <si>
    <t>8(910)198-45-35</t>
  </si>
  <si>
    <t>Кошелев Петр Николаевич</t>
  </si>
  <si>
    <t>Прудников Михаил Михайлович</t>
  </si>
  <si>
    <t>8(910)858-09-49</t>
  </si>
  <si>
    <t>Черемисин Станислав Вадимович</t>
  </si>
  <si>
    <t>8(915)888-88-00</t>
  </si>
  <si>
    <t>8(980)526-26-81</t>
  </si>
  <si>
    <t>Половнева Наталья</t>
  </si>
  <si>
    <t>8-908-780-75-68</t>
  </si>
  <si>
    <t>8(991)3160760</t>
  </si>
  <si>
    <t>Лаврухина Татьяна Александровна</t>
  </si>
  <si>
    <t>Деникина Инна</t>
  </si>
  <si>
    <t>Смирнов Сергей</t>
  </si>
  <si>
    <t>Пыжиков Никита</t>
  </si>
  <si>
    <t>Янин Андрей</t>
  </si>
  <si>
    <t>Пуляева Наталия Сергеевна</t>
  </si>
  <si>
    <t>Истомин Владислав Сергеевич</t>
  </si>
  <si>
    <t>Спиридонов Александр Юрьевич</t>
  </si>
  <si>
    <t>Барыльников Александр</t>
  </si>
  <si>
    <t>Корсакова Карина Витальевна</t>
  </si>
  <si>
    <t>Чистяков Егор</t>
  </si>
  <si>
    <t>Орел</t>
  </si>
  <si>
    <t>17:00-21:00</t>
  </si>
  <si>
    <t>ул. Емлютина, д. 18</t>
  </si>
  <si>
    <t>https://yadi.sk/i/c-VC2lBm3TLBkW</t>
  </si>
  <si>
    <t>Подняла трубку  супруга агента, сказала что он забыл телефон дома, но ушел на работу,связи с ним никакой больше нет</t>
  </si>
  <si>
    <t>пер. Багажный д. 3</t>
  </si>
  <si>
    <t>https://yadi.sk/i/gIoM9XdL3TLBj5</t>
  </si>
  <si>
    <t>Агент не ответил на телефон</t>
  </si>
  <si>
    <t>Артельный переулок, д. 20</t>
  </si>
  <si>
    <t>https://yadi.sk/i/Q88rq6y03TLBkd</t>
  </si>
  <si>
    <t>ул. Раздольная д. 66</t>
  </si>
  <si>
    <t>https://yadi.sk/i/ODjwVOlx3TLBmC</t>
  </si>
  <si>
    <t>Агент не ответил на звонок нашего контролера. В 18:59 агент Валентина позвонила сама и сказала, что она работала, но в данный моент зашла к себе домой.</t>
  </si>
  <si>
    <t>Смоленск</t>
  </si>
  <si>
    <t>ул.Крупская 30а</t>
  </si>
  <si>
    <t>https://yadi.sk/i/utNVEWOF3TLDrN</t>
  </si>
  <si>
    <t>Агент сказал,что будет через 10 минут на адресе, позже не брал трубку</t>
  </si>
  <si>
    <t>Тригубов Андрей</t>
  </si>
  <si>
    <t>ул.Крупская 44а</t>
  </si>
  <si>
    <t>https://yadi.sk/d/0qqQts2u3TLE5F</t>
  </si>
  <si>
    <t xml:space="preserve">Нет бейджека, но есть удостоверение </t>
  </si>
  <si>
    <t>ул. Нахимсона д. 16</t>
  </si>
  <si>
    <t>https://yadi.sk/i/wFTnNqvw3TLDsf</t>
  </si>
  <si>
    <t>Агент Руслан сообщил нашему контролеру, что предупреждал свое руководство (супервайзера),что по обстоятельствам не сможет работать в этот день</t>
  </si>
  <si>
    <t>Хоманская Наталья</t>
  </si>
  <si>
    <t>с 18:30 до 21:00</t>
  </si>
  <si>
    <t>ул. НОРМАНДИЯ-НЕМАН 7 А</t>
  </si>
  <si>
    <t>https://yadi.sk/d/PluX6V3p3TLE6Z</t>
  </si>
  <si>
    <t>Воронеж</t>
  </si>
  <si>
    <t>УЛ.ГЕНЕРАЛА ЛИЗЮКОВА 103</t>
  </si>
  <si>
    <t>https://yadi.sk/i/CmQjL7233TLFSc</t>
  </si>
  <si>
    <t>Когда наш контролер позвонил агенту,тот сообщил,что находится в пробке,попросил перезвонить.В 18:55 перезвонил сам и сказал,что находится на месте.</t>
  </si>
  <si>
    <t xml:space="preserve">Стёпкина Яна Александровна </t>
  </si>
  <si>
    <t>УЛ.ГЕНЕРАЛА ЛИЗЮКОВА 54</t>
  </si>
  <si>
    <t>https://yadi.sk/d/elb_CeyK3TLFr8</t>
  </si>
  <si>
    <t xml:space="preserve">Агент Яна прибыла на работу с большым опозданием, на 2 часа. Сообщила, что задержалась в офисе по адресу Карла Маркса 114б. </t>
  </si>
  <si>
    <t>Сергеев Дмитрий Андреевич</t>
  </si>
  <si>
    <t>УЛ.ГЕНЕРАЛА ЛИЗЮКОВА 46</t>
  </si>
  <si>
    <t>https://yadi.sk/d/-3zQGlc13TLFsR</t>
  </si>
  <si>
    <t>Тимофеев Илья Владимирович</t>
  </si>
  <si>
    <t>УЛ.ГЕНЕРАЛА ЛИЗЮКОВА 27</t>
  </si>
  <si>
    <t>https://yadi.sk/d/FcaGoAzY3TLFtY</t>
  </si>
  <si>
    <t>Тула</t>
  </si>
  <si>
    <t>Олехнович Дмитрий Денисович</t>
  </si>
  <si>
    <t>ул.Серебровская 16е</t>
  </si>
  <si>
    <t>https://yadi.sk/d/fNON8Wwf3TLHhH</t>
  </si>
  <si>
    <t>У агента отсутствовали рабочие материалы</t>
  </si>
  <si>
    <t xml:space="preserve"> Левобережный Восточная д.3</t>
  </si>
  <si>
    <t>https://yadi.sk/d/iLI882Mz3TLHfa</t>
  </si>
  <si>
    <t>Агент не ответил на звонок</t>
  </si>
  <si>
    <t>Аристов Дмитрий Дмитриевич</t>
  </si>
  <si>
    <t>Перековская 1а</t>
  </si>
  <si>
    <t>https://yadi.sk/d/vdPP7YWq3TLHdz</t>
  </si>
  <si>
    <t>с 18:00 до 21:16</t>
  </si>
  <si>
    <t>Октябрьская 250 корп 2</t>
  </si>
  <si>
    <t>https://yadi.sk/i/himtI6Ah3TLHUb</t>
  </si>
  <si>
    <t>Агент сказал,что закончил работу и находится дома</t>
  </si>
  <si>
    <t>Брянск</t>
  </si>
  <si>
    <t>Мария</t>
  </si>
  <si>
    <t>Брянск Ромашина 37</t>
  </si>
  <si>
    <t>https://yadi.sk/d/4-aYsY3D3TMApL</t>
  </si>
  <si>
    <t>Иван</t>
  </si>
  <si>
    <t>Брянск Ромашина 35</t>
  </si>
  <si>
    <t>https://yadi.sk/i/ji6jpaW53TMAs9</t>
  </si>
  <si>
    <t xml:space="preserve">Агент ответил, что его зовут не Иван. Абонент сообщил,что он является сотрудником Ростелекома, работает на должности инженера. </t>
  </si>
  <si>
    <t>Брянск ул. Флотская д.30</t>
  </si>
  <si>
    <t>https://yadi.sk/d/6xkt0Vdr3TMAd4</t>
  </si>
  <si>
    <t xml:space="preserve">Студенников Максим </t>
  </si>
  <si>
    <t>Симоненкова Ольга</t>
  </si>
  <si>
    <t>Барбатунова Валентина Григорьевна</t>
  </si>
  <si>
    <t xml:space="preserve">Федорова Светлана </t>
  </si>
  <si>
    <t>Гаджиева Карина Сергеевна</t>
  </si>
  <si>
    <t>8(928)266-77-44</t>
  </si>
  <si>
    <t>Родин Владислав Игоревич</t>
  </si>
  <si>
    <t>Бледных Даниил</t>
  </si>
  <si>
    <t>Новиков Станислав Валентинович</t>
  </si>
  <si>
    <t>8(991)347-76-76</t>
  </si>
  <si>
    <t>Точилова Татьяна</t>
  </si>
  <si>
    <t>8(958)569-60-61</t>
  </si>
  <si>
    <t>Кругликов Руслан</t>
  </si>
  <si>
    <t xml:space="preserve">Кожухов Антон </t>
  </si>
  <si>
    <t>8(958)570-70-77</t>
  </si>
  <si>
    <t xml:space="preserve">Шестова Людмила </t>
  </si>
  <si>
    <t>Костомарова Ольга</t>
  </si>
  <si>
    <t>Кузнецов Владимир Николаевич</t>
  </si>
  <si>
    <t>8(958)869-90-90</t>
  </si>
  <si>
    <t>Кравцов Максим</t>
  </si>
  <si>
    <t>Прокофьев Евгений Александрович</t>
  </si>
  <si>
    <t>Пустовар Антон Михайлович</t>
  </si>
  <si>
    <t>Башкирова Елена Игоревна</t>
  </si>
  <si>
    <t>Беляев Олег Александрович</t>
  </si>
  <si>
    <t>Алешин Алексей Юрьевич</t>
  </si>
  <si>
    <t>8(903)644-08-03</t>
  </si>
  <si>
    <t>Тверь</t>
  </si>
  <si>
    <t>15:00-21:00</t>
  </si>
  <si>
    <t>Фурманова ,дом 7;дом 9</t>
  </si>
  <si>
    <t>Агент Елена сообщила нашему контролеру,что подменяла другого агента на Хрустальной улице и уже закончила работу.</t>
  </si>
  <si>
    <t>18:00-21:00</t>
  </si>
  <si>
    <t>Афанасия Никитина,дом 74;дом 80</t>
  </si>
  <si>
    <t>Агент Николай решил самостоятельно сменить адрес работы на ул. Двор Пролетарки,70 ,так как дословно "В этих домах ловить нечего"</t>
  </si>
  <si>
    <t>с 16:30 до 21:00</t>
  </si>
  <si>
    <t>ул. Пирогова, д. 4</t>
  </si>
  <si>
    <t>Телефон недоступен или выключен</t>
  </si>
  <si>
    <t>Бунин Даниил Олегович</t>
  </si>
  <si>
    <t>ул. Электрозаводская, д. 87</t>
  </si>
  <si>
    <t>Агент был недоступен,пришел на адрес вместе с агентом Кристиной(19:00)</t>
  </si>
  <si>
    <t>Медведева Кристина Александровна</t>
  </si>
  <si>
    <t>Наш контролер позвонил агенту Кристине в 18:38,та сообщила что будет через 20-30 минут,агент перезвонила в 18:52 и сообщила,что подходит к адресу,агент был на адресе в 19:00</t>
  </si>
  <si>
    <t>Дрюнин Владимир Сергеевич</t>
  </si>
  <si>
    <t>ул. Большая, д. 102</t>
  </si>
  <si>
    <t>с 18:00 до 20:30</t>
  </si>
  <si>
    <t>Радищева 18</t>
  </si>
  <si>
    <t>Агент работает под именем мамы</t>
  </si>
  <si>
    <t>Звёздная 13</t>
  </si>
  <si>
    <t>Агент не взяла трубку</t>
  </si>
  <si>
    <t>18.00-20.30</t>
  </si>
  <si>
    <t>Студенческая 7</t>
  </si>
  <si>
    <t>Агент сказал,что закончил работу</t>
  </si>
  <si>
    <t>Калуга</t>
  </si>
  <si>
    <t>ул. Грабцевское ш 150</t>
  </si>
  <si>
    <t>https://yadi.sk/i/kKRGxhdV3TPNkP</t>
  </si>
  <si>
    <t>Агент сообщил, что он на больничном и его руководство об этом знает.</t>
  </si>
  <si>
    <t>ул. Грабцевское ш 152</t>
  </si>
  <si>
    <t>https://yadi.sk/d/80hg9QYn3TPNti</t>
  </si>
  <si>
    <t>ул. Грабцевское ш 154</t>
  </si>
  <si>
    <t>https://yadi.sk/d/uaoJWK2y3TPP4X</t>
  </si>
  <si>
    <t>ул. Грабцевское ш 158</t>
  </si>
  <si>
    <t>https://yadi.sk/d/3NBWJ0813TPPBJ</t>
  </si>
  <si>
    <t xml:space="preserve">Иванова Елена </t>
  </si>
  <si>
    <t>Обиходов Николай</t>
  </si>
  <si>
    <t>Кузнецова Ирина Сергеевна</t>
  </si>
  <si>
    <t>Соков Алексей Евгеньевич</t>
  </si>
  <si>
    <t>Мулюкина Алина</t>
  </si>
  <si>
    <t>8(999)764-84-73</t>
  </si>
  <si>
    <t>Новикова Зоя Васильевна</t>
  </si>
  <si>
    <t>Рассоленко Инна Владимировна</t>
  </si>
  <si>
    <t>Бремер Константин</t>
  </si>
  <si>
    <t>Гафиуллина Анна</t>
  </si>
  <si>
    <t>Самсонов Евгений</t>
  </si>
  <si>
    <t>Плешанов Евгений</t>
  </si>
  <si>
    <t>Мериора Денис Павлович</t>
  </si>
  <si>
    <t>Череповский Никита</t>
  </si>
  <si>
    <t>Максимов Наталья</t>
  </si>
  <si>
    <t>Приказная Марина Александровна</t>
  </si>
  <si>
    <t>Космонавтов 10,12</t>
  </si>
  <si>
    <t>Космонавтов 27,28,30</t>
  </si>
  <si>
    <t>Папанина 25, 25к2</t>
  </si>
  <si>
    <t>Садков Николай Андреевич</t>
  </si>
  <si>
    <t>предоставление по запросу</t>
  </si>
  <si>
    <t>Иваново</t>
  </si>
  <si>
    <t>с 17:30 до 21:00</t>
  </si>
  <si>
    <t>ул. Ташкентская 94</t>
  </si>
  <si>
    <t>18:00 до 21:00</t>
  </si>
  <si>
    <t>ул. Кудряшева д.108</t>
  </si>
  <si>
    <t>Проверяющий позвонил агенту Александру,агент ответил,что сейчас общается с клиентом и перезвонит.Через пару минут агент перезвонил,на просьбу выйти из подъезда Александр сказал что плохая связь и ничего не слышит.Далее в течении 10 минут агент не отвечал на звонки или сбрасывал. В 18:54 проверяющий написал смс с простбой выйти из подъезда в течении 7 минут, либо ответить на звонок. В 20:36 агент отправил смс, дословно «телефон заглючил, куда идти?я вышел»</t>
  </si>
  <si>
    <t>Трутнев Дмитрий Павлович</t>
  </si>
  <si>
    <t>с 18.00 до 21:00</t>
  </si>
  <si>
    <t>5-я Коляновская 80</t>
  </si>
  <si>
    <t>5-я Коляновская 78</t>
  </si>
  <si>
    <t>19.25</t>
  </si>
  <si>
    <t>с 18:30 до 19:45</t>
  </si>
  <si>
    <t>Сенько 20</t>
  </si>
  <si>
    <t>https://yadi.sk/d/MOLvDYPb3TRYEB</t>
  </si>
  <si>
    <t>с 19:45 до 20:45</t>
  </si>
  <si>
    <t>Интернациональная 30 Д</t>
  </si>
  <si>
    <t>19:20/19:30</t>
  </si>
  <si>
    <t>https://yadi.sk/d/A7knJBgY3TRYhF</t>
  </si>
  <si>
    <t xml:space="preserve">На данном адресе работают 2 агента, Александр и Элла. </t>
  </si>
  <si>
    <t>Астраханская 1/16</t>
  </si>
  <si>
    <t>https://yadi.sk/i/3IRwLMGJ3TRYbm</t>
  </si>
  <si>
    <t xml:space="preserve">Наш представитель позвонил Элле, агент сообшила, что находится на другом адресе (Интернациональная 30 Д). </t>
  </si>
  <si>
    <t>Сенько, д.26 а корп. 1</t>
  </si>
  <si>
    <t>https://yadi.sk/d/qs3k1u6s3TRY8B</t>
  </si>
  <si>
    <t>Коченков Владислав Алексеевич</t>
  </si>
  <si>
    <t>Давиденко Александр Александрович</t>
  </si>
  <si>
    <t>Ковецкий Евгений Викторович</t>
  </si>
  <si>
    <t>Разин Тимофей Александрович</t>
  </si>
  <si>
    <t>Щербакова Элла Юрьевна</t>
  </si>
  <si>
    <t>Данилин Антон Викторович</t>
  </si>
  <si>
    <t>8-915-888-88-00</t>
  </si>
  <si>
    <t>Носов Сергей Львович</t>
  </si>
  <si>
    <t>8-915-839-84-81</t>
  </si>
  <si>
    <t>Якушенко Владимир Леонидович</t>
  </si>
  <si>
    <t>8-980-688-16-90</t>
  </si>
  <si>
    <t>Латаш Мария Михайловна</t>
  </si>
  <si>
    <t>8-960-513-04-96</t>
  </si>
  <si>
    <t>Белкин Сергей Зиновьевич</t>
  </si>
  <si>
    <t>с 11:00 до 18:00</t>
  </si>
  <si>
    <t>ТЦ Солнечный ул. Конева 2</t>
  </si>
  <si>
    <t>Мерзликин Александр Юрьевич</t>
  </si>
  <si>
    <t>с 17:00 до 18:00</t>
  </si>
  <si>
    <t>ул.Мокроусова 17а</t>
  </si>
  <si>
    <t>с 18:30 до 19:30</t>
  </si>
  <si>
    <t>ул. Первомайская дом 11</t>
  </si>
  <si>
    <t>17:00 ДО 19:00</t>
  </si>
  <si>
    <t>АКАДЕМИКА ПЕТРОВА 14</t>
  </si>
  <si>
    <t>ул.Еременко 36</t>
  </si>
  <si>
    <t xml:space="preserve">Агент не ответил; не брал трубку на протяжении 15 минут,фото было сделано напротив 42 дома,так как у 36 нет таблички </t>
  </si>
  <si>
    <t>Аверин Владислав</t>
  </si>
  <si>
    <t>С 18:00 ДО 20:00</t>
  </si>
  <si>
    <t>НАРВСКАЯ Д.5/1</t>
  </si>
  <si>
    <t>с 18-30:00 до 21:00</t>
  </si>
  <si>
    <t>Переверткина 37</t>
  </si>
  <si>
    <t>https://yadi.sk/d/sj3Y1sdG3TSw3v</t>
  </si>
  <si>
    <t>Переверткина 41</t>
  </si>
  <si>
    <t>https://yadi.sk/d/BcL9cTNj3TSwCP</t>
  </si>
  <si>
    <t>Дмитрий</t>
  </si>
  <si>
    <t>Переверткина 35</t>
  </si>
  <si>
    <t>https://yadi.sk/d/pcd3-sby3TSw53</t>
  </si>
  <si>
    <t>Переверткина 23</t>
  </si>
  <si>
    <t>https://yadi.sk/d/NquIo0ra3TSwBy</t>
  </si>
  <si>
    <t>ул. Революции 12</t>
  </si>
  <si>
    <t>https://yadi.sk/d/7n8-0dxY3TUWkF</t>
  </si>
  <si>
    <t>Агент сообщил, что находится на больничном и он оповестил об этом свое руководство.</t>
  </si>
  <si>
    <t>ул. Серебровская 16в</t>
  </si>
  <si>
    <t>https://yadi.sk/d/8XtVPzig3TUZhT</t>
  </si>
  <si>
    <t>Агент сообщил, что проверка проходила пару дней назад. Сегодня он не работает и в данный момент находится не в городе.</t>
  </si>
  <si>
    <t>Советская 53/2</t>
  </si>
  <si>
    <t>https://yadi.sk/i/3F9Oh-HR3TUfz8</t>
  </si>
  <si>
    <t xml:space="preserve">Ленина 66А  </t>
  </si>
  <si>
    <t>https://yadi.sk/i/cskPMtF43TUbsL</t>
  </si>
  <si>
    <t>Агент сообщил, что находится дома, работу выполнил в первой половине дня.</t>
  </si>
  <si>
    <t>с 18:20 до 21:00</t>
  </si>
  <si>
    <t>УЛ. КОЗУЕВА 66</t>
  </si>
  <si>
    <t>https://yadi.sk/i/OFZT5oIg3TUbMU</t>
  </si>
  <si>
    <t>Агент сообщил, что работает сегодня по улице Боева</t>
  </si>
  <si>
    <t>Б-Р. МИХАЛЕВСКИЙ 11</t>
  </si>
  <si>
    <t>https://yadi.sk/d/CAzJke9D3TUfDh</t>
  </si>
  <si>
    <t>Агент явился на адрес в 19:45</t>
  </si>
  <si>
    <t>Б-Р. МИХАЛЕВСКИЙ 13</t>
  </si>
  <si>
    <t>https://yadi.sk/i/z_3df61W3TUhQW</t>
  </si>
  <si>
    <t>Наш контролер дозванивался до агента в течение 15 минут, после чего агент сообщил, что не находится на данном адресе.</t>
  </si>
  <si>
    <t>Липецк</t>
  </si>
  <si>
    <t>Липецк, Артемова 3</t>
  </si>
  <si>
    <t>https://yadi.sk/d/b-3l_2i23TUfeJ</t>
  </si>
  <si>
    <t>Агент закончил работу по данному адресу. Во время проверки находился у дома по улице Хренникова 5</t>
  </si>
  <si>
    <t>Липецк,Хренникова 6 а</t>
  </si>
  <si>
    <t>https://yadi.sk/d/WWcgN-W-3TUfUu</t>
  </si>
  <si>
    <t>Во время проверки агент находился в офисе</t>
  </si>
  <si>
    <t>Липецк,Доватора 59</t>
  </si>
  <si>
    <t>https://yadi.sk/i/cE01F4T13TUiDE</t>
  </si>
  <si>
    <t>Агент сообщил, что на сегодня он отпросился с работы.</t>
  </si>
  <si>
    <t>18.00-20-00</t>
  </si>
  <si>
    <t>ул. Горького,104</t>
  </si>
  <si>
    <t>Телефон агента был недоступен.</t>
  </si>
  <si>
    <t>Батурина 21</t>
  </si>
  <si>
    <t>Агент Светлана сообщила нашему контролеру,что ходила по Ашану и предлагала пакеты интернета, закончила работу в 18:00.</t>
  </si>
  <si>
    <t>Наумов Алексей</t>
  </si>
  <si>
    <t>с 14:00 до 18:00</t>
  </si>
  <si>
    <t>Речной переулок, д. 6</t>
  </si>
  <si>
    <t>Наш контролер позвонил агенту в 14:55 сообщил,что отъезжал по личному делу и через 10 минут будет снова на адресе.Агент подъехал в 15:13.</t>
  </si>
  <si>
    <t>Гришечко Иван</t>
  </si>
  <si>
    <t>с 14:00 до 17:00</t>
  </si>
  <si>
    <t>ул. 60 Лет Октября, д. 11</t>
  </si>
  <si>
    <t>Агент находился по адресу 6 Орловской девизии. Фото сделано у 13 дома,так как на 11 нет таблички с адресом.</t>
  </si>
  <si>
    <t>с 14.00 до 18.00</t>
  </si>
  <si>
    <t xml:space="preserve"> Кудряшова 113</t>
  </si>
  <si>
    <t>Агент сообщил нашему контролеру,что закончил работу на этом адресе и взял дополнительный по ул.Ермакова,направлялся туда.</t>
  </si>
  <si>
    <t>Кудряшова 100</t>
  </si>
  <si>
    <t>с 17:00 до 19:30</t>
  </si>
  <si>
    <t>ул. Кавалерийская 12 а</t>
  </si>
  <si>
    <t xml:space="preserve">ул. Кавалерийская 12 </t>
  </si>
  <si>
    <t>Агент сообщил нашему контролеру,что по причине плохого самочувствия выйдет на адрес с 19:00-21:00, об этом он предупредил супервайзера.</t>
  </si>
  <si>
    <t>14-00-18-00</t>
  </si>
  <si>
    <t>БРЯНСКОГО ФРОНТА (Г. БРЯНСК) 22 1</t>
  </si>
  <si>
    <t>https://yadi.sk/d/Tr0EWKIm3TWhpX</t>
  </si>
  <si>
    <t>18-00-21-00</t>
  </si>
  <si>
    <t>КУЙБЫШЕВА (Г. БРЯНСК) 99</t>
  </si>
  <si>
    <t>https://yadi.sk/d/tCbt0k_j3TWhru</t>
  </si>
  <si>
    <t>МЕТАЛЛИСТОВ ПЕРЕУЛОК (Г. БРЯНСК) 9</t>
  </si>
  <si>
    <t>https://yadi.sk/i/pJLNpY-s3TWhjX</t>
  </si>
  <si>
    <t>Агента на данном адресе нет. Работал днем. Во время проверки находился на встрече с потенциальными клиентами на дургом адресе.</t>
  </si>
  <si>
    <t>https://yadi.sk/d/wFiTJEuW3TWhqX</t>
  </si>
  <si>
    <t>8(991)316-07-60</t>
  </si>
  <si>
    <t>5 ЛИНИЯ (Г. КАЛУГА) 1 КОРП.2</t>
  </si>
  <si>
    <t>https://yadi.sk/d/g6l_UP0m3TYGzD</t>
  </si>
  <si>
    <t>5 ЛИНИЯ (Г. КАЛУГА) 1 КОРП.3</t>
  </si>
  <si>
    <t>https://yadi.sk/d/NpvdIfHi3TYGy8</t>
  </si>
  <si>
    <t>МОСКОВСКАЯ (Г. КАЛУГА) 311 КОРП.4</t>
  </si>
  <si>
    <t>https://yadi.sk/d/AS2eBuob3TYGoL</t>
  </si>
  <si>
    <t>Телефон Агента Ильи был не доступен. Наш представитель дозванивался в течение 10 минут, затем наш контролер заметил агента Плешанова Евгения, мы его проверяли в прошлую проверку. Агент переходил из подъезда в подъезд. Контролер сфотографировал на данном адресе Евгения.</t>
  </si>
  <si>
    <t>МОСКОВСКАЯ (Г. КАЛУГА) 311 КОРП.3</t>
  </si>
  <si>
    <t>https://yadi.sk/i/PkEG3nmu3TYGnR</t>
  </si>
  <si>
    <t xml:space="preserve">Агент на больничном </t>
  </si>
  <si>
    <t xml:space="preserve">Швецова Валентина Александровна
</t>
  </si>
  <si>
    <t>18.00 - 20.00</t>
  </si>
  <si>
    <t>ул. Батурина 37б</t>
  </si>
  <si>
    <t>У агента нет бейджа,но есть удостоверение</t>
  </si>
  <si>
    <t xml:space="preserve">Староверов Дмитрий Валерьевич
</t>
  </si>
  <si>
    <t>ул. Ставровская 4</t>
  </si>
  <si>
    <t>Пр. Строителей, 24А</t>
  </si>
  <si>
    <t>Агент не брал трубку.</t>
  </si>
  <si>
    <t xml:space="preserve">Филиппова Марианна Валерьевна
</t>
  </si>
  <si>
    <t>Мира 30</t>
  </si>
  <si>
    <t>Николаева д. 85</t>
  </si>
  <si>
    <t>Проверяющий позвонил агенту, Владислав сообщил нашему контролеру,что едет на работу и будет на адресе через час.</t>
  </si>
  <si>
    <t>ул.Еременко,68</t>
  </si>
  <si>
    <t>Головных Людмила</t>
  </si>
  <si>
    <t>ул. Нормандия Неман д. 9</t>
  </si>
  <si>
    <t>Трахнова Вероника</t>
  </si>
  <si>
    <t>ул. Октябрьской революции 20</t>
  </si>
  <si>
    <t>Кравченко Виталий</t>
  </si>
  <si>
    <t>Лучков Артем</t>
  </si>
  <si>
    <t>Ходжаев Никита</t>
  </si>
  <si>
    <t>Набока Владимир Александрович</t>
  </si>
  <si>
    <t>Куликов Антон Владимирович</t>
  </si>
  <si>
    <t xml:space="preserve">Котов Даниил </t>
  </si>
  <si>
    <t>Олехнович Дмитрий</t>
  </si>
  <si>
    <t>Еремеев Сергей</t>
  </si>
  <si>
    <t xml:space="preserve">Кусков Евгений </t>
  </si>
  <si>
    <t>Коноваленко Павел Геннадиевич</t>
  </si>
  <si>
    <t>Мутуляк Артем Игоревич</t>
  </si>
  <si>
    <t>Полянских Владислав Сергеевич</t>
  </si>
  <si>
    <t>Питаев Алексей Витальевич</t>
  </si>
  <si>
    <t>8-958-568-85-28</t>
  </si>
  <si>
    <t>Кузнецова Светлана</t>
  </si>
  <si>
    <t>8(4922)53-16-43</t>
  </si>
  <si>
    <t>Федорова Светлана</t>
  </si>
  <si>
    <t>Гаджиева Карина</t>
  </si>
  <si>
    <t>Шувалов Даниил Дмитриевич</t>
  </si>
  <si>
    <t>Халеев Никита Андреевич</t>
  </si>
  <si>
    <t>Диордица Иван Иванович</t>
  </si>
  <si>
    <t>Литвякова Надежда Сергеевна</t>
  </si>
  <si>
    <t>Абдурахимов Джахонгир Камолджонович</t>
  </si>
  <si>
    <t>Карасёв Андрей Юрьевич</t>
  </si>
  <si>
    <t>Крюков Александр Олегович</t>
  </si>
  <si>
    <t xml:space="preserve">Алешин Алексей Юрьевич </t>
  </si>
  <si>
    <t>Новцев Роман Александрович</t>
  </si>
  <si>
    <t>Никишов Андрей</t>
  </si>
  <si>
    <t>Моргунов Вячеслав</t>
  </si>
  <si>
    <t>Корсунский Илья</t>
  </si>
  <si>
    <t>Полуботко Диана</t>
  </si>
  <si>
    <t>  89109149497</t>
  </si>
  <si>
    <t>АВЕРИН ВЛАДИСЛАВ</t>
  </si>
  <si>
    <t>Михайловская Марина</t>
  </si>
  <si>
    <t>Панина 11к2</t>
  </si>
  <si>
    <t>Панина 14</t>
  </si>
  <si>
    <t>Панина 12</t>
  </si>
  <si>
    <t>Панина 13, 15</t>
  </si>
  <si>
    <t>Общий итог</t>
  </si>
  <si>
    <t>Всего проверено</t>
  </si>
  <si>
    <t>Филиал</t>
  </si>
  <si>
    <t>Дата проверки:</t>
  </si>
  <si>
    <t>Всего агентов проверено</t>
  </si>
  <si>
    <t>ул. Кальная, д. 77</t>
  </si>
  <si>
    <t>Телефон агента был недоступен.В 20:20 позвонил супервайзер нашему проверяющему и сообщил что агент на месте, но из-за рабочих сим карт, которые не ловят сеть в подъездах, не мог ответить на звонок,так как оповещение о звонке пришло, когда агент вышел из подъезда.</t>
  </si>
  <si>
    <t>ш. Касимовское, д.49</t>
  </si>
  <si>
    <t>Агент не отвечал на телефон. В19:30 агент Карина перезвонила нашему проверяющему и сообщила,что работали на этом адресе вчера(19.03), сегодня вместе с вторым агентом Алиной работают на ул.Есенина. Тоже самое сообщил и супервайзер, который позвонил в 20:20, так же супервайзер пооинтересовался, почему проверяющие не звонят супервайзерам, если не дозваниваются до агента.</t>
  </si>
  <si>
    <t>Телефон агента был не доступен.</t>
  </si>
  <si>
    <t>ул. Олимпийский городок, д.1</t>
  </si>
  <si>
    <t>Острогожская 168/5</t>
  </si>
  <si>
    <t>https://yadi.sk/d/dSXaZ73A3TbVHT</t>
  </si>
  <si>
    <t xml:space="preserve">Агент закончил работу по данному адресу и работает по адресу Острогожская 168/7 (дом не существует). Агент сообщил нашему контролеру, что вскоре подойдет к адресу Острогожская 168/5, но к адресу подъехал супервайзер и попросил сфотографировать его, так как агенту Вечелаву долго идти с адреса на адрес. </t>
  </si>
  <si>
    <t>Острогожская 164/1</t>
  </si>
  <si>
    <t>https://yadi.sk/d/DotVJ6Ak3TbVDc</t>
  </si>
  <si>
    <t>ул. Острогожская д 164/2</t>
  </si>
  <si>
    <t>https://yadi.sk/d/tTEZixUQ3TbVG2</t>
  </si>
  <si>
    <t>https://yadi.sk/d/6okc3cDe3TbVF4</t>
  </si>
  <si>
    <t>ул. Стаханова 59</t>
  </si>
  <si>
    <t>https://yadi.sk/d/iLj9r8V_3TbUV7</t>
  </si>
  <si>
    <t>Космонавтов 28</t>
  </si>
  <si>
    <t>https://yadi.sk/d/slFfQoZB3TbUTV</t>
  </si>
  <si>
    <t xml:space="preserve">Номер телефона не существует или набран неправильно. По данному адресу находится магазин "Пятерочка" </t>
  </si>
  <si>
    <t>Седаков Д.А.</t>
  </si>
  <si>
    <t>18.00 - 21.00</t>
  </si>
  <si>
    <t>ул.Тютчева, Лужки</t>
  </si>
  <si>
    <t>ул. 6 Орловской Дивизии, д.25</t>
  </si>
  <si>
    <t>Агент сообшил нашему контролеру,что стоит в пробке и будет на адресе минут через 40.</t>
  </si>
  <si>
    <t>с 16:00 до 21:00</t>
  </si>
  <si>
    <t>ул Веселова 26</t>
  </si>
  <si>
    <t>Агент сообщил,что находит на учебе и на адрес приедет позже.</t>
  </si>
  <si>
    <t>Деникина ЕВ</t>
  </si>
  <si>
    <t>с 16:00 до 20:00</t>
  </si>
  <si>
    <t>ул. Веселова д. 29</t>
  </si>
  <si>
    <t>Агент сообщил,что сегодня не работает.</t>
  </si>
  <si>
    <t>Хромова 27</t>
  </si>
  <si>
    <t>Хромова 27 к1</t>
  </si>
  <si>
    <t>У агента нет бейджа,но есть удостоверение.</t>
  </si>
  <si>
    <t>МЕДВЕДЕВА (Г. БРЯНСК) 65 3</t>
  </si>
  <si>
    <t>https://yadi.sk/d/2g8inQ2E3TdqkX</t>
  </si>
  <si>
    <t xml:space="preserve">На данном адресе нет таблички </t>
  </si>
  <si>
    <t>МОСКОВСКИЙ МИКРОРАЙОН (Г. БРЯНСК) 37</t>
  </si>
  <si>
    <t>https://yadi.sk/d/SWK9sE_C3Tdqb2</t>
  </si>
  <si>
    <t>18-00-20-00</t>
  </si>
  <si>
    <t>https://yadi.sk/d/SVZWknqp3Tdq6C</t>
  </si>
  <si>
    <t>18-30-20-30</t>
  </si>
  <si>
    <t>ул.Красноармейская, д.7</t>
  </si>
  <si>
    <t>https://yadi.sk/d/6IwS1n7o3Tdqth</t>
  </si>
  <si>
    <t xml:space="preserve">Агент работает по другому адресу. На данном адресе будет через 2 часа. </t>
  </si>
  <si>
    <t>Бастионная 2</t>
  </si>
  <si>
    <t>https://yadi.sk/d/3RKldwQy3Tdqye</t>
  </si>
  <si>
    <t>Свободная 16</t>
  </si>
  <si>
    <t>https://yadi.sk/d/s0F5CcOS3TdrQN</t>
  </si>
  <si>
    <t xml:space="preserve">Агент сообщил, что работает по другому адресу, но пойдодет в течение 10 минут. Агент пришел на адрес после 20 минут. </t>
  </si>
  <si>
    <t>Свободная 14</t>
  </si>
  <si>
    <t>https://yadi.sk/d/JuSmYz_K3TdrGk</t>
  </si>
  <si>
    <t>Агент работает по другому адресу - Мичуринский 117</t>
  </si>
  <si>
    <t>Бунин Данил</t>
  </si>
  <si>
    <t>Рюмина Карина</t>
  </si>
  <si>
    <t>Родионова Алина</t>
  </si>
  <si>
    <t xml:space="preserve">Самсонова Мария </t>
  </si>
  <si>
    <t>Жмудь Вячеслав</t>
  </si>
  <si>
    <t>Фролов Николай</t>
  </si>
  <si>
    <t>Куракина Екатерина</t>
  </si>
  <si>
    <t>8-991-323-02-02</t>
  </si>
  <si>
    <t>Мкртчян Артур</t>
  </si>
  <si>
    <t>Строчков Игорь Юрьевич</t>
  </si>
  <si>
    <t>Макаркин Владимир Игоревич</t>
  </si>
  <si>
    <t>8(904)687-72-00</t>
  </si>
  <si>
    <t>Михайлов В.Е.</t>
  </si>
  <si>
    <t xml:space="preserve">Кашкин Святослав </t>
  </si>
  <si>
    <t>Сафонов Брайан</t>
  </si>
  <si>
    <t>Копейкин Андрей</t>
  </si>
  <si>
    <t>8904 004 44 24</t>
  </si>
  <si>
    <t>Надточий Сергей Сергеевич</t>
  </si>
  <si>
    <t>8(919)064-64-98</t>
  </si>
  <si>
    <t>Селиванов Юрий Дмитриевич</t>
  </si>
  <si>
    <t>Чебаевкий Эдуард Георгиевич</t>
  </si>
  <si>
    <t>Пуляев Роман Владимирович</t>
  </si>
  <si>
    <t>Суслина Марина Александровна</t>
  </si>
  <si>
    <t>Брехов Кирилл Романович</t>
  </si>
  <si>
    <t>Михутова Татьяна Михайловна</t>
  </si>
  <si>
    <t>ул.Фокина д.18</t>
  </si>
  <si>
    <t>ул.Пушкина д.11</t>
  </si>
  <si>
    <t>Агент работает по другому адресу - Вяземского 13. По адресу Пушкина на доме нет таблички с адресом.</t>
  </si>
  <si>
    <t xml:space="preserve">Агент работает по другому адресу - Димитрова 67к5. Телефон нашего представителя разрядил на морозе. Фото отчет предоставить нет возможности. </t>
  </si>
  <si>
    <t>Ф.Энгельса д 14</t>
  </si>
  <si>
    <t>https://yadi.sk/d/6JDQ7C_V3TeupR</t>
  </si>
  <si>
    <t>Глинки д 4</t>
  </si>
  <si>
    <t>https://yadi.sk/i/ZRMtHXZ03Tev38</t>
  </si>
  <si>
    <t xml:space="preserve">Агент во время проверки находился дома, сообщил что на адресе был в 18:00. У дома Глинки 4 отсутствует табличка, фотография сделана у адреса напротив Глинки 5. </t>
  </si>
  <si>
    <t>Никитская д.7, Дзержинского д.10</t>
  </si>
  <si>
    <t>https://yadi.sk/i/XG4a166W3TeugW</t>
  </si>
  <si>
    <t>МКР. ДАВЫДОВСКИЙ 1-Й 22</t>
  </si>
  <si>
    <t>https://yadi.sk/d/J10m9zGK3TevLy</t>
  </si>
  <si>
    <t>Владислав</t>
  </si>
  <si>
    <t>МКР. ДАВЫДОВСКИЙ 1-Й 24</t>
  </si>
  <si>
    <t>https://yadi.sk/i/HGXJqxyv3TevSb</t>
  </si>
  <si>
    <t xml:space="preserve">Агент находится на больничном </t>
  </si>
  <si>
    <t>МКР. ДАВЫДОВСКИЙ 1-Й 26</t>
  </si>
  <si>
    <t>https://yadi.sk/d/PR5Wtq5u3Tevny</t>
  </si>
  <si>
    <t>МКР. ДАВЫДОВСКИЙ 1-Й 30</t>
  </si>
  <si>
    <t>https://yadi.sk/d/pt6O78Qg3TevaL</t>
  </si>
  <si>
    <t>ул.Кузнецова д.67</t>
  </si>
  <si>
    <t xml:space="preserve">На звонок ответил супервайзер и сообщил нашему проверяющему,что агент 40 минут назад выехал из офиса и должен быть на адресе. Телефон агент потерял и связи с этим с ним нельзя связаться. </t>
  </si>
  <si>
    <t>ул. Куконуковых 138, 148 а</t>
  </si>
  <si>
    <t>https://yadi.sk/i/sGheiuqw3TftfZ</t>
  </si>
  <si>
    <t>У нашего проверяющего произошли неполадки с телефоном, поэтому с агентом связались по смс. Агент сообщил нашему контролеру, что его отправили в город Тейково по адресу: улица 1-ая нагорная дом 1, на служебной машине. По адресу Куконуковых 138 отсутствует табличка с номером дома, фотография сделана у адреса Куконуковых 130.</t>
  </si>
  <si>
    <t xml:space="preserve">Чеканов Василий </t>
  </si>
  <si>
    <t xml:space="preserve">Ершов Василий </t>
  </si>
  <si>
    <t>Кожухов Антон</t>
  </si>
  <si>
    <t>Румянцев Никита Андреевич</t>
  </si>
  <si>
    <t>Иваненко Игорь Евгеньевич</t>
  </si>
  <si>
    <t>улица 9 января 59</t>
  </si>
  <si>
    <t>https://yadi.sk/d/iBQ7FRJo3Th6fj</t>
  </si>
  <si>
    <t xml:space="preserve">Агент работал по адресу улица 9 Января, 49. Данный дом распроложен не подалеку от заявленного адреса, связи с этим наш представитель направился к дому 49. </t>
  </si>
  <si>
    <t>улица 9 января 278</t>
  </si>
  <si>
    <t>https://yadi.sk/i/UbQyHWLD3Th6eg</t>
  </si>
  <si>
    <t>Агента не было на месте, сообщил, что уже закончил работу, так как начал её раньше.</t>
  </si>
  <si>
    <t>Агент не отвечал на звонки начего контролера.</t>
  </si>
  <si>
    <t>улица 9 января 284</t>
  </si>
  <si>
    <t>https://yadi.sk/d/m_S9Y7cn3Th6dX</t>
  </si>
  <si>
    <t>калужского ополчения 5</t>
  </si>
  <si>
    <t>https://yadi.sk/d/UWPzUc4e3Th7iX</t>
  </si>
  <si>
    <t>калужского ополчения 9</t>
  </si>
  <si>
    <t>https://yadi.sk/i/CW2Djwbv3Th7oA</t>
  </si>
  <si>
    <t>Телефон агента не доступен</t>
  </si>
  <si>
    <t>калужского ополчения 3 корп 1 , 7</t>
  </si>
  <si>
    <t>https://yadi.sk/i/exjJzzQ93Th7kF</t>
  </si>
  <si>
    <t xml:space="preserve">Агент сегодня не работает </t>
  </si>
  <si>
    <t>калужского ополчения 3 корп 2</t>
  </si>
  <si>
    <t>https://yadi.sk/i/SJ-nOHn43Th7n3</t>
  </si>
  <si>
    <t>ул. Верхне-Рославльская д. 13</t>
  </si>
  <si>
    <t>Агент сообщил,что будет на адресе через пол часа.</t>
  </si>
  <si>
    <t>с 18:30 до 20:00</t>
  </si>
  <si>
    <t>ул.Еременко,54</t>
  </si>
  <si>
    <t>Агент сообщил,что находится с своим коллегой Даниилом на адресе ул.Еременко,60. Проверяющий подошел к этому дому и снова позвонил агенту, Андрей сообщил,что спустится через 10 минут, спустя 10 минут наш проверяющий снова позвонил Андрею, тот сообщил что он вместе с Даниилом собирались приехать на адрес к 20:00. На доме не было таблички с адресом, только номер дома. Фото сделано на адресее ул.Маршала Еременко, 60.</t>
  </si>
  <si>
    <t>ул.Еременко,60</t>
  </si>
  <si>
    <t>Агент не ответил на телефон. На доме не было таблички с адресом, только номер дома.</t>
  </si>
  <si>
    <t>Акимов Никита</t>
  </si>
  <si>
    <t>ул. Седова д. 8</t>
  </si>
  <si>
    <t>17:30-20:00</t>
  </si>
  <si>
    <t>п. Эммаус, 25</t>
  </si>
  <si>
    <t>п. Эммаус, 24</t>
  </si>
  <si>
    <t>НЕКРАСОВА (Г. БРЯНСК) 2</t>
  </si>
  <si>
    <t>https://yadi.sk/d/HgoaOYaG3TiVAc</t>
  </si>
  <si>
    <t>19-00-21-00</t>
  </si>
  <si>
    <t>ул.Мининская д.50</t>
  </si>
  <si>
    <t>https://yadi.sk/d/T4-lB86x3TjTA7</t>
  </si>
  <si>
    <t>Агент находится на больничном</t>
  </si>
  <si>
    <t>12:30 до 15:00</t>
  </si>
  <si>
    <t>Артемова 3</t>
  </si>
  <si>
    <t>https://yadi.sk/d/OMVJ9NFz3TiTnr</t>
  </si>
  <si>
    <t>Космонавтов 26</t>
  </si>
  <si>
    <t>https://yadi.sk/i/YpQLovno3TiUQ5</t>
  </si>
  <si>
    <t xml:space="preserve">Агент работает по адресу Артемова 7. У дома Космонавтов 26 нет таблички с адресом, фотография  сделана у ближе стоящего дома, где есть табличка. </t>
  </si>
  <si>
    <t>Александр</t>
  </si>
  <si>
    <t>18.30-20.30</t>
  </si>
  <si>
    <t>Агент сообщил,что едет на адрес и приедет минут через 30.</t>
  </si>
  <si>
    <t>Татьяна</t>
  </si>
  <si>
    <t>В. Клыкова 70</t>
  </si>
  <si>
    <t>Агент сообщила, что работала по адресу В.Клыкова,45. Работу закончила и находится уже дома. Фото сделано на адресе, где работал агент.</t>
  </si>
  <si>
    <t>% присутствующих агентов на рабочих адресах</t>
  </si>
  <si>
    <t>ФИО</t>
  </si>
  <si>
    <t xml:space="preserve">Кол-во </t>
  </si>
  <si>
    <t>Беляев Анатолий</t>
  </si>
  <si>
    <t>Ролдугин Олег</t>
  </si>
  <si>
    <t>Гребенщиков Иван</t>
  </si>
  <si>
    <t>8 (980)537-07-82</t>
  </si>
  <si>
    <t>Башкирова Елена</t>
  </si>
  <si>
    <t>Москалев Даниил</t>
  </si>
  <si>
    <t>Магомедов Тимур</t>
  </si>
  <si>
    <t>Ломаков Андрей Сергеевич</t>
  </si>
  <si>
    <t>Кузора Максим Сергеевич</t>
  </si>
  <si>
    <t>Полянских Владислав</t>
  </si>
  <si>
    <t>мкр. Рождественский 8</t>
  </si>
  <si>
    <t xml:space="preserve"> ул. Диановых 13</t>
  </si>
  <si>
    <t>ул.Владимирская д.22</t>
  </si>
  <si>
    <t xml:space="preserve">Калуга </t>
  </si>
  <si>
    <t>сиреневый бульвар 4</t>
  </si>
  <si>
    <t>https://yadi.sk/i/pOB2PbGL3To3bt</t>
  </si>
  <si>
    <t xml:space="preserve">Телефон агента выключен. </t>
  </si>
  <si>
    <t>сиреневый бульвар 18,2</t>
  </si>
  <si>
    <t>https://yadi.sk/d/oZw2dO2u3To3Uw</t>
  </si>
  <si>
    <t>Московская 225</t>
  </si>
  <si>
    <t>https://yadi.sk/i/KO4rLzji3To3YU</t>
  </si>
  <si>
    <t xml:space="preserve">Агент поднял трубку от нашего контролера, но в ответ тишина. Наш представитель пытался дозваниваться до агента в течение 10 минут гудки были, в дальнейшем телефон агента был выключен </t>
  </si>
  <si>
    <t>Чичерина 1 к 5</t>
  </si>
  <si>
    <t>https://yadi.sk/d/q8zL9doE3To3W3</t>
  </si>
  <si>
    <t>Авиационная 137/2</t>
  </si>
  <si>
    <t>https://yadi.sk/d/oKvOI_aB3To2q5</t>
  </si>
  <si>
    <t>Полынковская 68</t>
  </si>
  <si>
    <t>https://yadi.sk/i/JRh7zAQa3To2uR</t>
  </si>
  <si>
    <t xml:space="preserve">Агент сообщил, что работать сегодня не может. </t>
  </si>
  <si>
    <t>Магистральная,д.4</t>
  </si>
  <si>
    <t>https://yadi.sk/i/HaMA85pA3To2wH</t>
  </si>
  <si>
    <t xml:space="preserve">На звонок нашего контролера ответил сын агента Надежды, он сообщил, что попробует узнать где она находится. Наш контролер перезвонил через 10 минут, сын Надежды сказал, что он работает на данном адресе и будет на нем через 15 минут. </t>
  </si>
  <si>
    <t>Свободная,д. 4 корп.7 стр 2</t>
  </si>
  <si>
    <t>https://yadi.sk/i/nOkCXDlg3To2tn</t>
  </si>
  <si>
    <t>Агент сообщил, что отошел по личным делам, сегодня работать больше не будет</t>
  </si>
  <si>
    <t>18:00 - 19:30</t>
  </si>
  <si>
    <t>Народный бульвар д.101</t>
  </si>
  <si>
    <t>19:00 - 20:00</t>
  </si>
  <si>
    <t>Губкина 44в</t>
  </si>
  <si>
    <t>Агент сообщил,что стоит в пробке,будет на адресе через 30 минут</t>
  </si>
  <si>
    <t>Чистяков Егор Евгеньевич</t>
  </si>
  <si>
    <t>Бульвар Юности 39</t>
  </si>
  <si>
    <t>Костюкова 71</t>
  </si>
  <si>
    <t>Штыковая 41,45</t>
  </si>
  <si>
    <t>https://yadi.sk/d/OX9rxGdc3TpvoM</t>
  </si>
  <si>
    <t>Октябрьская 203,205,</t>
  </si>
  <si>
    <t>https://yadi.sk/d/PAYkEEfJ3Tpvp2</t>
  </si>
  <si>
    <t>ул. Никитская д. 60</t>
  </si>
  <si>
    <t>https://yadi.sk/i/PDaUMxD93TpvLV</t>
  </si>
  <si>
    <t xml:space="preserve">Агент сообщил, что на данный момент занят и не может встретится с нашим представителем. </t>
  </si>
  <si>
    <t>ш. Кинешемское д. 15</t>
  </si>
  <si>
    <t>https://yadi.sk/i/kes0aLWF3TpvN3</t>
  </si>
  <si>
    <t>Телефон агента выключен</t>
  </si>
  <si>
    <t>ул. Коммунальная д. 30</t>
  </si>
  <si>
    <t>https://yadi.sk/i/O6ofcs0f3TpvKC</t>
  </si>
  <si>
    <t>Агент не отвечал на звонки</t>
  </si>
  <si>
    <t>ул. Коммунальная д. 15А</t>
  </si>
  <si>
    <t>https://yadi.sk/d/Qnu4LkyE3TpvVz</t>
  </si>
  <si>
    <t>Липецк. Пр. Победы 79</t>
  </si>
  <si>
    <t>https://yadi.sk/i/KgH333iI3TpwZM</t>
  </si>
  <si>
    <t xml:space="preserve">Агент сообщила, что осталась работать в офисе </t>
  </si>
  <si>
    <t>Липецк.Пр.Победы 73</t>
  </si>
  <si>
    <t>https://yadi.sk/i/xwevrbJY3TpwWu</t>
  </si>
  <si>
    <t xml:space="preserve">Агент работает по другому адресу </t>
  </si>
  <si>
    <t>Липецк.Пр.Победы 75</t>
  </si>
  <si>
    <t>https://yadi.sk/i/3QLNNaW83TpwYi</t>
  </si>
  <si>
    <t>На звонок нашего представителя ответила девушка, сообщила, что не знает Максима.</t>
  </si>
  <si>
    <t>Липецк.Семашко 21</t>
  </si>
  <si>
    <t>https://yadi.sk/i/kyTNTVVz3TpwYC</t>
  </si>
  <si>
    <t xml:space="preserve">Агент Марина уволилась. </t>
  </si>
  <si>
    <t>ВИТЕБСКОЕ Ш. Д. 54</t>
  </si>
  <si>
    <t>Агент находился на основной работе,ехать на адрес сегодня не собирался</t>
  </si>
  <si>
    <t>ул. Кутузова 3А</t>
  </si>
  <si>
    <t>Агент сообщил,что на этом адресе будет работать 30.03.</t>
  </si>
  <si>
    <t>ул. Ново-Рославльская д. 7</t>
  </si>
  <si>
    <t>Агент закончил работу.</t>
  </si>
  <si>
    <t>ул. Николаева д. 42</t>
  </si>
  <si>
    <t>Фото сделано на адресе Черняховского,2.</t>
  </si>
  <si>
    <t>ул.Луначарского 3</t>
  </si>
  <si>
    <t>Агент сообщил,что будет на адресе в 19:00.</t>
  </si>
  <si>
    <t>16:00 -20:00</t>
  </si>
  <si>
    <t>Георгия Димитрова 56</t>
  </si>
  <si>
    <t>Агент сообщил,что работал до обеда.</t>
  </si>
  <si>
    <t>с 17:40 до 20:00</t>
  </si>
  <si>
    <t>Цанова б-р 11к1</t>
  </si>
  <si>
    <t>ЗЕЛЕНЫЙ ПРОЕЗД д.45 к7</t>
  </si>
  <si>
    <t>Агент сообщил,что будет на адресе минут через 30-40.</t>
  </si>
  <si>
    <t>ул. Лизы Чайкиной, д.4</t>
  </si>
  <si>
    <t>Ул. Большая, д. 102, д. 102к1</t>
  </si>
  <si>
    <t>Агент сказала, что спускается, наш проверяющий ждал агента 15 минут, далее телефон агента был занят и на протяжении 15 минут с агентом не удалось связаться.</t>
  </si>
  <si>
    <t>Шишкова 107</t>
  </si>
  <si>
    <t>https://yadi.sk/i/IEq1eS9Y3TryaK</t>
  </si>
  <si>
    <t xml:space="preserve">Агент работает в офисе </t>
  </si>
  <si>
    <t>Шишкова 75</t>
  </si>
  <si>
    <t>https://yadi.sk/d/O4ib6kPS3TryYr</t>
  </si>
  <si>
    <t>Гребенщиков</t>
  </si>
  <si>
    <t>Шишкова 95</t>
  </si>
  <si>
    <t>https://yadi.sk/d/aeSaEi4F3TryZG</t>
  </si>
  <si>
    <t xml:space="preserve">Агент не сможет выйти на работу сегодня и завтра. </t>
  </si>
  <si>
    <t>Беговая 2/1</t>
  </si>
  <si>
    <t>https://yadi.sk/i/joQPRy7m3TryZh</t>
  </si>
  <si>
    <t>Орлов Антон Павлович</t>
  </si>
  <si>
    <t xml:space="preserve">Магомедов Тимур </t>
  </si>
  <si>
    <t>Фольман Александр Александрович</t>
  </si>
  <si>
    <t>8(920)696-87-74</t>
  </si>
  <si>
    <t>8(915)741-79-34</t>
  </si>
  <si>
    <t>Воржева Вера Сергеевна</t>
  </si>
  <si>
    <t>Кустов Вадим Витальевич</t>
  </si>
  <si>
    <t>Бурденко Максим Вячеславович</t>
  </si>
  <si>
    <t>Викулина Марина Сергеевна</t>
  </si>
  <si>
    <t>Челюбеев Павел Леонидович</t>
  </si>
  <si>
    <t>8-920-541-04-66</t>
  </si>
  <si>
    <t>Зыков Даниил Николаевич</t>
  </si>
  <si>
    <t>Титовский Егор Эдуардович</t>
  </si>
  <si>
    <t>Чебаевский Эдуард Георгиевич</t>
  </si>
  <si>
    <t>Голутвин Евгений</t>
  </si>
  <si>
    <t>Колыхалова Надежда Анатольевна</t>
  </si>
  <si>
    <t>Хабаров Иван Иванович</t>
  </si>
  <si>
    <t>Мурачев Максим Александрович</t>
  </si>
  <si>
    <t>Бородина С.Г.</t>
  </si>
  <si>
    <t>Ли Виктория</t>
  </si>
  <si>
    <t>Половнева Н.М.</t>
  </si>
  <si>
    <t>8(908)780-75-68</t>
  </si>
  <si>
    <t>Полетаев Александр</t>
  </si>
  <si>
    <t>Великих Александр</t>
  </si>
  <si>
    <t>Сизов Леонид Алексеевич</t>
  </si>
  <si>
    <t>Заева Александра Александровна</t>
  </si>
  <si>
    <t>Богданова Лина Андреевна</t>
  </si>
  <si>
    <t>Цюпак Михаил Владимирович</t>
  </si>
  <si>
    <t>ГУРКО КИРИЛЛ</t>
  </si>
  <si>
    <t>МИХАЙЛОВСКАЯ МАРИНА</t>
  </si>
  <si>
    <t>Гусев Тимофей Сергеевич</t>
  </si>
  <si>
    <t>Якубинский Лев Геннадьевич</t>
  </si>
  <si>
    <t>Лелецкий Михаил Павлович</t>
  </si>
  <si>
    <t>Башкирова Е.И.</t>
  </si>
  <si>
    <t>Максимов Даниил</t>
  </si>
  <si>
    <t>Баумана 333/17</t>
  </si>
  <si>
    <t>https://yadi.sk/i/c-zs6kz83TuQWk</t>
  </si>
  <si>
    <t>Агент закончил работу</t>
  </si>
  <si>
    <t>Огнева 4/1</t>
  </si>
  <si>
    <t>https://yadi.sk/d/pxtM4Dtm3TuQUU</t>
  </si>
  <si>
    <t>Бехтеева 5</t>
  </si>
  <si>
    <t>https://yadi.sk/i/Zwe4CGso3TuQYU</t>
  </si>
  <si>
    <t xml:space="preserve">Агент работает по другому адресу. </t>
  </si>
  <si>
    <t>Папина 35</t>
  </si>
  <si>
    <t>https://yadi.sk/i/D5HjYL9o3TuQZy</t>
  </si>
  <si>
    <t>ПОБЕДЫ 4</t>
  </si>
  <si>
    <t>https://yadi.sk/i/0pxazrkV3TuRVt</t>
  </si>
  <si>
    <t>Агент больше не работает в Ростелекоме</t>
  </si>
  <si>
    <t>ПЕНЗЕНСКАЯ 20</t>
  </si>
  <si>
    <t>https://yadi.sk/d/nQfambwM3TuQz5</t>
  </si>
  <si>
    <t xml:space="preserve">Агент работал по адресу Куйбышева 10. </t>
  </si>
  <si>
    <t>Свободная,д. 4 корп. 3</t>
  </si>
  <si>
    <t>https://yadi.sk/i/PW-aYz_13TuRYG</t>
  </si>
  <si>
    <t>Агент в течение 15 минут не брал трубку</t>
  </si>
  <si>
    <t>С 18:45 до 19:45</t>
  </si>
  <si>
    <t>Сергеева-Ценского 12 к.1</t>
  </si>
  <si>
    <t>https://yadi.sk/d/NkGwFUfX3TuRHp</t>
  </si>
  <si>
    <t>https://yadi.sk/d/7u1F-Rw_3TuTnX</t>
  </si>
  <si>
    <t>УРАЛЬСКИЙ ПЕРЕУЛОК 10/1</t>
  </si>
  <si>
    <t>https://yadi.sk/d/_GZ83SLp3TuT97</t>
  </si>
  <si>
    <t>На адресе нет таблички</t>
  </si>
  <si>
    <t>https://yadi.sk/d/GkYf9Xvj3TuTEY</t>
  </si>
  <si>
    <t>На адресе нет таблички. Работает агент Ломаков Андрей</t>
  </si>
  <si>
    <t>НОВО-ДЗЕРЖИНСКИЙ ПРОЕЗД 43</t>
  </si>
  <si>
    <t>https://yadi.sk/d/5pOexGek3TuTYo</t>
  </si>
  <si>
    <t>Работает агент Крюков Александр</t>
  </si>
  <si>
    <t>Козадеров Даниил Павлович</t>
  </si>
  <si>
    <t>Строчков Игорь</t>
  </si>
  <si>
    <t>Роман Кузин</t>
  </si>
  <si>
    <t>Абраменков Максим Николаевич</t>
  </si>
  <si>
    <t>Гагарина 32</t>
  </si>
  <si>
    <t>Гагарина 41</t>
  </si>
  <si>
    <t>Гагарина 45</t>
  </si>
  <si>
    <t>Кривова 41,43</t>
  </si>
  <si>
    <t>Проваленов Алексей</t>
  </si>
  <si>
    <t>17.00-18.00</t>
  </si>
  <si>
    <t>Комсомольская,310/1</t>
  </si>
  <si>
    <t>Гридина Анна</t>
  </si>
  <si>
    <t>Советская 12</t>
  </si>
  <si>
    <t>Степанова Валерия</t>
  </si>
  <si>
    <t>Вовченко Александр</t>
  </si>
  <si>
    <t>Чеглакова Софья</t>
  </si>
  <si>
    <t>19:30-21:00</t>
  </si>
  <si>
    <t>К. Маркса 76/4</t>
  </si>
  <si>
    <t>Агент сообщил, что закончил проверку в 19:00. Фото сделано на адресе К. Маркса, 76.</t>
  </si>
  <si>
    <t>Сергей</t>
  </si>
  <si>
    <t>17.00-18.30</t>
  </si>
  <si>
    <t>Ленина, 14,</t>
  </si>
  <si>
    <t>Номер не доступен. Срабатывает автоответчик.</t>
  </si>
  <si>
    <t>Никишева Яна Владимировна</t>
  </si>
  <si>
    <t>18.00-20.00</t>
  </si>
  <si>
    <t>Жуковского 22</t>
  </si>
  <si>
    <t>Светлана</t>
  </si>
  <si>
    <t>Добросельская 189А</t>
  </si>
  <si>
    <t>Номер не Светланы, ответила агент  Наталья, сообщила что работает  в юрьев-польском.</t>
  </si>
  <si>
    <t>Филиппова Марианна Валерьевна</t>
  </si>
  <si>
    <t>19.20-20.00</t>
  </si>
  <si>
    <t>Судогодское шоссе, 23</t>
  </si>
  <si>
    <t>Вячеслав</t>
  </si>
  <si>
    <t>Спартака 9</t>
  </si>
  <si>
    <t>https://yadi.sk/d/0cKobZas3TwNK9</t>
  </si>
  <si>
    <t>Генерала попова 8</t>
  </si>
  <si>
    <t>https://yadi.sk/i/PdLv05vk3TwNH9</t>
  </si>
  <si>
    <t xml:space="preserve">Агент не отвечал на звонки </t>
  </si>
  <si>
    <t>Никита</t>
  </si>
  <si>
    <t>Спартака 11</t>
  </si>
  <si>
    <t>https://yadi.sk/d/dk89RyD43TwNJ2</t>
  </si>
  <si>
    <t>Виктор</t>
  </si>
  <si>
    <t>Спартака 5</t>
  </si>
  <si>
    <t>https://yadi.sk/d/7EWsUYFJ3TwNJg</t>
  </si>
  <si>
    <t>с 13.00 до 16:00</t>
  </si>
  <si>
    <t>Ташкентская 5</t>
  </si>
  <si>
    <t>Валентина</t>
  </si>
  <si>
    <t>14:00-17:00</t>
  </si>
  <si>
    <t>Лежневская 142</t>
  </si>
  <si>
    <t>Фото сделано на адресе ул. Лежневская, 148</t>
  </si>
  <si>
    <t>Ирина</t>
  </si>
  <si>
    <t>Даниил</t>
  </si>
  <si>
    <t>с 18.00 до 20:45</t>
  </si>
  <si>
    <t>Ташкентская 60</t>
  </si>
  <si>
    <t>Агент сообщил, что предупреждал своего супервайзера о том, что сегодня не работает.</t>
  </si>
  <si>
    <t xml:space="preserve">Тула </t>
  </si>
  <si>
    <t>Пызгарев Алексей</t>
  </si>
  <si>
    <t>Пузакова д.74</t>
  </si>
  <si>
    <t>https://yadi.sk/d/Jp8AUQZO3Twgjm</t>
  </si>
  <si>
    <t>Игорь</t>
  </si>
  <si>
    <t>ул. Фестивальная д. 30</t>
  </si>
  <si>
    <t>https://yadi.sk/d/zh8HgAoz3Twkir</t>
  </si>
  <si>
    <t>Юлия</t>
  </si>
  <si>
    <t>ул. Самоковская, д. 2</t>
  </si>
  <si>
    <t>https://yadi.sk/d/9p5Rw5Bf3Twkz4</t>
  </si>
  <si>
    <t xml:space="preserve">Руководитель агента Юлии попросил её сфотографировать нашего представителя напротив дома. </t>
  </si>
  <si>
    <t>ул. Профсоюзная д. 26</t>
  </si>
  <si>
    <t>https://yadi.sk/d/1y3ZBpAT3TwkiE</t>
  </si>
  <si>
    <t>15:00-19:00</t>
  </si>
  <si>
    <t>Лужки</t>
  </si>
  <si>
    <t>Агент сообщил, что находится дома. Фото сделано по адресу ул. Дружбы, 2.</t>
  </si>
  <si>
    <t>17.00-20.00</t>
  </si>
  <si>
    <t>Лужки ул. Дружбы</t>
  </si>
  <si>
    <t>Агент сообщил, что завершил работу минут 30-40 минут назад и уже едет домой. Фото сделано на адресе ул. Дружбы, 1.</t>
  </si>
  <si>
    <t>17:00-19:00</t>
  </si>
  <si>
    <t>Цанова б-р д.23</t>
  </si>
  <si>
    <t>16:00-19:00</t>
  </si>
  <si>
    <t>Бульвар Энтузиастов 28а</t>
  </si>
  <si>
    <t>https://yadi.sk/d/why5WpHA3TypEW</t>
  </si>
  <si>
    <t>Рылеева 90</t>
  </si>
  <si>
    <t>https://yadi.sk/d/AGtwBMVr3TypFo</t>
  </si>
  <si>
    <t>Генерала Глазкова 9</t>
  </si>
  <si>
    <t>https://yadi.sk/d/2fTm8DT93TypF6</t>
  </si>
  <si>
    <t>Профсоюзная 44</t>
  </si>
  <si>
    <t>https://yadi.sk/d/f1VfC2L23U2PXP</t>
  </si>
  <si>
    <t>Северной правды 27</t>
  </si>
  <si>
    <t>https://yadi.sk/d/BD1R0RBJ3U2PZR</t>
  </si>
  <si>
    <t>Волжская 20</t>
  </si>
  <si>
    <t>https://yadi.sk/i/SPSG1HnQ3U2Pbx</t>
  </si>
  <si>
    <t xml:space="preserve">Агент работает на ул. Профсоюзная. Супервайзеру информацию передали. </t>
  </si>
  <si>
    <t>Трофимов Дмитрий Александрович</t>
  </si>
  <si>
    <t>Волжская 18</t>
  </si>
  <si>
    <t>https://yadi.sk/i/iC3f8uyr3U2Paw</t>
  </si>
  <si>
    <t xml:space="preserve">Агент не отвечает на звонки. Супервайзеру информацию передали. </t>
  </si>
  <si>
    <t>Белгород</t>
  </si>
  <si>
    <t>Чумаков Роман Эдуардович</t>
  </si>
  <si>
    <t>с 19:00 до 20:00</t>
  </si>
  <si>
    <t>Садовая 47</t>
  </si>
  <si>
    <t>Мурачев Максим Сергеевич</t>
  </si>
  <si>
    <t>Гражданский пр. 5</t>
  </si>
  <si>
    <t>ул.Б.Хмельницкого 44</t>
  </si>
  <si>
    <t>Агент находился на адресе ул.Б. Хмельницкого, 58.</t>
  </si>
  <si>
    <t>ул.Б.Хмельницкого 28</t>
  </si>
  <si>
    <t>с 18.00 до 20:30</t>
  </si>
  <si>
    <t>Кавалерийская, 42</t>
  </si>
  <si>
    <t>Агент находился на адресе Кавалериейская, 46</t>
  </si>
  <si>
    <t>Фотосделано на адресе Кавалерийска, 52.</t>
  </si>
  <si>
    <t>18.00-21.00</t>
  </si>
  <si>
    <t>ул. Кутузова 3</t>
  </si>
  <si>
    <t>Агент не брал трубку. Супервайзеру сообщили.</t>
  </si>
  <si>
    <t>ул. Кутузова 1</t>
  </si>
  <si>
    <t>Агент не брал трубку. Супервайзеру сообщили. Фото сделано на адресе ул.Кутузова, 3, поадресу ул. Кутузова, 1 нет таблички.</t>
  </si>
  <si>
    <t>ул. Николаева д. 15</t>
  </si>
  <si>
    <t>Агент сообщил, что будет на адресе через 20 минут. Супервайзеру сообщили.</t>
  </si>
  <si>
    <t>ул. Тенишевой д. 27</t>
  </si>
  <si>
    <t>Агент не брал трубку. Супервайзер сообщил,что тоже не может дозвониться до агента.</t>
  </si>
  <si>
    <t>Фомушина 2</t>
  </si>
  <si>
    <t>https://yadi.sk/d/SKvJvako3U4rHb</t>
  </si>
  <si>
    <t>Гурьянова 69 корп.1</t>
  </si>
  <si>
    <t>https://yadi.sk/d/3WuoN4_o3U4r5T</t>
  </si>
  <si>
    <t>Фомушина 6</t>
  </si>
  <si>
    <t>https://yadi.sk/d/mDU4oLr03U4rLL</t>
  </si>
  <si>
    <t>Михалевский пер 30, Гурьянова 59 корп1</t>
  </si>
  <si>
    <t>https://yadi.sk/d/AzjQvgT73U4r6E</t>
  </si>
  <si>
    <t>Шишкова 144б</t>
  </si>
  <si>
    <t>https://yadi.sk/d/NTErpEzL3U4qZ8</t>
  </si>
  <si>
    <t>Московский 120</t>
  </si>
  <si>
    <t>https://yadi.sk/d/72GPCmMK3U4qRx</t>
  </si>
  <si>
    <t>Агент находится на больничном, супервазер подтвердил</t>
  </si>
  <si>
    <t>Шишкова 144</t>
  </si>
  <si>
    <t>https://yadi.sk/d/1wVP9JwH3U4qYb</t>
  </si>
  <si>
    <t>Московский 122</t>
  </si>
  <si>
    <t>https://yadi.sk/d/o56PRx1q3U4qSc</t>
  </si>
  <si>
    <t>18.30-20.31</t>
  </si>
  <si>
    <t>Косухина 29, 29А</t>
  </si>
  <si>
    <t xml:space="preserve">Во время проверки супервайзер был на адресе и сообщил, что агент предупредил заранее, что работать не будет. </t>
  </si>
  <si>
    <t>Голованчикова Мария Михайловна</t>
  </si>
  <si>
    <t>ул. Московская, д. 6</t>
  </si>
  <si>
    <t>https://yadi.sk/d/-TGb1fUa3U7WLf</t>
  </si>
  <si>
    <t>Мулюкина Алина Витальевна</t>
  </si>
  <si>
    <t>ул.Введенская д.80</t>
  </si>
  <si>
    <t>Виктория Круду Фёдоровна</t>
  </si>
  <si>
    <t>ул. Полевая, д. 80</t>
  </si>
  <si>
    <t>Мишина Татьяна Владимировна</t>
  </si>
  <si>
    <t>Мира 38</t>
  </si>
  <si>
    <t>https://yadi.sk/i/hvvzOJls3U7Sp7</t>
  </si>
  <si>
    <t xml:space="preserve">Агент закончил работу </t>
  </si>
  <si>
    <t>16:00-21:00</t>
  </si>
  <si>
    <t>Б.Хмельницкого 1а, 2, 4, 6</t>
  </si>
  <si>
    <t>https://yadi.sk/d/NXlUZPJE3U7Smx</t>
  </si>
  <si>
    <t>Агент работал по адресу Б.Хмельницкого 10</t>
  </si>
  <si>
    <t>18:30-21:00</t>
  </si>
  <si>
    <t>МОСКОВСКАЯ (Г. ЛИПЕЦК) 103</t>
  </si>
  <si>
    <t>https://yadi.sk/d/XkJvPAsJ3U7Snm</t>
  </si>
  <si>
    <t>Фото сделано напротив дома Московская 105, так как на заявленном доме нет таблички</t>
  </si>
  <si>
    <t>Осенний проезд 8</t>
  </si>
  <si>
    <t>https://yadi.sk/i/oJySXhEZ3U7SqS</t>
  </si>
  <si>
    <t>Агент работает по адресу Энерго Строителей 5</t>
  </si>
  <si>
    <t>ул. Никитина д.8</t>
  </si>
  <si>
    <t>https://yadi.sk/d/UK3KEhAY3U7TbV</t>
  </si>
  <si>
    <t>ул. Фокина д.49</t>
  </si>
  <si>
    <t>https://yadi.sk/d/7RNPQ0UU3U7TcM</t>
  </si>
  <si>
    <t>ЛИТВИНОВА ПЕРЕУЛОК (Г. БРЯНСК) 3А</t>
  </si>
  <si>
    <t>https://yadi.sk/d/sDWiExO83U7TTR</t>
  </si>
  <si>
    <t>https://yadi.sk/d/4UPVbGwU3U7TRJ</t>
  </si>
  <si>
    <t>Гаджиева К.С.</t>
  </si>
  <si>
    <t>Федорова С. В.</t>
  </si>
  <si>
    <t>Казначеев Виталий</t>
  </si>
  <si>
    <t>Желябин Иван</t>
  </si>
  <si>
    <t>Колыхалов Николай Валерьевич</t>
  </si>
  <si>
    <t>Колобаев Евгений Алексадрович</t>
  </si>
  <si>
    <t>Аристова Юлия Михайловна</t>
  </si>
  <si>
    <t>Шипков Рустам Садыкович</t>
  </si>
  <si>
    <t>8(910)198-45-36</t>
  </si>
  <si>
    <t>Селиверстова Ирина Алимовна</t>
  </si>
  <si>
    <t>Голубков Никита</t>
  </si>
  <si>
    <t>Комарова Мария</t>
  </si>
  <si>
    <t>Степкина Янна</t>
  </si>
  <si>
    <t>Гафиуллина А.С.</t>
  </si>
  <si>
    <t>Егупов Вячеслав</t>
  </si>
  <si>
    <t>Косенков Дмитрий</t>
  </si>
  <si>
    <t>Симонова Светлана Александровна</t>
  </si>
  <si>
    <t>Омарова Аминат Гусейновна</t>
  </si>
  <si>
    <t>8-900-593-90-66</t>
  </si>
  <si>
    <t>Обухов Денис Максимович</t>
  </si>
  <si>
    <t>Гражданская 6</t>
  </si>
  <si>
    <t>Комарова 10,7</t>
  </si>
  <si>
    <t>Громова 6, 16</t>
  </si>
  <si>
    <t>Громова 56, 56к2</t>
  </si>
  <si>
    <t>Громова 46, 46к2, 48</t>
  </si>
  <si>
    <t>+7 (980) 740 37 07</t>
  </si>
  <si>
    <t>Клюваев Никита</t>
  </si>
  <si>
    <t>18:00-19:00</t>
  </si>
  <si>
    <t>ул.Комсомольская,д.310/1</t>
  </si>
  <si>
    <t>У агента закончились материалы.</t>
  </si>
  <si>
    <t>Панарин Антон</t>
  </si>
  <si>
    <t>18:00-20:00</t>
  </si>
  <si>
    <t>Латышских Стрелков, д. 16</t>
  </si>
  <si>
    <t>КРАСНАЯ СЛОБОДА 1-Й ПЕРЕУЛОК (Г. ТВЕРЬ) 7 /1</t>
  </si>
  <si>
    <t>Цанова 33</t>
  </si>
  <si>
    <t>Агент сообщил нащему проверяющему, что начал работу в 16:00 на адресе ул. Циановая, 15, работу закончил и уже уехал. Супервайзер получил от нас информацию.</t>
  </si>
  <si>
    <t>Цанова 1</t>
  </si>
  <si>
    <t>Агент сообщил нащему проверяющему, что начал работу в 16:00 на адресе ул. Циановая, 29, работу закончил и уже уехал. Супервайзер получил от нас информацию.</t>
  </si>
  <si>
    <t>Перекопский городок 22</t>
  </si>
  <si>
    <t>Агент сообщил, что находится на  Верхней дуброве. Супервайзер не отвечал на телефон.</t>
  </si>
  <si>
    <t>Соколова-Соколенка 24</t>
  </si>
  <si>
    <t>Агент сообщил, что находится на больничном. Супервайзер не отвечал на телефон.</t>
  </si>
  <si>
    <t>Комиссарова 1</t>
  </si>
  <si>
    <t>Уланов Данила</t>
  </si>
  <si>
    <t>Швецов Андрей</t>
  </si>
  <si>
    <t>Ларина Татьяна</t>
  </si>
  <si>
    <t xml:space="preserve">Лаврухина Татьяна </t>
  </si>
  <si>
    <t>Всего было на рабочем адресе</t>
  </si>
  <si>
    <t>с 17:30 до 19:30</t>
  </si>
  <si>
    <t>Бориса Васильева 7А</t>
  </si>
  <si>
    <t>Мичуринская,д.113</t>
  </si>
  <si>
    <t>Рылеева,д.86</t>
  </si>
  <si>
    <t>Мичуринская д 185А к1</t>
  </si>
  <si>
    <t>с 12:00 до 18:00</t>
  </si>
  <si>
    <t>ул. Конева 2</t>
  </si>
  <si>
    <t>Агент сообщил, что закончились карты и уехал в офис. Агент предупредил супервайзера.</t>
  </si>
  <si>
    <t>Щорса 55</t>
  </si>
  <si>
    <t xml:space="preserve">В 19:04 агент сообщил, что находится в пробке и задерживается на 15 минут. В 19:22 агент сообщил, что все еще опаздывает. Супервайзера предупредили. </t>
  </si>
  <si>
    <t>Апанасенко 58</t>
  </si>
  <si>
    <t xml:space="preserve">Номер агента был недоступен, супервайзер дал рабочий номер. При звонке агент сообщил,что общается с клиентом и не может спуститься,через 10 минут при повтороном звоке агент сообщил, что спускался к машине и подойдет к дому через 3 минуты, в 20:05 агент сообщил,что спускается на улицу, в течении 10 минут агент не спустился. Когда наш проверяющий уже ехал домой агент отзвонился и попросил отметить его как присутствующего и прислал фото (фото прикреплено к фотоотчету). </t>
  </si>
  <si>
    <t>ПРОЕЗД. ДАВЫДОВСКИЙ 6-Й д.31</t>
  </si>
  <si>
    <t>https://yadi.sk/d/g0ofBhX03UEM2w</t>
  </si>
  <si>
    <t>Агент Игорь и Юлия работают вместе на двух адресах.</t>
  </si>
  <si>
    <t>ул. ДИМИТРОВА д.2</t>
  </si>
  <si>
    <t>УЛ. КОСТРОМСКАЯ д.88</t>
  </si>
  <si>
    <t>https://yadi.sk/d/S6j_plv73UEM4U</t>
  </si>
  <si>
    <t>Агент присутствовал на адресе с агентом по имени Игорь</t>
  </si>
  <si>
    <t>Олимпийский 6</t>
  </si>
  <si>
    <t>https://yadi.sk/i/e8IKyYDS3UGatc</t>
  </si>
  <si>
    <t>Агент Иван не отвечает на звонки. Супервайзер сообщил, что агент находится рядом с ним, телефон забыл дома.</t>
  </si>
  <si>
    <t xml:space="preserve">Телефон агента не доступен. Супервайзер сообщил, что агент находится рядом с ним  и у него разрядился телефон. </t>
  </si>
  <si>
    <t>Куракина</t>
  </si>
  <si>
    <t>Московский проспект 90</t>
  </si>
  <si>
    <t>https://yadi.sk/d/VhOkLD7U3UGaum</t>
  </si>
  <si>
    <t>Пасько</t>
  </si>
  <si>
    <t>https://yadi.sk/d/OBuePCXX3UGavY</t>
  </si>
  <si>
    <t>Улица Пузакова 19</t>
  </si>
  <si>
    <t>https://yadi.sk/d/cWbGJ92l3UGcuV</t>
  </si>
  <si>
    <t>Косая гора улица Октябрьская д.6</t>
  </si>
  <si>
    <t>https://yadi.sk/i/TE4iyxk03UGcvy</t>
  </si>
  <si>
    <t xml:space="preserve">Телефон агента не доступен. Супервазеру сообщили, он также не смог дозвонится. </t>
  </si>
  <si>
    <t>ул. Кирова д. 4</t>
  </si>
  <si>
    <t>Вместо Инны работал ее молодой человек.</t>
  </si>
  <si>
    <t>ул. Чаплина д. 7/20</t>
  </si>
  <si>
    <t>Кувардина Дарья Сергеевна</t>
  </si>
  <si>
    <t>Платонов Виктор Валерьевич</t>
  </si>
  <si>
    <t>Кузнецова Кристина Игоревна</t>
  </si>
  <si>
    <t>8(920)487-70-25</t>
  </si>
  <si>
    <t>Белкин Сергей</t>
  </si>
  <si>
    <t>Матюхин Дмитрий</t>
  </si>
  <si>
    <t xml:space="preserve">Великих Александр </t>
  </si>
  <si>
    <t xml:space="preserve">Карамышев Виктор </t>
  </si>
  <si>
    <t>Марченкова Инна</t>
  </si>
  <si>
    <t xml:space="preserve">	ул. Советской Армии, д. 28\7</t>
  </si>
  <si>
    <t>ул. Бирюзова 26</t>
  </si>
  <si>
    <t xml:space="preserve">Номер агента был не верным,чупервайзер дал правильный номер.  Агент евгений сообщил нашему контролеру, что пол часа наазад ему стаало плохо и он уехал домоой, начальство предупредил. </t>
  </si>
  <si>
    <t xml:space="preserve">	ул. Гоголя, д. 49</t>
  </si>
  <si>
    <t>Советская ,д.2 А</t>
  </si>
  <si>
    <t>https://yadi.sk/i/VYbl3LUn3UJkwc</t>
  </si>
  <si>
    <t>Номер агента был предоставлен с ошибкой. Супервайзер сообщил, что на момент проверки находится вместе с агентом на адресе. На фотографии агент и супервайзер. Рабочие материалы закончились</t>
  </si>
  <si>
    <t>Б. Васильева,д.13</t>
  </si>
  <si>
    <t>https://yadi.sk/d/FP3ewoew3UJmPu</t>
  </si>
  <si>
    <t>с 13:00 до 19:00</t>
  </si>
  <si>
    <t>Советская,д.39</t>
  </si>
  <si>
    <t>https://yadi.sk/i/SWMdxGMa3UJkyG</t>
  </si>
  <si>
    <t>Рабочие материалы закончились</t>
  </si>
  <si>
    <t>Агапкина,д.22/2</t>
  </si>
  <si>
    <t>https://yadi.sk/d/hkX2s0Pm3UJmRC</t>
  </si>
  <si>
    <t>БРЯНСК</t>
  </si>
  <si>
    <t>ПЕРЕСВЕТА 18, 20 (БРЯНСК)</t>
  </si>
  <si>
    <t>https://yadi.sk/d/MPF16y7x3UJkPW</t>
  </si>
  <si>
    <t>https://yadi.sk/d/TAbEpsmK3UJkNN</t>
  </si>
  <si>
    <t>ГРИБОЕДОВА 3, 5 (БРЯНСК)</t>
  </si>
  <si>
    <t>https://yadi.sk/d/ejIaj33X3UJkM7</t>
  </si>
  <si>
    <t>Растопчина 29</t>
  </si>
  <si>
    <t>Северные Торговые Ряды</t>
  </si>
  <si>
    <t>Ленина 34</t>
  </si>
  <si>
    <t>Агент находился на адресе ул. Ленина, 67.</t>
  </si>
  <si>
    <t>Горького 100</t>
  </si>
  <si>
    <t>Агент находился  на адресе ул. Горького, 115.</t>
  </si>
  <si>
    <t>с 12:00 до 16:00</t>
  </si>
  <si>
    <t>стойка ТЦ Солнечный ул. Конева 2</t>
  </si>
  <si>
    <t>Славянская 7А</t>
  </si>
  <si>
    <t>ул. Преображенская 85</t>
  </si>
  <si>
    <t>18:00-19:30</t>
  </si>
  <si>
    <t>ул.Паровозная,64</t>
  </si>
  <si>
    <t>ул. Приборостроительная, д. 21</t>
  </si>
  <si>
    <t>Грабцевское шоссе 104</t>
  </si>
  <si>
    <t>https://yadi.sk/d/kF9Vp5UQ3ULp2L</t>
  </si>
  <si>
    <t>Ромадановские дворики 39,51</t>
  </si>
  <si>
    <t>https://yadi.sk/d/wiy6YGH43ULp5w</t>
  </si>
  <si>
    <t>Вместо агента Анастасии работает Анастас</t>
  </si>
  <si>
    <t>Билибина 4</t>
  </si>
  <si>
    <t>https://yadi.sk/d/wSuIG3-L3ULoyd</t>
  </si>
  <si>
    <t>Турынинская 15</t>
  </si>
  <si>
    <t>https://yadi.sk/d/Iq2mu8aS3ULp7Q</t>
  </si>
  <si>
    <t>Авдееев Евгений</t>
  </si>
  <si>
    <t>Петров Андрей Александрович</t>
  </si>
  <si>
    <t>Лукин Александр Александрович</t>
  </si>
  <si>
    <t>Рощин Сергей Сергеевич</t>
  </si>
  <si>
    <t>Филиппова Марианна</t>
  </si>
  <si>
    <t>Скрынникова Маргарита</t>
  </si>
  <si>
    <t>Шумаков Роман</t>
  </si>
  <si>
    <t>Романовский Виктор</t>
  </si>
  <si>
    <t>Николаев Анастасия</t>
  </si>
  <si>
    <t>ул. Большая Федоровская 48</t>
  </si>
  <si>
    <t>8-е марта д.11</t>
  </si>
  <si>
    <t>8-е марта д. 21</t>
  </si>
  <si>
    <t>Глызин Андрей Денисович</t>
  </si>
  <si>
    <t>Игнатьев Алексей Михайлович</t>
  </si>
  <si>
    <t>Бисекенов Александр Денисович</t>
  </si>
  <si>
    <t>Лисенкова Алёна Сергеевна</t>
  </si>
  <si>
    <t>Ленина 124,124А</t>
  </si>
  <si>
    <t>https://yadi.sk/i/_Bb7yQdb3UNZC6</t>
  </si>
  <si>
    <t>Агент сообщил, что стоит в пробке и будет на месте через час. Супервазер сказал, что знает об этом.</t>
  </si>
  <si>
    <t>Макренко д.11</t>
  </si>
  <si>
    <t>https://yadi.sk/d/sT9Jn-IO3UNZ4z</t>
  </si>
  <si>
    <t>Серебровская д.18,20</t>
  </si>
  <si>
    <t>https://yadi.sk/d/UBZjD1FG3UNZ6i</t>
  </si>
  <si>
    <t>Лавровская д.21, д.6</t>
  </si>
  <si>
    <t>https://yadi.sk/d/IuH9kSaK3UNXyJ</t>
  </si>
  <si>
    <t>Леонид</t>
  </si>
  <si>
    <t>пр.Мира д.17</t>
  </si>
  <si>
    <t>https://yadi.sk/i/YtrWwrI83UNY52</t>
  </si>
  <si>
    <t>Агент сообщил, что взял выходной. Супервайзер не ответил на звонок</t>
  </si>
  <si>
    <t>ул. Катушечная д.94, д.96</t>
  </si>
  <si>
    <t>https://yadi.sk/d/iPFsw3Uy3UNY2X</t>
  </si>
  <si>
    <t>ул. Боевая д.92, д 66/88</t>
  </si>
  <si>
    <t>https://yadi.sk/d/syIEznY-3UNXzJ</t>
  </si>
  <si>
    <t>Сытенков Александр Александрович</t>
  </si>
  <si>
    <t>Аникеев Сергей</t>
  </si>
  <si>
    <t>Филимонов Олег</t>
  </si>
  <si>
    <t>ул. Николаева д. 34, д.34 а</t>
  </si>
  <si>
    <t>Инна</t>
  </si>
  <si>
    <t>пер. Тульский д. 10</t>
  </si>
  <si>
    <t>Вместо Инны работает Марченков Глеб.</t>
  </si>
  <si>
    <t>ул. Академика Петрова д. 16</t>
  </si>
  <si>
    <t>Илья</t>
  </si>
  <si>
    <t>ул. Губенко д. 7, 9</t>
  </si>
  <si>
    <t>Агент сообщил нашему контролеру, что работает на другом адресе, на ул. Губенко будет работать 14.04. Супервайзер подтвердил сказанное агентом. Фото сделано на адресе ул. Кутузова, 8А.</t>
  </si>
  <si>
    <t>9-й микр-он 45</t>
  </si>
  <si>
    <t>https://yadi.sk/d/z9oGwxya3UQNBw</t>
  </si>
  <si>
    <t xml:space="preserve">Фото сделано по адресу 9-й микр-он 43а, по заявленному адресу нет таблички </t>
  </si>
  <si>
    <t>Тельмана 90</t>
  </si>
  <si>
    <t>https://yadi.sk/i/VCdtjcOf3UQNDH</t>
  </si>
  <si>
    <t>У Агента и супервазера выключены телефоны</t>
  </si>
  <si>
    <t>хренникова 1</t>
  </si>
  <si>
    <t>https://yadi.sk/d/lR404Sex3UQNAZ</t>
  </si>
  <si>
    <t>дзержинского 7</t>
  </si>
  <si>
    <t>https://yadi.sk/d/AF3NOOVN3UQNB7</t>
  </si>
  <si>
    <t>Рюмина Карина Альбертовна</t>
  </si>
  <si>
    <t>ул. Трудовая, д. 1к1</t>
  </si>
  <si>
    <t>московский 96А</t>
  </si>
  <si>
    <t>https://yadi.sk/d/zyhwobjd3UShSY</t>
  </si>
  <si>
    <t>московский пр. д 104б</t>
  </si>
  <si>
    <t>https://yadi.sk/i/C4KhmvDh3UShU4</t>
  </si>
  <si>
    <t>Агент сообщил, что на месте, но отошел, в течение 15 минут не явился. Супервайзеру информацию передали.</t>
  </si>
  <si>
    <t>Ходжаев</t>
  </si>
  <si>
    <t>с 17:00 до 21:01</t>
  </si>
  <si>
    <t>9 ЯНВАРЯ (Г. ВОРОНЕЖ) 133</t>
  </si>
  <si>
    <t>https://yadi.sk/d/xaYMa8js3UShRV</t>
  </si>
  <si>
    <t xml:space="preserve">Агент явился на работу в 18:25. </t>
  </si>
  <si>
    <t>Божко</t>
  </si>
  <si>
    <t>УЛ.45 СТРЕЛКОВОЙ ДИВИЗИИ 275 /2</t>
  </si>
  <si>
    <t>https://yadi.sk/d/a5RGKrwp3UShQP</t>
  </si>
  <si>
    <t>ул. Суслова, д. 16</t>
  </si>
  <si>
    <t>https://yadi.sk/i/V9s1wdrr3UUbvG</t>
  </si>
  <si>
    <t>Агент не отвечает на звонки, до супервайзера так же не дозвонились.</t>
  </si>
  <si>
    <t>ул. Суслова, д. 18</t>
  </si>
  <si>
    <t>https://yadi.sk/d/iIrHO-XA3UUbwP</t>
  </si>
  <si>
    <t>ул. Суслова д.13, д.11</t>
  </si>
  <si>
    <t>https://yadi.sk/d/HBelQ8ew3UUby9</t>
  </si>
  <si>
    <t>ул. Катушечная д.94,</t>
  </si>
  <si>
    <t>https://yadi.sk/d/9SHH7Ixl3UUbz4</t>
  </si>
  <si>
    <t>Мичуринская д. 124</t>
  </si>
  <si>
    <t>https://yadi.sk/i/AKf6pKzM3UUdco</t>
  </si>
  <si>
    <t>Агент сообщил, что у него сегодня выходной. Супервайзеру информацию передали.</t>
  </si>
  <si>
    <t>Астраханская 175\23</t>
  </si>
  <si>
    <t>https://yadi.sk/i/n5UapfkK3UUddZ</t>
  </si>
  <si>
    <t>Агент сказал, что будет через 30 минут, в дальнейшем не отвечал на звонки. Супервайзеру информацию передали.</t>
  </si>
  <si>
    <t>Свободная 12 Б</t>
  </si>
  <si>
    <t>https://yadi.sk/d/0WgYoEu43UUfhh</t>
  </si>
  <si>
    <t>Свободная 12 А</t>
  </si>
  <si>
    <t>https://yadi.sk/d/RT54q0__3UUdaW</t>
  </si>
  <si>
    <t>Ромашина (г.Брянск) д.27</t>
  </si>
  <si>
    <t>https://yadi.sk/d/GUFBWEJn3UUcou</t>
  </si>
  <si>
    <t>пр-т Московский (г.Брянск) д.162</t>
  </si>
  <si>
    <t>https://yadi.sk/d/ETQbMamy3UUcqG</t>
  </si>
  <si>
    <t>ТРУДОВАЯ 2 (БРЯНСК)</t>
  </si>
  <si>
    <t>https://yadi.sk/d/SJhPUupX3UUco7</t>
  </si>
  <si>
    <t>ГОРЬКОГО 64 (БРЯНСК)</t>
  </si>
  <si>
    <t>https://yadi.sk/d/_KE0BZPs3UUcma</t>
  </si>
  <si>
    <t>ул. Кукушкина, д. 3
ул. Кукушкина, д. 1</t>
  </si>
  <si>
    <t>Фрунзе д.24</t>
  </si>
  <si>
    <t>Левитана 58 к1</t>
  </si>
  <si>
    <t>с 18:00 до 19:30</t>
  </si>
  <si>
    <t>ул. Можайского 87</t>
  </si>
  <si>
    <t>Агент работал по адресу ул. Левитана, 54. Супервайзер был предупрежден.</t>
  </si>
  <si>
    <t>c 18:00 до 21:00</t>
  </si>
  <si>
    <t>ул. Мусоргского 6/2</t>
  </si>
  <si>
    <t>Агент работал по адресу ул. Балагоева. Супервайзеру сообщили.</t>
  </si>
  <si>
    <t>Беляков Илья</t>
  </si>
  <si>
    <t>Вахнер Евгений</t>
  </si>
  <si>
    <t>Корнюшин Игорь</t>
  </si>
  <si>
    <t>Набока В.А.</t>
  </si>
  <si>
    <t>Батманов Семён Сергеевич</t>
  </si>
  <si>
    <t>Ледяиев Вячеслав Николаевич</t>
  </si>
  <si>
    <t>Сизов Леонид  Алексеевич</t>
  </si>
  <si>
    <t>Протасова Альбина Александровна</t>
  </si>
  <si>
    <t>Коломицева Марта Витальевна</t>
  </si>
  <si>
    <t>Жигулин Сергей Михайлович</t>
  </si>
  <si>
    <t>Мижурин Артем Александрович</t>
  </si>
  <si>
    <t>Акуленко Евгения Викторовна</t>
  </si>
  <si>
    <t>Семин Владимир</t>
  </si>
  <si>
    <t>Джафаров Тимур Саигович</t>
  </si>
  <si>
    <t>Грицунов Денис Максимович</t>
  </si>
  <si>
    <t>Образцов Роман Сергеевич</t>
  </si>
  <si>
    <t>8(910)832-23-31</t>
  </si>
  <si>
    <t xml:space="preserve">Безыменского 2 </t>
  </si>
  <si>
    <t>Благонравова 5</t>
  </si>
  <si>
    <t>с 18:00 до 19:00</t>
  </si>
  <si>
    <t>Гостенская 1</t>
  </si>
  <si>
    <t>Костюкова 53</t>
  </si>
  <si>
    <t>На адресе работал агент Матюхин Владимир Дмитриевич.</t>
  </si>
  <si>
    <t>Преображенская 5</t>
  </si>
  <si>
    <t>Телефон агента был не доступен. Супервайзер сообщил, что не знает где находится агент. В 19:53 и 20:02 поступали звонки от супервайзера и агента с информацией о том, что агент на месте и не дозвонились до него по той причине, что в подъезде не ловит связь.</t>
  </si>
  <si>
    <t>Сергеев</t>
  </si>
  <si>
    <t>Владимира Невского 31</t>
  </si>
  <si>
    <t>https://yadi.sk/i/8CPydSOI3UWrm6</t>
  </si>
  <si>
    <t>Агент сообщил, что вчера работал по данному адресу, сегодня работает по ул. Шишкова. Супервайзер подтвердил.</t>
  </si>
  <si>
    <t>Владимира Невского 48в</t>
  </si>
  <si>
    <t>https://yadi.sk/d/Cdif6RLG3UWriN</t>
  </si>
  <si>
    <t>Савченко</t>
  </si>
  <si>
    <t>ул. Владимира Невского д.39Д</t>
  </si>
  <si>
    <t>https://yadi.sk/d/6Y-09KpL3UWrgu</t>
  </si>
  <si>
    <t>ул. Владимира Невского 71</t>
  </si>
  <si>
    <t>https://yadi.sk/d/hT8Xu4EW3UWrje</t>
  </si>
  <si>
    <t>ул. Черняховского д. 15</t>
  </si>
  <si>
    <t>Лукина 4, 40</t>
  </si>
  <si>
    <t>Макаренко Евгений</t>
  </si>
  <si>
    <t>УДАРНИКОВ, 38</t>
  </si>
  <si>
    <t>М.Жукова 26</t>
  </si>
  <si>
    <t>ул. Песоченская, д. 18</t>
  </si>
  <si>
    <t>На адресе работал еще один агент Аксёнкин Сергей Владимирович.</t>
  </si>
  <si>
    <t>ул. Буденного 116</t>
  </si>
  <si>
    <t>https://yadi.sk/d/g4NOGD1n3UZ5VF</t>
  </si>
  <si>
    <t>ул. Перекопская 5а</t>
  </si>
  <si>
    <t>https://yadi.sk/i/JE-TKD8J3UZ5Yy</t>
  </si>
  <si>
    <t>На звонок ответила девушка и сказала, что контролер ошибся номером и никакого Виктора она не знает Супервайзеру информацию передали.</t>
  </si>
  <si>
    <t xml:space="preserve">ул. Ленина д.124 </t>
  </si>
  <si>
    <t>https://yadi.sk/d/oVHrVqdl3UZ5WX</t>
  </si>
  <si>
    <t>Ул. Ленина д.124а</t>
  </si>
  <si>
    <t>https://yadi.sk/i/de7Is-Zv3UZ5XZ</t>
  </si>
  <si>
    <t>Агент не отвечает на звонки. Супервайзеру информацию передали.</t>
  </si>
  <si>
    <t xml:space="preserve"> Корсакова Карина</t>
  </si>
  <si>
    <t>Бородина Светлана</t>
  </si>
  <si>
    <t>Дорошенко Дмитрий</t>
  </si>
  <si>
    <t>Прокофьев Е.А.</t>
  </si>
  <si>
    <t xml:space="preserve">Сахаров Роман </t>
  </si>
  <si>
    <t>Саланы Дмитрий</t>
  </si>
  <si>
    <t xml:space="preserve">Марычев Алексей </t>
  </si>
  <si>
    <t>Текстильщиков, 7 а</t>
  </si>
  <si>
    <t>На адресе работал еще один агент Халеев Никита Андреевич.</t>
  </si>
  <si>
    <t>Текстильщиков, 9</t>
  </si>
  <si>
    <t>Шубиных, 14 б</t>
  </si>
  <si>
    <t>18:30-20:30</t>
  </si>
  <si>
    <t>16.00-18.00</t>
  </si>
  <si>
    <t>Тракторная 4</t>
  </si>
  <si>
    <t>Агент сообшему сообщил нашему проверяющему, что уже закончил работу и уехал домой.</t>
  </si>
  <si>
    <t>Лакина 151,177</t>
  </si>
  <si>
    <t>Агент сообщил, что сегодня не работает и предупреждал свое начальство. Супервайзер подтвердил информацию.</t>
  </si>
  <si>
    <t>Лакина 141в</t>
  </si>
  <si>
    <t>Суздальский пр-т, 19</t>
  </si>
  <si>
    <t>ул. 1-я Суворова 7</t>
  </si>
  <si>
    <t>Агент не отвечал на телефон, супервайзер тоже не смог дозвониться до агента.</t>
  </si>
  <si>
    <t>Озерная д.20</t>
  </si>
  <si>
    <t>Агент сообщил, что работает на выезде. Супервайзер был предупрежден.</t>
  </si>
  <si>
    <t>ОБОРОННАЯ, 1</t>
  </si>
  <si>
    <t>Агент сообщил, что из-за дождя уехал домой. Супервайзеру сообщили.</t>
  </si>
  <si>
    <t>Санкт-Петербургское шоссе д.56</t>
  </si>
  <si>
    <t>Телефон агента был не доступен. Супервайзеру сообщили.</t>
  </si>
  <si>
    <t>17:00-18.30</t>
  </si>
  <si>
    <t>ул.Половецкая</t>
  </si>
  <si>
    <t>18:30--21:00</t>
  </si>
  <si>
    <t>Папина 17</t>
  </si>
  <si>
    <t>https://yadi.sk/i/pWn9XbBa3UeXBu</t>
  </si>
  <si>
    <t>Титова 11</t>
  </si>
  <si>
    <t>https://yadi.sk/i/JwjzyG6Q3UeXCp</t>
  </si>
  <si>
    <t>Агент сообщила, что работала в первую смену.</t>
  </si>
  <si>
    <t>МОСКОВСКАЯ (Г. ЛИПЕЦК) 15</t>
  </si>
  <si>
    <t>https://yadi.sk/d/imjXZRUr3UeXAA</t>
  </si>
  <si>
    <t>По адресу нет таблички, фотография сделана по адресу Московская 17</t>
  </si>
  <si>
    <t>Свободная, д.14</t>
  </si>
  <si>
    <t>https://yadi.sk/d/0YJh3TRq3UeYGv</t>
  </si>
  <si>
    <t>Б. Энтузиастов, д.39</t>
  </si>
  <si>
    <t>https://yadi.sk/d/WsiD_yAY3UeYG2</t>
  </si>
  <si>
    <t>А.Бебеля 18/49</t>
  </si>
  <si>
    <t>https://yadi.sk/d/ya9k8UeS3UeYHo</t>
  </si>
  <si>
    <t>Агент сообщил, что работал по данному адресу вчера, сегодня он не работает. Супервайзеру сообщили, она сказала, что наверно, агент перепутал листы.</t>
  </si>
  <si>
    <t>Мичуринская д. 177</t>
  </si>
  <si>
    <t>https://yadi.sk/i/pqut2KiW3UeYKb</t>
  </si>
  <si>
    <t>На звонок ответила Анастасия и сказала, что не знает никакой Марины. Супервайзер не ответила на звонок.</t>
  </si>
  <si>
    <t>https://yadi.sk/i/9LdVua7m3UfaCK</t>
  </si>
  <si>
    <t>Агент сообщил, что у него сегодня выходной. Супервайзер подтвердил.</t>
  </si>
  <si>
    <t>Патриотов 38а</t>
  </si>
  <si>
    <t>https://yadi.sk/d/xg2jftRk3Ufa9z</t>
  </si>
  <si>
    <t>Агент сообщил, что работу начал раньше и соответственно закончил раньше. Для доказательства сделал селфи напротив адреса и отправил отчет супервайзеру. Супервайзер подтвердил.</t>
  </si>
  <si>
    <t>ЗАГОРОДНАЯ (Г. ВОРОНЕЖ) 7 А</t>
  </si>
  <si>
    <t>https://yadi.sk/d/dDKlDp0S3UfZcP</t>
  </si>
  <si>
    <t>с 12:00 до 14:00</t>
  </si>
  <si>
    <t>Юбилейная д. 18</t>
  </si>
  <si>
    <t>Агент сообщил, что приедет на адрес к 16:00. Супервайзеру сообщили.</t>
  </si>
  <si>
    <t>Михалутина Юлия</t>
  </si>
  <si>
    <t>с 15:00 до 18:00</t>
  </si>
  <si>
    <t>нахимова, 10а</t>
  </si>
  <si>
    <t>Гончарова Олеся</t>
  </si>
  <si>
    <t>19.00-21.00</t>
  </si>
  <si>
    <t>Жучков Вячеслав</t>
  </si>
  <si>
    <t>Мирный пр-д 5</t>
  </si>
  <si>
    <t>Телефон агента недоступен. Телефон супервайзера не доступен.</t>
  </si>
  <si>
    <t>с 15:00 до 16:00</t>
  </si>
  <si>
    <t>Костюкова 6</t>
  </si>
  <si>
    <t>Агент сообщил, что не выйдет из-за плохого самочувствия. Супервайзера предупреждал.</t>
  </si>
  <si>
    <t>Агент не отвечал на телефон. Супервайзер сообщил, что Даниил стажер и не работает из-за отсутсвтия Владимира.</t>
  </si>
  <si>
    <t>с 16:00 до 17:00</t>
  </si>
  <si>
    <t>Преображенская 72А</t>
  </si>
  <si>
    <t>Телефон агента не доступен. Супервайзеру сообщили.</t>
  </si>
  <si>
    <t>Садовая 13-19</t>
  </si>
  <si>
    <t>Слепнева 17</t>
  </si>
  <si>
    <t>Слепнева 24а</t>
  </si>
  <si>
    <t>Слепнева 28</t>
  </si>
  <si>
    <t>Совхозный переулок,д.15 а</t>
  </si>
  <si>
    <t>https://yadi.sk/i/cAq41AdP3Uhwpj</t>
  </si>
  <si>
    <t>Агент сообщил, что данный адрес у него назначен на завтра. Супервайзер Михаил находится в отпуске, сказал, что супервайзер вместо него Кристина.</t>
  </si>
  <si>
    <t>Рылеева, д.86</t>
  </si>
  <si>
    <t>https://yadi.sk/d/GjHRGutt3UhwjC</t>
  </si>
  <si>
    <t>Мичуринская д 181 к2</t>
  </si>
  <si>
    <t>https://yadi.sk/i/Q6vQ5Ssf3Uhwnv</t>
  </si>
  <si>
    <t xml:space="preserve">Агент работает по адресу ул. Сенько. </t>
  </si>
  <si>
    <t>Мичуринская д. 175</t>
  </si>
  <si>
    <t>https://yadi.sk/i/wjtrNy1e3UhwnG</t>
  </si>
  <si>
    <t xml:space="preserve">По телефону агента сообщили, что ошиблись номером. Супервайзер Кристина не отвечает на звонки. </t>
  </si>
  <si>
    <t>Белянского 2</t>
  </si>
  <si>
    <t>https://yadi.sk/d/loIQQgKR3UhyuK</t>
  </si>
  <si>
    <t>Замятина 2</t>
  </si>
  <si>
    <t>https://yadi.sk/d/wyGMZcOZ3Uhyuw</t>
  </si>
  <si>
    <t>Белянского 4</t>
  </si>
  <si>
    <t>https://yadi.sk/d/ZAinVFtv3UhytN</t>
  </si>
  <si>
    <t>Катукова 37</t>
  </si>
  <si>
    <t>https://yadi.sk/i/Z13_2v_s3Uhysj</t>
  </si>
  <si>
    <t xml:space="preserve">Телефон агента не существует. Супервайзер сообщила, что агент сегодня работает в офисе. </t>
  </si>
  <si>
    <t>Есенина (г.Брянск) д.32</t>
  </si>
  <si>
    <t>https://yadi.sk/i/LSTQLB-P3Uhx75</t>
  </si>
  <si>
    <t>Есенина (г.Брянск) д.30</t>
  </si>
  <si>
    <t>https://yadi.sk/d/Wt-Rm3QA3UhxAa</t>
  </si>
  <si>
    <t>СОВЕТСКИЙ 2-Й ПРОЕЗД 7Б (БРЯНСК)</t>
  </si>
  <si>
    <t>https://yadi.sk/d/rd05CSqG3Uhx9U</t>
  </si>
  <si>
    <t>ПРОЛЕТАРСКАЯ 70 (БРЯНСК)</t>
  </si>
  <si>
    <t>https://yadi.sk/d/09cFVDyp3Uhx8J</t>
  </si>
  <si>
    <t>пр-т Мира, д.95/25</t>
  </si>
  <si>
    <t>https://yadi.sk/d/RypkkBzR3UhyAJ</t>
  </si>
  <si>
    <t>ул.Беговая, д.28</t>
  </si>
  <si>
    <t>https://yadi.sk/d/zzXzLysb3UhyGm</t>
  </si>
  <si>
    <t>ул. Беговая, д.27, д.33</t>
  </si>
  <si>
    <t>https://yadi.sk/d/32DpncpT3UhyBg</t>
  </si>
  <si>
    <t>ул. Беговая д.37, д.39</t>
  </si>
  <si>
    <t>https://yadi.sk/d/MiTI77JJ3UhyE6</t>
  </si>
  <si>
    <t>Пухова 5, 7</t>
  </si>
  <si>
    <t>https://yadi.sk/d/1fukjvJy3Ui2JK</t>
  </si>
  <si>
    <t>Агент работает на адресах ул. Пухова 5 и 9</t>
  </si>
  <si>
    <t>Пухова 9,11</t>
  </si>
  <si>
    <t>https://yadi.sk/d/dgSb7o5U3Ui2Kd</t>
  </si>
  <si>
    <t>Телевизионная 20,22</t>
  </si>
  <si>
    <t>https://yadi.sk/d/MJEXAces3Ui2M2</t>
  </si>
  <si>
    <t>Пухова 17</t>
  </si>
  <si>
    <t>https://yadi.sk/d/u0lF2YOJ3Ui2H6</t>
  </si>
  <si>
    <t>Агент работает на адресах ул. Пухова 7 и 17</t>
  </si>
  <si>
    <t>Волоколамский пр 39</t>
  </si>
  <si>
    <t>Тверской пр. 8</t>
  </si>
  <si>
    <t>На адресе работал еще один агент Брайн.</t>
  </si>
  <si>
    <t>Левитана 58 к2</t>
  </si>
  <si>
    <t>c 19:00 до 21:00</t>
  </si>
  <si>
    <t>ЕКАТЕРИНЫ ФАРАФОНОВОЙ, 36 Б</t>
  </si>
  <si>
    <t xml:space="preserve">Агент не отвечал на звонки. Супервайзер сообщил, что агент общается с клиентом. Наш проверяющил ожидал агента на адресе с 19:38 до 20:08, на звонки агент также не отвечал. В 20:36 супервайзер перезвонил и сообщил, что агент спустился вниз. </t>
  </si>
  <si>
    <t>ул.Комсомольская,191</t>
  </si>
  <si>
    <t>Льва Толстого 14/В</t>
  </si>
  <si>
    <t>пр-к Дружбы 1</t>
  </si>
  <si>
    <t>На адресе работал еще один агент Илья Коновнников.</t>
  </si>
  <si>
    <t>ул. Щедрина, д. 4</t>
  </si>
  <si>
    <t>На адресе работал еще один агент Круду Виктория Фёдоровна.</t>
  </si>
  <si>
    <t>Мулюкина Марина Витальевна</t>
  </si>
  <si>
    <t>Скворцов Антон Олегович</t>
  </si>
  <si>
    <t>ш. Московское, д. 59</t>
  </si>
  <si>
    <t>Аксенкин Сергей Владимирович</t>
  </si>
  <si>
    <t>Старореченская, д. 15к1</t>
  </si>
  <si>
    <t>Суздальский пр-т, 17</t>
  </si>
  <si>
    <t>Агент работал на адресе Суздальский пр-т, 15.</t>
  </si>
  <si>
    <t>19.00-20.00</t>
  </si>
  <si>
    <t>Ставровская 1</t>
  </si>
  <si>
    <t>Балакирева 43Д</t>
  </si>
  <si>
    <t>Агент сообщил, что закончил работу и находится дома. Супервайзер подтвердл его слова.</t>
  </si>
  <si>
    <t>ул.Волоховская д.12</t>
  </si>
  <si>
    <t>https://yadi.sk/d/yJ3yAs3L3Unu9m</t>
  </si>
  <si>
    <t>Агент не отвечает на звонки</t>
  </si>
  <si>
    <t>Кутузова 39</t>
  </si>
  <si>
    <t>https://yadi.sk/d/oOYwuGGR3Unu6W</t>
  </si>
  <si>
    <t>М.Горького д.25</t>
  </si>
  <si>
    <t>https://yadi.sk/d/JzZ3_ufN3Unu82</t>
  </si>
  <si>
    <t>Пионерская д.1</t>
  </si>
  <si>
    <t>https://yadi.sk/i/FRYAYEtM3UnuCu</t>
  </si>
  <si>
    <t>Агент сообщил, что уже закончил работу. Супервайзеру информацию передали.</t>
  </si>
  <si>
    <t>Московский 124</t>
  </si>
  <si>
    <t>https://yadi.sk/i/nEP5R0_83UqFra</t>
  </si>
  <si>
    <t>Агент работает на другом адресе. Супервайзеру сообщили</t>
  </si>
  <si>
    <t>Шишкова 99</t>
  </si>
  <si>
    <t>https://yadi.sk/d/9SKe6Uuq3UqFkK</t>
  </si>
  <si>
    <t>Корсунов</t>
  </si>
  <si>
    <t>Шишкова 105а</t>
  </si>
  <si>
    <t>https://yadi.sk/d/PmEM6i4L3UqFq4</t>
  </si>
  <si>
    <t>https://yadi.sk/d/XtIagEP_3UqFoU</t>
  </si>
  <si>
    <t>ФОКИНА 199 (БРЯНСК)</t>
  </si>
  <si>
    <t>https://yadi.sk/d/T2Ha9Tyf3UqGtd</t>
  </si>
  <si>
    <t>площадь Партизан (г.брянск)д.1</t>
  </si>
  <si>
    <t>https://yadi.sk/d/AUbYxTXi3UqGqR</t>
  </si>
  <si>
    <t>У агента нет бейджа, есть удостоверение.</t>
  </si>
  <si>
    <t>пер.Осовиахима(г.Брянск)д.3б</t>
  </si>
  <si>
    <t>https://yadi.sk/d/ODorCO5t3UqGoa</t>
  </si>
  <si>
    <t>площадь Партизан (г.брянск)д.4</t>
  </si>
  <si>
    <t>https://yadi.sk/d/yJLtqomf3UqGsQ</t>
  </si>
  <si>
    <t>ул. Николаева д. 42 а</t>
  </si>
  <si>
    <t>ул. Николаева д. 44</t>
  </si>
  <si>
    <t>На адресе нет таблички. Фото сделано по адресу ул. Зои Космодемьянской, 1.</t>
  </si>
  <si>
    <t>ФРУНЗЕ Д. 9</t>
  </si>
  <si>
    <t>Иванова Светлана</t>
  </si>
  <si>
    <t>ПР-Т ГАГАРИНА Д. 76</t>
  </si>
  <si>
    <t>Колесанова д.2</t>
  </si>
  <si>
    <t>Вместо агента Егора, работал Дмитрий.</t>
  </si>
  <si>
    <t>Колесанова д.9</t>
  </si>
  <si>
    <t>Агент работал по адресу ул. Колесанова, д. 2. Супервайзер сообщил, что агенты работают в паре на два дома (Колесанова, д. 2 и д. 9).</t>
  </si>
  <si>
    <t>Василевского, 10</t>
  </si>
  <si>
    <t>Василевского, 2</t>
  </si>
  <si>
    <t>Левитана 58 к3</t>
  </si>
  <si>
    <t>Агент сообщил, что работает на другом районе. Супервайзер подтвердил.</t>
  </si>
  <si>
    <t>ул. 1-я Трусова 1</t>
  </si>
  <si>
    <t>пер.Трудолюбия 34</t>
  </si>
  <si>
    <t>ЗВЕЗДНАЯ 29</t>
  </si>
  <si>
    <t>https://yadi.sk/i/13VzneYJ3VAFyS</t>
  </si>
  <si>
    <t>Агент сообщил, что у него сегодня выходной, на данном адреса работал вчера. Супервайзеру информацию передали.</t>
  </si>
  <si>
    <t>ул. Свердлова, д.14</t>
  </si>
  <si>
    <t>https://yadi.sk/d/QbBFq7Zj3VAFtU</t>
  </si>
  <si>
    <t>ул. Советская , д.79</t>
  </si>
  <si>
    <t>https://yadi.sk/d/9mLf1nRR3VAFrX</t>
  </si>
  <si>
    <t>ул. Костромская, д.88</t>
  </si>
  <si>
    <t>https://yadi.sk/i/m7PuW-ms3VAG3E</t>
  </si>
  <si>
    <t xml:space="preserve">Агент Юлия работающая по адресу Свердлова д. 14 по просьбе супервайзера сообщила нашему контролеру, что по адресу Костромская д. 88 агент Семен не работает. Телефон супервайзера не доступен. </t>
  </si>
  <si>
    <t>ул. Свердлова, д.101</t>
  </si>
  <si>
    <t>https://yadi.sk/d/lNje1L0J3VAFv4</t>
  </si>
  <si>
    <t>Совхозный переулок, д.22</t>
  </si>
  <si>
    <t>https://yadi.sk/d/gcmoik4t3VAGV3</t>
  </si>
  <si>
    <t>Во время контроля у агента оставалась 1 экземпляр рекламных материалов</t>
  </si>
  <si>
    <t>Свободная, д. 4\5</t>
  </si>
  <si>
    <t>https://yadi.sk/d/OfD4kvLZ3VAGXg</t>
  </si>
  <si>
    <t>Советская ,д.11</t>
  </si>
  <si>
    <t>https://yadi.sk/d/Zp3i-0-L3VAGb3</t>
  </si>
  <si>
    <t>Свободная, д. 4 /8 СТР.1</t>
  </si>
  <si>
    <t>https://yadi.sk/i/luChobzt3VAGf5</t>
  </si>
  <si>
    <t xml:space="preserve">Агент не отвечает на звонки. Информацию супервайзеру передали. Агенту Николаю супервайзер передал номер телефона координатора аудита. Агент позвонил с номера телефона (89027340605) координатору и предложил встретится на адресе немного позже, чтобы зафиксировать его работу. </t>
  </si>
  <si>
    <t>Стаханова 57</t>
  </si>
  <si>
    <t>https://yadi.sk/i/vc5J40903VAGcz</t>
  </si>
  <si>
    <t>Агент сообщил, что у него сегодня выходной. Супервайзер не отвечает на звонки.</t>
  </si>
  <si>
    <t>Комсомольская, 202</t>
  </si>
  <si>
    <t xml:space="preserve">Агент отказывался фотографироваться, потому что не хотел, чтобы было видно его лицо. Согласился сделать фото, только прикрыв папкой. </t>
  </si>
  <si>
    <t>с 17-30 до 18-30</t>
  </si>
  <si>
    <t>Проспект Славы, 76/9</t>
  </si>
  <si>
    <t>с 18-30 до 19-30</t>
  </si>
  <si>
    <t>Челюскинцев д. 55</t>
  </si>
  <si>
    <t>с 19-00 до 20-00</t>
  </si>
  <si>
    <t>Королева, 27</t>
  </si>
  <si>
    <t>Агент сообщил, что сегодня не смог приехать  на работу, об этом он предупредил свое руководство. Супервайзер подтвердил.</t>
  </si>
  <si>
    <t>с 12-00 до 16-00</t>
  </si>
  <si>
    <t>с 15-00 до 16-00</t>
  </si>
  <si>
    <t>Вокзальная 5</t>
  </si>
  <si>
    <t>с 16-00 до 17-00</t>
  </si>
  <si>
    <t>б-р Строителей 18</t>
  </si>
  <si>
    <t>Агент сообщил, что начал работу на 2 часа раньше и уже закончил. Супервайзер не отвечал на звонки.</t>
  </si>
  <si>
    <t>ул.Пузакова д.72.68</t>
  </si>
  <si>
    <t>https://yadi.sk/d/aMv7VXLw3VKMBW</t>
  </si>
  <si>
    <t>Арсенальная 20</t>
  </si>
  <si>
    <t>https://yadi.sk/d/T8W1O7Zu3VKM77</t>
  </si>
  <si>
    <t>Первомайская 50</t>
  </si>
  <si>
    <t>https://yadi.sk/i/-9m6Ranq3VKMKi</t>
  </si>
  <si>
    <t>Агент сказал, что у него неотложные дела, поэтому его нет на адресе. Вместо Дмитрия и Василия на адресах находится Виталий. Номер телефона супервайзера не доступен.</t>
  </si>
  <si>
    <t>Первомайская 48</t>
  </si>
  <si>
    <t>https://yadi.sk/i/6IsQTC3d3VKMGS</t>
  </si>
  <si>
    <t>Агент сообщил, что работает по ул. Демонстрации. Номер телефона супервайзера не доступен.</t>
  </si>
  <si>
    <t>НАБЕРЕЖНАЯ 1 (Г. БРЯНСК)</t>
  </si>
  <si>
    <t>https://yadi.sk/d/jEsqQj-63VKMoM</t>
  </si>
  <si>
    <t>пр-кт Московский(г.Брянск) д.22</t>
  </si>
  <si>
    <t>https://yadi.sk/d/96fdXyfX3VKMhj</t>
  </si>
  <si>
    <t>пр-кт Московский(г.Брянск) д.26</t>
  </si>
  <si>
    <t>https://yadi.sk/d/oGdPnmhY3VKMkL</t>
  </si>
  <si>
    <t>микр.Московский (г.Брянск)д.49</t>
  </si>
  <si>
    <t>https://yadi.sk/d/ikyxm3E13VKMff</t>
  </si>
  <si>
    <t>ш. Касимовское, д. 20</t>
  </si>
  <si>
    <t>ул. Интернациональная, 18к1</t>
  </si>
  <si>
    <t>Агент сообщил, что работал на адресе с 16:00 до 19:00. Супервайзер не отвечал на звонки.</t>
  </si>
  <si>
    <t>Агент и супервайзер не отвечали на звонки.</t>
  </si>
  <si>
    <t>пр. Строителей д. 13</t>
  </si>
  <si>
    <t>Агент сообщил, что будет на адресе через час. Супервайзер не ответил на звонок.</t>
  </si>
  <si>
    <t>19.00 - 21.00</t>
  </si>
  <si>
    <t>ул.Шелохова 4</t>
  </si>
  <si>
    <t>Агент сообщил, что работает в другой день. Супервайзер сообщил, что был с агентом на адресе до 18:00.</t>
  </si>
  <si>
    <t>Ул.Шелохова 6</t>
  </si>
  <si>
    <t>Агент сообщил, что работал в 18:00 и уже закончил работу. Супервайзер подтвердил.</t>
  </si>
  <si>
    <t>Сабуровская,д.2 а/4</t>
  </si>
  <si>
    <t>https://yadi.sk/d/h-TO5RWt3VLXXW</t>
  </si>
  <si>
    <t>https://yadi.sk/d/YZj1gsjk3VLXTr</t>
  </si>
  <si>
    <t>Советская,д.22</t>
  </si>
  <si>
    <t>https://yadi.sk/d/tJCW-msg3VLXZn</t>
  </si>
  <si>
    <t>Сабуровкая,д.2 в</t>
  </si>
  <si>
    <t>https://yadi.sk/d/Fbprbbba3VLXV8</t>
  </si>
  <si>
    <t>Строителей, 82</t>
  </si>
  <si>
    <t>Строителей, 84</t>
  </si>
  <si>
    <t>Строителей, 106а</t>
  </si>
  <si>
    <t>Строителей, 110</t>
  </si>
  <si>
    <t>Белинского 1А</t>
  </si>
  <si>
    <t>Агент не отвечал на звонки. Супервайзер сообщил, что агент находился на этом адресе в другой день и сегодня не работает.</t>
  </si>
  <si>
    <t>В. Клыкова, 64</t>
  </si>
  <si>
    <t>Крла Маркса 72/9</t>
  </si>
  <si>
    <t>Агент не отвечал на звонки. Супервайзер сообщил, что тоже не смог дозвониться до агента.</t>
  </si>
  <si>
    <t>К. Маркса 66/3</t>
  </si>
  <si>
    <t>Агент не отвечал на звонки. Супервайзер сообщил, что отвозил Юлию на адрес и она находится там. Агент Юлия перезвонила нашему проверяющему и сообщила, что сегодня весь день работала в офисе.</t>
  </si>
  <si>
    <t xml:space="preserve">Владимир </t>
  </si>
  <si>
    <t>Егорова 2</t>
  </si>
  <si>
    <t>Егорова 10</t>
  </si>
  <si>
    <t>Агент работал по адресу ул. Егорова, 2.</t>
  </si>
  <si>
    <t>Егорова 9</t>
  </si>
  <si>
    <t>Агент не отвечал на звонки. Обслуживание номера супервайзера временно приостановлено.</t>
  </si>
  <si>
    <t>Ул. Ленина 23</t>
  </si>
  <si>
    <t>ул. Республиканская 6б</t>
  </si>
  <si>
    <t>ул. Алмазная 1</t>
  </si>
  <si>
    <t>ул. Алмазная 33</t>
  </si>
  <si>
    <t>на адресе отсутствует, по телефону сообщил, что находится на адресе Алмазная 5 и должен встретиться с руководителем</t>
  </si>
  <si>
    <t>агент сообщил что находится на адресе Алмазная 1</t>
  </si>
  <si>
    <t>Мерзликин Александр</t>
  </si>
  <si>
    <t>Политаев Александр</t>
  </si>
  <si>
    <t>Суровцев Дмитрий</t>
  </si>
  <si>
    <t>Ершов Василий</t>
  </si>
  <si>
    <t>Головин Сергей</t>
  </si>
  <si>
    <t>Силинкин Александр Алексеевич</t>
  </si>
  <si>
    <t>Гордиенко Николай Михайлович</t>
  </si>
  <si>
    <t>Самонин Алексей Михайлович</t>
  </si>
  <si>
    <t>Круду Виктория</t>
  </si>
  <si>
    <t>Скворцов Антон</t>
  </si>
  <si>
    <t>Серов Александр</t>
  </si>
  <si>
    <t>Ильина Юля</t>
  </si>
  <si>
    <t>Савкин Егор</t>
  </si>
  <si>
    <t>Егоров Александр Андреевич</t>
  </si>
  <si>
    <t>Звездина Валентина Николаевна</t>
  </si>
  <si>
    <t>Дементьев Владислав Дмитриевич</t>
  </si>
  <si>
    <t>Пыльнов Иван Викторович</t>
  </si>
  <si>
    <t>Филипповская Ирина</t>
  </si>
  <si>
    <t>Козлова Ирэн</t>
  </si>
  <si>
    <t>Тищенко Юлия</t>
  </si>
  <si>
    <t>Новиков Ю.Д.</t>
  </si>
  <si>
    <t>Сидорина Ольга</t>
  </si>
  <si>
    <t>Глинский Максим Викторович</t>
  </si>
  <si>
    <t>Авилов Максим</t>
  </si>
  <si>
    <t>Шеховцов Никита</t>
  </si>
  <si>
    <t>Рыжов Данил</t>
  </si>
  <si>
    <t>Афанасенков Дмитрий Васильевич</t>
  </si>
  <si>
    <t>Лысакова Елена Леонидовна</t>
  </si>
  <si>
    <t>Никишева Яна</t>
  </si>
  <si>
    <t>Агафонов Евгений</t>
  </si>
  <si>
    <t>Макеев Дмитрий</t>
  </si>
  <si>
    <t>Панин Валентин</t>
  </si>
  <si>
    <t>Логунов Алексей Константинович</t>
  </si>
  <si>
    <t>Микитюк Александр</t>
  </si>
  <si>
    <t>Ротов Денис</t>
  </si>
  <si>
    <t>Павликов Илья</t>
  </si>
  <si>
    <t>8(920)380-34-55</t>
  </si>
  <si>
    <t>Ермолаев Тарас Вячеславович</t>
  </si>
  <si>
    <t>Новиков Ю. Д.</t>
  </si>
  <si>
    <t>Честноков Евгений</t>
  </si>
  <si>
    <t>Джуракулов Сиевуш Бахромович</t>
  </si>
  <si>
    <t>Строкова Лилия</t>
  </si>
  <si>
    <t>Елизарова Анастасия</t>
  </si>
  <si>
    <t>Куликова Яна</t>
  </si>
  <si>
    <t>Климова Яна</t>
  </si>
  <si>
    <t>Барсуков Павел</t>
  </si>
  <si>
    <t>Алексей Проваленов</t>
  </si>
  <si>
    <t>Сахаров Роман</t>
  </si>
  <si>
    <t>Гребенникова Мария Алексеевна</t>
  </si>
  <si>
    <t>Колобаев Евгений Александрович</t>
  </si>
  <si>
    <t>Надточий Сергей</t>
  </si>
  <si>
    <t>Кашкин Святослав Николаевич</t>
  </si>
  <si>
    <t>Колышкин Михаил</t>
  </si>
  <si>
    <t>Брантов Евгений Николаевич</t>
  </si>
  <si>
    <t xml:space="preserve">Олехнович Дмитрий </t>
  </si>
  <si>
    <t>Макеева Ольга</t>
  </si>
  <si>
    <t>Кусков Евгений</t>
  </si>
  <si>
    <t>Белоглазова Анастасия Ильинична</t>
  </si>
  <si>
    <t>Касаткин Юрий Александрович</t>
  </si>
  <si>
    <t>ФИО Менеджера</t>
  </si>
  <si>
    <t>Количество дней с нарушениями в Апреле (филиал/менеджер)</t>
  </si>
  <si>
    <t xml:space="preserve">Тверь </t>
  </si>
  <si>
    <t>Октябрьский 51</t>
  </si>
  <si>
    <t>пр-д Швейников 4 корп.1</t>
  </si>
  <si>
    <t>с 18:20 до 20:00</t>
  </si>
  <si>
    <t>Симановского, д.21</t>
  </si>
  <si>
    <t>https://yadi.sk/i/vaJhTsco3VXNtz</t>
  </si>
  <si>
    <t>Агент сказал, что работает по адресу ул. Текстильщиков вместе с напарницей и как закончат работу поедут на ул. Симановского.</t>
  </si>
  <si>
    <t>Симановского, д.28</t>
  </si>
  <si>
    <t>https://yadi.sk/i/biZhPZ873VXNvU</t>
  </si>
  <si>
    <t>Агент работает в паре с Тарасом по ул. Текстильщиков</t>
  </si>
  <si>
    <t>Якиманиха, д.13</t>
  </si>
  <si>
    <t>https://yadi.sk/i/THlhdFs83VXNxC</t>
  </si>
  <si>
    <t>Агент сообщила, что будет на адресе через 10 минут, спустя 10 минут агент не отвечал на звонки. Телефон супервайзера выключен.</t>
  </si>
  <si>
    <t>Пастуховская, д.17</t>
  </si>
  <si>
    <t>https://yadi.sk/i/JMdDX4el3VXNsH</t>
  </si>
  <si>
    <t xml:space="preserve">Агент сообщила, что находится в доме и общается с клиентом, в течение 10 минут агент не спускался. Через некоторое время к дому подошел агент Игорь, без бейджа и папки и сообщил, что агент Анастасия болеет и он работает вместо неё. Наш контролер отказался фотографировать агента Игоря, агент развернулся и ушел. </t>
  </si>
  <si>
    <t>Туполева 27а</t>
  </si>
  <si>
    <t>https://yadi.sk/i/Z-jemULW3Vc4TR</t>
  </si>
  <si>
    <t xml:space="preserve">Агент Николай сказал, что ошиблись номером. Информацию передали супервайзеру, он не смог дозвонится до своего сотрудника. Супервайзер попросил оставить комментарий о том, что в данном доме плохая связь и порой невозможно дозвонится. </t>
  </si>
  <si>
    <t xml:space="preserve">Агент Даниил сказал, что плохо слышно, затем наш представитель не смог дозвонится, так как номер агент был выключен. Супервайзеру информацию передали, он так же не смог дозвонится. </t>
  </si>
  <si>
    <t xml:space="preserve">Агент не отвечал на звонки. Супервайзер так же не смог дозвонится. </t>
  </si>
  <si>
    <t>Ломоносова 114/19</t>
  </si>
  <si>
    <t>https://yadi.sk/d/eV2H_l1i3Vc4Nu</t>
  </si>
  <si>
    <t>18.00-19.00</t>
  </si>
  <si>
    <t>Маслозаводской,5</t>
  </si>
  <si>
    <t>Раздольная,76,к.1</t>
  </si>
  <si>
    <t>Латышских стрелков, д. 52</t>
  </si>
  <si>
    <t xml:space="preserve">Рязань </t>
  </si>
  <si>
    <t>ул. Кальная, д.5</t>
  </si>
  <si>
    <t>Номер агента не правильный. Супервайзер не отвечал на звонки.</t>
  </si>
  <si>
    <t>Касимовское шоссе д. 44 корп 1</t>
  </si>
  <si>
    <t>Телефон агента не доступен, супервайзер сообщил, что перепутал адреса и агент работает по адресу ул. Кальная, д. 44 корп. 1.</t>
  </si>
  <si>
    <t>Магистральная,  д. 18</t>
  </si>
  <si>
    <t>ул. Магистральнгая, д. 17</t>
  </si>
  <si>
    <t>Агент сообщи, что работал до 20:00, заранее отпросился. Супервайзер не отвечал на звонки.</t>
  </si>
  <si>
    <t>Добросельская 195Б</t>
  </si>
  <si>
    <t>П.Осипенко 15</t>
  </si>
  <si>
    <t>Клыкова 1</t>
  </si>
  <si>
    <t>Агенты работали в жилом доме.</t>
  </si>
  <si>
    <t>Клыкова 92</t>
  </si>
  <si>
    <t>Агент работал в жилом доме.</t>
  </si>
  <si>
    <t>19:00-21:00</t>
  </si>
  <si>
    <t>Орловская 1 А</t>
  </si>
  <si>
    <t>Советская,д.190 а корп. 2</t>
  </si>
  <si>
    <t>https://yadi.sk/d/ABIhcSpS3Vi2rp</t>
  </si>
  <si>
    <t>https://yadi.sk/d/EdpmtZHF3Vi2vc</t>
  </si>
  <si>
    <t>Красноармейская,д.11</t>
  </si>
  <si>
    <t>https://yadi.sk/d/ZByR5MBo3Vi2pk</t>
  </si>
  <si>
    <t>Андреевская,д.94</t>
  </si>
  <si>
    <t>https://yadi.sk/d/TxAevve53Vi2tJ</t>
  </si>
  <si>
    <t>Степная 1А</t>
  </si>
  <si>
    <t>Телефон агента не доступен. Супервайзер не отвечал на звонки.</t>
  </si>
  <si>
    <t>Строителей, 36</t>
  </si>
  <si>
    <t>Строителей, 44</t>
  </si>
  <si>
    <t>Строителей, 40</t>
  </si>
  <si>
    <t>Строителей, 45</t>
  </si>
  <si>
    <t>с 18.30 до 21.00</t>
  </si>
  <si>
    <t>Московский 142 У/1</t>
  </si>
  <si>
    <t>11.00 - 14.00</t>
  </si>
  <si>
    <t xml:space="preserve">ул. Ремесленная </t>
  </si>
  <si>
    <t>Вместо агента Анны, работала агент Олеся.</t>
  </si>
  <si>
    <t>Вместо агента Юлии, работал агент Вячеслав.</t>
  </si>
  <si>
    <t>Тенишевой д.27</t>
  </si>
  <si>
    <t>Нахимиво д. 6а</t>
  </si>
  <si>
    <t>Агент сообщил, что работал утром. Супервайзер подтвердил.</t>
  </si>
  <si>
    <t>Терешковой 25</t>
  </si>
  <si>
    <t>https://yadi.sk/d/fzuh1q6j3VsAFv</t>
  </si>
  <si>
    <t>Терешковой 29а</t>
  </si>
  <si>
    <t>https://yadi.sk/d/dgExcY8y3VsAE5</t>
  </si>
  <si>
    <t>Победы 93</t>
  </si>
  <si>
    <t>https://yadi.sk/i/n-NAa6Un3VsARf</t>
  </si>
  <si>
    <t>Агент сообщил, что давно выполнил работу и едет домой. Супервайзер не ответил на звонок.</t>
  </si>
  <si>
    <t>Сергея Казьмина 5</t>
  </si>
  <si>
    <t>https://yadi.sk/d/C0WoauSI3VsAKo</t>
  </si>
  <si>
    <t>с 15:00 до 17:00</t>
  </si>
  <si>
    <t>ул Комсомольская д 191к4</t>
  </si>
  <si>
    <t>https://yadi.sk/d/RFgPWtNI3VsABR</t>
  </si>
  <si>
    <t>с 14:00 до 16:00</t>
  </si>
  <si>
    <t>Станиславского 4,8А</t>
  </si>
  <si>
    <t>https://yadi.sk/d/XPLWsKgC3VsA5G</t>
  </si>
  <si>
    <t>Станиславского 10А</t>
  </si>
  <si>
    <t>https://yadi.sk/d/OoYYPMMQ3VsA3B</t>
  </si>
  <si>
    <t>Генерала Попова 2</t>
  </si>
  <si>
    <t>https://yadi.sk/d/9g57WtwB3VvoYb</t>
  </si>
  <si>
    <t>Фомушина 5</t>
  </si>
  <si>
    <t>https://yadi.sk/d/P0dYXLI_3VvoeH</t>
  </si>
  <si>
    <t>Хорошая 6</t>
  </si>
  <si>
    <t>https://yadi.sk/i/cWxLfZ3x3Vvoh6</t>
  </si>
  <si>
    <t>Контролер не смог дозвониться до агента. Супервайзер сообщила, что агент закончила работу и в данный момент работает в доме на против. Через 5 минут супервайзер перезвонил координатору и передала трубку агенту, в итоге разговора выяснилось, что супер предоставил не верный номер телефона агента, связи с этим контролер не смог до него дозвониться.</t>
  </si>
  <si>
    <t>Фомушина 3</t>
  </si>
  <si>
    <t>https://yadi.sk/d/UAipBtMQ3VvocM</t>
  </si>
  <si>
    <t>ул. Новополянская, д. 11</t>
  </si>
  <si>
    <t>https://yadi.sk/i/EvPjLXEr3VvpCF</t>
  </si>
  <si>
    <t>Агент не отвечал на звонки. Супервайзеру информацию передали.</t>
  </si>
  <si>
    <t>ул. Полянская, д.5</t>
  </si>
  <si>
    <t>https://yadi.sk/d/1JU7Hsx93Vvp6n</t>
  </si>
  <si>
    <t>ул. Коммунальная, д.30</t>
  </si>
  <si>
    <t>https://yadi.sk/d/TzgD4jaB3Vvp52</t>
  </si>
  <si>
    <t>ул. И. Сусанина, д.41</t>
  </si>
  <si>
    <t>https://yadi.sk/d/TrIqiDfz3Vvp9D</t>
  </si>
  <si>
    <t>НЕКРАСОВА 2 (БРЯНСК)</t>
  </si>
  <si>
    <t>https://yadi.sk/i/_tnopv0x3VvoFR</t>
  </si>
  <si>
    <t>По телефону ответил Андрей, сказал, что к Ростелекому не имеет отношения. Супервайзер не ответил на звонок.</t>
  </si>
  <si>
    <t>ЕВДОКИМОВА 8 (БРЯНСК)</t>
  </si>
  <si>
    <t>https://yadi.sk/d/YdMJMaCP3VvoAv</t>
  </si>
  <si>
    <t>Комарова 59</t>
  </si>
  <si>
    <t>https://yadi.sk/d/ndJLfnuO3VvoCW</t>
  </si>
  <si>
    <t>Комарова 61</t>
  </si>
  <si>
    <t>https://yadi.sk/d/PHU2gKx33VvoDp</t>
  </si>
  <si>
    <t>Старый оскол</t>
  </si>
  <si>
    <t>Олимпийский 20</t>
  </si>
  <si>
    <t>https://yadi.sk/i/eV9U05sX3VvpNU</t>
  </si>
  <si>
    <t>Агент сообщил, что не смогла выйти на работу, так как заболел ребенок. Супервайзер информацию подтвердил.</t>
  </si>
  <si>
    <t>Степной 26</t>
  </si>
  <si>
    <t>https://yadi.sk/d/1rvo-7LH3VvpJx</t>
  </si>
  <si>
    <t xml:space="preserve">Вместо агента Ольги работает её сын. </t>
  </si>
  <si>
    <t>ул.Комсомольская,270</t>
  </si>
  <si>
    <t>Московское шоссе, д. 155</t>
  </si>
  <si>
    <t>18.00-19.30</t>
  </si>
  <si>
    <t>Коробкова 3</t>
  </si>
  <si>
    <t>Левитана 58 корп. 1</t>
  </si>
  <si>
    <t>Агент не хотел фотографироваться, объяснив, что это не входит в его обязанности. Согласился сделать фото со спины.</t>
  </si>
  <si>
    <t>Екатерины Фарафоновой 36Б</t>
  </si>
  <si>
    <t>Агент сообщил, что ему не дали расписание и он работает на другом адресе. Супервайзеру сообщили.</t>
  </si>
  <si>
    <t>Советская,д.190 д корп. 1</t>
  </si>
  <si>
    <t>https://yadi.sk/d/a55EbYC33W2UJS</t>
  </si>
  <si>
    <t>Советская,д.190 д корп. 2</t>
  </si>
  <si>
    <t>https://yadi.sk/d/zdpeG_2G3W2UH7</t>
  </si>
  <si>
    <t>Советская, д.190Б к.1</t>
  </si>
  <si>
    <t>https://yadi.sk/d/2cRKFR7n3W2UKm</t>
  </si>
  <si>
    <t>Покровская, д. 1</t>
  </si>
  <si>
    <t>https://yadi.sk/d/IbgTESyE3W2UF6</t>
  </si>
  <si>
    <t>ул. Семилукская д 16/7</t>
  </si>
  <si>
    <t>https://yadi.sk/d/yIg2GzrR3W2Vg3</t>
  </si>
  <si>
    <t>ул. Семилукская д 16/5</t>
  </si>
  <si>
    <t>https://yadi.sk/d/-OCEOrgo3W2ViA</t>
  </si>
  <si>
    <t>ул. Семилукская д 16/1</t>
  </si>
  <si>
    <t>https://yadi.sk/d/2XjyZK043W2Vef</t>
  </si>
  <si>
    <t>Комсомольская 27а</t>
  </si>
  <si>
    <t>https://yadi.sk/d/sipIsMy73W2Vcz</t>
  </si>
  <si>
    <t>Новомосковск</t>
  </si>
  <si>
    <t>с 18:00 до 20.00</t>
  </si>
  <si>
    <t>ул. Калинина 36/7</t>
  </si>
  <si>
    <t>Вместо Ильи работает его жена Ольга, агент сообщила, что работает на выезде. Супервайзер подтвердил.</t>
  </si>
  <si>
    <t>ул. Калинина 28/45</t>
  </si>
  <si>
    <t xml:space="preserve">Агент не отвечал на телефон. Супервайзер сообщил, что Инна сегодня не работает. </t>
  </si>
  <si>
    <t>с 18.00 до 20.00</t>
  </si>
  <si>
    <t>КАЛИНИНА 13 под.2 эт.4</t>
  </si>
  <si>
    <t>https://yadi.sk/i/h6v8oNOR3W2W2T</t>
  </si>
  <si>
    <t xml:space="preserve">Агент сообщил, что работает на другом адресе. Телефон супервайзера не доступен. </t>
  </si>
  <si>
    <t>КАЛИНИНА 18 под.2 эт.4</t>
  </si>
  <si>
    <t>https://yadi.sk/i/LHjISZUy3W2W3n</t>
  </si>
  <si>
    <t>ш. Михайловское, д. 93к1</t>
  </si>
  <si>
    <t>Агент не отвечал на звонки. Супервайзер не ответил на телефонный звонок. Спустя 15 минут супервайзер перезвонил и сообщил, что находится с агентом на адресе ш. Михайловское, д. 77. Супервайзер назвал другой номер агента.</t>
  </si>
  <si>
    <t>ул. Семинарская, д. 43</t>
  </si>
  <si>
    <t>ул. Семинарская,  д. 43</t>
  </si>
  <si>
    <t>Жукова 16</t>
  </si>
  <si>
    <t>Володарского 97</t>
  </si>
  <si>
    <t>Некрасова 31</t>
  </si>
  <si>
    <t>Большая Октябрьская 126а</t>
  </si>
  <si>
    <t>Агент не отвечает</t>
  </si>
  <si>
    <t>Агент недоступен</t>
  </si>
  <si>
    <t>Сидоренко Владислав Александрович</t>
  </si>
  <si>
    <t>Головина Ольга Васильевна</t>
  </si>
  <si>
    <t>Сергеев Дмитрий</t>
  </si>
  <si>
    <t>Костенко Катя</t>
  </si>
  <si>
    <t>Боровских Владимир</t>
  </si>
  <si>
    <t>Костенко Екатерина</t>
  </si>
  <si>
    <t>САМОХИНА ВАЛЕРИЯ</t>
  </si>
  <si>
    <t>Акчурина Кристина Марселевна</t>
  </si>
  <si>
    <t>Фатиева Анастасия Александровна</t>
  </si>
  <si>
    <t>Филлиповская Ирина</t>
  </si>
  <si>
    <t>Мещерякова Ольга</t>
  </si>
  <si>
    <t>Сальников Максим</t>
  </si>
  <si>
    <t>Фролов Павел</t>
  </si>
  <si>
    <t>8-920-541-01-52</t>
  </si>
  <si>
    <t>8-960-142-18-36</t>
  </si>
  <si>
    <t>Клоков Илья Игоревич</t>
  </si>
  <si>
    <t>Козлова Инна</t>
  </si>
  <si>
    <t>Кохан Святослав Олегович</t>
  </si>
  <si>
    <t>Сокирко Дмитрий Владиславович</t>
  </si>
  <si>
    <t>Баева Ольга Владиславовна</t>
  </si>
  <si>
    <t>8(958)5704599</t>
  </si>
  <si>
    <t>Ряховская Инна Валериевна</t>
  </si>
  <si>
    <t>8(910)1536458</t>
  </si>
  <si>
    <t>Вититнев Сергей</t>
  </si>
  <si>
    <t>Шестакова Алена</t>
  </si>
  <si>
    <t>Аксенкин Сергей</t>
  </si>
  <si>
    <t>Рюмин Александр Николаевич</t>
  </si>
  <si>
    <t xml:space="preserve">Авдевев Евгений </t>
  </si>
  <si>
    <t>Фомин Сергей</t>
  </si>
  <si>
    <t>Мишина Татьяна</t>
  </si>
  <si>
    <t>Колпакова Анна</t>
  </si>
  <si>
    <t>Ильина Юлия</t>
  </si>
  <si>
    <t>МИХАЛУТИНА ЮЛИЯ</t>
  </si>
  <si>
    <t>Ткаченко Юлия</t>
  </si>
  <si>
    <t>Тригуб Ольга</t>
  </si>
  <si>
    <t>Ходжаева Олеся</t>
  </si>
  <si>
    <t>8(991)315-57-07</t>
  </si>
  <si>
    <t>Кулакова Ирина Анатольевна</t>
  </si>
  <si>
    <t>Кузнецова Кристина Игоревна (отпуск)</t>
  </si>
  <si>
    <t>Голутвин Евгений Сергеевич</t>
  </si>
  <si>
    <t>8(920)487-70-26</t>
  </si>
  <si>
    <t>Лалин Дмитрий</t>
  </si>
  <si>
    <t>Мужчинин Антон</t>
  </si>
  <si>
    <t>Балышева Анна Викторовна</t>
  </si>
  <si>
    <t>8(910)8363384</t>
  </si>
  <si>
    <t xml:space="preserve">Пызгарев Алексей </t>
  </si>
  <si>
    <t>Фандеев Иван</t>
  </si>
  <si>
    <t>Кобылков Антон Дмитриевич</t>
  </si>
  <si>
    <t xml:space="preserve">Белоглазова Анастасия </t>
  </si>
  <si>
    <t>Кучерской переулок 6</t>
  </si>
  <si>
    <t>Кучерской переулок 5</t>
  </si>
  <si>
    <t>данный адрес обходил днем ранее</t>
  </si>
  <si>
    <t>Свердлова 23</t>
  </si>
  <si>
    <t>агент не берет трубку</t>
  </si>
  <si>
    <t>солнечный бульвар 4,6,8</t>
  </si>
  <si>
    <t>https://yadi.sk/d/UFfuM6_P3WBGtr</t>
  </si>
  <si>
    <t>с 18:30 до 21:01</t>
  </si>
  <si>
    <t>https://yadi.sk/d/kQXJt5lL3WBGuo</t>
  </si>
  <si>
    <t>хрустальная 44 корп.4 4подъезд</t>
  </si>
  <si>
    <t>https://yadi.sk/d/4X6_2n563WBGxn</t>
  </si>
  <si>
    <t>хрустальная 44 корп.4 5подъезд</t>
  </si>
  <si>
    <t>https://yadi.sk/d/PVNUv1Pk3WBGwZ</t>
  </si>
  <si>
    <t>Привольная 13</t>
  </si>
  <si>
    <t>Агент сказал, что спускается. Спустя 15 минут агент не спустился и отключил телефон. Супервазйр не отвечал на телефонные звонки.</t>
  </si>
  <si>
    <t>б-р 1 Салюта 11</t>
  </si>
  <si>
    <t>Агент сообщил, что материал весь закончился.</t>
  </si>
  <si>
    <t>Добросельская 215</t>
  </si>
  <si>
    <t xml:space="preserve">Агент сообщил, что не вышла из-за плохой погоды. Супервайзеру сообщили. </t>
  </si>
  <si>
    <t>ул.Раздольная,86</t>
  </si>
  <si>
    <t>ул. Козуева, д.79</t>
  </si>
  <si>
    <t>https://yadi.sk/i/ESv40Pud3WH6fu</t>
  </si>
  <si>
    <t>Агент сообщила, что работала на данном адресе 18.05.2018. Супервайзеру информацию передали.</t>
  </si>
  <si>
    <t>Агент сообщил, что работал на данном адресе 18.05.2018. Супервайзеру информацию передали.</t>
  </si>
  <si>
    <t>ул. Юных пионеров, д. 3</t>
  </si>
  <si>
    <t>https://yadi.sk/i/L5wO8oxo3WH6ic</t>
  </si>
  <si>
    <t>Агент сообщил, что находится на больничном. Супервайзеру информацию передали.</t>
  </si>
  <si>
    <t>с 13.00 до 15:00</t>
  </si>
  <si>
    <t>Литературный сквер</t>
  </si>
  <si>
    <t>с 14:00 - 16:00</t>
  </si>
  <si>
    <t>пл. Пушкина</t>
  </si>
  <si>
    <t>ТЦ Тополь</t>
  </si>
  <si>
    <t xml:space="preserve">Во время проверки пл. Пушкина агент Даниил работал совместно с агентом Сергеем и еще одним сотрудником Ростелекома. Когда наш контролер приступил к проверке точки ТЦ Тополь, агент Даниил уже находился на адресе. </t>
  </si>
  <si>
    <t>с 18.15 до 20:45</t>
  </si>
  <si>
    <t>Велижская, 14</t>
  </si>
  <si>
    <t>Агент сообщил, что начал работу раньше и уже закончил. Супервайзер подтвердил.</t>
  </si>
  <si>
    <t>Клыкова 39</t>
  </si>
  <si>
    <t xml:space="preserve">Агент не отвечал на звонки. Супервайзер попросил время, чтобы дозвониться до агента. В 19:55 супервайзер перезвонил и сообщил, что аген на месте. </t>
  </si>
  <si>
    <t>Победы 44</t>
  </si>
  <si>
    <t>с 17:30 до 19:00</t>
  </si>
  <si>
    <t>ул. Академика Петрова д. 14</t>
  </si>
  <si>
    <t>ул. Нарвская 21/2</t>
  </si>
  <si>
    <t>с 19:00 до 20:30</t>
  </si>
  <si>
    <t>пер. Колхозный д. 19 А</t>
  </si>
  <si>
    <t xml:space="preserve">Смоленск </t>
  </si>
  <si>
    <t>Торбиевская Марина</t>
  </si>
  <si>
    <t>Старый Оскол</t>
  </si>
  <si>
    <t>с 18-00 до 20-00</t>
  </si>
  <si>
    <t>Ул. Хмелева 1</t>
  </si>
  <si>
    <t>https://yadi.sk/i/fN1b5VSC3WLjQV</t>
  </si>
  <si>
    <t>По номеру агента сообщили, что ошиблись номером. Супервайзеру информацию передали.</t>
  </si>
  <si>
    <t>Агент сообщил, что по данному адресу работал вчера. Супервайзеру информацию передали.</t>
  </si>
  <si>
    <t>с 19-00 до 21-00</t>
  </si>
  <si>
    <t>Степной 6</t>
  </si>
  <si>
    <t>https://yadi.sk/i/9-VQZM_23WLjS4</t>
  </si>
  <si>
    <t>Агент сообщил, что работает по другим адресам. Супервайзеру информацию передали.</t>
  </si>
  <si>
    <t xml:space="preserve">По номеру агента ответил молодой человек и сказал, что наш контролер ошибся номером. Супервайзеру информацию передали. Супервайзер попросил, чтобы контроль организовали через две недели, так как в данный момент она находится в отпуске. </t>
  </si>
  <si>
    <t>30 Лет октября 8</t>
  </si>
  <si>
    <t>https://yadi.sk/d/yA2ZKzzP3WLj78</t>
  </si>
  <si>
    <t>Гагарина 96,98,100</t>
  </si>
  <si>
    <t>https://yadi.sk/d/dMdHEgle3WLjCz</t>
  </si>
  <si>
    <t>Мусорского 5,6,7,8</t>
  </si>
  <si>
    <t>https://yadi.sk/d/PogUCYNI3WLjGg</t>
  </si>
  <si>
    <t>ПАПИНА (Г. ЛИПЕЦК) 23</t>
  </si>
  <si>
    <t>https://yadi.sk/i/LUL_OCIt3WLjbr</t>
  </si>
  <si>
    <t>Агент сообщил, что не работает в Ростелекоме уже неделю. Обслуживание номера телефона супервайзера временно приостановлено.</t>
  </si>
  <si>
    <t>Обнинск</t>
  </si>
  <si>
    <t>Ленина 88</t>
  </si>
  <si>
    <t xml:space="preserve">Агент сообщил, что не работает  на этом адресе, на вопрос где работает, начал хамить по телефону. Супервайзер сообщил, что не его агент. </t>
  </si>
  <si>
    <t>ЗЕЛЕНАЯ 21/8</t>
  </si>
  <si>
    <t xml:space="preserve">На адресе ул. Зеленая, д. 21/8 нет таблички. Фото сделано на адресе ул. Зеленая, д. 21. </t>
  </si>
  <si>
    <t>ЗЕЛЕНАЯ 19</t>
  </si>
  <si>
    <t>ЗЕЛЕНАЯ 17</t>
  </si>
  <si>
    <t>ЗЕЛЕНАЯ 3 А</t>
  </si>
  <si>
    <t>Резинстроя 4, 9/3</t>
  </si>
  <si>
    <t>Фото сделано на адресе ул. Резисторная, д. 4/10.</t>
  </si>
  <si>
    <t>Резинстроя 9/2</t>
  </si>
  <si>
    <t>Кайкова 5</t>
  </si>
  <si>
    <t>Ржевская 11</t>
  </si>
  <si>
    <t>Николай</t>
  </si>
  <si>
    <t>Жилстроя 2а</t>
  </si>
  <si>
    <t>https://yadi.sk/d/8fIlrpTo3WPorh</t>
  </si>
  <si>
    <t>https://yadi.sk/d/uEg0Fs6L3WPote</t>
  </si>
  <si>
    <t>ФЕДЮНИНСКОГО ПР-Д 10 (БРЯНСК)</t>
  </si>
  <si>
    <t>https://yadi.sk/d/isLs0Qyl3WPouT</t>
  </si>
  <si>
    <t>ФЕДЮНИНСКОГО ПР-Д 10А (БРЯНСК)</t>
  </si>
  <si>
    <t>https://yadi.sk/d/w09kuso03WPowz</t>
  </si>
  <si>
    <t>Шиков Антон Игоревич</t>
  </si>
  <si>
    <t>Салтыкова щедрина 15</t>
  </si>
  <si>
    <t>Чайковского 49</t>
  </si>
  <si>
    <t>Переулок Минина 14</t>
  </si>
  <si>
    <t>Суздальская 27 к3</t>
  </si>
  <si>
    <t>Суздальская 89 к 2</t>
  </si>
  <si>
    <t>Горбунов Богдан</t>
  </si>
  <si>
    <t>Артемьичев Сергей</t>
  </si>
  <si>
    <t>Стецкий Даниил</t>
  </si>
  <si>
    <t>ИП Новиков А.В.</t>
  </si>
  <si>
    <t>8-905-157-37-32</t>
  </si>
  <si>
    <t>Парфенюк Александр</t>
  </si>
  <si>
    <t>Самохина Валерия</t>
  </si>
  <si>
    <t>Усова Кристина</t>
  </si>
  <si>
    <t>Брыгина Анастасия Владимировна</t>
  </si>
  <si>
    <t>Попов Вадим Андреевич</t>
  </si>
  <si>
    <t>Алфимова Анна</t>
  </si>
  <si>
    <t>Володин Роман</t>
  </si>
  <si>
    <t>Михайлов Сергей</t>
  </si>
  <si>
    <t>Яковлева Евгения</t>
  </si>
  <si>
    <t>Вырикова Анна Сергеевна</t>
  </si>
  <si>
    <t xml:space="preserve">Хусаинов Даниил </t>
  </si>
  <si>
    <t>Придачина Валентина Николаевна</t>
  </si>
  <si>
    <t>Брянцева Ольга Валерьевна</t>
  </si>
  <si>
    <t>Чудикова Оксана</t>
  </si>
  <si>
    <t>Москалев Роман</t>
  </si>
  <si>
    <t>ХОМАНСКАЯ НАТАЛЬЯ</t>
  </si>
  <si>
    <t xml:space="preserve">Минеева Ольга </t>
  </si>
  <si>
    <t>Долинова Юлия</t>
  </si>
  <si>
    <t>Сунцов Андрей</t>
  </si>
  <si>
    <t>Губарева Валерия</t>
  </si>
  <si>
    <t xml:space="preserve">Брантов Евгений </t>
  </si>
  <si>
    <t>Есенина 26</t>
  </si>
  <si>
    <t>Агент сообщил, что работает с 18:30. Супервайзер подтвердила.</t>
  </si>
  <si>
    <t>с 18-00 до 19-00</t>
  </si>
  <si>
    <t>Губкина 21</t>
  </si>
  <si>
    <t>Агент сообщил, что закончил работу и уже уехал. Супервайзеру сообщили.</t>
  </si>
  <si>
    <t>Белгородский проспект д. 21</t>
  </si>
  <si>
    <t>с 18-45 до 19-45</t>
  </si>
  <si>
    <t>Привольная 6</t>
  </si>
  <si>
    <t>Героев Сибиряков 53</t>
  </si>
  <si>
    <t>https://yadi.sk/d/CQItvOYh3WWZdA</t>
  </si>
  <si>
    <t>Героев Сибиряков 53а</t>
  </si>
  <si>
    <t>https://yadi.sk/d/f4QU9KmO3WWZfM</t>
  </si>
  <si>
    <t>Героев Сибиряков 55</t>
  </si>
  <si>
    <t>https://yadi.sk/d/9oSarPlQ3WWZgr</t>
  </si>
  <si>
    <t>Героев Сибиряков 87</t>
  </si>
  <si>
    <t>https://yadi.sk/d/bnCGex9x3WWZjZ</t>
  </si>
  <si>
    <t>18:00-20:30</t>
  </si>
  <si>
    <t>Ф. Энгельса 147,147А</t>
  </si>
  <si>
    <t>https://yadi.sk/d/PDJXa4F53WWZmM</t>
  </si>
  <si>
    <t>Тургеневская 12</t>
  </si>
  <si>
    <t>https://yadi.sk/i/jK1nBV103WWZqo</t>
  </si>
  <si>
    <t xml:space="preserve">Агент сообщил, что уже закончил работу. Супервайзеру информацию передали.  </t>
  </si>
  <si>
    <t>ул.Курковая 20, 24</t>
  </si>
  <si>
    <t>https://yadi.sk/i/XM7ZXbOi3WWZsi</t>
  </si>
  <si>
    <t xml:space="preserve">Агент сообщил, что у него рабочий день до 20. </t>
  </si>
  <si>
    <t>ул Волкова д 5 А</t>
  </si>
  <si>
    <t>https://yadi.sk/d/Pmo4iCxI3WWZoU</t>
  </si>
  <si>
    <t>Рылеева 46 А</t>
  </si>
  <si>
    <t>https://yadi.sk/i/2bLIs5ww3WcSwV</t>
  </si>
  <si>
    <t>Номер агента не доступен.</t>
  </si>
  <si>
    <t>Тарутинская 231 к.9 ,6</t>
  </si>
  <si>
    <t>https://yadi.sk/i/k1UhlZXY3WcSyk</t>
  </si>
  <si>
    <t xml:space="preserve">Агент сообщил, что будет на месте через 30 минут. Супервайзер сказал, что опоздание связанно с аварийной ситуацией по пути на адрес. </t>
  </si>
  <si>
    <t>Тарутинская 231 к.5 ,8</t>
  </si>
  <si>
    <t>https://yadi.sk/i/goGl80AB3WcT2P</t>
  </si>
  <si>
    <t>ул. Калиновкая, д.22/41</t>
  </si>
  <si>
    <t>https://yadi.sk/d/0mF2_hxM3WcU93</t>
  </si>
  <si>
    <t>ул. Калиновская, д.22/41</t>
  </si>
  <si>
    <t>https://yadi.sk/d/2LW9ukni3WcU68</t>
  </si>
  <si>
    <t>ул. Калиновская, д.24</t>
  </si>
  <si>
    <t>https://yadi.sk/d/II_eSz5y3WcUCT</t>
  </si>
  <si>
    <t>ул. Калиновская, д.12</t>
  </si>
  <si>
    <t>https://yadi.sk/d/CK8xKemn3WcUAY</t>
  </si>
  <si>
    <t>Агапкина 25 A</t>
  </si>
  <si>
    <t>https://yadi.sk/d/jINHUIW23WcUKx</t>
  </si>
  <si>
    <t>М. Горького,д.14</t>
  </si>
  <si>
    <t>https://yadi.sk/d/423Edb6j3WcUEU</t>
  </si>
  <si>
    <t xml:space="preserve">Агент Кирилл находится на больничном, его заменил Евгений. Фотография сделана у дома на против. </t>
  </si>
  <si>
    <t>Мичуринская, д.136</t>
  </si>
  <si>
    <t>https://yadi.sk/d/vT9VrqBc3WcUGn</t>
  </si>
  <si>
    <t>Сабуровская, 2 а/2</t>
  </si>
  <si>
    <t>https://yadi.sk/d/SRl2UjAU3WcUMX</t>
  </si>
  <si>
    <t>16.30-18.00</t>
  </si>
  <si>
    <t>Добросельская 195В</t>
  </si>
  <si>
    <t>На звонок ответила девушка, сообщила, что ошиблись номером. Супервайзер сообщил, что работает девушка, но зарегестрирована под именем Андрей. Далее телефон агента был не доступен. Супервайзер тоже не смог дозвониться до агента.</t>
  </si>
  <si>
    <t>Балакирева 41А, 35</t>
  </si>
  <si>
    <t>Агент сообщил, что работает с 18:30 до 20:00. Супервайзер подтвердил.</t>
  </si>
  <si>
    <t>18.30-20.00</t>
  </si>
  <si>
    <t>Левино поле 46</t>
  </si>
  <si>
    <t>Комиссарова 9</t>
  </si>
  <si>
    <t>Куликова, 28</t>
  </si>
  <si>
    <t>Куликова, 26</t>
  </si>
  <si>
    <t>Агент не отвечал на звонки, после телефон был недоступен. Супервайзер тоже не смог дозвониться до агента.</t>
  </si>
  <si>
    <t>Кохомское шоссе, 22</t>
  </si>
  <si>
    <t>Кохомское шоссе, 22 б</t>
  </si>
  <si>
    <t>ул. Нарвская д. 21/3</t>
  </si>
  <si>
    <t>пер. Ново-Чернушенский д. 5</t>
  </si>
  <si>
    <t>кирова д. 29б</t>
  </si>
  <si>
    <t>нормандия неман д. 31</t>
  </si>
  <si>
    <t>Громовой 2,2а</t>
  </si>
  <si>
    <t>https://yadi.sk/d/8rO3HzX53WepAd</t>
  </si>
  <si>
    <t xml:space="preserve">Фото сделано у дома на против. </t>
  </si>
  <si>
    <t>терешковой 16</t>
  </si>
  <si>
    <t>https://yadi.sk/i/8A18H3Gv3WepFF</t>
  </si>
  <si>
    <t xml:space="preserve">Агент уволился месяц назад. </t>
  </si>
  <si>
    <t>доватора 61</t>
  </si>
  <si>
    <t>https://yadi.sk/i/LN0dg6Sn3WepDK</t>
  </si>
  <si>
    <t xml:space="preserve">Агент сообщил, что работает по другому адресу </t>
  </si>
  <si>
    <t>50 лет октября 96</t>
  </si>
  <si>
    <t>19.00-20.30</t>
  </si>
  <si>
    <t>Серафима Саровского 5</t>
  </si>
  <si>
    <t>17.00-19-00</t>
  </si>
  <si>
    <t>КУКУНИНА 9</t>
  </si>
  <si>
    <t>КУКУНИНА 7</t>
  </si>
  <si>
    <t>ПАРКОВАЯ 14 А</t>
  </si>
  <si>
    <t>ул.Рощинская, 17</t>
  </si>
  <si>
    <t>15 лет октября 52</t>
  </si>
  <si>
    <t>Артюхиной д.9 корп.4</t>
  </si>
  <si>
    <t>Агент сообщил, что сегодня не работает. Супервайзеру сообщили.</t>
  </si>
  <si>
    <t>ПЕРЕКОПСКИЙ ПЕРЕУЛОК  2</t>
  </si>
  <si>
    <t>ш. Касимвоское, д. 12</t>
  </si>
  <si>
    <t>ул. Ленинского Комсомола, д. 85</t>
  </si>
  <si>
    <t>ул. Коломенская, д. 3</t>
  </si>
  <si>
    <t>ш. Московское, д. 33к1</t>
  </si>
  <si>
    <t>СТАНКЕ ДИМИТРОВА ПР-Т 67/1 (БРЯНСК)</t>
  </si>
  <si>
    <t>https://yadi.sk/d/FrFWQ47_3Wgyan</t>
  </si>
  <si>
    <t>Агент сообщил, что у него сегодня выходной. Телефон супервайзера был занят, после супер не отвечал на звонки.</t>
  </si>
  <si>
    <t>Вересаева 18</t>
  </si>
  <si>
    <t>https://yadi.sk/d/RCfkk1R43Wgyh7</t>
  </si>
  <si>
    <t>Вересаева 22</t>
  </si>
  <si>
    <t>https://yadi.sk/d/0Gv6HSvn3Wgyfj</t>
  </si>
  <si>
    <t>пр-кт Ленина д 18</t>
  </si>
  <si>
    <t>https://yadi.sk/i/YHU_KXfN3WgymA</t>
  </si>
  <si>
    <t>17.00-19.00</t>
  </si>
  <si>
    <t>ул Чапаева д 42</t>
  </si>
  <si>
    <t>https://yadi.sk/d/oWUfZ3Qu3Wgydw</t>
  </si>
  <si>
    <t>Тимофеев Илья</t>
  </si>
  <si>
    <t>Беляев Алексей</t>
  </si>
  <si>
    <t>Абраменко Сергей</t>
  </si>
  <si>
    <t>Орлов Василий</t>
  </si>
  <si>
    <t>Кравчук Владимир</t>
  </si>
  <si>
    <t>Чекмазов Павел</t>
  </si>
  <si>
    <t xml:space="preserve">Костомарова Ольга </t>
  </si>
  <si>
    <t>АлхиминСергей</t>
  </si>
  <si>
    <t>Большов Даниил</t>
  </si>
  <si>
    <t>Зенин Илья Алексеевич</t>
  </si>
  <si>
    <t>Березин Кирилл Владимирович</t>
  </si>
  <si>
    <t>Баринов Сергей Вениаминович</t>
  </si>
  <si>
    <t>Ларин Андрей</t>
  </si>
  <si>
    <t>Аверин Андрей</t>
  </si>
  <si>
    <t>Староверов Дмитрий</t>
  </si>
  <si>
    <t xml:space="preserve">Тарбиевская Марина </t>
  </si>
  <si>
    <t>Медведева Диана</t>
  </si>
  <si>
    <t>Ачилов Илья Искандерович</t>
  </si>
  <si>
    <t xml:space="preserve">Честноков Евгений </t>
  </si>
  <si>
    <t>Филипповская Ирина Александровна</t>
  </si>
  <si>
    <t>Лебедева Ирина Николаевна</t>
  </si>
  <si>
    <t>Тихонов Евгений Сергеевич</t>
  </si>
  <si>
    <t>8(958)570-45-99</t>
  </si>
  <si>
    <t>Мужчинин Антон Васильевич</t>
  </si>
  <si>
    <t>8(920)179-79-89</t>
  </si>
  <si>
    <t>Шорников Артем</t>
  </si>
  <si>
    <t>Антонова-Овсеенко 9</t>
  </si>
  <si>
    <t>https://yadi.sk/i/IuBFQHLn3X3gaP</t>
  </si>
  <si>
    <t xml:space="preserve">Агент не отвечал на звонки, позже контролер дозвонился, Дмитрий сообщил, что закончил работу 30 минут назад. Супервайзеру информацию передали. </t>
  </si>
  <si>
    <t>Студенческая 32</t>
  </si>
  <si>
    <t>12.00 - 14.00</t>
  </si>
  <si>
    <t>ул. П Гагарина 48, 48А</t>
  </si>
  <si>
    <t>13.00 - 15.00</t>
  </si>
  <si>
    <t>ул.Октябрьской рев.6(промо)</t>
  </si>
  <si>
    <t>НИКОЛАЕВА Д. 69А</t>
  </si>
  <si>
    <t>Южный, д.16</t>
  </si>
  <si>
    <t>https://yadi.sk/d/2EqrbCMQ3X3gP8</t>
  </si>
  <si>
    <t>Пензенская д. 67</t>
  </si>
  <si>
    <t>https://yadi.sk/d/eJ4ozx-M3X3gT3</t>
  </si>
  <si>
    <t>Мичуринская,д.141</t>
  </si>
  <si>
    <t>https://yadi.sk/d/r0BzyM0T3X3gX7</t>
  </si>
  <si>
    <t xml:space="preserve">Фото сделанно у дома на против. </t>
  </si>
  <si>
    <t>Рылеева,д.100 б</t>
  </si>
  <si>
    <t>https://yadi.sk/d/6Mwp466-3X3gUx</t>
  </si>
  <si>
    <t>Кохомское шоссе, 5</t>
  </si>
  <si>
    <t>Калинцева,31</t>
  </si>
  <si>
    <t>Телефон агента был выключен. Супервайзеру сообщили.</t>
  </si>
  <si>
    <t>с 17.15 до 19:00</t>
  </si>
  <si>
    <t>1 Полевая, 33</t>
  </si>
  <si>
    <t>Д. Левитана 42,4А</t>
  </si>
  <si>
    <t>Офицерская 11а, 9а</t>
  </si>
  <si>
    <t>Телефон агента был недоступен. Супервайзеру сообщили.</t>
  </si>
  <si>
    <t>16:00-18:00</t>
  </si>
  <si>
    <t>Добросельская 195А</t>
  </si>
  <si>
    <t>Д. Левитана 49</t>
  </si>
  <si>
    <t>пр-д Швейников 2</t>
  </si>
  <si>
    <t>Абдукаримов</t>
  </si>
  <si>
    <t>Артюхиной д.15а</t>
  </si>
  <si>
    <t>Алутин Сергей</t>
  </si>
  <si>
    <t>ул. Грановского,6</t>
  </si>
  <si>
    <t>20:00-21:00</t>
  </si>
  <si>
    <t>Артельный переулок, д. 22</t>
  </si>
  <si>
    <t>Белгородский пр-т 104 Б</t>
  </si>
  <si>
    <t>Агент работал на адресе ул. Попова, д.37Г.</t>
  </si>
  <si>
    <t>Гагарина 5</t>
  </si>
  <si>
    <t>ул.Петра Смородина 2</t>
  </si>
  <si>
    <t>https://yadi.sk/i/GZdTa1GP3X5pji</t>
  </si>
  <si>
    <t>Телефон агента выключен. Супервайзр, сообщил, что забыл указать в графике, что у агента сегодня выходной.</t>
  </si>
  <si>
    <t>осканова 1</t>
  </si>
  <si>
    <t>https://yadi.sk/d/CbzRN3TW3X5peG</t>
  </si>
  <si>
    <t>площадь мира 1А</t>
  </si>
  <si>
    <t>https://yadi.sk/d/MLg71c0B3X5pgS</t>
  </si>
  <si>
    <t>Фотография сделана у дома напротив</t>
  </si>
  <si>
    <t>Стешина Валерия</t>
  </si>
  <si>
    <t>Пролетарская 135, 133</t>
  </si>
  <si>
    <t>https://yadi.sk/d/5jMCTAwb3X5pGA</t>
  </si>
  <si>
    <t>Фалендыш Виктор</t>
  </si>
  <si>
    <t>Пролетарская 139, 159</t>
  </si>
  <si>
    <t>https://yadi.sk/d/cAXR4LUa3X5pHs</t>
  </si>
  <si>
    <t>Первых коммунаров 16</t>
  </si>
  <si>
    <t>https://yadi.sk/d/hyLDdMNG3X5pEt</t>
  </si>
  <si>
    <t>Рамодин Илья</t>
  </si>
  <si>
    <t>Первых коммунаров 11,12</t>
  </si>
  <si>
    <t>https://yadi.sk/d/Bj8THkpu3X5pD3</t>
  </si>
  <si>
    <t>ул Луачарского д 17 корп 2</t>
  </si>
  <si>
    <t>https://yadi.sk/i/mdgWuY2e3X5s59</t>
  </si>
  <si>
    <t xml:space="preserve">Агент, сообщила, что уже закончила работу и уехала домой. Супервайзеру сообщили. </t>
  </si>
  <si>
    <t>ул Луначарского д 49 корп 2</t>
  </si>
  <si>
    <t>https://yadi.sk/i/M5PlX3pb3X5rye</t>
  </si>
  <si>
    <t>Агент, сообщил, что не смог сегодня выйти на работу. Супервайзеру информацию передали.</t>
  </si>
  <si>
    <t>ул Белкина д 18 д 29</t>
  </si>
  <si>
    <t>https://yadi.sk/d/Bt0FR2yW3X5s7C</t>
  </si>
  <si>
    <t>ул Луначарского д 49</t>
  </si>
  <si>
    <t>https://yadi.sk/i/tEye6Odm3X5s3S</t>
  </si>
  <si>
    <t xml:space="preserve">Агент, сообщил, что сегодня не работет и его начальство знает об этом. Супервайзеру информацию передали. </t>
  </si>
  <si>
    <t>Чернышевского 21</t>
  </si>
  <si>
    <t>https://yadi.sk/d/navG6IRe3X5t7X</t>
  </si>
  <si>
    <t>Чернышевского 23</t>
  </si>
  <si>
    <t>https://yadi.sk/d/5MkLPdey3X5t9V</t>
  </si>
  <si>
    <t>ул.Дуки 59/9</t>
  </si>
  <si>
    <t>https://yadi.sk/d/Qj_OLqq73X5tBr</t>
  </si>
  <si>
    <t>Чернышевского 72а</t>
  </si>
  <si>
    <t>https://yadi.sk/d/EP8JeqPh3X5tEG</t>
  </si>
  <si>
    <t>Губкина д. 38</t>
  </si>
  <si>
    <t>Сурикова 10 б</t>
  </si>
  <si>
    <t xml:space="preserve">
18.00-19.30</t>
  </si>
  <si>
    <t>Василисина 14</t>
  </si>
  <si>
    <t>Телефон агента выключен. Телефон супервайзера выключен.</t>
  </si>
  <si>
    <t>18.30-19.30</t>
  </si>
  <si>
    <t>пр-т. Ленина 45,51</t>
  </si>
  <si>
    <t>19.15-20.00</t>
  </si>
  <si>
    <t>Костерин пер-к 3</t>
  </si>
  <si>
    <t xml:space="preserve">Дом по адресу Костерин пер-к, 3 не достроен, подъезды закрыты на замок. Агент присутвовал во время контроля у адреса, но не мог приступить к своей работе, так как супервайзер не отвечал на звонки, чтобы предоставить замену данному дому. </t>
  </si>
  <si>
    <t xml:space="preserve">Иваново </t>
  </si>
  <si>
    <t>1 Полевая, 36</t>
  </si>
  <si>
    <t>1 Полевая, 34</t>
  </si>
  <si>
    <t>с 18.30 до 20.45</t>
  </si>
  <si>
    <t>Лежневская 152а</t>
  </si>
  <si>
    <t>Кохомское шоссе, 6</t>
  </si>
  <si>
    <t>Агент не отвечал на телефон на протяжении 20 минут. Супервайзер тоже не дозвонился до агента.В 19:45 агент позвонил нашему проверяющему и предложил прислать фотографии на адресе.</t>
  </si>
  <si>
    <t>Николаева д. 21А</t>
  </si>
  <si>
    <t>ул. Попова д. 102</t>
  </si>
  <si>
    <t>Пригородная д. 1,1/а, 2</t>
  </si>
  <si>
    <t>с 17.30-19.00</t>
  </si>
  <si>
    <t>ул. Донская 6/63</t>
  </si>
  <si>
    <t>ул. Донская 11</t>
  </si>
  <si>
    <t>Бережного 5</t>
  </si>
  <si>
    <t>Куйбышева 18</t>
  </si>
  <si>
    <t>Дубровинского 3А</t>
  </si>
  <si>
    <t>Проспект победы 40</t>
  </si>
  <si>
    <t>пл. Театральная, д. 5</t>
  </si>
  <si>
    <t>ул. Вишневая, д. 21</t>
  </si>
  <si>
    <t>Птицеводов, д. 3</t>
  </si>
  <si>
    <t>Агент сообщил, что уже закончил работу и уехал. Супервайзеру сообщили.</t>
  </si>
  <si>
    <t>Магистральная 39/5</t>
  </si>
  <si>
    <t>https://yadi.sk/d/h5TuLqQ-3Xp73M</t>
  </si>
  <si>
    <t>Чичерина 62 В</t>
  </si>
  <si>
    <t>https://yadi.sk/d/sfpm81pi3Xp76G</t>
  </si>
  <si>
    <t>Агент приехал на адрес в 18:45.</t>
  </si>
  <si>
    <t>https://yadi.sk/d/8nR9sJo13Xp74s</t>
  </si>
  <si>
    <t>Маяковского,д.14</t>
  </si>
  <si>
    <t>https://yadi.sk/d/iFKqUhyM3Xp6zd</t>
  </si>
  <si>
    <t>ул Советская д 53 корп 2</t>
  </si>
  <si>
    <t>https://yadi.sk/d/nrwnnXoV3Xp8Wk</t>
  </si>
  <si>
    <t>ул Октябрьская д 38 корп 3</t>
  </si>
  <si>
    <t>https://yadi.sk/i/dRZYkJsP3Xp8VJ</t>
  </si>
  <si>
    <t>Агент сообщил, что у неё выходной.Супервайзеру передали.</t>
  </si>
  <si>
    <t>Паркова 7, Парковая 9</t>
  </si>
  <si>
    <t>https://yadi.sk/d/x9kPcNbk3Xp8xm</t>
  </si>
  <si>
    <t>с 12:30 до 20:00</t>
  </si>
  <si>
    <t>Студеновская 20,21</t>
  </si>
  <si>
    <t>https://yadi.sk/i/551eAuYf3Xp8w4</t>
  </si>
  <si>
    <t xml:space="preserve">Агент не отвечал на звонки. Сепервайзеру сообщили, он смог дозвонится до агента и попросил позвонить его сотруднику повторно. Агент не брал трубку, а затем выключил телефон. </t>
  </si>
  <si>
    <t>Острогожская 164\1</t>
  </si>
  <si>
    <t>https://yadi.sk/d/SyMWHAjL3XpB3E</t>
  </si>
  <si>
    <t>Лесная поляна 4</t>
  </si>
  <si>
    <t>https://yadi.sk/d/yicASl7R3XpB4i</t>
  </si>
  <si>
    <t>Лесная поляна 16</t>
  </si>
  <si>
    <t>https://yadi.sk/d/TG-NqcUw3XpB6G</t>
  </si>
  <si>
    <t>https://yadi.sk/d/XPchyOl73XpB7E</t>
  </si>
  <si>
    <t>14.00-16.00</t>
  </si>
  <si>
    <t>ул.Планерная,73</t>
  </si>
  <si>
    <t>Агент сообщил, что раздал весь материал и уехал. Супервайзеру сообщили.</t>
  </si>
  <si>
    <t>c 16:30 до 18:00</t>
  </si>
  <si>
    <t>ул.Можайского 55</t>
  </si>
  <si>
    <t>Сахаровское шоссе, 14</t>
  </si>
  <si>
    <t>19:00-20:30</t>
  </si>
  <si>
    <t>Петербугское шоссе 120</t>
  </si>
  <si>
    <t>Агент сообщил. что будет на адресе в течении часа. Супервайзер был предупрежден.</t>
  </si>
  <si>
    <t>Паново, д.2</t>
  </si>
  <si>
    <t>https://yadi.sk/d/yWX_6E_E3XpD4x</t>
  </si>
  <si>
    <t>https://yadi.sk/d/5p2SBHzP3XpD7w</t>
  </si>
  <si>
    <t>Паново, д.8</t>
  </si>
  <si>
    <t>https://yadi.sk/d/L8hZtC1m3XpD9D</t>
  </si>
  <si>
    <t>https://yadi.sk/d/nPw3NGoK3XpDAL</t>
  </si>
  <si>
    <t>КУЙБЫШЕВА 12 (БРЯНСК)</t>
  </si>
  <si>
    <t>https://yadi.sk/d/POVjIJ4u3XpDNu</t>
  </si>
  <si>
    <t>ФОКИНА 132 (БРЯНСК)</t>
  </si>
  <si>
    <t>https://yadi.sk/d/hWzy9TOc3XpDRh</t>
  </si>
  <si>
    <t>50 ЛЕТ ОКТЯБРЯ 1 (БРЯНСК)</t>
  </si>
  <si>
    <t>https://yadi.sk/d/lZEx5txW3XpDMN</t>
  </si>
  <si>
    <t>КУЙБЫШЕВА 14 (БРЯНСК)</t>
  </si>
  <si>
    <t>https://yadi.sk/d/eDkVVhgl3XpDQQ</t>
  </si>
  <si>
    <t>Ташкентская, 13</t>
  </si>
  <si>
    <t>Ташкентская, 16</t>
  </si>
  <si>
    <t>Лежневская 119</t>
  </si>
  <si>
    <t>Советская, д.23</t>
  </si>
  <si>
    <t>https://yadi.sk/d/6lERGY_x3XqQfD</t>
  </si>
  <si>
    <t>Советская, д.104</t>
  </si>
  <si>
    <t>https://yadi.sk/d/beAn8azA3XqQpW</t>
  </si>
  <si>
    <t>На адресе отсутствовала табличка, фотография сделана у дома на против.</t>
  </si>
  <si>
    <t>Чичерина,д.34</t>
  </si>
  <si>
    <t>https://yadi.sk/d/L_H5Vyzb3XqQqe</t>
  </si>
  <si>
    <t>Пионерская,д.5 В</t>
  </si>
  <si>
    <t>https://yadi.sk/i/MESm06J23XqQuJ</t>
  </si>
  <si>
    <t xml:space="preserve">Телефон агента не зарегистрирован в сети. Супервайзер предоставил второй номер агента. По второму номеру агент был не доступен. </t>
  </si>
  <si>
    <t>Чайковского 2в</t>
  </si>
  <si>
    <t>Республиканская 50</t>
  </si>
  <si>
    <t>Блюхера 33к3</t>
  </si>
  <si>
    <t>Блюхера 48/5</t>
  </si>
  <si>
    <t>Злобин Сергей</t>
  </si>
  <si>
    <t>Мурачев Максим</t>
  </si>
  <si>
    <t>Баранова Оксана Анатольевна</t>
  </si>
  <si>
    <t>Трегубова Татьяна Сергеевна</t>
  </si>
  <si>
    <t>Устенко Василий Анатольевич</t>
  </si>
  <si>
    <t>Ширяев Фарид</t>
  </si>
  <si>
    <t xml:space="preserve">Кручинин Дмитрий </t>
  </si>
  <si>
    <t>Придатько Владимир</t>
  </si>
  <si>
    <t>Каминская Екатерина Владимировна</t>
  </si>
  <si>
    <t>Медведев Иван Сергеевич</t>
  </si>
  <si>
    <t>Привезенцев Андрей Николаевич</t>
  </si>
  <si>
    <t>Попкова Елена Михайловна</t>
  </si>
  <si>
    <t>8-996-919-7007</t>
  </si>
  <si>
    <t>Смирнова Дарья Сергеевна</t>
  </si>
  <si>
    <t xml:space="preserve"> Рогов Владимир Игоревич</t>
  </si>
  <si>
    <t>Никитченко Дмитрий</t>
  </si>
  <si>
    <t>Алхимин Сергей</t>
  </si>
  <si>
    <t>Галухина Алёна Юрьевна</t>
  </si>
  <si>
    <t>Орлова Олеся Денисовна</t>
  </si>
  <si>
    <t>Петров Илья</t>
  </si>
  <si>
    <t>8908-121-15-55</t>
  </si>
  <si>
    <t xml:space="preserve">Вовченко Александр </t>
  </si>
  <si>
    <t>Алфимов Александр</t>
  </si>
  <si>
    <t>Сердюков Степан</t>
  </si>
  <si>
    <t>Зенин Сергей</t>
  </si>
  <si>
    <t>Крутов Антон</t>
  </si>
  <si>
    <t>Пырин Антон</t>
  </si>
  <si>
    <t>Панина Татьяна</t>
  </si>
  <si>
    <t xml:space="preserve">Клокова Ольга </t>
  </si>
  <si>
    <t>Дементьева Лина</t>
  </si>
  <si>
    <t>Мареев Владислав</t>
  </si>
  <si>
    <t>Мунтяну Константин</t>
  </si>
  <si>
    <t>Костина Вероника</t>
  </si>
  <si>
    <t>Поляченкова Евгения</t>
  </si>
  <si>
    <t>Антоненкова Василиса</t>
  </si>
  <si>
    <t>Барна Евгений Николаевич</t>
  </si>
  <si>
    <t>Барна Евгений Иванович</t>
  </si>
  <si>
    <t>8 (910) 858 09 49</t>
  </si>
  <si>
    <t>8-920-179-79-89</t>
  </si>
  <si>
    <t>Степанова Александра Евгеньевна</t>
  </si>
  <si>
    <t>Короп Арина Алексеевна</t>
  </si>
  <si>
    <t>8(920) 179-79-89.</t>
  </si>
  <si>
    <t>Миронов Даниил Денисович</t>
  </si>
  <si>
    <t>c 17.30 до 19.30</t>
  </si>
  <si>
    <t>с 18.00-до19.30</t>
  </si>
  <si>
    <t>ул. Есенина 5</t>
  </si>
  <si>
    <t>ул. Пригородная д. 11/а</t>
  </si>
  <si>
    <t>НИКОЛАЕВА Д. 7</t>
  </si>
  <si>
    <t>12 ЛЕТ ОКТЯБРЯ 9Б</t>
  </si>
  <si>
    <t>12 ЛЕТ ОКТЯБРЯ Д.131</t>
  </si>
  <si>
    <t>с 18-30 до 21:00</t>
  </si>
  <si>
    <t>Ломоносова 114Г</t>
  </si>
  <si>
    <t>https://yadi.sk/d/Qn44ijHm3XuoiK</t>
  </si>
  <si>
    <t>Ломоносова 114\20</t>
  </si>
  <si>
    <t>https://yadi.sk/d/ezA_d0gT3XuogP</t>
  </si>
  <si>
    <t>Ломоносова 115</t>
  </si>
  <si>
    <t>https://yadi.sk/d/kubWILFI3Xuojr</t>
  </si>
  <si>
    <t>Ломоносова 116\9</t>
  </si>
  <si>
    <t>https://yadi.sk/d/H1d6Dznf3Xuom6</t>
  </si>
  <si>
    <t>КОЗЛОВСКАЯ ЯНА</t>
  </si>
  <si>
    <t>Зорин Дмитрий</t>
  </si>
  <si>
    <t>м-н Улитка 1 д.2</t>
  </si>
  <si>
    <t>м-н Улитка 1, д 7</t>
  </si>
  <si>
    <t>м-н Улитка 1 д 8</t>
  </si>
  <si>
    <t>Агент сообщил, что работал на этом адресе 14.06 и сегодня работает по адресу ул. Есенина, д. 50. Супервайзер не ответил на телефон.</t>
  </si>
  <si>
    <t>К.Маркса 66 кор 9</t>
  </si>
  <si>
    <t>пр-д Завражнова, д. 12</t>
  </si>
  <si>
    <t>ул. Сельских Строителей, д. 5к1</t>
  </si>
  <si>
    <t>Суздальский пр-т 11А</t>
  </si>
  <si>
    <t>Агент сообщил, что работает на другом адресе, ул. Мира, д. 2г. Телефон супервайзера был не доступен.</t>
  </si>
  <si>
    <t>Суворова 11</t>
  </si>
  <si>
    <t>Крайнова 5</t>
  </si>
  <si>
    <t>Агент сообщил, что сегодня не работает по причине защиты диплома. Телефон супервайзера был не доступен.</t>
  </si>
  <si>
    <t>Тихонравова 4</t>
  </si>
  <si>
    <t>У агента выхдной. Супервайзер подтвердил.</t>
  </si>
  <si>
    <t>Молодогвардеец 16</t>
  </si>
  <si>
    <t>https://yadi.sk/i/csNciXTI3XxTdm</t>
  </si>
  <si>
    <t>Телефон агента не доступен.</t>
  </si>
  <si>
    <t>Парковый 25</t>
  </si>
  <si>
    <t>https://yadi.sk/i/Vva4RzJC3XxTfw</t>
  </si>
  <si>
    <t>Агент сообщил, что закончил работу в 18:00.</t>
  </si>
  <si>
    <t>северная мыза ,бульвар победы 1,1к1</t>
  </si>
  <si>
    <t>https://yadi.sk/d/0YrLTkjU3Y46RY</t>
  </si>
  <si>
    <t>14-00-16-00</t>
  </si>
  <si>
    <t>КРАХМАЛЁВА 57 (БРЯНСК)</t>
  </si>
  <si>
    <t>https://yadi.sk/d/-mW2_UsF3Y46So</t>
  </si>
  <si>
    <t>КРАХМАЛЁВА 55 (БРЯНСК)</t>
  </si>
  <si>
    <t>https://yadi.sk/d/92xI_QEB3Y46VQ</t>
  </si>
  <si>
    <t>КРАХМАЛЁВА 55/1 (БРЯНСК)</t>
  </si>
  <si>
    <t>https://yadi.sk/d/-19h0qk53Y46Tf</t>
  </si>
  <si>
    <t>12-00-14-00</t>
  </si>
  <si>
    <t>Димитрова 68</t>
  </si>
  <si>
    <t>https://yadi.sk/d/c6eaYjTv3Y46WY</t>
  </si>
  <si>
    <t>пр-т Победы 72, 74, 76</t>
  </si>
  <si>
    <t>https://yadi.sk/d/nOeFj8G_3Y5eCJ</t>
  </si>
  <si>
    <t>https://yadi.sk/d/hTiptX8j3Y5eDB</t>
  </si>
  <si>
    <t>Благоева, 3/1, 3/2</t>
  </si>
  <si>
    <t>https://yadi.sk/d/-hzWB8-S3Y5eFk</t>
  </si>
  <si>
    <t>https://yadi.sk/d/_TVxTVh53Y5eEg</t>
  </si>
  <si>
    <t>г.Орел</t>
  </si>
  <si>
    <t>8 марта дом 8</t>
  </si>
  <si>
    <t>https://yadi.sk/d/10uQFMIR3Y5ctp</t>
  </si>
  <si>
    <t>https://yadi.sk/d/jFoeeqHY3Y5cpj</t>
  </si>
  <si>
    <t>Физкультурная 1,2</t>
  </si>
  <si>
    <t>https://yadi.sk/d/nmsiG7zT3Y6UVM</t>
  </si>
  <si>
    <t>Физкультурная ,7</t>
  </si>
  <si>
    <t>https://yadi.sk/d/QlASfCr63Y6UWD</t>
  </si>
  <si>
    <t>Водопьянова 16,18</t>
  </si>
  <si>
    <t>https://yadi.sk/d/mrYQ62mP3Y6USw</t>
  </si>
  <si>
    <t>Тамбличка с номером дома отсутствовала, фотография сделана у дома напротив.</t>
  </si>
  <si>
    <t>Калинина 15</t>
  </si>
  <si>
    <t>https://yadi.sk/d/F6xgKwJz3Y5fp4</t>
  </si>
  <si>
    <t>Салтыкова-Щедрина 72</t>
  </si>
  <si>
    <t>https://yadi.sk/d/1kVkjaan3Y5fnZ</t>
  </si>
  <si>
    <t>Фомушина 26</t>
  </si>
  <si>
    <t>https://yadi.sk/i/C_7vnm8X3Y5frW</t>
  </si>
  <si>
    <t>По телефону агента сказали, что ошиблись номером. Супервайзер сообщил, что данная точка к нему не относится.</t>
  </si>
  <si>
    <t>Генерала Попова 24, 28</t>
  </si>
  <si>
    <t>https://yadi.sk/d/pdaA3Gb53Y5fqL</t>
  </si>
  <si>
    <t>Шишкова 72\1</t>
  </si>
  <si>
    <t>https://yadi.sk/d/1ubp11EJ3YBVMq</t>
  </si>
  <si>
    <t>Шишкова 72\2</t>
  </si>
  <si>
    <t>https://yadi.sk/d/y0AlnFfl3YBVN3</t>
  </si>
  <si>
    <t>Шишкова 72\3</t>
  </si>
  <si>
    <t>https://yadi.sk/i/2s6SHeEX3YBVNE</t>
  </si>
  <si>
    <t>Агент сообщил, что уволился. Супервазер подтвердил</t>
  </si>
  <si>
    <t>Шишкова 72\5</t>
  </si>
  <si>
    <t>https://yadi.sk/i/mSf9-dmE3YBVNL</t>
  </si>
  <si>
    <t>Телефон агента не доступен. Супервайзеру сообщили</t>
  </si>
  <si>
    <t>с 18:40 до 21:00</t>
  </si>
  <si>
    <t>Рабочий пр-т, д. 48</t>
  </si>
  <si>
    <t>https://yadi.sk/d/DGAa9i3t3YBVi6</t>
  </si>
  <si>
    <t>Богатырская д.30; Богатырская д. 28</t>
  </si>
  <si>
    <t>https://yadi.sk/d/aHB35OdW3YBVhU</t>
  </si>
  <si>
    <t>Индустриальная, 27 А</t>
  </si>
  <si>
    <t>https://yadi.sk/i/D6QSbWs13YBViQ</t>
  </si>
  <si>
    <t xml:space="preserve">Агент сообщил, что ей стало плохо и она ушла. </t>
  </si>
  <si>
    <t>Индустриальная, 14</t>
  </si>
  <si>
    <t>https://yadi.sk/d/l71dMx_w3YBVhs</t>
  </si>
  <si>
    <t>с 18 15 до 20.45</t>
  </si>
  <si>
    <t>Черниковых, 33</t>
  </si>
  <si>
    <t>https://yadi.sk/d/88j0N-Vz3YBW53</t>
  </si>
  <si>
    <t>Победы, 11, 13</t>
  </si>
  <si>
    <t>https://yadi.sk/i/36A9uUId3YBW4S</t>
  </si>
  <si>
    <t>Агент сообщил, что отпросился вчера у руководителя. Супервайзеру информацию передали</t>
  </si>
  <si>
    <t>Б. Хмельницкого, 73</t>
  </si>
  <si>
    <t>https://yadi.sk/d/B-yNrFCy3YBW5e</t>
  </si>
  <si>
    <t>с 20 00 до 21 00</t>
  </si>
  <si>
    <t>Фрунзе, 25</t>
  </si>
  <si>
    <t>https://yadi.sk/i/tosepVy_3YBW3m</t>
  </si>
  <si>
    <t>Агент сообщил, что у него сегодня выходной</t>
  </si>
  <si>
    <t>с 18:30 до 20:30</t>
  </si>
  <si>
    <t>Б.Энтузиастов, д. 1 Ж/1</t>
  </si>
  <si>
    <t>https://yadi.sk/d/d3wYq6EF3YBWXh</t>
  </si>
  <si>
    <t>Б.Энтузиастов, д. 39</t>
  </si>
  <si>
    <t>https://yadi.sk/d/tMQBFweG3YBWYL</t>
  </si>
  <si>
    <t>Ерофеевская,д.22</t>
  </si>
  <si>
    <t>https://yadi.sk/d/_wxAuPdj3YBWXD</t>
  </si>
  <si>
    <t>Гастелло,д.34</t>
  </si>
  <si>
    <t>https://yadi.sk/d/9e7_dilK3YBWZ8</t>
  </si>
  <si>
    <t>Большая октябрьская 81,83</t>
  </si>
  <si>
    <t>https://yadi.sk/d/BeNvsaHG3YBWzx</t>
  </si>
  <si>
    <t>Некрасова 40а, 44Б</t>
  </si>
  <si>
    <t>https://yadi.sk/d/nwAv0tuw3YBWzA</t>
  </si>
  <si>
    <t>Чкалова 21, 23кор.2</t>
  </si>
  <si>
    <t>https://yadi.sk/d/y3ZBqVZw3YBWzU</t>
  </si>
  <si>
    <t>Радищева 10/12</t>
  </si>
  <si>
    <t>https://yadi.sk/i/rKpsu2-43YBX2f</t>
  </si>
  <si>
    <t>Дунаевский Артем</t>
  </si>
  <si>
    <t>Лабзин Кирилл</t>
  </si>
  <si>
    <t>Бочаров Вадим</t>
  </si>
  <si>
    <t>Хахалина Наталья</t>
  </si>
  <si>
    <t>ПарфенюкАлександр</t>
  </si>
  <si>
    <t>Гацелюк Мария</t>
  </si>
  <si>
    <t>Левинец Данила</t>
  </si>
  <si>
    <t>Морозова Арина</t>
  </si>
  <si>
    <t>Павлов Никита</t>
  </si>
  <si>
    <t>Гаффарова Виктория</t>
  </si>
  <si>
    <t>Сенькин Сергей</t>
  </si>
  <si>
    <t>Титаренко Елена Олеговна</t>
  </si>
  <si>
    <t>Жданов Артем</t>
  </si>
  <si>
    <t>Александр Попов</t>
  </si>
  <si>
    <t>Дьяченко Егор</t>
  </si>
  <si>
    <t>Тен Кирилл</t>
  </si>
  <si>
    <t>Галямина Софья Александровна</t>
  </si>
  <si>
    <t>Кольцова Софья Алексеевна</t>
  </si>
  <si>
    <t>Суворова Надежда Борисовна</t>
  </si>
  <si>
    <t>8(915)920-18-88</t>
  </si>
  <si>
    <t>Куйбышева 58</t>
  </si>
  <si>
    <t>https://yadi.sk/d/-RPiiMja3YEuUK</t>
  </si>
  <si>
    <t>Северная 9Б</t>
  </si>
  <si>
    <t>https://yadi.sk/d/F3ZdPwhN3YEuaD</t>
  </si>
  <si>
    <t>Западная 57,59</t>
  </si>
  <si>
    <t>https://yadi.sk/d/TEjv5LC73YEuT5</t>
  </si>
  <si>
    <t>Молодежная 3,5</t>
  </si>
  <si>
    <t>https://yadi.sk/d/-qB81bSE3YEuWe</t>
  </si>
  <si>
    <t>г. Новомосковск</t>
  </si>
  <si>
    <t>ул. Орджоникидзе 2/2, 9</t>
  </si>
  <si>
    <t>https://yadi.sk/d/ax__R_NA3YEvFf</t>
  </si>
  <si>
    <t>с 18.30-20.30</t>
  </si>
  <si>
    <t>мкр. Сокольники, Шахтерская, 12</t>
  </si>
  <si>
    <t>https://yadi.sk/i/RxUiSLrg3YEvD4</t>
  </si>
  <si>
    <t>Агент сказал, что будет на адресе не раньше, чем через час и положил трубку. В дальнейшем не отвечал на звонки. Супервайзер сообщил, что агенты уже закончили работу. На комментарий агента выше супервайзер ответил, что все верно, а остальные агенты закончили работу. Через пол часа супервайзер позвонил координатору, думая, что он контролер и спросила есть ли у нас полчаса времени, чтобы она привезла агентов на точки и мы зафиксировали их присутствие. Услышав отказ и поняв, что общается не с контролером, а координатором, супервазер сказала, что наши представители плохо выполняют свою работу.</t>
  </si>
  <si>
    <t>мкр. Сокольники, Шахтерская, 14</t>
  </si>
  <si>
    <t>https://yadi.sk/i/EBmopukQ3YEvEm</t>
  </si>
  <si>
    <t>Агент сказал, что уточнит все у менеджера и
перезвонит. В дальнейшем не отвечал на звонки.</t>
  </si>
  <si>
    <t>пр-т Гагарина д.32</t>
  </si>
  <si>
    <t>https://yadi.sk/d/QYDjCb0w3YEyYF</t>
  </si>
  <si>
    <t>пр Гагарина д. 47</t>
  </si>
  <si>
    <t>https://yadi.sk/d/vMq8gLA53YEyWs</t>
  </si>
  <si>
    <t>ул. Матросова д. 18</t>
  </si>
  <si>
    <t>https://yadi.sk/d/GJOUxH6a3YEyVR</t>
  </si>
  <si>
    <t>ул. Шевченко 1/35</t>
  </si>
  <si>
    <t>https://yadi.sk/d/eHJTytg73YEyZJ</t>
  </si>
  <si>
    <t>г. Рязань</t>
  </si>
  <si>
    <t>пр-д Гоголя, д. 3, д. 3а</t>
  </si>
  <si>
    <t>https://yadi.sk/d/S7cg5ETD3YEzMB</t>
  </si>
  <si>
    <t>ул. Чапаева, д. 57</t>
  </si>
  <si>
    <t>https://yadi.sk/i/aWT0WX053YEzNE</t>
  </si>
  <si>
    <t>Агент сообщил, что работал сегодня до 20 часов. Супервайзер не ответил на звонок.</t>
  </si>
  <si>
    <t>Солотчинское ш.д.2</t>
  </si>
  <si>
    <t>https://yadi.sk/d/lpsjymJC3YEzKc</t>
  </si>
  <si>
    <t>Калиновская, 20А</t>
  </si>
  <si>
    <t>https://yadi.sk/i/7_ZA_sBb3YMDws</t>
  </si>
  <si>
    <t>Калиновская, 20</t>
  </si>
  <si>
    <t>https://yadi.sk/i/AqcrLc523YMDxK</t>
  </si>
  <si>
    <t xml:space="preserve">Агент сообщила, что её нет на месте и что руководство вкурсе. Супервайзеру информацию передали </t>
  </si>
  <si>
    <t>Бульварная, 6</t>
  </si>
  <si>
    <t>Данный дом еще в проекте строительства. Агент работает по адресу Бульварная, 19.</t>
  </si>
  <si>
    <t>Бульварная, 19</t>
  </si>
  <si>
    <t>https://yadi.sk/d/H8AbXkhJ3YMDxg</t>
  </si>
  <si>
    <t>с 17-00 до 18-00</t>
  </si>
  <si>
    <t>м-н Улитка-1, д. 5</t>
  </si>
  <si>
    <t>Агент спустился к проверяющему, но фотографироваться не стал по причине, что проверяющий чужой человек. Супервайзер не отвечал на звонки.</t>
  </si>
  <si>
    <t>м-н Улитка-1, д. 6</t>
  </si>
  <si>
    <t>Агент не отвечал на звонки, спустя 15 минут телефон агента был не доступен. Супервайзеру сообщили.</t>
  </si>
  <si>
    <t>м-н Улитка 1 д. 7</t>
  </si>
  <si>
    <t>г. Ярославль</t>
  </si>
  <si>
    <t>с 19:20 до 21:00</t>
  </si>
  <si>
    <t>Некрасова 7</t>
  </si>
  <si>
    <t>https://yadi.sk/i/HYk1LhCx3YQvMm</t>
  </si>
  <si>
    <t>Верный адрес Некрасова 7/2</t>
  </si>
  <si>
    <t>Максимова 7,Народный пер.6</t>
  </si>
  <si>
    <t>https://yadi.sk/i/8iyNw-s43YQvHS</t>
  </si>
  <si>
    <t>Некрасова 9, Свердлова 20</t>
  </si>
  <si>
    <t>https://yadi.sk/i/8IwC-glA3YQvPu</t>
  </si>
  <si>
    <t>Собинова 6</t>
  </si>
  <si>
    <t>https://yadi.sk/i/3fWV7G5x3YQvRh</t>
  </si>
  <si>
    <t>Болдина 99</t>
  </si>
  <si>
    <t>https://yadi.sk/d/f_HfhRdR3YQxBS</t>
  </si>
  <si>
    <t>Болдина 101</t>
  </si>
  <si>
    <t>https://yadi.sk/d/UtK43wQ73YQxAE</t>
  </si>
  <si>
    <t>ул.Мартеновская д.2,7,9</t>
  </si>
  <si>
    <t>https://yadi.sk/d/RGKg9qk03YQxDt</t>
  </si>
  <si>
    <t>18:30-20:00</t>
  </si>
  <si>
    <t>Серова 8</t>
  </si>
  <si>
    <t>https://yadi.sk/d/z-Kyw1Gb3YQxCR</t>
  </si>
  <si>
    <t>Елецкое 1а</t>
  </si>
  <si>
    <t>https://yadi.sk/d/Adp04o-c3YQycp</t>
  </si>
  <si>
    <t>https://yadi.sk/d/QTk_LBxg3YQybi</t>
  </si>
  <si>
    <t>Свиридова 6</t>
  </si>
  <si>
    <t>https://yadi.sk/d/erE3Qnql3YQyad</t>
  </si>
  <si>
    <t>Хренникова 6А</t>
  </si>
  <si>
    <t>https://yadi.sk/d/RrT1QMI13YQyZk</t>
  </si>
  <si>
    <t>с 19:30 до 21:00</t>
  </si>
  <si>
    <t>65 лет Победы 25</t>
  </si>
  <si>
    <t>https://yadi.sk/d/6wPMSayy3YQzWC</t>
  </si>
  <si>
    <t>65 лет Победы 29</t>
  </si>
  <si>
    <t>https://yadi.sk/d/m5bC75Av3YQzXn</t>
  </si>
  <si>
    <t>Кибальчича 30</t>
  </si>
  <si>
    <t>https://yadi.sk/d/npQM3ImX3YQzYi</t>
  </si>
  <si>
    <t>Кибальчича 32</t>
  </si>
  <si>
    <t>https://yadi.sk/d/fQof3VMp3YQzbZ</t>
  </si>
  <si>
    <t>РОМАНА БРЯНСКОГО 25 (БРЯНСК)</t>
  </si>
  <si>
    <t>https://yadi.sk/d/Do5kblYp3YR4qZ</t>
  </si>
  <si>
    <t>РОМАНА БРЯНСКОГО 15/1 (БРЯНСК)</t>
  </si>
  <si>
    <t>https://yadi.sk/d/F6CJDNyn3YR4sC</t>
  </si>
  <si>
    <t>МОСКОВСКИЙ микрорайон д.44</t>
  </si>
  <si>
    <t>https://yadi.sk/d/tk9SxQjw3YR4uE</t>
  </si>
  <si>
    <t>17-00-19-00</t>
  </si>
  <si>
    <t>НИКИТИНА 3 (БРЯНСК)</t>
  </si>
  <si>
    <t>https://yadi.sk/d/UVuK0UtJ3YR4t9</t>
  </si>
  <si>
    <t>Хрустальная 41к4</t>
  </si>
  <si>
    <t>ул.Громова 14</t>
  </si>
  <si>
    <t>Благоева 18</t>
  </si>
  <si>
    <t>ул. Комсомольская, д. 382</t>
  </si>
  <si>
    <t>На доме нет таблички с адресом, фото сделано у соседнего дома.</t>
  </si>
  <si>
    <t>Орловских партизан, д. 2</t>
  </si>
  <si>
    <t>Агент сообщил, что уехал по делам. Супервайзер не ответил на звонок.</t>
  </si>
  <si>
    <t>Матроса Силякова,4</t>
  </si>
  <si>
    <t>19:00-20:00</t>
  </si>
  <si>
    <t>Новосильская,3</t>
  </si>
  <si>
    <t>проспект Победы 36</t>
  </si>
  <si>
    <t>Агенты сообщили, что будут на адресе через 25 минут. Супервайзер сообщил, что везет агентов с обучения на адрес работы.</t>
  </si>
  <si>
    <t>Кручинин Дмитрий</t>
  </si>
  <si>
    <t>Ткаченко Иван</t>
  </si>
  <si>
    <t>Буглак Никита</t>
  </si>
  <si>
    <t>Лобачева Алина Генадьевна</t>
  </si>
  <si>
    <t>Бойко Матвей Игоревич</t>
  </si>
  <si>
    <t>Минеева Ольга</t>
  </si>
  <si>
    <t>Марченков Глеб</t>
  </si>
  <si>
    <t>Борковской Илья</t>
  </si>
  <si>
    <t>Максимов Никита</t>
  </si>
  <si>
    <t>Журавлев Даниил</t>
  </si>
  <si>
    <t>Жбанов  Артём Андреевич</t>
  </si>
  <si>
    <t>Кудряшова Ирина Павловна</t>
  </si>
  <si>
    <t>Панин Артур</t>
  </si>
  <si>
    <t>Николаев Анастас</t>
  </si>
  <si>
    <t>Ярмолинский Михаил</t>
  </si>
  <si>
    <t>Яна Козлова</t>
  </si>
  <si>
    <t>Пашкова Алина Андреевна</t>
  </si>
  <si>
    <t>Карица Аким</t>
  </si>
  <si>
    <t>8-919-064-64-98</t>
  </si>
  <si>
    <t>Новиков Адам</t>
  </si>
  <si>
    <t>Жарский Иван</t>
  </si>
  <si>
    <t>Головин Максим</t>
  </si>
  <si>
    <t>Емельянова Юлия</t>
  </si>
  <si>
    <t>Седых Илья</t>
  </si>
  <si>
    <t>Кофанова Ирина</t>
  </si>
  <si>
    <t>Коновалов А.С</t>
  </si>
  <si>
    <t>Артем</t>
  </si>
  <si>
    <t>Рубиновая 13</t>
  </si>
  <si>
    <t>https://yadi.sk/d/K-LlyCke3Ynz29</t>
  </si>
  <si>
    <t>Адрей</t>
  </si>
  <si>
    <t>Карла Маркса 116А</t>
  </si>
  <si>
    <t>https://yadi.sk/i/1P6xpdX63Ynz7E</t>
  </si>
  <si>
    <t>Телефон агента не доступен. Супервайзеру информацию передали</t>
  </si>
  <si>
    <t>Алексей</t>
  </si>
  <si>
    <t>Революции 1905 года 80Г</t>
  </si>
  <si>
    <t>https://yadi.sk/d/cgGweLpa3Ynz65</t>
  </si>
  <si>
    <t>Юрий</t>
  </si>
  <si>
    <t>https://yadi.sk/d/e-K0n_Cz3Ynz4i</t>
  </si>
  <si>
    <t>Максим</t>
  </si>
  <si>
    <t>Мистюкова, 10</t>
  </si>
  <si>
    <t>https://yadi.sk/i/H0yWhpZV3YnyRW</t>
  </si>
  <si>
    <t>Агент сообщил, что у него сломалась машина, связи с этим он не смог сегодня выйти на работу. Телефон супервайзера выключен.</t>
  </si>
  <si>
    <t>Анна Сергеевна</t>
  </si>
  <si>
    <t>Артемова 7</t>
  </si>
  <si>
    <t>https://yadi.sk/d/MiLd-ZPO3YnyQe</t>
  </si>
  <si>
    <t>Ирина Ивановна</t>
  </si>
  <si>
    <t>Скороходова 19</t>
  </si>
  <si>
    <t>https://yadi.sk/d/beEmoC-w3YnyNF</t>
  </si>
  <si>
    <t>Сергей Сергеевич</t>
  </si>
  <si>
    <t>Сырский рудник ул Взлетная, Коттеджная</t>
  </si>
  <si>
    <t>https://yadi.sk/i/4wiM-jKk3YnySe</t>
  </si>
  <si>
    <t xml:space="preserve">Агент сообщил, что не является сотрудником Ростелекома. Телефон супервайзера выключен. Супер перезвонил через 20 минут и сообщил, что предоставил не верный новер телефона. </t>
  </si>
  <si>
    <t>Октябрьский, 99</t>
  </si>
  <si>
    <t xml:space="preserve">Аким </t>
  </si>
  <si>
    <t>Павел</t>
  </si>
  <si>
    <t>Суворова 1-я 7</t>
  </si>
  <si>
    <t>Колесанова, 3</t>
  </si>
  <si>
    <t>Агент сообщил, что начинает работу в 19:30. Телефон супервайзера не зарегестрирован в сети.</t>
  </si>
  <si>
    <t>с 19 00 до 20.45</t>
  </si>
  <si>
    <t>Колесанова, 2</t>
  </si>
  <si>
    <t>Любимова, 2</t>
  </si>
  <si>
    <t>Андрей</t>
  </si>
  <si>
    <t>Агента записали на адрес по ошибке,сегодня он е работает. Супервайзер не отвечал на звонки.</t>
  </si>
  <si>
    <t>ул.Васильковая (Хардиково)</t>
  </si>
  <si>
    <t>ул. Паровозная, д. 60</t>
  </si>
  <si>
    <t>Серегина 31</t>
  </si>
  <si>
    <t>Маким</t>
  </si>
  <si>
    <t>Серегина 32</t>
  </si>
  <si>
    <t>Школьная 5к5</t>
  </si>
  <si>
    <t>Школьная 5к.7</t>
  </si>
  <si>
    <t xml:space="preserve">Тамбов </t>
  </si>
  <si>
    <t>Евгений Николаевич</t>
  </si>
  <si>
    <t>Полынковская 55</t>
  </si>
  <si>
    <t>https://yadi.sk/d/UKNRZ2N03YzddT</t>
  </si>
  <si>
    <t>Илья Алексеевич</t>
  </si>
  <si>
    <t>Полынковская 65 Д</t>
  </si>
  <si>
    <t>https://yadi.sk/d/BroVmc1q3Yzde2</t>
  </si>
  <si>
    <t>Сергей Вениаминович</t>
  </si>
  <si>
    <t>Интернациональная,д.36</t>
  </si>
  <si>
    <t>https://yadi.sk/d/yHYGoucu3YzdT7</t>
  </si>
  <si>
    <t>Евгений Сергеевич</t>
  </si>
  <si>
    <t>Покровская,д.2 А</t>
  </si>
  <si>
    <t>https://yadi.sk/d/1f_xQ_1J3YzdVg</t>
  </si>
  <si>
    <t>Антон Игоревич</t>
  </si>
  <si>
    <t>Чайковского 49, 78</t>
  </si>
  <si>
    <t>https://yadi.sk/i/Ek2cygAF3Yzh2K</t>
  </si>
  <si>
    <t>Телефон агента выключен. Супервайзеру сообщили.</t>
  </si>
  <si>
    <t>Даниил Романович</t>
  </si>
  <si>
    <t>Советская 57</t>
  </si>
  <si>
    <t>https://yadi.sk/i/K8EP64o23Yzh32</t>
  </si>
  <si>
    <t>Илья Андреевич</t>
  </si>
  <si>
    <t>https://yadi.sk/i/o1qnB1Gn3Yzh3o</t>
  </si>
  <si>
    <t>Ярослав</t>
  </si>
  <si>
    <t>Свято- троицкий 21</t>
  </si>
  <si>
    <t>https://yadi.sk/i/u6YtCuro3Yzi5r</t>
  </si>
  <si>
    <t>Агент сообщил, что уже закончил работу по данному адресу. Супервайзеру информацию передали.</t>
  </si>
  <si>
    <t>Садовая 6</t>
  </si>
  <si>
    <t>https://yadi.sk/i/fZnrrCNv3YzhwH</t>
  </si>
  <si>
    <t>Комиссарова 37</t>
  </si>
  <si>
    <t>https://yadi.sk/d/Q1c7Zetj3YzhzJ</t>
  </si>
  <si>
    <t>ул М.горького д 1</t>
  </si>
  <si>
    <t>https://yadi.sk/d/n2sL2rzY3Yzj5h</t>
  </si>
  <si>
    <t xml:space="preserve">Агент сообщил, что уже неделю не работает в Ростелекоме. Супервайзеру сообщили. </t>
  </si>
  <si>
    <t>ул Баженова 24,26,</t>
  </si>
  <si>
    <t>https://yadi.sk/d/i_iW9dUx3Yzj44</t>
  </si>
  <si>
    <t>Василий</t>
  </si>
  <si>
    <t>ул Баженова ,28,30,</t>
  </si>
  <si>
    <t>https://yadi.sk/d/FtULoYce3Yzj6Z</t>
  </si>
  <si>
    <t>Софья Александровна</t>
  </si>
  <si>
    <t>Профсоюзная, 38</t>
  </si>
  <si>
    <t>https://yadi.sk/d/NUOhr2Ox3Yzk3R</t>
  </si>
  <si>
    <t>Артём Андреевич</t>
  </si>
  <si>
    <t>2 Давыдовский, 71</t>
  </si>
  <si>
    <t>https://yadi.sk/i/Jff23hJq3Yzk2B</t>
  </si>
  <si>
    <t xml:space="preserve">Агент не отвечает на звонки. </t>
  </si>
  <si>
    <t>Александр Валерьевич</t>
  </si>
  <si>
    <t>2 Давыдовский, 75</t>
  </si>
  <si>
    <t>https://yadi.sk/i/YGw00rJW3Yzjyw</t>
  </si>
  <si>
    <t xml:space="preserve">Агент с адреса 2 Давыдовский, 77, сообщил что работает на два адреса. </t>
  </si>
  <si>
    <t>2 Давыдовский, 77</t>
  </si>
  <si>
    <t>https://yadi.sk/d/16ByrjRo3Yzk4x</t>
  </si>
  <si>
    <t>Снежа</t>
  </si>
  <si>
    <t>ул. Козлова д.3, 3А</t>
  </si>
  <si>
    <t>https://yadi.sk/d/3AW0Qyqy3Yzkpo</t>
  </si>
  <si>
    <t>Влада</t>
  </si>
  <si>
    <t>ул. Госпитальная д. 17</t>
  </si>
  <si>
    <t>https://yadi.sk/d/ZQvmrc8z3Yzkoy</t>
  </si>
  <si>
    <t>Роман</t>
  </si>
  <si>
    <t>ул. Котовского д. 5 б д. 13</t>
  </si>
  <si>
    <t>https://yadi.sk/d/P-spccYg3Yzkqr</t>
  </si>
  <si>
    <t>Марина</t>
  </si>
  <si>
    <t>пр. Гагарина д. 45</t>
  </si>
  <si>
    <t>https://yadi.sk/d/EAKIesbh3Yzkru</t>
  </si>
  <si>
    <t>Ирина Николаевна</t>
  </si>
  <si>
    <t>ул. Молодежная 6 доработка</t>
  </si>
  <si>
    <t>https://yadi.sk/i/ymGGenJT3YzkGa</t>
  </si>
  <si>
    <t>Агент Ирина сообщила , что находится на адресе ул. Космонавтов, д.26. Супервайзер сообщил, что агент был на Молодежной, 6 утром.</t>
  </si>
  <si>
    <t>Анастасия</t>
  </si>
  <si>
    <t>Новоселов 54.54корп2.58.58корп2</t>
  </si>
  <si>
    <t xml:space="preserve">Татьяна </t>
  </si>
  <si>
    <t>Кирилл</t>
  </si>
  <si>
    <t>ул.Дзержинского д. 7</t>
  </si>
  <si>
    <t>пер. Краснофлотский 1-й д. 17</t>
  </si>
  <si>
    <t>Беляков</t>
  </si>
  <si>
    <t xml:space="preserve"> ул. Раевского д.2а </t>
  </si>
  <si>
    <t>Егор</t>
  </si>
  <si>
    <t>45 стр. дивизии 265</t>
  </si>
  <si>
    <t>https://yadi.sk/d/OA9_HpUr3ZFvsa</t>
  </si>
  <si>
    <t>Евгений</t>
  </si>
  <si>
    <t>Здоровья 90\1</t>
  </si>
  <si>
    <t>https://yadi.sk/d/8txuTeUw3ZFvrP</t>
  </si>
  <si>
    <t>https://yadi.sk/i/uzjj1BDE3ZFvoR</t>
  </si>
  <si>
    <t>Агент отсутствует. Супервайзеру сообщили.</t>
  </si>
  <si>
    <t>Острогожская 168\1</t>
  </si>
  <si>
    <t>https://yadi.sk/i/rRlVkIvk3ZFvqk</t>
  </si>
  <si>
    <t>Мария Алексеевна</t>
  </si>
  <si>
    <t>Ванина,д.4</t>
  </si>
  <si>
    <t>https://yadi.sk/d/i_eDUFb13ZFw7G</t>
  </si>
  <si>
    <t>ул. Агапкина, д. 20/13</t>
  </si>
  <si>
    <t>https://yadi.sk/d/F3s1HjAL3ZFw8q</t>
  </si>
  <si>
    <t>ул. Гастелло, д. 65 А</t>
  </si>
  <si>
    <t>https://yadi.sk/d/aFEBifnh3ZFw4H</t>
  </si>
  <si>
    <t>Роман Владимирович</t>
  </si>
  <si>
    <t>Б.Энтузиастов,д.1 А</t>
  </si>
  <si>
    <t>https://yadi.sk/d/jiNtMWVv3ZFvzR</t>
  </si>
  <si>
    <t>https://yadi.sk/d/ZLmSW5ki3ZLd5H</t>
  </si>
  <si>
    <t>Энергостроителей 15,10</t>
  </si>
  <si>
    <t>https://yadi.sk/d/2r67TOe73ZLd7m</t>
  </si>
  <si>
    <t>https://yadi.sk/d/ryYtiCzH3ZLd6v</t>
  </si>
  <si>
    <t>Элман</t>
  </si>
  <si>
    <t>Энергостроителей 9,11</t>
  </si>
  <si>
    <t>https://yadi.sk/d/62pJh4pM3ZLdBX</t>
  </si>
  <si>
    <t>Евгения</t>
  </si>
  <si>
    <t>Карачевская 9, 11, 12</t>
  </si>
  <si>
    <t>https://yadi.sk/d/McnxJetP3ZLe99</t>
  </si>
  <si>
    <t>Карачевская 13, 15</t>
  </si>
  <si>
    <t>https://yadi.sk/d/-UzziFz83ZLeAt</t>
  </si>
  <si>
    <t>Карачевская 17, 19 корп 1</t>
  </si>
  <si>
    <t>https://yadi.sk/d/IbY0oWKH3ZLeAA</t>
  </si>
  <si>
    <t>Грабцевское шоссе 106,108</t>
  </si>
  <si>
    <t>https://yadi.sk/i/XFHHOZEy3ZLe8A</t>
  </si>
  <si>
    <t xml:space="preserve">Агент не отвечает на звонки </t>
  </si>
  <si>
    <t>г.Тула</t>
  </si>
  <si>
    <t>с 18.00-20.00</t>
  </si>
  <si>
    <t>Кирова 21,19а</t>
  </si>
  <si>
    <t>https://yadi.sk/d/nYPydU2i3ZLetB</t>
  </si>
  <si>
    <t>Кирова 21,20</t>
  </si>
  <si>
    <t>https://yadi.sk/d/D8ZSz-MG3ZLeu6</t>
  </si>
  <si>
    <t>Кирова ,22,22а</t>
  </si>
  <si>
    <t>https://yadi.sk/d/9xmXa1md3ZLevC</t>
  </si>
  <si>
    <t>Кирова 17,</t>
  </si>
  <si>
    <t>https://yadi.sk/d/CEx3iRWq3ZLewP</t>
  </si>
  <si>
    <t xml:space="preserve">Агент сообщил, что уже закончил работу </t>
  </si>
  <si>
    <t>ул. Гагарина, д. 147</t>
  </si>
  <si>
    <t>https://yadi.sk/d/i0kSWSxu3ZLfmq</t>
  </si>
  <si>
    <t>Агапкина,д.11 А</t>
  </si>
  <si>
    <t>https://yadi.sk/i/sDVkvOnx3ZLfc4</t>
  </si>
  <si>
    <t>Агент сообщил, что общается с клиентом. Перезвонил спустя 34 минуты.</t>
  </si>
  <si>
    <t>Агапкина,д.11</t>
  </si>
  <si>
    <t>https://yadi.sk/d/L5hTOiLq3ZLfae</t>
  </si>
  <si>
    <t xml:space="preserve">Агент сообщил, что попал в пробку и будет через 10 минут. </t>
  </si>
  <si>
    <t>Куквидзе,д.75 Г</t>
  </si>
  <si>
    <t>https://yadi.sk/i/lXRykt5c3ZLfni</t>
  </si>
  <si>
    <t>Челюскинцев 58 Б</t>
  </si>
  <si>
    <t>https://yadi.sk/i/5K-ddtdF3ZNwCR</t>
  </si>
  <si>
    <t>Гагарина 2б</t>
  </si>
  <si>
    <t>https://yadi.sk/d/gE85x1qp3ZNwET</t>
  </si>
  <si>
    <t>Людмила</t>
  </si>
  <si>
    <t>Славы 123</t>
  </si>
  <si>
    <t>https://yadi.sk/d/2Bm2tsK_3ZNwLW</t>
  </si>
  <si>
    <t>Агент работает под именем жены.</t>
  </si>
  <si>
    <t>Никтолай</t>
  </si>
  <si>
    <t>Добросельская 207</t>
  </si>
  <si>
    <t>https://yadi.sk/d/y6hbcKxA3ZNwNv</t>
  </si>
  <si>
    <t>Ленина 15</t>
  </si>
  <si>
    <t>https://yadi.sk/i/saWXsDHQ3ZNwSN</t>
  </si>
  <si>
    <t>Телефон агента заблокирован. Телефон супервазйра заблокирован.</t>
  </si>
  <si>
    <t>Красноармейская 43К,43А</t>
  </si>
  <si>
    <t>https://yadi.sk/d/NHSWcSIm3ZNwUx</t>
  </si>
  <si>
    <t>Василисина 5</t>
  </si>
  <si>
    <t>https://yadi.sk/i/esBqE-eR3ZNwX5</t>
  </si>
  <si>
    <t>Володарского 5, 7</t>
  </si>
  <si>
    <t>https://yadi.sk/d/GKOuMOX33ZP2Hw</t>
  </si>
  <si>
    <t>Шалва</t>
  </si>
  <si>
    <t>Угличская 13, 14, 15</t>
  </si>
  <si>
    <t>https://yadi.sk/i/iSucSWwW3ZP2KV</t>
  </si>
  <si>
    <t>Антон</t>
  </si>
  <si>
    <t>Волкова 2, 6</t>
  </si>
  <si>
    <t>https://yadi.sk/i/nW2-Qrre3ZP2LJ</t>
  </si>
  <si>
    <t>Большая октябрьская 100, Володарского 3</t>
  </si>
  <si>
    <t>https://yadi.sk/d/LWzvvHwn3ZP2Gw</t>
  </si>
  <si>
    <t xml:space="preserve">Кострома </t>
  </si>
  <si>
    <t>Вадим</t>
  </si>
  <si>
    <t xml:space="preserve"> ул. Индустриальная, д.19</t>
  </si>
  <si>
    <t>https://yadi.sk/i/2l2oUB_t3ZP2pU</t>
  </si>
  <si>
    <t>Телефон агента не доступен, супервайзеру информацию передали</t>
  </si>
  <si>
    <t xml:space="preserve">Максим </t>
  </si>
  <si>
    <t xml:space="preserve">18-00-20-00 </t>
  </si>
  <si>
    <t xml:space="preserve">АБАШЕВА, 46 </t>
  </si>
  <si>
    <t>https://yadi.sk/i/86pIl8Sr3ZU8Yg</t>
  </si>
  <si>
    <t>Агент сообил, что сейчас получает рекламную продукцию.Супервайзеру сообщили.</t>
  </si>
  <si>
    <t xml:space="preserve">ОДЕССКАЯ, 32 </t>
  </si>
  <si>
    <t>https://yadi.sk/i/aO6sHUOQ3ZU8a6</t>
  </si>
  <si>
    <t xml:space="preserve">ШЕВЧЕНКО, 19 </t>
  </si>
  <si>
    <t>https://yadi.sk/i/u_s5Ob843ZU8bV</t>
  </si>
  <si>
    <t xml:space="preserve">Андрей </t>
  </si>
  <si>
    <t xml:space="preserve">НОВО-ЛЕСНАЯ, 24 </t>
  </si>
  <si>
    <t>https://yadi.sk/i/n-3k-lPa3ZU8cs</t>
  </si>
  <si>
    <t>г.Тула Луначарского 17/1</t>
  </si>
  <si>
    <t>https://yadi.sk/d/WTKgQWvB3ZU8hN</t>
  </si>
  <si>
    <t>г.Тула Сурикова 7а</t>
  </si>
  <si>
    <t>https://yadi.sk/d/_tA4WtPV3ZU8ia</t>
  </si>
  <si>
    <t>Ольга</t>
  </si>
  <si>
    <t>Северная Мыза 1/1</t>
  </si>
  <si>
    <t>https://yadi.sk/d/NVo8tZ8N3ZU8jt</t>
  </si>
  <si>
    <t>Агент работал по адресу Микрорайон Северная Мыза, бульвар Победы, д.1к1</t>
  </si>
  <si>
    <t>Северная Мыза 1</t>
  </si>
  <si>
    <t>https://yadi.sk/d/TrlTnh9u3ZU8km</t>
  </si>
  <si>
    <t>Агент работал по адресу Микрорайон Северная Мыза, бульвар Победы, д.1</t>
  </si>
  <si>
    <t>Гурьянова 10 КОРП 1</t>
  </si>
  <si>
    <t>https://yadi.sk/d/Yb102mHC3ZU8o9</t>
  </si>
  <si>
    <t>Гурьянова 14 КОРП 3</t>
  </si>
  <si>
    <t>https://yadi.sk/d/9TEeJUjw3ZU8pQ</t>
  </si>
  <si>
    <t>Анастас</t>
  </si>
  <si>
    <t>Аллейная 10</t>
  </si>
  <si>
    <t>https://yadi.sk/d/uRjXTrmG3ZU8qm</t>
  </si>
  <si>
    <t xml:space="preserve">Никита </t>
  </si>
  <si>
    <t>Тарусский проезд 14</t>
  </si>
  <si>
    <t>https://yadi.sk/d/3h5FcSAh3ZU8re</t>
  </si>
  <si>
    <t>16.00 до 18.00</t>
  </si>
  <si>
    <t>Революционная 16</t>
  </si>
  <si>
    <t>https://yadi.sk/d/OiL6vr_V3ZUBkn</t>
  </si>
  <si>
    <t>Нет таблички с адресом.</t>
  </si>
  <si>
    <t>Революционная 8</t>
  </si>
  <si>
    <t>https://yadi.sk/d/kqizrGJv3ZUBnr</t>
  </si>
  <si>
    <t xml:space="preserve">Анастасия </t>
  </si>
  <si>
    <t>Революционная 24/1</t>
  </si>
  <si>
    <t>https://yadi.sk/d/03bMiZMV3ZUBpg</t>
  </si>
  <si>
    <t>Революционная 24/3</t>
  </si>
  <si>
    <t>https://yadi.sk/d/ykimhrqo3ZUBrL</t>
  </si>
  <si>
    <t>с 18-00 до 21-00</t>
  </si>
  <si>
    <t>пр. Текстильщиков д.5г</t>
  </si>
  <si>
    <t>https://yadi.sk/d/fjV44xiE3ZVtAZ</t>
  </si>
  <si>
    <t>пр. Текстильщиков д.111</t>
  </si>
  <si>
    <t>https://yadi.sk/d/YWZJeAPv3ZVtBe</t>
  </si>
  <si>
    <t>На адресе работали два агента.</t>
  </si>
  <si>
    <t>пр. Текстильщиков д.111а</t>
  </si>
  <si>
    <t>https://yadi.sk/d/IBw_-Vwn3ZVtCY</t>
  </si>
  <si>
    <t>пр. Текстильщиков д.5в</t>
  </si>
  <si>
    <t>https://yadi.sk/d/LZ5aHyzp3ZVtDM</t>
  </si>
  <si>
    <t>Елена</t>
  </si>
  <si>
    <t>Кловская 25а</t>
  </si>
  <si>
    <t>https://yadi.sk/d/H5FoAxwd3ZVttD</t>
  </si>
  <si>
    <t>Автозаводская д.46в</t>
  </si>
  <si>
    <t>https://yadi.sk/d/bkjs06OX3ZVtuz</t>
  </si>
  <si>
    <t>Анна</t>
  </si>
  <si>
    <t>с 20:10 до 21:00</t>
  </si>
  <si>
    <t>Нарвская 21/1</t>
  </si>
  <si>
    <t>https://yadi.sk/d/1bEueZOz3ZVtw7</t>
  </si>
  <si>
    <t>ул. Нарвская д.21/2</t>
  </si>
  <si>
    <t>https://yadi.sk/d/ygY4KntF3ZVtwo</t>
  </si>
  <si>
    <t>Гастело 2-й проезд 17/1</t>
  </si>
  <si>
    <t>https://yadi.sk/d/2mApsAjE3ZWWrP</t>
  </si>
  <si>
    <t>Гастело 2-й проезд 17/2,24</t>
  </si>
  <si>
    <t>https://yadi.sk/d/qc6fo0-F3ZWWsr</t>
  </si>
  <si>
    <t>Гастело 2-й проезд 24а</t>
  </si>
  <si>
    <t>https://yadi.sk/d/W-jj4Kw_3ZWWuV</t>
  </si>
  <si>
    <t>Гастело 2-й проезд 15</t>
  </si>
  <si>
    <t>https://yadi.sk/d/kkgjB-kb3ZWWtg</t>
  </si>
  <si>
    <t>Жирнова Ирина Ивановна</t>
  </si>
  <si>
    <t>МОСКОВСКАЯ (Г. ЛИПЕЦК) 61 Д</t>
  </si>
  <si>
    <t>https://yadi.sk/i/f6zASTrA3ZWXEq</t>
  </si>
  <si>
    <t>Агент работает по другому адресу. Телефон супервайзера выключен.</t>
  </si>
  <si>
    <t>МОСКОВСКАЯ (Г. ЛИПЕЦК) 61 В</t>
  </si>
  <si>
    <t>https://yadi.sk/i/nmO4AeF83ZWXFy</t>
  </si>
  <si>
    <t xml:space="preserve">Агент сообщил, что не должна сегодня работать. Телефон супервайзера выключен. </t>
  </si>
  <si>
    <t>Замятина 1</t>
  </si>
  <si>
    <t>https://yadi.sk/i/SCo2tDTV3ZWXHa</t>
  </si>
  <si>
    <t>Телефон агента выключен. Супервайзер сообщил, что предоставил не верный номер телефона. Фото сделано у дома на против.</t>
  </si>
  <si>
    <t xml:space="preserve">Новомосковск </t>
  </si>
  <si>
    <t xml:space="preserve">Оксана </t>
  </si>
  <si>
    <t>с 17.30-19.30</t>
  </si>
  <si>
    <t>ул. Трудовые резервы 64/1</t>
  </si>
  <si>
    <t>https://yadi.sk/d/RkIT_C-x3ZYkPW</t>
  </si>
  <si>
    <t>Наталья</t>
  </si>
  <si>
    <t>ул. Трудовые резервы 64/4</t>
  </si>
  <si>
    <t>https://yadi.sk/d/gUCpFBYC3ZYkSK</t>
  </si>
  <si>
    <t>Моршанское шоссе,д.40</t>
  </si>
  <si>
    <t>https://yadi.sk/d/hhcSDRiL3ZYkht</t>
  </si>
  <si>
    <t>б-р Энтузиастов, д. 28 А</t>
  </si>
  <si>
    <t>https://yadi.sk/d/5LWg6iDw3ZYkgh</t>
  </si>
  <si>
    <t>ул. Агапкина, д. 17</t>
  </si>
  <si>
    <t>https://yadi.sk/d/hzJJfpVk3ZYkmz</t>
  </si>
  <si>
    <t>ул. Магистральная, д. 41, к. 3</t>
  </si>
  <si>
    <t>https://yadi.sk/d/Rm3KDARE3ZYkm8</t>
  </si>
  <si>
    <t>Данилова Юлия Сергеевна</t>
  </si>
  <si>
    <t>Чкалова д10 ,д12</t>
  </si>
  <si>
    <t>https://yadi.sk/d/FKkKhX3I3ZYq96</t>
  </si>
  <si>
    <t>Самохина Анастасия Игоревна</t>
  </si>
  <si>
    <t>https://yadi.sk/d/zWrrG4AP3ZYqCQ</t>
  </si>
  <si>
    <t>Лысуха Кирилл Романович</t>
  </si>
  <si>
    <t>ЧКАЛОВА 8,6, 1/1, 1/2.</t>
  </si>
  <si>
    <t>https://yadi.sk/d/14ZesG8u3ZYqEn</t>
  </si>
  <si>
    <t>Рудаков Маским</t>
  </si>
  <si>
    <t>Агент не отвечал на телефон. Супервайзер был на адресе и сообщил, что отпустил агента.</t>
  </si>
  <si>
    <t>Волков Александр Сергеевич</t>
  </si>
  <si>
    <t>Шоссе Касимовское 15 к 2</t>
  </si>
  <si>
    <t>https://yadi.sk/d/uNNbsjLH3ZYqGZ</t>
  </si>
  <si>
    <t>Фомин Сергей Дмитриевич</t>
  </si>
  <si>
    <t>https://yadi.sk/d/N7jXchLl3ZYqJ6</t>
  </si>
  <si>
    <t>Хахалина Наталья Юрьевна</t>
  </si>
  <si>
    <t>Сурикова 10А</t>
  </si>
  <si>
    <t>https://yadi.sk/d/ophgrbo73ZYqLo</t>
  </si>
  <si>
    <t>Ленина 67,69</t>
  </si>
  <si>
    <t>https://yadi.sk/i/3BYuqJal3ZYqN3</t>
  </si>
  <si>
    <t>При звонке ответила девушка и сказала, что не туда попали.Телефон супервайзера выключен.</t>
  </si>
  <si>
    <t>Баумана 10,6</t>
  </si>
  <si>
    <t>https://yadi.sk/i/FLMx7t-23ZYqPR</t>
  </si>
  <si>
    <t>Агент не отвечал на телефон. Телефон супервайзера выключен.</t>
  </si>
  <si>
    <t>https://yadi.sk/d/vrQEj8Be3ZYqQw</t>
  </si>
  <si>
    <t>Маргарита</t>
  </si>
  <si>
    <t>60 лет Октября 5А</t>
  </si>
  <si>
    <t>https://yadi.sk/i/XdwB_CqP3Zb9BX</t>
  </si>
  <si>
    <t>Агент ответил на звонок, сообщил, что на адресе, далее связь прервалась, дозвониться до агента больше не удалось. Супервайзер так же не смог дозвониться до агента.</t>
  </si>
  <si>
    <t>Горького, 33,35</t>
  </si>
  <si>
    <t>https://yadi.sk/i/JER9Cmmr3Zb9D3</t>
  </si>
  <si>
    <t>Агент сообщил, что работает  улице Рихарда Зорге. Супервайзер сообщил, что предупреждал своего руководителя о замене адреса работы агента.</t>
  </si>
  <si>
    <t>Артамонова 34\6</t>
  </si>
  <si>
    <t>https://yadi.sk/d/CHgCVRBh3ZbEjy</t>
  </si>
  <si>
    <t>Артамонова 34\2</t>
  </si>
  <si>
    <t>https://yadi.sk/d/V8Mj5_WN3ZbEdQ</t>
  </si>
  <si>
    <t>3 интернационала 5</t>
  </si>
  <si>
    <t>https://yadi.sk/d/b9ugBR_r3ZbEiG</t>
  </si>
  <si>
    <t>Анатолий</t>
  </si>
  <si>
    <t>https://yadi.sk/d/wJpSYa5o3ZbEbt</t>
  </si>
  <si>
    <t>Константин</t>
  </si>
  <si>
    <t>Комарова д.61</t>
  </si>
  <si>
    <t>https://yadi.sk/d/E5AOsjox3ZbFKt</t>
  </si>
  <si>
    <t>17-00-21-00</t>
  </si>
  <si>
    <t>ОГАРЕВА 7 (БРЯНСК)</t>
  </si>
  <si>
    <t>https://yadi.sk/d/Fs8G8AG93ZbFMG</t>
  </si>
  <si>
    <t>Ромашина д.33</t>
  </si>
  <si>
    <t>https://yadi.sk/d/U4eY4goT3ZbFGy</t>
  </si>
  <si>
    <t>Ромашина д.33 1</t>
  </si>
  <si>
    <t>https://yadi.sk/d/5jIEPeMj3ZbFJ4</t>
  </si>
  <si>
    <t>ул. Бульварная, д.3</t>
  </si>
  <si>
    <t>https://yadi.sk/i/ekPfTwOx3ZbGYQ</t>
  </si>
  <si>
    <t>Дом не достроен. Агент Мария перешела работать на адрес ул. Бульварная 9.</t>
  </si>
  <si>
    <t>ул. Бульварная, д.9</t>
  </si>
  <si>
    <t>https://yadi.sk/i/Cg-7Tjqu3ZbGWe</t>
  </si>
  <si>
    <t xml:space="preserve">Агент сегодня не работает. Супервайзер сообщил, что заменил работника на агента Марию, которая должна была работать по адресу ул. Бульварная 3. </t>
  </si>
  <si>
    <t>Георгий</t>
  </si>
  <si>
    <t>ул. Фестивальная, д.28</t>
  </si>
  <si>
    <t>https://yadi.sk/i/8RNLPszm3ZbGTw</t>
  </si>
  <si>
    <t>Агент сегодня не работает. Супервайзеру сообщили</t>
  </si>
  <si>
    <t>ул. Индустриальная, д.61</t>
  </si>
  <si>
    <t>https://yadi.sk/i/1RTobQ-B3ZbGVP</t>
  </si>
  <si>
    <t>Агент сообщил, что не может дождаться транспорта, чтобы добраться до адреса. Супервайзеру сообщили</t>
  </si>
  <si>
    <t>Михайлова Олеся</t>
  </si>
  <si>
    <t>Ленина 108</t>
  </si>
  <si>
    <t>https://yadi.sk/d/vXf3LqoR3Zd4Hd</t>
  </si>
  <si>
    <t>Чернова Светлана</t>
  </si>
  <si>
    <t>https://yadi.sk/d/17TINKs43Zd4T4</t>
  </si>
  <si>
    <t>Викторова Татьяна</t>
  </si>
  <si>
    <t>А. Дериглазова 33</t>
  </si>
  <si>
    <t>https://yadi.sk/d/g5ARUTgJ3Zd4ef</t>
  </si>
  <si>
    <t>https://yadi.sk/i/J8-httH33Zd4fw</t>
  </si>
  <si>
    <t>Агент сообщил, что уже уехал с работы. Телефон супервайзера не доступен.</t>
  </si>
  <si>
    <t xml:space="preserve">Орел </t>
  </si>
  <si>
    <t>Владислав Глемский</t>
  </si>
  <si>
    <t>Герцена, 13</t>
  </si>
  <si>
    <t>https://yadi.sk/d/JRK46RS53Zd5A6</t>
  </si>
  <si>
    <t>Ксения Телетан</t>
  </si>
  <si>
    <t>УЛ.КОМСОМОЛЬСКАЯ, 346</t>
  </si>
  <si>
    <t>https://yadi.sk/d/HloApJ0-3Zd5Ab</t>
  </si>
  <si>
    <t>Камилла</t>
  </si>
  <si>
    <t>Фомушина 9</t>
  </si>
  <si>
    <t>https://yadi.sk/d/wVwEyLqZ3ZdAQH</t>
  </si>
  <si>
    <t>Фомушина 13</t>
  </si>
  <si>
    <t>https://yadi.sk/d/bRXG71yH3ZdARC</t>
  </si>
  <si>
    <t>Сиреневый бульвар 14</t>
  </si>
  <si>
    <t>https://yadi.sk/d/vifxLVbu3ZdARz</t>
  </si>
  <si>
    <t xml:space="preserve">Владислав </t>
  </si>
  <si>
    <t>https://yadi.sk/i/2qeldUqL3ZdATk</t>
  </si>
  <si>
    <t>Агент сообщил, что отпросился у руководителя. Супервайзеру сообщили.</t>
  </si>
  <si>
    <t>Город</t>
  </si>
  <si>
    <t>Пример заполнения</t>
  </si>
  <si>
    <t>Адрес</t>
  </si>
  <si>
    <t>№ Подъезда</t>
  </si>
  <si>
    <t>Формат РИМ</t>
  </si>
  <si>
    <t>Факт размещения</t>
  </si>
  <si>
    <t>Соответствие макету</t>
  </si>
  <si>
    <t>Конкуренты стенды/территория подъезда</t>
  </si>
  <si>
    <t>Конкуренты п/я</t>
  </si>
  <si>
    <t>Ростелеком Доп. материалы</t>
  </si>
  <si>
    <t>Комментарии/Перечень РИМ Конкурентов</t>
  </si>
  <si>
    <t>А4</t>
  </si>
  <si>
    <t>ДОМ.RU</t>
  </si>
  <si>
    <t>МТС, ДОМ.RU</t>
  </si>
  <si>
    <t>МТС</t>
  </si>
  <si>
    <t>Аудитор проверяет:</t>
  </si>
  <si>
    <t>соответствие факта размещения обозначенной АП;</t>
  </si>
  <si>
    <t>соответствие фактически размещённых РИМ макетам и форматам, предоставленных Заказчиком;</t>
  </si>
  <si>
    <t>качество проведённого монтажа и размещённых РИМ - целостность/работоспособность стендов для РИМ; отсутствие посторонних элементов в виде надписей, листовок, наклеек и т.д.;</t>
  </si>
  <si>
    <t>наличие РИМ конкурентов по АП;</t>
  </si>
  <si>
    <t>наличие любых дополнительных РИМ заказчика по АП.</t>
  </si>
  <si>
    <t xml:space="preserve">Аудитор делает соответствующие фотографии и предоставляет отчет о выполнении проверки + фотоотчеты. </t>
  </si>
  <si>
    <t>Приложение №3 к Техническому заданию, Чек-лист результаты проверки рекламного размещения</t>
  </si>
  <si>
    <t>Краснодар</t>
  </si>
  <si>
    <t>1-Я ЗАРЕЧНАЯ,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</si>
</sst>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dd\.mm\.yyyy"/>
    <numFmt numFmtId="166" formatCode="[$-419]d\ mmm;@"/>
    <numFmt numFmtId="167" formatCode="dd/mm"/>
    <numFmt numFmtId="168" formatCode="d\ mmmm\ yy"/>
    <numFmt numFmtId="169" formatCode="d\ mmmm\,\ yy"/>
  </numFmts>
  <fonts count="56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color rgb="FF000000"/>
      <name val="-apple-system"/>
    </font>
    <font>
      <sz val="10"/>
      <color theme="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0"/>
      <color rgb="FF1155CC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u/>
      <sz val="10"/>
      <color rgb="FF1155CC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1" fillId="0" borderId="0"/>
  </cellStyleXfs>
  <cellXfs count="430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0" xfId="0" applyFont="1" applyAlignme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4" fontId="4" fillId="0" borderId="1" xfId="1" applyFont="1" applyBorder="1" applyAlignment="1">
      <alignment horizontal="left"/>
    </xf>
    <xf numFmtId="14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 wrapText="1"/>
    </xf>
    <xf numFmtId="20" fontId="4" fillId="0" borderId="1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65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7" fillId="7" borderId="3" xfId="0" applyFont="1" applyFill="1" applyBorder="1" applyAlignment="1">
      <alignment horizontal="left"/>
    </xf>
    <xf numFmtId="0" fontId="0" fillId="0" borderId="0" xfId="0" applyNumberFormat="1" applyFont="1" applyAlignment="1"/>
    <xf numFmtId="0" fontId="7" fillId="7" borderId="3" xfId="0" applyNumberFormat="1" applyFont="1" applyFill="1" applyBorder="1" applyAlignment="1"/>
    <xf numFmtId="0" fontId="7" fillId="7" borderId="0" xfId="0" applyFont="1" applyFill="1" applyAlignment="1"/>
    <xf numFmtId="0" fontId="7" fillId="7" borderId="2" xfId="0" applyFont="1" applyFill="1" applyBorder="1" applyAlignment="1"/>
    <xf numFmtId="0" fontId="7" fillId="8" borderId="0" xfId="0" applyFont="1" applyFill="1" applyAlignment="1"/>
    <xf numFmtId="0" fontId="12" fillId="5" borderId="0" xfId="0" applyFont="1" applyFill="1" applyBorder="1" applyAlignment="1"/>
    <xf numFmtId="0" fontId="7" fillId="7" borderId="0" xfId="0" applyFont="1" applyFill="1" applyBorder="1" applyAlignment="1">
      <alignment horizontal="left"/>
    </xf>
    <xf numFmtId="166" fontId="7" fillId="7" borderId="2" xfId="0" applyNumberFormat="1" applyFont="1" applyFill="1" applyBorder="1" applyAlignment="1"/>
    <xf numFmtId="167" fontId="7" fillId="7" borderId="0" xfId="0" applyNumberFormat="1" applyFont="1" applyFill="1" applyBorder="1" applyAlignment="1">
      <alignment horizontal="center" vertical="center"/>
    </xf>
    <xf numFmtId="9" fontId="0" fillId="0" borderId="0" xfId="2" applyFont="1" applyBorder="1" applyAlignment="1">
      <alignment horizontal="center" vertical="center"/>
    </xf>
    <xf numFmtId="9" fontId="7" fillId="7" borderId="0" xfId="2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2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9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/>
    </xf>
    <xf numFmtId="20" fontId="11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165" fontId="2" fillId="5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top" wrapText="1"/>
    </xf>
    <xf numFmtId="20" fontId="4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0" fillId="0" borderId="0" xfId="0" applyFont="1" applyBorder="1" applyAlignment="1"/>
    <xf numFmtId="0" fontId="4" fillId="0" borderId="0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20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9" borderId="0" xfId="0" applyFont="1" applyFill="1" applyBorder="1" applyAlignment="1">
      <alignment horizontal="left" vertical="center"/>
    </xf>
    <xf numFmtId="0" fontId="2" fillId="0" borderId="4" xfId="0" applyFont="1" applyBorder="1" applyAlignment="1"/>
    <xf numFmtId="0" fontId="2" fillId="0" borderId="4" xfId="0" applyFont="1" applyBorder="1" applyAlignment="1">
      <alignment wrapText="1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8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2" fillId="3" borderId="4" xfId="0" applyFont="1" applyFill="1" applyBorder="1" applyAlignment="1"/>
    <xf numFmtId="0" fontId="3" fillId="3" borderId="5" xfId="0" applyFont="1" applyFill="1" applyBorder="1" applyAlignment="1"/>
    <xf numFmtId="0" fontId="2" fillId="3" borderId="4" xfId="0" applyFont="1" applyFill="1" applyBorder="1" applyAlignment="1">
      <alignment horizontal="center" vertical="center"/>
    </xf>
    <xf numFmtId="20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Fill="1" applyBorder="1" applyAlignment="1">
      <alignment horizontal="left" wrapText="1"/>
    </xf>
    <xf numFmtId="20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wrapText="1"/>
    </xf>
    <xf numFmtId="0" fontId="16" fillId="0" borderId="4" xfId="0" applyFont="1" applyBorder="1" applyAlignment="1"/>
    <xf numFmtId="0" fontId="16" fillId="0" borderId="5" xfId="0" applyFont="1" applyBorder="1" applyAlignment="1"/>
    <xf numFmtId="0" fontId="1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20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20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8" fillId="0" borderId="4" xfId="0" applyFont="1" applyBorder="1" applyAlignment="1"/>
    <xf numFmtId="0" fontId="18" fillId="0" borderId="5" xfId="0" applyFont="1" applyBorder="1" applyAlignment="1"/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20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20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1" fillId="3" borderId="5" xfId="0" applyFont="1" applyFill="1" applyBorder="1" applyAlignment="1">
      <alignment horizontal="left"/>
    </xf>
    <xf numFmtId="0" fontId="0" fillId="6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4" fillId="0" borderId="1" xfId="0" applyFont="1" applyBorder="1"/>
    <xf numFmtId="0" fontId="20" fillId="0" borderId="4" xfId="0" applyFont="1" applyBorder="1" applyAlignment="1"/>
    <xf numFmtId="0" fontId="20" fillId="0" borderId="5" xfId="0" applyFont="1" applyBorder="1" applyAlignment="1"/>
    <xf numFmtId="0" fontId="19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20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0" fillId="6" borderId="1" xfId="0" applyFont="1" applyFill="1" applyBorder="1" applyAlignment="1"/>
    <xf numFmtId="0" fontId="0" fillId="6" borderId="1" xfId="0" applyFont="1" applyFill="1" applyBorder="1" applyAlignment="1">
      <alignment horizontal="left"/>
    </xf>
    <xf numFmtId="0" fontId="19" fillId="0" borderId="5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11" fillId="3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19" fillId="0" borderId="12" xfId="0" applyFont="1" applyBorder="1" applyAlignment="1">
      <alignment wrapText="1"/>
    </xf>
    <xf numFmtId="0" fontId="19" fillId="0" borderId="11" xfId="0" applyFont="1" applyBorder="1" applyAlignment="1"/>
    <xf numFmtId="0" fontId="19" fillId="0" borderId="12" xfId="0" applyFont="1" applyBorder="1" applyAlignment="1"/>
    <xf numFmtId="0" fontId="8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left" wrapText="1"/>
    </xf>
    <xf numFmtId="169" fontId="2" fillId="0" borderId="5" xfId="0" applyNumberFormat="1" applyFont="1" applyBorder="1" applyAlignment="1">
      <alignment horizontal="left" wrapText="1"/>
    </xf>
    <xf numFmtId="0" fontId="21" fillId="0" borderId="0" xfId="0" applyNumberFormat="1" applyFont="1" applyAlignment="1"/>
    <xf numFmtId="0" fontId="21" fillId="0" borderId="0" xfId="0" applyFont="1" applyAlignment="1"/>
    <xf numFmtId="165" fontId="4" fillId="4" borderId="1" xfId="0" applyNumberFormat="1" applyFont="1" applyFill="1" applyBorder="1" applyAlignment="1">
      <alignment horizontal="center" wrapText="1"/>
    </xf>
    <xf numFmtId="0" fontId="0" fillId="0" borderId="0" xfId="0" applyNumberFormat="1" applyFont="1" applyAlignment="1">
      <alignment horizontal="center" vertical="center"/>
    </xf>
    <xf numFmtId="0" fontId="23" fillId="0" borderId="4" xfId="0" applyFont="1" applyBorder="1" applyAlignment="1"/>
    <xf numFmtId="0" fontId="23" fillId="0" borderId="5" xfId="0" applyFont="1" applyBorder="1" applyAlignment="1"/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20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20" fontId="22" fillId="0" borderId="5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" fillId="0" borderId="0" xfId="0" applyNumberFormat="1" applyFont="1" applyAlignment="1"/>
    <xf numFmtId="0" fontId="2" fillId="0" borderId="0" xfId="0" applyFont="1" applyAlignment="1"/>
    <xf numFmtId="0" fontId="4" fillId="0" borderId="0" xfId="3" applyFont="1" applyAlignment="1"/>
    <xf numFmtId="0" fontId="4" fillId="0" borderId="0" xfId="3" applyNumberFormat="1" applyFont="1" applyAlignment="1"/>
    <xf numFmtId="0" fontId="4" fillId="0" borderId="0" xfId="3" applyFont="1" applyAlignment="1"/>
    <xf numFmtId="0" fontId="4" fillId="0" borderId="0" xfId="3" applyNumberFormat="1" applyFont="1" applyAlignment="1"/>
    <xf numFmtId="0" fontId="4" fillId="3" borderId="5" xfId="0" applyFont="1" applyFill="1" applyBorder="1" applyAlignment="1">
      <alignment horizontal="left"/>
    </xf>
    <xf numFmtId="20" fontId="2" fillId="0" borderId="5" xfId="0" applyNumberFormat="1" applyFont="1" applyBorder="1" applyAlignment="1">
      <alignment horizontal="center" vertical="center" wrapText="1"/>
    </xf>
    <xf numFmtId="0" fontId="25" fillId="0" borderId="4" xfId="0" applyFont="1" applyBorder="1" applyAlignment="1"/>
    <xf numFmtId="0" fontId="25" fillId="0" borderId="5" xfId="0" applyFont="1" applyBorder="1" applyAlignment="1"/>
    <xf numFmtId="0" fontId="24" fillId="0" borderId="4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20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20" fontId="24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6" fillId="3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14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left" vertical="center" wrapText="1"/>
    </xf>
    <xf numFmtId="0" fontId="26" fillId="3" borderId="4" xfId="0" applyFont="1" applyFill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6" fillId="3" borderId="5" xfId="0" applyFont="1" applyFill="1" applyBorder="1" applyAlignment="1">
      <alignment horizontal="left"/>
    </xf>
    <xf numFmtId="0" fontId="24" fillId="0" borderId="6" xfId="0" applyFont="1" applyBorder="1" applyAlignment="1"/>
    <xf numFmtId="0" fontId="24" fillId="0" borderId="7" xfId="0" applyFont="1" applyBorder="1" applyAlignment="1"/>
    <xf numFmtId="0" fontId="29" fillId="0" borderId="5" xfId="0" applyFont="1" applyBorder="1" applyAlignment="1"/>
    <xf numFmtId="0" fontId="29" fillId="0" borderId="4" xfId="0" applyFont="1" applyBorder="1" applyAlignment="1">
      <alignment vertical="center"/>
    </xf>
    <xf numFmtId="0" fontId="0" fillId="0" borderId="0" xfId="0" applyFont="1" applyAlignment="1">
      <alignment vertical="center"/>
    </xf>
    <xf numFmtId="20" fontId="27" fillId="0" borderId="4" xfId="0" applyNumberFormat="1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20" fontId="27" fillId="0" borderId="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4" xfId="0" applyFont="1" applyBorder="1" applyAlignment="1">
      <alignment horizontal="left" vertical="center" wrapText="1"/>
    </xf>
    <xf numFmtId="0" fontId="28" fillId="3" borderId="4" xfId="0" applyFont="1" applyFill="1" applyBorder="1" applyAlignment="1">
      <alignment horizontal="left" vertical="center"/>
    </xf>
    <xf numFmtId="0" fontId="27" fillId="0" borderId="5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9" fontId="7" fillId="0" borderId="0" xfId="2" applyFont="1" applyFill="1" applyBorder="1" applyAlignment="1">
      <alignment horizontal="center" vertical="center"/>
    </xf>
    <xf numFmtId="0" fontId="32" fillId="0" borderId="4" xfId="0" applyFont="1" applyBorder="1" applyAlignment="1"/>
    <xf numFmtId="0" fontId="32" fillId="0" borderId="5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/>
    </xf>
    <xf numFmtId="0" fontId="31" fillId="0" borderId="4" xfId="0" applyFont="1" applyBorder="1" applyAlignment="1">
      <alignment horizontal="left" wrapText="1"/>
    </xf>
    <xf numFmtId="0" fontId="31" fillId="0" borderId="5" xfId="0" applyFont="1" applyBorder="1" applyAlignment="1">
      <alignment horizontal="left" wrapText="1"/>
    </xf>
    <xf numFmtId="0" fontId="30" fillId="3" borderId="5" xfId="0" applyFont="1" applyFill="1" applyBorder="1" applyAlignment="1">
      <alignment horizontal="left"/>
    </xf>
    <xf numFmtId="20" fontId="31" fillId="0" borderId="4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20" fontId="31" fillId="0" borderId="5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vertical="center" wrapText="1"/>
    </xf>
    <xf numFmtId="0" fontId="27" fillId="0" borderId="7" xfId="0" applyFont="1" applyBorder="1" applyAlignment="1">
      <alignment wrapText="1"/>
    </xf>
    <xf numFmtId="0" fontId="31" fillId="0" borderId="6" xfId="0" applyFont="1" applyBorder="1" applyAlignment="1">
      <alignment wrapText="1"/>
    </xf>
    <xf numFmtId="0" fontId="31" fillId="0" borderId="7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24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/>
    </xf>
    <xf numFmtId="0" fontId="14" fillId="9" borderId="22" xfId="0" applyFont="1" applyFill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1" fillId="0" borderId="25" xfId="0" applyFont="1" applyBorder="1" applyAlignment="1">
      <alignment horizontal="left" wrapText="1"/>
    </xf>
    <xf numFmtId="20" fontId="31" fillId="0" borderId="25" xfId="0" applyNumberFormat="1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25" xfId="0" applyFont="1" applyBorder="1" applyAlignment="1"/>
    <xf numFmtId="0" fontId="31" fillId="0" borderId="0" xfId="0" applyFont="1" applyBorder="1" applyAlignment="1">
      <alignment wrapText="1"/>
    </xf>
    <xf numFmtId="0" fontId="0" fillId="0" borderId="26" xfId="0" applyFont="1" applyBorder="1" applyAlignment="1"/>
    <xf numFmtId="0" fontId="0" fillId="0" borderId="26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4" fillId="0" borderId="10" xfId="0" applyFont="1" applyBorder="1" applyAlignment="1"/>
    <xf numFmtId="20" fontId="0" fillId="0" borderId="1" xfId="0" applyNumberFormat="1" applyFont="1" applyBorder="1" applyAlignment="1">
      <alignment horizontal="center" vertical="center"/>
    </xf>
    <xf numFmtId="20" fontId="0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3" fillId="0" borderId="4" xfId="0" applyFont="1" applyBorder="1" applyAlignment="1">
      <alignment wrapText="1"/>
    </xf>
    <xf numFmtId="0" fontId="34" fillId="0" borderId="4" xfId="0" applyFont="1" applyBorder="1" applyAlignment="1"/>
    <xf numFmtId="0" fontId="33" fillId="0" borderId="5" xfId="0" applyFont="1" applyBorder="1" applyAlignment="1">
      <alignment wrapText="1"/>
    </xf>
    <xf numFmtId="0" fontId="34" fillId="0" borderId="5" xfId="0" applyFont="1" applyBorder="1" applyAlignment="1"/>
    <xf numFmtId="0" fontId="33" fillId="0" borderId="4" xfId="0" applyFont="1" applyBorder="1" applyAlignment="1">
      <alignment horizontal="left" wrapText="1"/>
    </xf>
    <xf numFmtId="0" fontId="33" fillId="0" borderId="5" xfId="0" applyFont="1" applyBorder="1" applyAlignment="1">
      <alignment horizontal="left" wrapText="1"/>
    </xf>
    <xf numFmtId="0" fontId="33" fillId="0" borderId="5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/>
    </xf>
    <xf numFmtId="20" fontId="33" fillId="0" borderId="4" xfId="0" applyNumberFormat="1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20" fontId="33" fillId="0" borderId="5" xfId="0" applyNumberFormat="1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2" fillId="4" borderId="26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wrapText="1"/>
    </xf>
    <xf numFmtId="0" fontId="2" fillId="0" borderId="25" xfId="0" applyFont="1" applyBorder="1" applyAlignment="1">
      <alignment horizontal="left" vertical="center" wrapText="1"/>
    </xf>
    <xf numFmtId="20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5" xfId="0" applyFont="1" applyBorder="1" applyAlignment="1"/>
    <xf numFmtId="0" fontId="2" fillId="0" borderId="0" xfId="0" applyFont="1" applyBorder="1" applyAlignment="1">
      <alignment wrapText="1"/>
    </xf>
    <xf numFmtId="0" fontId="37" fillId="0" borderId="4" xfId="0" applyFont="1" applyBorder="1" applyAlignment="1"/>
    <xf numFmtId="0" fontId="37" fillId="0" borderId="5" xfId="0" applyFont="1" applyBorder="1" applyAlignment="1"/>
    <xf numFmtId="0" fontId="36" fillId="0" borderId="4" xfId="0" applyFont="1" applyBorder="1" applyAlignment="1">
      <alignment horizontal="left" wrapText="1"/>
    </xf>
    <xf numFmtId="0" fontId="36" fillId="0" borderId="5" xfId="0" applyFont="1" applyBorder="1" applyAlignment="1">
      <alignment horizontal="left" wrapText="1"/>
    </xf>
    <xf numFmtId="0" fontId="38" fillId="3" borderId="5" xfId="0" applyFont="1" applyFill="1" applyBorder="1" applyAlignment="1">
      <alignment horizontal="left"/>
    </xf>
    <xf numFmtId="0" fontId="39" fillId="0" borderId="5" xfId="0" applyFont="1" applyBorder="1" applyAlignment="1">
      <alignment horizontal="left"/>
    </xf>
    <xf numFmtId="20" fontId="36" fillId="0" borderId="4" xfId="0" applyNumberFormat="1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20" fontId="36" fillId="0" borderId="5" xfId="0" applyNumberFormat="1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wrapText="1"/>
    </xf>
    <xf numFmtId="0" fontId="36" fillId="0" borderId="7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6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4" fillId="0" borderId="0" xfId="3" applyFont="1" applyFill="1" applyAlignment="1"/>
    <xf numFmtId="0" fontId="2" fillId="0" borderId="7" xfId="0" applyFont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40" fillId="0" borderId="5" xfId="0" applyFont="1" applyBorder="1" applyAlignment="1">
      <alignment horizontal="left"/>
    </xf>
    <xf numFmtId="20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40" fillId="0" borderId="1" xfId="0" applyFont="1" applyBorder="1" applyAlignment="1">
      <alignment horizontal="left"/>
    </xf>
    <xf numFmtId="0" fontId="40" fillId="3" borderId="4" xfId="0" applyFont="1" applyFill="1" applyBorder="1" applyAlignment="1">
      <alignment horizontal="left"/>
    </xf>
    <xf numFmtId="20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0" fillId="3" borderId="5" xfId="0" applyFont="1" applyFill="1" applyBorder="1" applyAlignment="1">
      <alignment horizontal="left"/>
    </xf>
    <xf numFmtId="0" fontId="40" fillId="0" borderId="4" xfId="0" applyFont="1" applyBorder="1" applyAlignment="1">
      <alignment horizontal="left"/>
    </xf>
    <xf numFmtId="0" fontId="40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8" fillId="3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0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1" fillId="0" borderId="28" xfId="0" applyFont="1" applyBorder="1" applyAlignment="1">
      <alignment horizontal="left" wrapText="1"/>
    </xf>
    <xf numFmtId="0" fontId="0" fillId="0" borderId="29" xfId="0" applyFont="1" applyBorder="1" applyAlignment="1">
      <alignment horizontal="center"/>
    </xf>
    <xf numFmtId="0" fontId="24" fillId="0" borderId="28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28" xfId="0" applyFont="1" applyBorder="1" applyAlignment="1">
      <alignment horizontal="left" vertical="center" wrapText="1"/>
    </xf>
    <xf numFmtId="0" fontId="0" fillId="0" borderId="28" xfId="0" applyBorder="1"/>
    <xf numFmtId="0" fontId="0" fillId="0" borderId="29" xfId="0" applyBorder="1" applyAlignment="1">
      <alignment horizontal="center"/>
    </xf>
    <xf numFmtId="0" fontId="24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0" fillId="0" borderId="31" xfId="0" applyFont="1" applyBorder="1" applyAlignment="1"/>
    <xf numFmtId="0" fontId="0" fillId="0" borderId="32" xfId="0" applyFont="1" applyBorder="1" applyAlignment="1">
      <alignment horizontal="center"/>
    </xf>
    <xf numFmtId="9" fontId="0" fillId="0" borderId="0" xfId="2" applyFont="1" applyFill="1" applyBorder="1" applyAlignment="1">
      <alignment horizontal="center" vertical="center"/>
    </xf>
    <xf numFmtId="0" fontId="42" fillId="0" borderId="4" xfId="0" applyFont="1" applyBorder="1" applyAlignment="1"/>
    <xf numFmtId="0" fontId="41" fillId="0" borderId="5" xfId="0" applyFont="1" applyBorder="1" applyAlignment="1"/>
    <xf numFmtId="0" fontId="42" fillId="0" borderId="5" xfId="0" applyFont="1" applyBorder="1" applyAlignment="1"/>
    <xf numFmtId="0" fontId="41" fillId="0" borderId="4" xfId="0" applyFont="1" applyBorder="1" applyAlignment="1">
      <alignment horizontal="left" wrapText="1"/>
    </xf>
    <xf numFmtId="0" fontId="41" fillId="0" borderId="5" xfId="0" applyFont="1" applyBorder="1" applyAlignment="1">
      <alignment horizontal="left" wrapText="1"/>
    </xf>
    <xf numFmtId="0" fontId="43" fillId="0" borderId="5" xfId="0" applyFont="1" applyBorder="1" applyAlignment="1">
      <alignment horizontal="left"/>
    </xf>
    <xf numFmtId="0" fontId="43" fillId="0" borderId="4" xfId="0" applyFont="1" applyBorder="1" applyAlignment="1">
      <alignment horizontal="left"/>
    </xf>
    <xf numFmtId="0" fontId="43" fillId="3" borderId="5" xfId="0" applyFont="1" applyFill="1" applyBorder="1" applyAlignment="1">
      <alignment horizontal="left"/>
    </xf>
    <xf numFmtId="20" fontId="41" fillId="0" borderId="4" xfId="0" applyNumberFormat="1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20" fontId="41" fillId="0" borderId="5" xfId="0" applyNumberFormat="1" applyFont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41" fillId="0" borderId="6" xfId="0" applyFont="1" applyBorder="1" applyAlignment="1"/>
    <xf numFmtId="0" fontId="41" fillId="0" borderId="7" xfId="0" applyFont="1" applyBorder="1" applyAlignment="1"/>
    <xf numFmtId="0" fontId="41" fillId="0" borderId="7" xfId="0" applyFont="1" applyBorder="1" applyAlignment="1">
      <alignment wrapText="1"/>
    </xf>
    <xf numFmtId="0" fontId="41" fillId="0" borderId="6" xfId="0" applyFont="1" applyBorder="1" applyAlignment="1">
      <alignment wrapText="1"/>
    </xf>
    <xf numFmtId="0" fontId="31" fillId="0" borderId="33" xfId="0" applyFont="1" applyBorder="1" applyAlignment="1">
      <alignment horizontal="left" wrapText="1"/>
    </xf>
    <xf numFmtId="0" fontId="0" fillId="0" borderId="34" xfId="0" applyFont="1" applyBorder="1" applyAlignment="1"/>
    <xf numFmtId="0" fontId="0" fillId="0" borderId="35" xfId="0" applyFont="1" applyBorder="1" applyAlignment="1">
      <alignment horizontal="center"/>
    </xf>
    <xf numFmtId="0" fontId="27" fillId="0" borderId="28" xfId="0" applyFont="1" applyBorder="1" applyAlignment="1">
      <alignment horizontal="left" vertical="center" wrapText="1"/>
    </xf>
    <xf numFmtId="0" fontId="8" fillId="0" borderId="4" xfId="0" applyFont="1" applyBorder="1" applyAlignment="1"/>
    <xf numFmtId="20" fontId="2" fillId="0" borderId="4" xfId="0" applyNumberFormat="1" applyFont="1" applyBorder="1" applyAlignment="1">
      <alignment horizontal="right"/>
    </xf>
    <xf numFmtId="0" fontId="8" fillId="0" borderId="5" xfId="0" applyFont="1" applyBorder="1" applyAlignment="1"/>
    <xf numFmtId="20" fontId="2" fillId="0" borderId="5" xfId="0" applyNumberFormat="1" applyFont="1" applyBorder="1" applyAlignment="1">
      <alignment horizontal="right"/>
    </xf>
    <xf numFmtId="0" fontId="11" fillId="3" borderId="4" xfId="0" applyFont="1" applyFill="1" applyBorder="1" applyAlignment="1"/>
    <xf numFmtId="0" fontId="11" fillId="3" borderId="5" xfId="0" applyFont="1" applyFill="1" applyBorder="1" applyAlignment="1"/>
    <xf numFmtId="20" fontId="11" fillId="3" borderId="5" xfId="0" applyNumberFormat="1" applyFont="1" applyFill="1" applyBorder="1" applyAlignment="1">
      <alignment horizontal="right"/>
    </xf>
    <xf numFmtId="0" fontId="44" fillId="0" borderId="4" xfId="0" applyFont="1" applyBorder="1" applyAlignment="1"/>
    <xf numFmtId="20" fontId="45" fillId="0" borderId="4" xfId="0" applyNumberFormat="1" applyFont="1" applyBorder="1" applyAlignment="1">
      <alignment horizontal="right"/>
    </xf>
    <xf numFmtId="0" fontId="45" fillId="0" borderId="4" xfId="0" applyFont="1" applyBorder="1" applyAlignment="1"/>
    <xf numFmtId="0" fontId="44" fillId="0" borderId="5" xfId="0" applyFont="1" applyBorder="1" applyAlignment="1"/>
    <xf numFmtId="20" fontId="45" fillId="0" borderId="5" xfId="0" applyNumberFormat="1" applyFont="1" applyBorder="1" applyAlignment="1">
      <alignment horizontal="right"/>
    </xf>
    <xf numFmtId="0" fontId="45" fillId="0" borderId="5" xfId="0" applyFont="1" applyBorder="1" applyAlignment="1"/>
    <xf numFmtId="0" fontId="11" fillId="3" borderId="4" xfId="0" applyFont="1" applyFill="1" applyBorder="1" applyAlignment="1"/>
    <xf numFmtId="0" fontId="11" fillId="3" borderId="5" xfId="0" applyFont="1" applyFill="1" applyBorder="1" applyAlignment="1"/>
    <xf numFmtId="0" fontId="44" fillId="3" borderId="4" xfId="0" applyFont="1" applyFill="1" applyBorder="1" applyAlignment="1"/>
    <xf numFmtId="0" fontId="44" fillId="3" borderId="5" xfId="0" applyFont="1" applyFill="1" applyBorder="1" applyAlignment="1"/>
    <xf numFmtId="0" fontId="45" fillId="0" borderId="7" xfId="0" applyFont="1" applyBorder="1" applyAlignment="1"/>
    <xf numFmtId="0" fontId="44" fillId="0" borderId="5" xfId="0" applyFont="1" applyBorder="1" applyAlignment="1">
      <alignment horizontal="left"/>
    </xf>
    <xf numFmtId="0" fontId="44" fillId="3" borderId="4" xfId="0" applyFont="1" applyFill="1" applyBorder="1" applyAlignment="1">
      <alignment horizontal="left"/>
    </xf>
    <xf numFmtId="0" fontId="44" fillId="3" borderId="5" xfId="0" applyFont="1" applyFill="1" applyBorder="1" applyAlignment="1">
      <alignment horizontal="left"/>
    </xf>
    <xf numFmtId="0" fontId="44" fillId="0" borderId="4" xfId="0" applyFont="1" applyBorder="1" applyAlignment="1">
      <alignment horizontal="left"/>
    </xf>
    <xf numFmtId="0" fontId="3" fillId="0" borderId="7" xfId="0" applyFont="1" applyBorder="1" applyAlignment="1"/>
    <xf numFmtId="0" fontId="44" fillId="0" borderId="5" xfId="0" applyFont="1" applyBorder="1" applyAlignment="1"/>
    <xf numFmtId="20" fontId="45" fillId="0" borderId="5" xfId="0" applyNumberFormat="1" applyFont="1" applyBorder="1" applyAlignment="1">
      <alignment horizontal="right"/>
    </xf>
    <xf numFmtId="0" fontId="45" fillId="0" borderId="5" xfId="0" applyFont="1" applyBorder="1" applyAlignment="1"/>
    <xf numFmtId="0" fontId="44" fillId="0" borderId="4" xfId="0" applyFont="1" applyBorder="1" applyAlignment="1"/>
    <xf numFmtId="20" fontId="45" fillId="0" borderId="4" xfId="0" applyNumberFormat="1" applyFont="1" applyBorder="1" applyAlignment="1">
      <alignment horizontal="right"/>
    </xf>
    <xf numFmtId="0" fontId="45" fillId="0" borderId="4" xfId="0" applyFont="1" applyBorder="1" applyAlignment="1"/>
    <xf numFmtId="0" fontId="11" fillId="3" borderId="4" xfId="0" applyFont="1" applyFill="1" applyBorder="1" applyAlignment="1"/>
    <xf numFmtId="0" fontId="11" fillId="3" borderId="5" xfId="0" applyFont="1" applyFill="1" applyBorder="1" applyAlignment="1"/>
    <xf numFmtId="0" fontId="44" fillId="3" borderId="4" xfId="0" applyFont="1" applyFill="1" applyBorder="1" applyAlignment="1"/>
    <xf numFmtId="0" fontId="44" fillId="3" borderId="5" xfId="0" applyFont="1" applyFill="1" applyBorder="1" applyAlignment="1"/>
    <xf numFmtId="0" fontId="44" fillId="3" borderId="5" xfId="0" applyFont="1" applyFill="1" applyBorder="1" applyAlignment="1">
      <alignment horizontal="center"/>
    </xf>
    <xf numFmtId="0" fontId="44" fillId="3" borderId="4" xfId="0" applyFont="1" applyFill="1" applyBorder="1" applyAlignment="1">
      <alignment horizontal="center"/>
    </xf>
    <xf numFmtId="0" fontId="47" fillId="3" borderId="5" xfId="0" applyFont="1" applyFill="1" applyBorder="1" applyAlignment="1"/>
    <xf numFmtId="0" fontId="48" fillId="0" borderId="5" xfId="0" applyFont="1" applyBorder="1" applyAlignment="1">
      <alignment horizontal="center"/>
    </xf>
    <xf numFmtId="0" fontId="3" fillId="0" borderId="6" xfId="0" applyFont="1" applyBorder="1" applyAlignment="1"/>
    <xf numFmtId="0" fontId="46" fillId="0" borderId="6" xfId="0" applyFont="1" applyBorder="1" applyAlignment="1"/>
    <xf numFmtId="0" fontId="46" fillId="0" borderId="7" xfId="0" applyFont="1" applyBorder="1" applyAlignment="1"/>
    <xf numFmtId="0" fontId="0" fillId="0" borderId="36" xfId="0" applyFont="1" applyBorder="1" applyAlignment="1"/>
    <xf numFmtId="0" fontId="45" fillId="0" borderId="1" xfId="0" applyFont="1" applyBorder="1" applyAlignment="1"/>
    <xf numFmtId="0" fontId="45" fillId="0" borderId="1" xfId="0" applyFont="1" applyBorder="1" applyAlignment="1">
      <alignment wrapText="1"/>
    </xf>
    <xf numFmtId="0" fontId="2" fillId="2" borderId="36" xfId="0" applyFont="1" applyFill="1" applyBorder="1" applyAlignment="1">
      <alignment horizontal="center" vertical="center" wrapText="1"/>
    </xf>
    <xf numFmtId="0" fontId="51" fillId="0" borderId="0" xfId="8" applyFont="1"/>
    <xf numFmtId="0" fontId="1" fillId="0" borderId="0" xfId="8"/>
    <xf numFmtId="0" fontId="2" fillId="2" borderId="8" xfId="8" applyFont="1" applyFill="1" applyBorder="1" applyAlignment="1">
      <alignment horizontal="center" vertical="center" wrapText="1"/>
    </xf>
    <xf numFmtId="165" fontId="2" fillId="0" borderId="8" xfId="8" applyNumberFormat="1" applyFont="1" applyBorder="1" applyAlignment="1">
      <alignment horizontal="center"/>
    </xf>
    <xf numFmtId="0" fontId="2" fillId="0" borderId="8" xfId="8" applyFont="1" applyBorder="1" applyAlignment="1">
      <alignment horizontal="center"/>
    </xf>
    <xf numFmtId="0" fontId="52" fillId="0" borderId="8" xfId="8" applyFont="1" applyBorder="1"/>
    <xf numFmtId="0" fontId="2" fillId="0" borderId="8" xfId="8" applyFont="1" applyBorder="1"/>
    <xf numFmtId="0" fontId="53" fillId="0" borderId="0" xfId="8" applyFont="1" applyAlignment="1">
      <alignment horizontal="justify" vertical="center"/>
    </xf>
    <xf numFmtId="0" fontId="54" fillId="0" borderId="0" xfId="8" applyFont="1"/>
    <xf numFmtId="0" fontId="55" fillId="0" borderId="0" xfId="8" applyFont="1" applyAlignment="1">
      <alignment horizontal="center" vertical="center"/>
    </xf>
    <xf numFmtId="165" fontId="7" fillId="7" borderId="0" xfId="0" applyNumberFormat="1" applyFont="1" applyFill="1" applyBorder="1" applyAlignment="1">
      <alignment horizontal="center" wrapText="1"/>
    </xf>
    <xf numFmtId="165" fontId="7" fillId="7" borderId="2" xfId="0" applyNumberFormat="1" applyFont="1" applyFill="1" applyBorder="1" applyAlignment="1">
      <alignment horizontal="center" wrapText="1"/>
    </xf>
    <xf numFmtId="0" fontId="13" fillId="9" borderId="0" xfId="0" applyFont="1" applyFill="1" applyBorder="1" applyAlignment="1">
      <alignment horizontal="center"/>
    </xf>
    <xf numFmtId="0" fontId="13" fillId="9" borderId="17" xfId="0" applyFont="1" applyFill="1" applyBorder="1" applyAlignment="1">
      <alignment horizontal="center" wrapText="1"/>
    </xf>
    <xf numFmtId="0" fontId="13" fillId="9" borderId="18" xfId="0" applyFont="1" applyFill="1" applyBorder="1" applyAlignment="1">
      <alignment horizontal="center" wrapText="1"/>
    </xf>
    <xf numFmtId="0" fontId="13" fillId="9" borderId="19" xfId="0" applyFont="1" applyFill="1" applyBorder="1" applyAlignment="1">
      <alignment horizontal="center" wrapText="1"/>
    </xf>
    <xf numFmtId="0" fontId="13" fillId="9" borderId="20" xfId="0" applyFont="1" applyFill="1" applyBorder="1" applyAlignment="1">
      <alignment horizontal="center" wrapText="1"/>
    </xf>
    <xf numFmtId="0" fontId="13" fillId="9" borderId="16" xfId="0" applyFont="1" applyFill="1" applyBorder="1" applyAlignment="1">
      <alignment horizontal="center" wrapText="1"/>
    </xf>
    <xf numFmtId="0" fontId="13" fillId="9" borderId="21" xfId="0" applyFont="1" applyFill="1" applyBorder="1" applyAlignment="1">
      <alignment horizontal="center" wrapText="1"/>
    </xf>
  </cellXfs>
  <cellStyles count="9">
    <cellStyle name="Гиперссылка 2" xfId="7"/>
    <cellStyle name="Обычный" xfId="0" builtinId="0"/>
    <cellStyle name="Обычный 2" xfId="3"/>
    <cellStyle name="Обычный 3" xfId="6"/>
    <cellStyle name="Обычный 4" xfId="8"/>
    <cellStyle name="Процентный" xfId="2" builtinId="5"/>
    <cellStyle name="Процентный 2" xfId="5"/>
    <cellStyle name="Финансовый" xfId="1" builtinId="3"/>
    <cellStyle name="Финансовый 2" xf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adi.sk/i/cE01F4T13TUiDE" TargetMode="External"/><Relationship Id="rId21" Type="http://schemas.openxmlformats.org/officeDocument/2006/relationships/hyperlink" Target="https://yadi.sk/i/OFZT5oIg3TUbMU" TargetMode="External"/><Relationship Id="rId42" Type="http://schemas.openxmlformats.org/officeDocument/2006/relationships/hyperlink" Target="https://yadi.sk/d/6IwS1n7o3Tdqth" TargetMode="External"/><Relationship Id="rId47" Type="http://schemas.openxmlformats.org/officeDocument/2006/relationships/hyperlink" Target="https://yadi.sk/d/SVZWknqp3Tdq6C" TargetMode="External"/><Relationship Id="rId63" Type="http://schemas.openxmlformats.org/officeDocument/2006/relationships/hyperlink" Target="https://yadi.sk/i/SJ-nOHn43Th7n3" TargetMode="External"/><Relationship Id="rId68" Type="http://schemas.openxmlformats.org/officeDocument/2006/relationships/hyperlink" Target="https://yadi.sk/i/pOB2PbGL3To3bt" TargetMode="External"/><Relationship Id="rId84" Type="http://schemas.openxmlformats.org/officeDocument/2006/relationships/hyperlink" Target="https://yadi.sk/i/3QLNNaW83TpwYi" TargetMode="External"/><Relationship Id="rId89" Type="http://schemas.openxmlformats.org/officeDocument/2006/relationships/hyperlink" Target="https://yadi.sk/i/joQPRy7m3TryZh" TargetMode="External"/><Relationship Id="rId16" Type="http://schemas.openxmlformats.org/officeDocument/2006/relationships/hyperlink" Target="https://yadi.sk/d/NquIo0ra3TSwBy" TargetMode="External"/><Relationship Id="rId107" Type="http://schemas.openxmlformats.org/officeDocument/2006/relationships/hyperlink" Target="https://yadi.sk/d/zh8HgAoz3Twkir" TargetMode="External"/><Relationship Id="rId11" Type="http://schemas.openxmlformats.org/officeDocument/2006/relationships/hyperlink" Target="https://yadi.sk/i/3IRwLMGJ3TRYbm" TargetMode="External"/><Relationship Id="rId32" Type="http://schemas.openxmlformats.org/officeDocument/2006/relationships/hyperlink" Target="https://yadi.sk/d/NpvdIfHi3TYGy8" TargetMode="External"/><Relationship Id="rId37" Type="http://schemas.openxmlformats.org/officeDocument/2006/relationships/hyperlink" Target="https://yadi.sk/d/tTEZixUQ3TbVG2" TargetMode="External"/><Relationship Id="rId53" Type="http://schemas.openxmlformats.org/officeDocument/2006/relationships/hyperlink" Target="https://yadi.sk/d/PR5Wtq5u3Tevny" TargetMode="External"/><Relationship Id="rId58" Type="http://schemas.openxmlformats.org/officeDocument/2006/relationships/hyperlink" Target="https://yadi.sk/i/UbQyHWLD3Th6eg" TargetMode="External"/><Relationship Id="rId74" Type="http://schemas.openxmlformats.org/officeDocument/2006/relationships/hyperlink" Target="https://yadi.sk/i/HaMA85pA3To2wH" TargetMode="External"/><Relationship Id="rId79" Type="http://schemas.openxmlformats.org/officeDocument/2006/relationships/hyperlink" Target="https://yadi.sk/i/kes0aLWF3TpvN3" TargetMode="External"/><Relationship Id="rId102" Type="http://schemas.openxmlformats.org/officeDocument/2006/relationships/hyperlink" Target="https://yadi.sk/d/0cKobZas3TwNK9" TargetMode="External"/><Relationship Id="rId5" Type="http://schemas.openxmlformats.org/officeDocument/2006/relationships/hyperlink" Target="https://yadi.sk/i/kKRGxhdV3TPNkP" TargetMode="External"/><Relationship Id="rId90" Type="http://schemas.openxmlformats.org/officeDocument/2006/relationships/hyperlink" Target="https://yadi.sk/i/c-zs6kz83TuQWk" TargetMode="External"/><Relationship Id="rId95" Type="http://schemas.openxmlformats.org/officeDocument/2006/relationships/hyperlink" Target="https://yadi.sk/d/nQfambwM3TuQz5" TargetMode="External"/><Relationship Id="rId22" Type="http://schemas.openxmlformats.org/officeDocument/2006/relationships/hyperlink" Target="https://yadi.sk/d/CAzJke9D3TUfDh" TargetMode="External"/><Relationship Id="rId27" Type="http://schemas.openxmlformats.org/officeDocument/2006/relationships/hyperlink" Target="https://yadi.sk/d/Tr0EWKIm3TWhpX" TargetMode="External"/><Relationship Id="rId43" Type="http://schemas.openxmlformats.org/officeDocument/2006/relationships/hyperlink" Target="https://yadi.sk/d/3RKldwQy3Tdqye" TargetMode="External"/><Relationship Id="rId48" Type="http://schemas.openxmlformats.org/officeDocument/2006/relationships/hyperlink" Target="https://yadi.sk/d/6JDQ7C_V3TeupR" TargetMode="External"/><Relationship Id="rId64" Type="http://schemas.openxmlformats.org/officeDocument/2006/relationships/hyperlink" Target="https://yadi.sk/d/HgoaOYaG3TiVAc" TargetMode="External"/><Relationship Id="rId69" Type="http://schemas.openxmlformats.org/officeDocument/2006/relationships/hyperlink" Target="https://yadi.sk/d/oZw2dO2u3To3Uw" TargetMode="External"/><Relationship Id="rId80" Type="http://schemas.openxmlformats.org/officeDocument/2006/relationships/hyperlink" Target="https://yadi.sk/i/O6ofcs0f3TpvKC" TargetMode="External"/><Relationship Id="rId85" Type="http://schemas.openxmlformats.org/officeDocument/2006/relationships/hyperlink" Target="https://yadi.sk/i/kyTNTVVz3TpwYC" TargetMode="External"/><Relationship Id="rId12" Type="http://schemas.openxmlformats.org/officeDocument/2006/relationships/hyperlink" Target="https://yadi.sk/d/qs3k1u6s3TRY8B" TargetMode="External"/><Relationship Id="rId17" Type="http://schemas.openxmlformats.org/officeDocument/2006/relationships/hyperlink" Target="https://yadi.sk/d/7n8-0dxY3TUWkF" TargetMode="External"/><Relationship Id="rId33" Type="http://schemas.openxmlformats.org/officeDocument/2006/relationships/hyperlink" Target="https://yadi.sk/d/AS2eBuob3TYGoL" TargetMode="External"/><Relationship Id="rId38" Type="http://schemas.openxmlformats.org/officeDocument/2006/relationships/hyperlink" Target="https://yadi.sk/d/6okc3cDe3TbVF4" TargetMode="External"/><Relationship Id="rId59" Type="http://schemas.openxmlformats.org/officeDocument/2006/relationships/hyperlink" Target="https://yadi.sk/d/m_S9Y7cn3Th6dX" TargetMode="External"/><Relationship Id="rId103" Type="http://schemas.openxmlformats.org/officeDocument/2006/relationships/hyperlink" Target="https://yadi.sk/i/PdLv05vk3TwNH9" TargetMode="External"/><Relationship Id="rId108" Type="http://schemas.openxmlformats.org/officeDocument/2006/relationships/hyperlink" Target="https://yadi.sk/d/9p5Rw5Bf3Twkz4" TargetMode="External"/><Relationship Id="rId54" Type="http://schemas.openxmlformats.org/officeDocument/2006/relationships/hyperlink" Target="https://yadi.sk/d/pt6O78Qg3TevaL" TargetMode="External"/><Relationship Id="rId70" Type="http://schemas.openxmlformats.org/officeDocument/2006/relationships/hyperlink" Target="https://yadi.sk/i/KO4rLzji3To3YU" TargetMode="External"/><Relationship Id="rId75" Type="http://schemas.openxmlformats.org/officeDocument/2006/relationships/hyperlink" Target="https://yadi.sk/i/nOkCXDlg3To2tn" TargetMode="External"/><Relationship Id="rId91" Type="http://schemas.openxmlformats.org/officeDocument/2006/relationships/hyperlink" Target="https://yadi.sk/d/pxtM4Dtm3TuQUU" TargetMode="External"/><Relationship Id="rId96" Type="http://schemas.openxmlformats.org/officeDocument/2006/relationships/hyperlink" Target="https://yadi.sk/i/PW-aYz_13TuRYG" TargetMode="External"/><Relationship Id="rId1" Type="http://schemas.openxmlformats.org/officeDocument/2006/relationships/hyperlink" Target="https://yadi.sk/i/l9XEN6Sc3TJfzv" TargetMode="External"/><Relationship Id="rId6" Type="http://schemas.openxmlformats.org/officeDocument/2006/relationships/hyperlink" Target="https://yadi.sk/d/80hg9QYn3TPNti" TargetMode="External"/><Relationship Id="rId15" Type="http://schemas.openxmlformats.org/officeDocument/2006/relationships/hyperlink" Target="https://yadi.sk/d/pcd3-sby3TSw53" TargetMode="External"/><Relationship Id="rId23" Type="http://schemas.openxmlformats.org/officeDocument/2006/relationships/hyperlink" Target="https://yadi.sk/i/z_3df61W3TUhQW" TargetMode="External"/><Relationship Id="rId28" Type="http://schemas.openxmlformats.org/officeDocument/2006/relationships/hyperlink" Target="https://yadi.sk/d/tCbt0k_j3TWhru" TargetMode="External"/><Relationship Id="rId36" Type="http://schemas.openxmlformats.org/officeDocument/2006/relationships/hyperlink" Target="https://yadi.sk/d/DotVJ6Ak3TbVDc" TargetMode="External"/><Relationship Id="rId49" Type="http://schemas.openxmlformats.org/officeDocument/2006/relationships/hyperlink" Target="https://yadi.sk/i/ZRMtHXZ03Tev38" TargetMode="External"/><Relationship Id="rId57" Type="http://schemas.openxmlformats.org/officeDocument/2006/relationships/hyperlink" Target="https://yadi.sk/i/UbQyHWLD3Th6eg" TargetMode="External"/><Relationship Id="rId106" Type="http://schemas.openxmlformats.org/officeDocument/2006/relationships/hyperlink" Target="https://yadi.sk/d/Jp8AUQZO3Twgjm" TargetMode="External"/><Relationship Id="rId10" Type="http://schemas.openxmlformats.org/officeDocument/2006/relationships/hyperlink" Target="https://yadi.sk/d/A7knJBgY3TRYhF" TargetMode="External"/><Relationship Id="rId31" Type="http://schemas.openxmlformats.org/officeDocument/2006/relationships/hyperlink" Target="https://yadi.sk/d/g6l_UP0m3TYGzD" TargetMode="External"/><Relationship Id="rId44" Type="http://schemas.openxmlformats.org/officeDocument/2006/relationships/hyperlink" Target="https://yadi.sk/d/s0F5CcOS3TdrQN" TargetMode="External"/><Relationship Id="rId52" Type="http://schemas.openxmlformats.org/officeDocument/2006/relationships/hyperlink" Target="https://yadi.sk/i/HGXJqxyv3TevSb" TargetMode="External"/><Relationship Id="rId60" Type="http://schemas.openxmlformats.org/officeDocument/2006/relationships/hyperlink" Target="https://yadi.sk/d/UWPzUc4e3Th7iX" TargetMode="External"/><Relationship Id="rId65" Type="http://schemas.openxmlformats.org/officeDocument/2006/relationships/hyperlink" Target="https://yadi.sk/d/T4-lB86x3TjTA7" TargetMode="External"/><Relationship Id="rId73" Type="http://schemas.openxmlformats.org/officeDocument/2006/relationships/hyperlink" Target="https://yadi.sk/i/JRh7zAQa3To2uR" TargetMode="External"/><Relationship Id="rId78" Type="http://schemas.openxmlformats.org/officeDocument/2006/relationships/hyperlink" Target="https://yadi.sk/i/PDaUMxD93TpvLV" TargetMode="External"/><Relationship Id="rId81" Type="http://schemas.openxmlformats.org/officeDocument/2006/relationships/hyperlink" Target="https://yadi.sk/d/Qnu4LkyE3TpvVz" TargetMode="External"/><Relationship Id="rId86" Type="http://schemas.openxmlformats.org/officeDocument/2006/relationships/hyperlink" Target="https://yadi.sk/i/IEq1eS9Y3TryaK" TargetMode="External"/><Relationship Id="rId94" Type="http://schemas.openxmlformats.org/officeDocument/2006/relationships/hyperlink" Target="https://yadi.sk/i/0pxazrkV3TuRVt" TargetMode="External"/><Relationship Id="rId99" Type="http://schemas.openxmlformats.org/officeDocument/2006/relationships/hyperlink" Target="https://yadi.sk/d/_GZ83SLp3TuT97" TargetMode="External"/><Relationship Id="rId101" Type="http://schemas.openxmlformats.org/officeDocument/2006/relationships/hyperlink" Target="https://yadi.sk/d/5pOexGek3TuTYo" TargetMode="External"/><Relationship Id="rId4" Type="http://schemas.openxmlformats.org/officeDocument/2006/relationships/hyperlink" Target="https://yadi.sk/i/Q8jjAynE3TJfrD" TargetMode="External"/><Relationship Id="rId9" Type="http://schemas.openxmlformats.org/officeDocument/2006/relationships/hyperlink" Target="https://yadi.sk/d/MOLvDYPb3TRYEB" TargetMode="External"/><Relationship Id="rId13" Type="http://schemas.openxmlformats.org/officeDocument/2006/relationships/hyperlink" Target="https://yadi.sk/d/sj3Y1sdG3TSw3v" TargetMode="External"/><Relationship Id="rId18" Type="http://schemas.openxmlformats.org/officeDocument/2006/relationships/hyperlink" Target="https://yadi.sk/d/8XtVPzig3TUZhT" TargetMode="External"/><Relationship Id="rId39" Type="http://schemas.openxmlformats.org/officeDocument/2006/relationships/hyperlink" Target="https://yadi.sk/d/iLj9r8V_3TbUV7" TargetMode="External"/><Relationship Id="rId109" Type="http://schemas.openxmlformats.org/officeDocument/2006/relationships/hyperlink" Target="https://yadi.sk/d/1y3ZBpAT3TwkiE" TargetMode="External"/><Relationship Id="rId34" Type="http://schemas.openxmlformats.org/officeDocument/2006/relationships/hyperlink" Target="https://yadi.sk/i/PkEG3nmu3TYGnR" TargetMode="External"/><Relationship Id="rId50" Type="http://schemas.openxmlformats.org/officeDocument/2006/relationships/hyperlink" Target="https://yadi.sk/i/XG4a166W3TeugW" TargetMode="External"/><Relationship Id="rId55" Type="http://schemas.openxmlformats.org/officeDocument/2006/relationships/hyperlink" Target="https://yadi.sk/i/sGheiuqw3TftfZ" TargetMode="External"/><Relationship Id="rId76" Type="http://schemas.openxmlformats.org/officeDocument/2006/relationships/hyperlink" Target="https://yadi.sk/d/OX9rxGdc3TpvoM" TargetMode="External"/><Relationship Id="rId97" Type="http://schemas.openxmlformats.org/officeDocument/2006/relationships/hyperlink" Target="https://yadi.sk/d/NkGwFUfX3TuRHp" TargetMode="External"/><Relationship Id="rId104" Type="http://schemas.openxmlformats.org/officeDocument/2006/relationships/hyperlink" Target="https://yadi.sk/d/dk89RyD43TwNJ2" TargetMode="External"/><Relationship Id="rId7" Type="http://schemas.openxmlformats.org/officeDocument/2006/relationships/hyperlink" Target="https://yadi.sk/d/uaoJWK2y3TPP4X" TargetMode="External"/><Relationship Id="rId71" Type="http://schemas.openxmlformats.org/officeDocument/2006/relationships/hyperlink" Target="https://yadi.sk/d/q8zL9doE3To3W3" TargetMode="External"/><Relationship Id="rId92" Type="http://schemas.openxmlformats.org/officeDocument/2006/relationships/hyperlink" Target="https://yadi.sk/i/Zwe4CGso3TuQYU" TargetMode="External"/><Relationship Id="rId2" Type="http://schemas.openxmlformats.org/officeDocument/2006/relationships/hyperlink" Target="https://yadi.sk/i/2OBWqtKb3TJfwF" TargetMode="External"/><Relationship Id="rId29" Type="http://schemas.openxmlformats.org/officeDocument/2006/relationships/hyperlink" Target="https://yadi.sk/i/pJLNpY-s3TWhjX" TargetMode="External"/><Relationship Id="rId24" Type="http://schemas.openxmlformats.org/officeDocument/2006/relationships/hyperlink" Target="https://yadi.sk/d/b-3l_2i23TUfeJ" TargetMode="External"/><Relationship Id="rId40" Type="http://schemas.openxmlformats.org/officeDocument/2006/relationships/hyperlink" Target="https://yadi.sk/d/slFfQoZB3TbUTV" TargetMode="External"/><Relationship Id="rId45" Type="http://schemas.openxmlformats.org/officeDocument/2006/relationships/hyperlink" Target="https://yadi.sk/d/JuSmYz_K3TdrGk" TargetMode="External"/><Relationship Id="rId66" Type="http://schemas.openxmlformats.org/officeDocument/2006/relationships/hyperlink" Target="https://yadi.sk/d/OMVJ9NFz3TiTnr" TargetMode="External"/><Relationship Id="rId87" Type="http://schemas.openxmlformats.org/officeDocument/2006/relationships/hyperlink" Target="https://yadi.sk/d/O4ib6kPS3TryYr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yadi.sk/i/CW2Djwbv3Th7oA" TargetMode="External"/><Relationship Id="rId82" Type="http://schemas.openxmlformats.org/officeDocument/2006/relationships/hyperlink" Target="https://yadi.sk/i/KgH333iI3TpwZM" TargetMode="External"/><Relationship Id="rId19" Type="http://schemas.openxmlformats.org/officeDocument/2006/relationships/hyperlink" Target="https://yadi.sk/i/3F9Oh-HR3TUfz8" TargetMode="External"/><Relationship Id="rId14" Type="http://schemas.openxmlformats.org/officeDocument/2006/relationships/hyperlink" Target="https://yadi.sk/d/BcL9cTNj3TSwCP" TargetMode="External"/><Relationship Id="rId30" Type="http://schemas.openxmlformats.org/officeDocument/2006/relationships/hyperlink" Target="https://yadi.sk/d/wFiTJEuW3TWhqX" TargetMode="External"/><Relationship Id="rId35" Type="http://schemas.openxmlformats.org/officeDocument/2006/relationships/hyperlink" Target="https://yadi.sk/d/dSXaZ73A3TbVHT" TargetMode="External"/><Relationship Id="rId56" Type="http://schemas.openxmlformats.org/officeDocument/2006/relationships/hyperlink" Target="https://yadi.sk/d/iBQ7FRJo3Th6fj" TargetMode="External"/><Relationship Id="rId77" Type="http://schemas.openxmlformats.org/officeDocument/2006/relationships/hyperlink" Target="https://yadi.sk/d/PAYkEEfJ3Tpvp2" TargetMode="External"/><Relationship Id="rId100" Type="http://schemas.openxmlformats.org/officeDocument/2006/relationships/hyperlink" Target="https://yadi.sk/d/GkYf9Xvj3TuTEY" TargetMode="External"/><Relationship Id="rId105" Type="http://schemas.openxmlformats.org/officeDocument/2006/relationships/hyperlink" Target="https://yadi.sk/d/7EWsUYFJ3TwNJg" TargetMode="External"/><Relationship Id="rId8" Type="http://schemas.openxmlformats.org/officeDocument/2006/relationships/hyperlink" Target="https://yadi.sk/d/3NBWJ0813TPPBJ" TargetMode="External"/><Relationship Id="rId51" Type="http://schemas.openxmlformats.org/officeDocument/2006/relationships/hyperlink" Target="https://yadi.sk/d/J10m9zGK3TevLy" TargetMode="External"/><Relationship Id="rId72" Type="http://schemas.openxmlformats.org/officeDocument/2006/relationships/hyperlink" Target="https://yadi.sk/d/oKvOI_aB3To2q5" TargetMode="External"/><Relationship Id="rId93" Type="http://schemas.openxmlformats.org/officeDocument/2006/relationships/hyperlink" Target="https://yadi.sk/i/D5HjYL9o3TuQZy" TargetMode="External"/><Relationship Id="rId98" Type="http://schemas.openxmlformats.org/officeDocument/2006/relationships/hyperlink" Target="https://yadi.sk/d/7u1F-Rw_3TuTnX" TargetMode="External"/><Relationship Id="rId3" Type="http://schemas.openxmlformats.org/officeDocument/2006/relationships/hyperlink" Target="https://yadi.sk/i/IDKMLUc33TJfjE" TargetMode="External"/><Relationship Id="rId25" Type="http://schemas.openxmlformats.org/officeDocument/2006/relationships/hyperlink" Target="https://yadi.sk/d/WWcgN-W-3TUfUu" TargetMode="External"/><Relationship Id="rId46" Type="http://schemas.openxmlformats.org/officeDocument/2006/relationships/hyperlink" Target="https://yadi.sk/d/SWK9sE_C3Tdqb2" TargetMode="External"/><Relationship Id="rId67" Type="http://schemas.openxmlformats.org/officeDocument/2006/relationships/hyperlink" Target="https://yadi.sk/i/YpQLovno3TiUQ5" TargetMode="External"/><Relationship Id="rId20" Type="http://schemas.openxmlformats.org/officeDocument/2006/relationships/hyperlink" Target="https://yadi.sk/i/cskPMtF43TUbsL" TargetMode="External"/><Relationship Id="rId41" Type="http://schemas.openxmlformats.org/officeDocument/2006/relationships/hyperlink" Target="https://yadi.sk/d/2g8inQ2E3TdqkX" TargetMode="External"/><Relationship Id="rId62" Type="http://schemas.openxmlformats.org/officeDocument/2006/relationships/hyperlink" Target="https://yadi.sk/i/exjJzzQ93Th7kF" TargetMode="External"/><Relationship Id="rId83" Type="http://schemas.openxmlformats.org/officeDocument/2006/relationships/hyperlink" Target="https://yadi.sk/i/xwevrbJY3TpwWu" TargetMode="External"/><Relationship Id="rId88" Type="http://schemas.openxmlformats.org/officeDocument/2006/relationships/hyperlink" Target="https://yadi.sk/d/aeSaEi4F3TryZ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di.sk/d/T2Ha9Tyf3UqGtd" TargetMode="External"/><Relationship Id="rId21" Type="http://schemas.openxmlformats.org/officeDocument/2006/relationships/hyperlink" Target="https://yadi.sk/d/UK3KEhAY3U7TbV" TargetMode="External"/><Relationship Id="rId42" Type="http://schemas.openxmlformats.org/officeDocument/2006/relationships/hyperlink" Target="https://yadi.sk/d/wSuIG3-L3ULoyd" TargetMode="External"/><Relationship Id="rId47" Type="http://schemas.openxmlformats.org/officeDocument/2006/relationships/hyperlink" Target="https://yadi.sk/d/IuH9kSaK3UNXyJ" TargetMode="External"/><Relationship Id="rId63" Type="http://schemas.openxmlformats.org/officeDocument/2006/relationships/hyperlink" Target="https://yadi.sk/i/AKf6pKzM3UUdco" TargetMode="External"/><Relationship Id="rId68" Type="http://schemas.openxmlformats.org/officeDocument/2006/relationships/hyperlink" Target="https://yadi.sk/d/ETQbMamy3UUcqG" TargetMode="External"/><Relationship Id="rId84" Type="http://schemas.openxmlformats.org/officeDocument/2006/relationships/hyperlink" Target="https://yadi.sk/d/ya9k8UeS3UeYHo" TargetMode="External"/><Relationship Id="rId89" Type="http://schemas.openxmlformats.org/officeDocument/2006/relationships/hyperlink" Target="https://yadi.sk/i/cAq41AdP3Uhwpj" TargetMode="External"/><Relationship Id="rId112" Type="http://schemas.openxmlformats.org/officeDocument/2006/relationships/hyperlink" Target="https://yadi.sk/i/FRYAYEtM3UnuCu" TargetMode="External"/><Relationship Id="rId16" Type="http://schemas.openxmlformats.org/officeDocument/2006/relationships/hyperlink" Target="https://yadi.sk/d/-TGb1fUa3U7WLf" TargetMode="External"/><Relationship Id="rId107" Type="http://schemas.openxmlformats.org/officeDocument/2006/relationships/hyperlink" Target="https://yadi.sk/d/MJEXAces3Ui2M2" TargetMode="External"/><Relationship Id="rId11" Type="http://schemas.openxmlformats.org/officeDocument/2006/relationships/hyperlink" Target="https://yadi.sk/d/AzjQvgT73U4r6E" TargetMode="External"/><Relationship Id="rId32" Type="http://schemas.openxmlformats.org/officeDocument/2006/relationships/hyperlink" Target="https://yadi.sk/i/TE4iyxk03UGcvy" TargetMode="External"/><Relationship Id="rId37" Type="http://schemas.openxmlformats.org/officeDocument/2006/relationships/hyperlink" Target="https://yadi.sk/d/MPF16y7x3UJkPW" TargetMode="External"/><Relationship Id="rId53" Type="http://schemas.openxmlformats.org/officeDocument/2006/relationships/hyperlink" Target="https://yadi.sk/d/lR404Sex3UQNAZ" TargetMode="External"/><Relationship Id="rId58" Type="http://schemas.openxmlformats.org/officeDocument/2006/relationships/hyperlink" Target="https://yadi.sk/d/a5RGKrwp3UShQP" TargetMode="External"/><Relationship Id="rId74" Type="http://schemas.openxmlformats.org/officeDocument/2006/relationships/hyperlink" Target="https://yadi.sk/d/hT8Xu4EW3UWrje" TargetMode="External"/><Relationship Id="rId79" Type="http://schemas.openxmlformats.org/officeDocument/2006/relationships/hyperlink" Target="https://yadi.sk/i/pWn9XbBa3UeXBu" TargetMode="External"/><Relationship Id="rId102" Type="http://schemas.openxmlformats.org/officeDocument/2006/relationships/hyperlink" Target="https://yadi.sk/d/zzXzLysb3UhyGm" TargetMode="External"/><Relationship Id="rId123" Type="http://schemas.openxmlformats.org/officeDocument/2006/relationships/hyperlink" Target="https://yadi.sk/d/9mLf1nRR3VAFrX" TargetMode="External"/><Relationship Id="rId128" Type="http://schemas.openxmlformats.org/officeDocument/2006/relationships/hyperlink" Target="https://yadi.sk/d/Zp3i-0-L3VAGb3" TargetMode="External"/><Relationship Id="rId5" Type="http://schemas.openxmlformats.org/officeDocument/2006/relationships/hyperlink" Target="https://yadi.sk/d/BD1R0RBJ3U2PZR" TargetMode="External"/><Relationship Id="rId90" Type="http://schemas.openxmlformats.org/officeDocument/2006/relationships/hyperlink" Target="https://yadi.sk/d/GjHRGutt3UhwjC" TargetMode="External"/><Relationship Id="rId95" Type="http://schemas.openxmlformats.org/officeDocument/2006/relationships/hyperlink" Target="https://yadi.sk/d/ZAinVFtv3UhytN" TargetMode="External"/><Relationship Id="rId22" Type="http://schemas.openxmlformats.org/officeDocument/2006/relationships/hyperlink" Target="https://yadi.sk/d/7RNPQ0UU3U7TcM" TargetMode="External"/><Relationship Id="rId27" Type="http://schemas.openxmlformats.org/officeDocument/2006/relationships/hyperlink" Target="https://yadi.sk/i/e8IKyYDS3UGatc" TargetMode="External"/><Relationship Id="rId43" Type="http://schemas.openxmlformats.org/officeDocument/2006/relationships/hyperlink" Target="https://yadi.sk/d/Iq2mu8aS3ULp7Q" TargetMode="External"/><Relationship Id="rId48" Type="http://schemas.openxmlformats.org/officeDocument/2006/relationships/hyperlink" Target="https://yadi.sk/i/YtrWwrI83UNY52" TargetMode="External"/><Relationship Id="rId64" Type="http://schemas.openxmlformats.org/officeDocument/2006/relationships/hyperlink" Target="https://yadi.sk/i/n5UapfkK3UUddZ" TargetMode="External"/><Relationship Id="rId69" Type="http://schemas.openxmlformats.org/officeDocument/2006/relationships/hyperlink" Target="https://yadi.sk/d/SJhPUupX3UUco7" TargetMode="External"/><Relationship Id="rId113" Type="http://schemas.openxmlformats.org/officeDocument/2006/relationships/hyperlink" Target="https://yadi.sk/i/nEP5R0_83UqFra" TargetMode="External"/><Relationship Id="rId118" Type="http://schemas.openxmlformats.org/officeDocument/2006/relationships/hyperlink" Target="https://yadi.sk/d/AUbYxTXi3UqGqR" TargetMode="External"/><Relationship Id="rId80" Type="http://schemas.openxmlformats.org/officeDocument/2006/relationships/hyperlink" Target="https://yadi.sk/i/JwjzyG6Q3UeXCp" TargetMode="External"/><Relationship Id="rId85" Type="http://schemas.openxmlformats.org/officeDocument/2006/relationships/hyperlink" Target="https://yadi.sk/i/pqut2KiW3UeYKb" TargetMode="External"/><Relationship Id="rId12" Type="http://schemas.openxmlformats.org/officeDocument/2006/relationships/hyperlink" Target="https://yadi.sk/d/NTErpEzL3U4qZ8" TargetMode="External"/><Relationship Id="rId17" Type="http://schemas.openxmlformats.org/officeDocument/2006/relationships/hyperlink" Target="https://yadi.sk/i/hvvzOJls3U7Sp7" TargetMode="External"/><Relationship Id="rId33" Type="http://schemas.openxmlformats.org/officeDocument/2006/relationships/hyperlink" Target="https://yadi.sk/i/VYbl3LUn3UJkwc" TargetMode="External"/><Relationship Id="rId38" Type="http://schemas.openxmlformats.org/officeDocument/2006/relationships/hyperlink" Target="https://yadi.sk/d/TAbEpsmK3UJkNN" TargetMode="External"/><Relationship Id="rId59" Type="http://schemas.openxmlformats.org/officeDocument/2006/relationships/hyperlink" Target="https://yadi.sk/i/V9s1wdrr3UUbvG" TargetMode="External"/><Relationship Id="rId103" Type="http://schemas.openxmlformats.org/officeDocument/2006/relationships/hyperlink" Target="https://yadi.sk/d/32DpncpT3UhyBg" TargetMode="External"/><Relationship Id="rId108" Type="http://schemas.openxmlformats.org/officeDocument/2006/relationships/hyperlink" Target="https://yadi.sk/d/u0lF2YOJ3Ui2H6" TargetMode="External"/><Relationship Id="rId124" Type="http://schemas.openxmlformats.org/officeDocument/2006/relationships/hyperlink" Target="https://yadi.sk/i/m7PuW-ms3VAG3E" TargetMode="External"/><Relationship Id="rId129" Type="http://schemas.openxmlformats.org/officeDocument/2006/relationships/hyperlink" Target="https://yadi.sk/i/luChobzt3VAGf5" TargetMode="External"/><Relationship Id="rId54" Type="http://schemas.openxmlformats.org/officeDocument/2006/relationships/hyperlink" Target="https://yadi.sk/d/AF3NOOVN3UQNB7" TargetMode="External"/><Relationship Id="rId70" Type="http://schemas.openxmlformats.org/officeDocument/2006/relationships/hyperlink" Target="https://yadi.sk/d/_KE0BZPs3UUcma" TargetMode="External"/><Relationship Id="rId75" Type="http://schemas.openxmlformats.org/officeDocument/2006/relationships/hyperlink" Target="https://yadi.sk/d/g4NOGD1n3UZ5VF" TargetMode="External"/><Relationship Id="rId91" Type="http://schemas.openxmlformats.org/officeDocument/2006/relationships/hyperlink" Target="https://yadi.sk/i/Q6vQ5Ssf3Uhwnv" TargetMode="External"/><Relationship Id="rId96" Type="http://schemas.openxmlformats.org/officeDocument/2006/relationships/hyperlink" Target="https://yadi.sk/i/Z13_2v_s3Uhysj" TargetMode="External"/><Relationship Id="rId1" Type="http://schemas.openxmlformats.org/officeDocument/2006/relationships/hyperlink" Target="https://yadi.sk/d/why5WpHA3TypEW" TargetMode="External"/><Relationship Id="rId6" Type="http://schemas.openxmlformats.org/officeDocument/2006/relationships/hyperlink" Target="https://yadi.sk/i/SPSG1HnQ3U2Pbx" TargetMode="External"/><Relationship Id="rId23" Type="http://schemas.openxmlformats.org/officeDocument/2006/relationships/hyperlink" Target="https://yadi.sk/d/sDWiExO83U7TTR" TargetMode="External"/><Relationship Id="rId28" Type="http://schemas.openxmlformats.org/officeDocument/2006/relationships/hyperlink" Target="https://yadi.sk/i/e8IKyYDS3UGatc" TargetMode="External"/><Relationship Id="rId49" Type="http://schemas.openxmlformats.org/officeDocument/2006/relationships/hyperlink" Target="https://yadi.sk/d/iPFsw3Uy3UNY2X" TargetMode="External"/><Relationship Id="rId114" Type="http://schemas.openxmlformats.org/officeDocument/2006/relationships/hyperlink" Target="https://yadi.sk/d/9SKe6Uuq3UqFkK" TargetMode="External"/><Relationship Id="rId119" Type="http://schemas.openxmlformats.org/officeDocument/2006/relationships/hyperlink" Target="https://yadi.sk/d/ODorCO5t3UqGoa" TargetMode="External"/><Relationship Id="rId44" Type="http://schemas.openxmlformats.org/officeDocument/2006/relationships/hyperlink" Target="https://yadi.sk/i/_Bb7yQdb3UNZC6" TargetMode="External"/><Relationship Id="rId60" Type="http://schemas.openxmlformats.org/officeDocument/2006/relationships/hyperlink" Target="https://yadi.sk/d/iIrHO-XA3UUbwP" TargetMode="External"/><Relationship Id="rId65" Type="http://schemas.openxmlformats.org/officeDocument/2006/relationships/hyperlink" Target="https://yadi.sk/d/0WgYoEu43UUfhh" TargetMode="External"/><Relationship Id="rId81" Type="http://schemas.openxmlformats.org/officeDocument/2006/relationships/hyperlink" Target="https://yadi.sk/d/imjXZRUr3UeXAA" TargetMode="External"/><Relationship Id="rId86" Type="http://schemas.openxmlformats.org/officeDocument/2006/relationships/hyperlink" Target="https://yadi.sk/i/9LdVua7m3UfaCK" TargetMode="External"/><Relationship Id="rId130" Type="http://schemas.openxmlformats.org/officeDocument/2006/relationships/hyperlink" Target="https://yadi.sk/i/vc5J40903VAGcz" TargetMode="External"/><Relationship Id="rId13" Type="http://schemas.openxmlformats.org/officeDocument/2006/relationships/hyperlink" Target="https://yadi.sk/d/72GPCmMK3U4qRx" TargetMode="External"/><Relationship Id="rId18" Type="http://schemas.openxmlformats.org/officeDocument/2006/relationships/hyperlink" Target="https://yadi.sk/d/NXlUZPJE3U7Smx" TargetMode="External"/><Relationship Id="rId39" Type="http://schemas.openxmlformats.org/officeDocument/2006/relationships/hyperlink" Target="https://yadi.sk/d/ejIaj33X3UJkM7" TargetMode="External"/><Relationship Id="rId109" Type="http://schemas.openxmlformats.org/officeDocument/2006/relationships/hyperlink" Target="https://yadi.sk/d/yJ3yAs3L3Unu9m" TargetMode="External"/><Relationship Id="rId34" Type="http://schemas.openxmlformats.org/officeDocument/2006/relationships/hyperlink" Target="https://yadi.sk/d/FP3ewoew3UJmPu" TargetMode="External"/><Relationship Id="rId50" Type="http://schemas.openxmlformats.org/officeDocument/2006/relationships/hyperlink" Target="https://yadi.sk/d/syIEznY-3UNXzJ" TargetMode="External"/><Relationship Id="rId55" Type="http://schemas.openxmlformats.org/officeDocument/2006/relationships/hyperlink" Target="https://yadi.sk/d/zyhwobjd3UShSY" TargetMode="External"/><Relationship Id="rId76" Type="http://schemas.openxmlformats.org/officeDocument/2006/relationships/hyperlink" Target="https://yadi.sk/i/JE-TKD8J3UZ5Yy" TargetMode="External"/><Relationship Id="rId97" Type="http://schemas.openxmlformats.org/officeDocument/2006/relationships/hyperlink" Target="https://yadi.sk/i/LSTQLB-P3Uhx75" TargetMode="External"/><Relationship Id="rId104" Type="http://schemas.openxmlformats.org/officeDocument/2006/relationships/hyperlink" Target="https://yadi.sk/d/MiTI77JJ3UhyE6" TargetMode="External"/><Relationship Id="rId120" Type="http://schemas.openxmlformats.org/officeDocument/2006/relationships/hyperlink" Target="https://yadi.sk/d/yJLtqomf3UqGsQ" TargetMode="External"/><Relationship Id="rId125" Type="http://schemas.openxmlformats.org/officeDocument/2006/relationships/hyperlink" Target="https://yadi.sk/d/lNje1L0J3VAFv4" TargetMode="External"/><Relationship Id="rId7" Type="http://schemas.openxmlformats.org/officeDocument/2006/relationships/hyperlink" Target="https://yadi.sk/i/iC3f8uyr3U2Paw" TargetMode="External"/><Relationship Id="rId71" Type="http://schemas.openxmlformats.org/officeDocument/2006/relationships/hyperlink" Target="https://yadi.sk/i/8CPydSOI3UWrm6" TargetMode="External"/><Relationship Id="rId92" Type="http://schemas.openxmlformats.org/officeDocument/2006/relationships/hyperlink" Target="https://yadi.sk/i/wjtrNy1e3UhwnG" TargetMode="External"/><Relationship Id="rId2" Type="http://schemas.openxmlformats.org/officeDocument/2006/relationships/hyperlink" Target="https://yadi.sk/d/AGtwBMVr3TypFo" TargetMode="External"/><Relationship Id="rId29" Type="http://schemas.openxmlformats.org/officeDocument/2006/relationships/hyperlink" Target="https://yadi.sk/d/VhOkLD7U3UGaum" TargetMode="External"/><Relationship Id="rId24" Type="http://schemas.openxmlformats.org/officeDocument/2006/relationships/hyperlink" Target="https://yadi.sk/d/4UPVbGwU3U7TRJ" TargetMode="External"/><Relationship Id="rId40" Type="http://schemas.openxmlformats.org/officeDocument/2006/relationships/hyperlink" Target="https://yadi.sk/d/kF9Vp5UQ3ULp2L" TargetMode="External"/><Relationship Id="rId45" Type="http://schemas.openxmlformats.org/officeDocument/2006/relationships/hyperlink" Target="https://yadi.sk/d/sT9Jn-IO3UNZ4z" TargetMode="External"/><Relationship Id="rId66" Type="http://schemas.openxmlformats.org/officeDocument/2006/relationships/hyperlink" Target="https://yadi.sk/d/RT54q0__3UUdaW" TargetMode="External"/><Relationship Id="rId87" Type="http://schemas.openxmlformats.org/officeDocument/2006/relationships/hyperlink" Target="https://yadi.sk/d/xg2jftRk3Ufa9z" TargetMode="External"/><Relationship Id="rId110" Type="http://schemas.openxmlformats.org/officeDocument/2006/relationships/hyperlink" Target="https://yadi.sk/d/oOYwuGGR3Unu6W" TargetMode="External"/><Relationship Id="rId115" Type="http://schemas.openxmlformats.org/officeDocument/2006/relationships/hyperlink" Target="https://yadi.sk/d/PmEM6i4L3UqFq4" TargetMode="External"/><Relationship Id="rId61" Type="http://schemas.openxmlformats.org/officeDocument/2006/relationships/hyperlink" Target="https://yadi.sk/d/HBelQ8ew3UUby9" TargetMode="External"/><Relationship Id="rId82" Type="http://schemas.openxmlformats.org/officeDocument/2006/relationships/hyperlink" Target="https://yadi.sk/d/0YJh3TRq3UeYGv" TargetMode="External"/><Relationship Id="rId19" Type="http://schemas.openxmlformats.org/officeDocument/2006/relationships/hyperlink" Target="https://yadi.sk/d/XkJvPAsJ3U7Snm" TargetMode="External"/><Relationship Id="rId14" Type="http://schemas.openxmlformats.org/officeDocument/2006/relationships/hyperlink" Target="https://yadi.sk/d/1wVP9JwH3U4qYb" TargetMode="External"/><Relationship Id="rId30" Type="http://schemas.openxmlformats.org/officeDocument/2006/relationships/hyperlink" Target="https://yadi.sk/d/OBuePCXX3UGavY" TargetMode="External"/><Relationship Id="rId35" Type="http://schemas.openxmlformats.org/officeDocument/2006/relationships/hyperlink" Target="https://yadi.sk/i/SWMdxGMa3UJkyG" TargetMode="External"/><Relationship Id="rId56" Type="http://schemas.openxmlformats.org/officeDocument/2006/relationships/hyperlink" Target="https://yadi.sk/i/C4KhmvDh3UShU4" TargetMode="External"/><Relationship Id="rId77" Type="http://schemas.openxmlformats.org/officeDocument/2006/relationships/hyperlink" Target="https://yadi.sk/d/oVHrVqdl3UZ5WX" TargetMode="External"/><Relationship Id="rId100" Type="http://schemas.openxmlformats.org/officeDocument/2006/relationships/hyperlink" Target="https://yadi.sk/d/09cFVDyp3Uhx8J" TargetMode="External"/><Relationship Id="rId105" Type="http://schemas.openxmlformats.org/officeDocument/2006/relationships/hyperlink" Target="https://yadi.sk/d/1fukjvJy3Ui2JK" TargetMode="External"/><Relationship Id="rId126" Type="http://schemas.openxmlformats.org/officeDocument/2006/relationships/hyperlink" Target="https://yadi.sk/d/gcmoik4t3VAGV3" TargetMode="External"/><Relationship Id="rId8" Type="http://schemas.openxmlformats.org/officeDocument/2006/relationships/hyperlink" Target="https://yadi.sk/d/SKvJvako3U4rHb" TargetMode="External"/><Relationship Id="rId51" Type="http://schemas.openxmlformats.org/officeDocument/2006/relationships/hyperlink" Target="https://yadi.sk/d/z9oGwxya3UQNBw" TargetMode="External"/><Relationship Id="rId72" Type="http://schemas.openxmlformats.org/officeDocument/2006/relationships/hyperlink" Target="https://yadi.sk/d/Cdif6RLG3UWriN" TargetMode="External"/><Relationship Id="rId93" Type="http://schemas.openxmlformats.org/officeDocument/2006/relationships/hyperlink" Target="https://yadi.sk/d/loIQQgKR3UhyuK" TargetMode="External"/><Relationship Id="rId98" Type="http://schemas.openxmlformats.org/officeDocument/2006/relationships/hyperlink" Target="https://yadi.sk/d/Wt-Rm3QA3UhxAa" TargetMode="External"/><Relationship Id="rId121" Type="http://schemas.openxmlformats.org/officeDocument/2006/relationships/hyperlink" Target="https://yadi.sk/i/13VzneYJ3VAFyS" TargetMode="External"/><Relationship Id="rId3" Type="http://schemas.openxmlformats.org/officeDocument/2006/relationships/hyperlink" Target="https://yadi.sk/d/2fTm8DT93TypF6" TargetMode="External"/><Relationship Id="rId25" Type="http://schemas.openxmlformats.org/officeDocument/2006/relationships/hyperlink" Target="https://yadi.sk/d/g0ofBhX03UEM2w" TargetMode="External"/><Relationship Id="rId46" Type="http://schemas.openxmlformats.org/officeDocument/2006/relationships/hyperlink" Target="https://yadi.sk/d/UBZjD1FG3UNZ6i" TargetMode="External"/><Relationship Id="rId67" Type="http://schemas.openxmlformats.org/officeDocument/2006/relationships/hyperlink" Target="https://yadi.sk/d/GUFBWEJn3UUcou" TargetMode="External"/><Relationship Id="rId116" Type="http://schemas.openxmlformats.org/officeDocument/2006/relationships/hyperlink" Target="https://yadi.sk/d/XtIagEP_3UqFoU" TargetMode="External"/><Relationship Id="rId20" Type="http://schemas.openxmlformats.org/officeDocument/2006/relationships/hyperlink" Target="https://yadi.sk/i/oJySXhEZ3U7SqS" TargetMode="External"/><Relationship Id="rId41" Type="http://schemas.openxmlformats.org/officeDocument/2006/relationships/hyperlink" Target="https://yadi.sk/d/wiy6YGH43ULp5w" TargetMode="External"/><Relationship Id="rId62" Type="http://schemas.openxmlformats.org/officeDocument/2006/relationships/hyperlink" Target="https://yadi.sk/d/9SHH7Ixl3UUbz4" TargetMode="External"/><Relationship Id="rId83" Type="http://schemas.openxmlformats.org/officeDocument/2006/relationships/hyperlink" Target="https://yadi.sk/d/WsiD_yAY3UeYG2" TargetMode="External"/><Relationship Id="rId88" Type="http://schemas.openxmlformats.org/officeDocument/2006/relationships/hyperlink" Target="https://yadi.sk/d/dDKlDp0S3UfZcP" TargetMode="External"/><Relationship Id="rId111" Type="http://schemas.openxmlformats.org/officeDocument/2006/relationships/hyperlink" Target="https://yadi.sk/d/JzZ3_ufN3Unu82" TargetMode="External"/><Relationship Id="rId15" Type="http://schemas.openxmlformats.org/officeDocument/2006/relationships/hyperlink" Target="https://yadi.sk/d/o56PRx1q3U4qSc" TargetMode="External"/><Relationship Id="rId36" Type="http://schemas.openxmlformats.org/officeDocument/2006/relationships/hyperlink" Target="https://yadi.sk/d/hkX2s0Pm3UJmRC" TargetMode="External"/><Relationship Id="rId57" Type="http://schemas.openxmlformats.org/officeDocument/2006/relationships/hyperlink" Target="https://yadi.sk/d/xaYMa8js3UShRV" TargetMode="External"/><Relationship Id="rId106" Type="http://schemas.openxmlformats.org/officeDocument/2006/relationships/hyperlink" Target="https://yadi.sk/d/dgSb7o5U3Ui2Kd" TargetMode="External"/><Relationship Id="rId127" Type="http://schemas.openxmlformats.org/officeDocument/2006/relationships/hyperlink" Target="https://yadi.sk/d/OfD4kvLZ3VAGXg" TargetMode="External"/><Relationship Id="rId10" Type="http://schemas.openxmlformats.org/officeDocument/2006/relationships/hyperlink" Target="https://yadi.sk/d/mDU4oLr03U4rLL" TargetMode="External"/><Relationship Id="rId31" Type="http://schemas.openxmlformats.org/officeDocument/2006/relationships/hyperlink" Target="https://yadi.sk/d/cWbGJ92l3UGcuV" TargetMode="External"/><Relationship Id="rId52" Type="http://schemas.openxmlformats.org/officeDocument/2006/relationships/hyperlink" Target="https://yadi.sk/i/VCdtjcOf3UQNDH" TargetMode="External"/><Relationship Id="rId73" Type="http://schemas.openxmlformats.org/officeDocument/2006/relationships/hyperlink" Target="https://yadi.sk/d/6Y-09KpL3UWrgu" TargetMode="External"/><Relationship Id="rId78" Type="http://schemas.openxmlformats.org/officeDocument/2006/relationships/hyperlink" Target="https://yadi.sk/i/de7Is-Zv3UZ5XZ" TargetMode="External"/><Relationship Id="rId94" Type="http://schemas.openxmlformats.org/officeDocument/2006/relationships/hyperlink" Target="https://yadi.sk/d/wyGMZcOZ3Uhyuw" TargetMode="External"/><Relationship Id="rId99" Type="http://schemas.openxmlformats.org/officeDocument/2006/relationships/hyperlink" Target="https://yadi.sk/d/rd05CSqG3Uhx9U" TargetMode="External"/><Relationship Id="rId101" Type="http://schemas.openxmlformats.org/officeDocument/2006/relationships/hyperlink" Target="https://yadi.sk/d/RypkkBzR3UhyAJ" TargetMode="External"/><Relationship Id="rId122" Type="http://schemas.openxmlformats.org/officeDocument/2006/relationships/hyperlink" Target="https://yadi.sk/d/QbBFq7Zj3VAFtU" TargetMode="External"/><Relationship Id="rId4" Type="http://schemas.openxmlformats.org/officeDocument/2006/relationships/hyperlink" Target="https://yadi.sk/d/f1VfC2L23U2PXP" TargetMode="External"/><Relationship Id="rId9" Type="http://schemas.openxmlformats.org/officeDocument/2006/relationships/hyperlink" Target="https://yadi.sk/d/3WuoN4_o3U4r5T" TargetMode="External"/><Relationship Id="rId26" Type="http://schemas.openxmlformats.org/officeDocument/2006/relationships/hyperlink" Target="https://yadi.sk/d/S6j_plv73UEM4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yadi.sk/d/dgExcY8y3VsAE5" TargetMode="External"/><Relationship Id="rId21" Type="http://schemas.openxmlformats.org/officeDocument/2006/relationships/hyperlink" Target="https://yadi.sk/d/ABIhcSpS3Vi2rp" TargetMode="External"/><Relationship Id="rId42" Type="http://schemas.openxmlformats.org/officeDocument/2006/relationships/hyperlink" Target="https://yadi.sk/d/ndJLfnuO3VvoCW" TargetMode="External"/><Relationship Id="rId47" Type="http://schemas.openxmlformats.org/officeDocument/2006/relationships/hyperlink" Target="https://yadi.sk/d/zdpeG_2G3W2UH7" TargetMode="External"/><Relationship Id="rId63" Type="http://schemas.openxmlformats.org/officeDocument/2006/relationships/hyperlink" Target="https://yadi.sk/i/fN1b5VSC3WLjQV" TargetMode="External"/><Relationship Id="rId68" Type="http://schemas.openxmlformats.org/officeDocument/2006/relationships/hyperlink" Target="https://yadi.sk/d/dMdHEgle3WLjCz" TargetMode="External"/><Relationship Id="rId84" Type="http://schemas.openxmlformats.org/officeDocument/2006/relationships/hyperlink" Target="https://yadi.sk/i/k1UhlZXY3WcSyk" TargetMode="External"/><Relationship Id="rId89" Type="http://schemas.openxmlformats.org/officeDocument/2006/relationships/hyperlink" Target="https://yadi.sk/d/CK8xKemn3WcUAY" TargetMode="External"/><Relationship Id="rId16" Type="http://schemas.openxmlformats.org/officeDocument/2006/relationships/hyperlink" Target="https://yadi.sk/i/JMdDX4el3VXNsH" TargetMode="External"/><Relationship Id="rId11" Type="http://schemas.openxmlformats.org/officeDocument/2006/relationships/hyperlink" Target="https://yadi.sk/d/tJCW-msg3VLXZn" TargetMode="External"/><Relationship Id="rId32" Type="http://schemas.openxmlformats.org/officeDocument/2006/relationships/hyperlink" Target="https://yadi.sk/d/9g57WtwB3VvoYb" TargetMode="External"/><Relationship Id="rId37" Type="http://schemas.openxmlformats.org/officeDocument/2006/relationships/hyperlink" Target="https://yadi.sk/d/1JU7Hsx93Vvp6n" TargetMode="External"/><Relationship Id="rId53" Type="http://schemas.openxmlformats.org/officeDocument/2006/relationships/hyperlink" Target="https://yadi.sk/d/sipIsMy73W2Vcz" TargetMode="External"/><Relationship Id="rId58" Type="http://schemas.openxmlformats.org/officeDocument/2006/relationships/hyperlink" Target="https://yadi.sk/d/4X6_2n563WBGxn" TargetMode="External"/><Relationship Id="rId74" Type="http://schemas.openxmlformats.org/officeDocument/2006/relationships/hyperlink" Target="https://yadi.sk/d/w09kuso03WPowz" TargetMode="External"/><Relationship Id="rId79" Type="http://schemas.openxmlformats.org/officeDocument/2006/relationships/hyperlink" Target="https://yadi.sk/d/PDJXa4F53WWZmM" TargetMode="External"/><Relationship Id="rId5" Type="http://schemas.openxmlformats.org/officeDocument/2006/relationships/hyperlink" Target="https://yadi.sk/d/jEsqQj-63VKMoM" TargetMode="External"/><Relationship Id="rId90" Type="http://schemas.openxmlformats.org/officeDocument/2006/relationships/hyperlink" Target="https://yadi.sk/d/jINHUIW23WcUKx" TargetMode="External"/><Relationship Id="rId95" Type="http://schemas.openxmlformats.org/officeDocument/2006/relationships/hyperlink" Target="https://yadi.sk/i/8A18H3Gv3WepFF" TargetMode="External"/><Relationship Id="rId22" Type="http://schemas.openxmlformats.org/officeDocument/2006/relationships/hyperlink" Target="https://yadi.sk/d/EdpmtZHF3Vi2vc" TargetMode="External"/><Relationship Id="rId27" Type="http://schemas.openxmlformats.org/officeDocument/2006/relationships/hyperlink" Target="https://yadi.sk/i/n-NAa6Un3VsARf" TargetMode="External"/><Relationship Id="rId43" Type="http://schemas.openxmlformats.org/officeDocument/2006/relationships/hyperlink" Target="https://yadi.sk/d/PHU2gKx33VvoDp" TargetMode="External"/><Relationship Id="rId48" Type="http://schemas.openxmlformats.org/officeDocument/2006/relationships/hyperlink" Target="https://yadi.sk/d/2cRKFR7n3W2UKm" TargetMode="External"/><Relationship Id="rId64" Type="http://schemas.openxmlformats.org/officeDocument/2006/relationships/hyperlink" Target="https://yadi.sk/i/fN1b5VSC3WLjQV" TargetMode="External"/><Relationship Id="rId69" Type="http://schemas.openxmlformats.org/officeDocument/2006/relationships/hyperlink" Target="https://yadi.sk/d/PogUCYNI3WLjGg" TargetMode="External"/><Relationship Id="rId80" Type="http://schemas.openxmlformats.org/officeDocument/2006/relationships/hyperlink" Target="https://yadi.sk/i/jK1nBV103WWZqo" TargetMode="External"/><Relationship Id="rId85" Type="http://schemas.openxmlformats.org/officeDocument/2006/relationships/hyperlink" Target="https://yadi.sk/i/goGl80AB3WcT2P" TargetMode="External"/><Relationship Id="rId12" Type="http://schemas.openxmlformats.org/officeDocument/2006/relationships/hyperlink" Target="https://yadi.sk/d/Fbprbbba3VLXV8" TargetMode="External"/><Relationship Id="rId17" Type="http://schemas.openxmlformats.org/officeDocument/2006/relationships/hyperlink" Target="https://yadi.sk/i/Z-jemULW3Vc4TR" TargetMode="External"/><Relationship Id="rId25" Type="http://schemas.openxmlformats.org/officeDocument/2006/relationships/hyperlink" Target="https://yadi.sk/d/fzuh1q6j3VsAFv" TargetMode="External"/><Relationship Id="rId33" Type="http://schemas.openxmlformats.org/officeDocument/2006/relationships/hyperlink" Target="https://yadi.sk/d/P0dYXLI_3VvoeH" TargetMode="External"/><Relationship Id="rId38" Type="http://schemas.openxmlformats.org/officeDocument/2006/relationships/hyperlink" Target="https://yadi.sk/d/TzgD4jaB3Vvp52" TargetMode="External"/><Relationship Id="rId46" Type="http://schemas.openxmlformats.org/officeDocument/2006/relationships/hyperlink" Target="https://yadi.sk/d/a55EbYC33W2UJS" TargetMode="External"/><Relationship Id="rId59" Type="http://schemas.openxmlformats.org/officeDocument/2006/relationships/hyperlink" Target="https://yadi.sk/d/PVNUv1Pk3WBGwZ" TargetMode="External"/><Relationship Id="rId67" Type="http://schemas.openxmlformats.org/officeDocument/2006/relationships/hyperlink" Target="https://yadi.sk/d/yA2ZKzzP3WLj78" TargetMode="External"/><Relationship Id="rId20" Type="http://schemas.openxmlformats.org/officeDocument/2006/relationships/hyperlink" Target="https://yadi.sk/d/eV2H_l1i3Vc4Nu" TargetMode="External"/><Relationship Id="rId41" Type="http://schemas.openxmlformats.org/officeDocument/2006/relationships/hyperlink" Target="https://yadi.sk/d/YdMJMaCP3VvoAv" TargetMode="External"/><Relationship Id="rId54" Type="http://schemas.openxmlformats.org/officeDocument/2006/relationships/hyperlink" Target="https://yadi.sk/i/h6v8oNOR3W2W2T" TargetMode="External"/><Relationship Id="rId62" Type="http://schemas.openxmlformats.org/officeDocument/2006/relationships/hyperlink" Target="https://yadi.sk/i/L5wO8oxo3WH6ic" TargetMode="External"/><Relationship Id="rId70" Type="http://schemas.openxmlformats.org/officeDocument/2006/relationships/hyperlink" Target="https://yadi.sk/i/LUL_OCIt3WLjbr" TargetMode="External"/><Relationship Id="rId75" Type="http://schemas.openxmlformats.org/officeDocument/2006/relationships/hyperlink" Target="https://yadi.sk/d/CQItvOYh3WWZdA" TargetMode="External"/><Relationship Id="rId83" Type="http://schemas.openxmlformats.org/officeDocument/2006/relationships/hyperlink" Target="https://yadi.sk/i/2bLIs5ww3WcSwV" TargetMode="External"/><Relationship Id="rId88" Type="http://schemas.openxmlformats.org/officeDocument/2006/relationships/hyperlink" Target="https://yadi.sk/d/II_eSz5y3WcUCT" TargetMode="External"/><Relationship Id="rId91" Type="http://schemas.openxmlformats.org/officeDocument/2006/relationships/hyperlink" Target="https://yadi.sk/d/423Edb6j3WcUEU" TargetMode="External"/><Relationship Id="rId96" Type="http://schemas.openxmlformats.org/officeDocument/2006/relationships/hyperlink" Target="https://yadi.sk/i/LN0dg6Sn3WepDK" TargetMode="External"/><Relationship Id="rId1" Type="http://schemas.openxmlformats.org/officeDocument/2006/relationships/hyperlink" Target="https://yadi.sk/d/aMv7VXLw3VKMBW" TargetMode="External"/><Relationship Id="rId6" Type="http://schemas.openxmlformats.org/officeDocument/2006/relationships/hyperlink" Target="https://yadi.sk/d/96fdXyfX3VKMhj" TargetMode="External"/><Relationship Id="rId15" Type="http://schemas.openxmlformats.org/officeDocument/2006/relationships/hyperlink" Target="https://yadi.sk/i/THlhdFs83VXNxC" TargetMode="External"/><Relationship Id="rId23" Type="http://schemas.openxmlformats.org/officeDocument/2006/relationships/hyperlink" Target="https://yadi.sk/d/ZByR5MBo3Vi2pk" TargetMode="External"/><Relationship Id="rId28" Type="http://schemas.openxmlformats.org/officeDocument/2006/relationships/hyperlink" Target="https://yadi.sk/d/C0WoauSI3VsAKo" TargetMode="External"/><Relationship Id="rId36" Type="http://schemas.openxmlformats.org/officeDocument/2006/relationships/hyperlink" Target="https://yadi.sk/i/EvPjLXEr3VvpCF" TargetMode="External"/><Relationship Id="rId49" Type="http://schemas.openxmlformats.org/officeDocument/2006/relationships/hyperlink" Target="https://yadi.sk/d/IbgTESyE3W2UF6" TargetMode="External"/><Relationship Id="rId57" Type="http://schemas.openxmlformats.org/officeDocument/2006/relationships/hyperlink" Target="https://yadi.sk/d/kQXJt5lL3WBGuo" TargetMode="External"/><Relationship Id="rId10" Type="http://schemas.openxmlformats.org/officeDocument/2006/relationships/hyperlink" Target="https://yadi.sk/d/YZj1gsjk3VLXTr" TargetMode="External"/><Relationship Id="rId31" Type="http://schemas.openxmlformats.org/officeDocument/2006/relationships/hyperlink" Target="https://yadi.sk/d/OoYYPMMQ3VsA3B" TargetMode="External"/><Relationship Id="rId44" Type="http://schemas.openxmlformats.org/officeDocument/2006/relationships/hyperlink" Target="https://yadi.sk/i/eV9U05sX3VvpNU" TargetMode="External"/><Relationship Id="rId52" Type="http://schemas.openxmlformats.org/officeDocument/2006/relationships/hyperlink" Target="https://yadi.sk/d/2XjyZK043W2Vef" TargetMode="External"/><Relationship Id="rId60" Type="http://schemas.openxmlformats.org/officeDocument/2006/relationships/hyperlink" Target="https://yadi.sk/i/ESv40Pud3WH6fu" TargetMode="External"/><Relationship Id="rId65" Type="http://schemas.openxmlformats.org/officeDocument/2006/relationships/hyperlink" Target="https://yadi.sk/i/9-VQZM_23WLjS4" TargetMode="External"/><Relationship Id="rId73" Type="http://schemas.openxmlformats.org/officeDocument/2006/relationships/hyperlink" Target="https://yadi.sk/d/isLs0Qyl3WPouT" TargetMode="External"/><Relationship Id="rId78" Type="http://schemas.openxmlformats.org/officeDocument/2006/relationships/hyperlink" Target="https://yadi.sk/d/bnCGex9x3WWZjZ" TargetMode="External"/><Relationship Id="rId81" Type="http://schemas.openxmlformats.org/officeDocument/2006/relationships/hyperlink" Target="https://yadi.sk/i/XM7ZXbOi3WWZsi" TargetMode="External"/><Relationship Id="rId86" Type="http://schemas.openxmlformats.org/officeDocument/2006/relationships/hyperlink" Target="https://yadi.sk/d/0mF2_hxM3WcU93" TargetMode="External"/><Relationship Id="rId94" Type="http://schemas.openxmlformats.org/officeDocument/2006/relationships/hyperlink" Target="https://yadi.sk/d/8rO3HzX53WepAd" TargetMode="External"/><Relationship Id="rId99" Type="http://schemas.openxmlformats.org/officeDocument/2006/relationships/hyperlink" Target="https://yadi.sk/d/0Gv6HSvn3Wgyfj" TargetMode="External"/><Relationship Id="rId101" Type="http://schemas.openxmlformats.org/officeDocument/2006/relationships/hyperlink" Target="https://yadi.sk/d/oWUfZ3Qu3Wgydw" TargetMode="External"/><Relationship Id="rId4" Type="http://schemas.openxmlformats.org/officeDocument/2006/relationships/hyperlink" Target="https://yadi.sk/i/6IsQTC3d3VKMGS" TargetMode="External"/><Relationship Id="rId9" Type="http://schemas.openxmlformats.org/officeDocument/2006/relationships/hyperlink" Target="https://yadi.sk/d/h-TO5RWt3VLXXW" TargetMode="External"/><Relationship Id="rId13" Type="http://schemas.openxmlformats.org/officeDocument/2006/relationships/hyperlink" Target="https://yadi.sk/i/vaJhTsco3VXNtz" TargetMode="External"/><Relationship Id="rId18" Type="http://schemas.openxmlformats.org/officeDocument/2006/relationships/hyperlink" Target="https://yadi.sk/i/Z-jemULW3Vc4TR" TargetMode="External"/><Relationship Id="rId39" Type="http://schemas.openxmlformats.org/officeDocument/2006/relationships/hyperlink" Target="https://yadi.sk/d/TrIqiDfz3Vvp9D" TargetMode="External"/><Relationship Id="rId34" Type="http://schemas.openxmlformats.org/officeDocument/2006/relationships/hyperlink" Target="https://yadi.sk/i/cWxLfZ3x3Vvoh6" TargetMode="External"/><Relationship Id="rId50" Type="http://schemas.openxmlformats.org/officeDocument/2006/relationships/hyperlink" Target="https://yadi.sk/d/yIg2GzrR3W2Vg3" TargetMode="External"/><Relationship Id="rId55" Type="http://schemas.openxmlformats.org/officeDocument/2006/relationships/hyperlink" Target="https://yadi.sk/i/LHjISZUy3W2W3n" TargetMode="External"/><Relationship Id="rId76" Type="http://schemas.openxmlformats.org/officeDocument/2006/relationships/hyperlink" Target="https://yadi.sk/d/f4QU9KmO3WWZfM" TargetMode="External"/><Relationship Id="rId97" Type="http://schemas.openxmlformats.org/officeDocument/2006/relationships/hyperlink" Target="https://yadi.sk/d/FrFWQ47_3Wgyan" TargetMode="External"/><Relationship Id="rId7" Type="http://schemas.openxmlformats.org/officeDocument/2006/relationships/hyperlink" Target="https://yadi.sk/d/oGdPnmhY3VKMkL" TargetMode="External"/><Relationship Id="rId71" Type="http://schemas.openxmlformats.org/officeDocument/2006/relationships/hyperlink" Target="https://yadi.sk/d/8fIlrpTo3WPorh" TargetMode="External"/><Relationship Id="rId92" Type="http://schemas.openxmlformats.org/officeDocument/2006/relationships/hyperlink" Target="https://yadi.sk/d/vT9VrqBc3WcUGn" TargetMode="External"/><Relationship Id="rId2" Type="http://schemas.openxmlformats.org/officeDocument/2006/relationships/hyperlink" Target="https://yadi.sk/d/T8W1O7Zu3VKM77" TargetMode="External"/><Relationship Id="rId29" Type="http://schemas.openxmlformats.org/officeDocument/2006/relationships/hyperlink" Target="https://yadi.sk/d/RFgPWtNI3VsABR" TargetMode="External"/><Relationship Id="rId24" Type="http://schemas.openxmlformats.org/officeDocument/2006/relationships/hyperlink" Target="https://yadi.sk/d/TxAevve53Vi2tJ" TargetMode="External"/><Relationship Id="rId40" Type="http://schemas.openxmlformats.org/officeDocument/2006/relationships/hyperlink" Target="https://yadi.sk/i/_tnopv0x3VvoFR" TargetMode="External"/><Relationship Id="rId45" Type="http://schemas.openxmlformats.org/officeDocument/2006/relationships/hyperlink" Target="https://yadi.sk/d/1rvo-7LH3VvpJx" TargetMode="External"/><Relationship Id="rId66" Type="http://schemas.openxmlformats.org/officeDocument/2006/relationships/hyperlink" Target="https://yadi.sk/i/9-VQZM_23WLjS4" TargetMode="External"/><Relationship Id="rId87" Type="http://schemas.openxmlformats.org/officeDocument/2006/relationships/hyperlink" Target="https://yadi.sk/d/2LW9ukni3WcU68" TargetMode="External"/><Relationship Id="rId61" Type="http://schemas.openxmlformats.org/officeDocument/2006/relationships/hyperlink" Target="https://yadi.sk/i/ESv40Pud3WH6fu" TargetMode="External"/><Relationship Id="rId82" Type="http://schemas.openxmlformats.org/officeDocument/2006/relationships/hyperlink" Target="https://yadi.sk/d/Pmo4iCxI3WWZoU" TargetMode="External"/><Relationship Id="rId19" Type="http://schemas.openxmlformats.org/officeDocument/2006/relationships/hyperlink" Target="https://yadi.sk/i/Z-jemULW3Vc4TR" TargetMode="External"/><Relationship Id="rId14" Type="http://schemas.openxmlformats.org/officeDocument/2006/relationships/hyperlink" Target="https://yadi.sk/i/biZhPZ873VXNvU" TargetMode="External"/><Relationship Id="rId30" Type="http://schemas.openxmlformats.org/officeDocument/2006/relationships/hyperlink" Target="https://yadi.sk/d/XPLWsKgC3VsA5G" TargetMode="External"/><Relationship Id="rId35" Type="http://schemas.openxmlformats.org/officeDocument/2006/relationships/hyperlink" Target="https://yadi.sk/d/UAipBtMQ3VvocM" TargetMode="External"/><Relationship Id="rId56" Type="http://schemas.openxmlformats.org/officeDocument/2006/relationships/hyperlink" Target="https://yadi.sk/d/UFfuM6_P3WBGtr" TargetMode="External"/><Relationship Id="rId77" Type="http://schemas.openxmlformats.org/officeDocument/2006/relationships/hyperlink" Target="https://yadi.sk/d/9oSarPlQ3WWZgr" TargetMode="External"/><Relationship Id="rId100" Type="http://schemas.openxmlformats.org/officeDocument/2006/relationships/hyperlink" Target="https://yadi.sk/i/YHU_KXfN3WgymA" TargetMode="External"/><Relationship Id="rId8" Type="http://schemas.openxmlformats.org/officeDocument/2006/relationships/hyperlink" Target="https://yadi.sk/d/ikyxm3E13VKMff" TargetMode="External"/><Relationship Id="rId51" Type="http://schemas.openxmlformats.org/officeDocument/2006/relationships/hyperlink" Target="https://yadi.sk/d/-OCEOrgo3W2ViA" TargetMode="External"/><Relationship Id="rId72" Type="http://schemas.openxmlformats.org/officeDocument/2006/relationships/hyperlink" Target="https://yadi.sk/d/uEg0Fs6L3WPote" TargetMode="External"/><Relationship Id="rId93" Type="http://schemas.openxmlformats.org/officeDocument/2006/relationships/hyperlink" Target="https://yadi.sk/d/SRl2UjAU3WcUMX" TargetMode="External"/><Relationship Id="rId98" Type="http://schemas.openxmlformats.org/officeDocument/2006/relationships/hyperlink" Target="https://yadi.sk/d/RCfkk1R43Wgyh7" TargetMode="External"/><Relationship Id="rId3" Type="http://schemas.openxmlformats.org/officeDocument/2006/relationships/hyperlink" Target="https://yadi.sk/i/-9m6Ranq3VKMKi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yadi.sk/d/nrwnnXoV3Xp8Wk" TargetMode="External"/><Relationship Id="rId117" Type="http://schemas.openxmlformats.org/officeDocument/2006/relationships/hyperlink" Target="https://yadi.sk/d/QTk_LBxg3YQybi" TargetMode="External"/><Relationship Id="rId21" Type="http://schemas.openxmlformats.org/officeDocument/2006/relationships/hyperlink" Target="https://yadi.sk/d/EP8JeqPh3X5tEG" TargetMode="External"/><Relationship Id="rId42" Type="http://schemas.openxmlformats.org/officeDocument/2006/relationships/hyperlink" Target="https://yadi.sk/d/6lERGY_x3XqQfD" TargetMode="External"/><Relationship Id="rId47" Type="http://schemas.openxmlformats.org/officeDocument/2006/relationships/hyperlink" Target="https://yadi.sk/d/ezA_d0gT3XuogP" TargetMode="External"/><Relationship Id="rId63" Type="http://schemas.openxmlformats.org/officeDocument/2006/relationships/hyperlink" Target="https://yadi.sk/d/nmsiG7zT3Y6UVM" TargetMode="External"/><Relationship Id="rId68" Type="http://schemas.openxmlformats.org/officeDocument/2006/relationships/hyperlink" Target="https://yadi.sk/i/C_7vnm8X3Y5frW" TargetMode="External"/><Relationship Id="rId84" Type="http://schemas.openxmlformats.org/officeDocument/2006/relationships/hyperlink" Target="https://yadi.sk/d/_wxAuPdj3YBWXD" TargetMode="External"/><Relationship Id="rId89" Type="http://schemas.openxmlformats.org/officeDocument/2006/relationships/hyperlink" Target="https://yadi.sk/i/rKpsu2-43YBX2f" TargetMode="External"/><Relationship Id="rId112" Type="http://schemas.openxmlformats.org/officeDocument/2006/relationships/hyperlink" Target="https://yadi.sk/d/f_HfhRdR3YQxBS" TargetMode="External"/><Relationship Id="rId16" Type="http://schemas.openxmlformats.org/officeDocument/2006/relationships/hyperlink" Target="https://yadi.sk/d/Bt0FR2yW3X5s7C" TargetMode="External"/><Relationship Id="rId107" Type="http://schemas.openxmlformats.org/officeDocument/2006/relationships/hyperlink" Target="https://yadi.sk/d/H8AbXkhJ3YMDxg" TargetMode="External"/><Relationship Id="rId11" Type="http://schemas.openxmlformats.org/officeDocument/2006/relationships/hyperlink" Target="https://yadi.sk/d/cAXR4LUa3X5pHs" TargetMode="External"/><Relationship Id="rId32" Type="http://schemas.openxmlformats.org/officeDocument/2006/relationships/hyperlink" Target="https://yadi.sk/d/TG-NqcUw3XpB6G" TargetMode="External"/><Relationship Id="rId37" Type="http://schemas.openxmlformats.org/officeDocument/2006/relationships/hyperlink" Target="https://yadi.sk/d/nPw3NGoK3XpDAL" TargetMode="External"/><Relationship Id="rId53" Type="http://schemas.openxmlformats.org/officeDocument/2006/relationships/hyperlink" Target="https://yadi.sk/d/-mW2_UsF3Y46So" TargetMode="External"/><Relationship Id="rId58" Type="http://schemas.openxmlformats.org/officeDocument/2006/relationships/hyperlink" Target="https://yadi.sk/d/hTiptX8j3Y5eDB" TargetMode="External"/><Relationship Id="rId74" Type="http://schemas.openxmlformats.org/officeDocument/2006/relationships/hyperlink" Target="https://yadi.sk/d/DGAa9i3t3YBVi6" TargetMode="External"/><Relationship Id="rId79" Type="http://schemas.openxmlformats.org/officeDocument/2006/relationships/hyperlink" Target="https://yadi.sk/i/36A9uUId3YBW4S" TargetMode="External"/><Relationship Id="rId102" Type="http://schemas.openxmlformats.org/officeDocument/2006/relationships/hyperlink" Target="https://yadi.sk/i/aWT0WX053YEzNE" TargetMode="External"/><Relationship Id="rId123" Type="http://schemas.openxmlformats.org/officeDocument/2006/relationships/hyperlink" Target="https://yadi.sk/d/fQof3VMp3YQzbZ" TargetMode="External"/><Relationship Id="rId128" Type="http://schemas.openxmlformats.org/officeDocument/2006/relationships/printerSettings" Target="../printerSettings/printerSettings4.bin"/><Relationship Id="rId5" Type="http://schemas.openxmlformats.org/officeDocument/2006/relationships/hyperlink" Target="https://yadi.sk/d/6Mwp466-3X3gUx" TargetMode="External"/><Relationship Id="rId90" Type="http://schemas.openxmlformats.org/officeDocument/2006/relationships/hyperlink" Target="https://yadi.sk/d/-RPiiMja3YEuUK" TargetMode="External"/><Relationship Id="rId95" Type="http://schemas.openxmlformats.org/officeDocument/2006/relationships/hyperlink" Target="https://yadi.sk/i/RxUiSLrg3YEvD4" TargetMode="External"/><Relationship Id="rId22" Type="http://schemas.openxmlformats.org/officeDocument/2006/relationships/hyperlink" Target="https://yadi.sk/d/h5TuLqQ-3Xp73M" TargetMode="External"/><Relationship Id="rId27" Type="http://schemas.openxmlformats.org/officeDocument/2006/relationships/hyperlink" Target="https://yadi.sk/i/dRZYkJsP3Xp8VJ" TargetMode="External"/><Relationship Id="rId43" Type="http://schemas.openxmlformats.org/officeDocument/2006/relationships/hyperlink" Target="https://yadi.sk/d/beAn8azA3XqQpW" TargetMode="External"/><Relationship Id="rId48" Type="http://schemas.openxmlformats.org/officeDocument/2006/relationships/hyperlink" Target="https://yadi.sk/d/kubWILFI3Xuojr" TargetMode="External"/><Relationship Id="rId64" Type="http://schemas.openxmlformats.org/officeDocument/2006/relationships/hyperlink" Target="https://yadi.sk/d/QlASfCr63Y6UWD" TargetMode="External"/><Relationship Id="rId69" Type="http://schemas.openxmlformats.org/officeDocument/2006/relationships/hyperlink" Target="https://yadi.sk/d/pdaA3Gb53Y5fqL" TargetMode="External"/><Relationship Id="rId113" Type="http://schemas.openxmlformats.org/officeDocument/2006/relationships/hyperlink" Target="https://yadi.sk/d/UtK43wQ73YQxAE" TargetMode="External"/><Relationship Id="rId118" Type="http://schemas.openxmlformats.org/officeDocument/2006/relationships/hyperlink" Target="https://yadi.sk/d/erE3Qnql3YQyad" TargetMode="External"/><Relationship Id="rId80" Type="http://schemas.openxmlformats.org/officeDocument/2006/relationships/hyperlink" Target="https://yadi.sk/d/B-yNrFCy3YBW5e" TargetMode="External"/><Relationship Id="rId85" Type="http://schemas.openxmlformats.org/officeDocument/2006/relationships/hyperlink" Target="https://yadi.sk/d/9e7_dilK3YBWZ8" TargetMode="External"/><Relationship Id="rId12" Type="http://schemas.openxmlformats.org/officeDocument/2006/relationships/hyperlink" Target="https://yadi.sk/d/hyLDdMNG3X5pEt" TargetMode="External"/><Relationship Id="rId17" Type="http://schemas.openxmlformats.org/officeDocument/2006/relationships/hyperlink" Target="https://yadi.sk/i/tEye6Odm3X5s3S" TargetMode="External"/><Relationship Id="rId33" Type="http://schemas.openxmlformats.org/officeDocument/2006/relationships/hyperlink" Target="https://yadi.sk/d/XPchyOl73XpB7E" TargetMode="External"/><Relationship Id="rId38" Type="http://schemas.openxmlformats.org/officeDocument/2006/relationships/hyperlink" Target="https://yadi.sk/d/POVjIJ4u3XpDNu" TargetMode="External"/><Relationship Id="rId59" Type="http://schemas.openxmlformats.org/officeDocument/2006/relationships/hyperlink" Target="https://yadi.sk/d/-hzWB8-S3Y5eFk" TargetMode="External"/><Relationship Id="rId103" Type="http://schemas.openxmlformats.org/officeDocument/2006/relationships/hyperlink" Target="https://yadi.sk/i/aWT0WX053YEzNE" TargetMode="External"/><Relationship Id="rId108" Type="http://schemas.openxmlformats.org/officeDocument/2006/relationships/hyperlink" Target="https://yadi.sk/i/HYk1LhCx3YQvMm" TargetMode="External"/><Relationship Id="rId124" Type="http://schemas.openxmlformats.org/officeDocument/2006/relationships/hyperlink" Target="https://yadi.sk/d/Do5kblYp3YR4qZ" TargetMode="External"/><Relationship Id="rId54" Type="http://schemas.openxmlformats.org/officeDocument/2006/relationships/hyperlink" Target="https://yadi.sk/d/92xI_QEB3Y46VQ" TargetMode="External"/><Relationship Id="rId70" Type="http://schemas.openxmlformats.org/officeDocument/2006/relationships/hyperlink" Target="https://yadi.sk/d/1ubp11EJ3YBVMq" TargetMode="External"/><Relationship Id="rId75" Type="http://schemas.openxmlformats.org/officeDocument/2006/relationships/hyperlink" Target="https://yadi.sk/d/aHB35OdW3YBVhU" TargetMode="External"/><Relationship Id="rId91" Type="http://schemas.openxmlformats.org/officeDocument/2006/relationships/hyperlink" Target="https://yadi.sk/d/F3ZdPwhN3YEuaD" TargetMode="External"/><Relationship Id="rId96" Type="http://schemas.openxmlformats.org/officeDocument/2006/relationships/hyperlink" Target="https://yadi.sk/i/EBmopukQ3YEvEm" TargetMode="External"/><Relationship Id="rId1" Type="http://schemas.openxmlformats.org/officeDocument/2006/relationships/hyperlink" Target="https://yadi.sk/i/IuBFQHLn3X3gaP" TargetMode="External"/><Relationship Id="rId6" Type="http://schemas.openxmlformats.org/officeDocument/2006/relationships/hyperlink" Target="https://yadi.sk/i/GZdTa1GP3X5pji" TargetMode="External"/><Relationship Id="rId23" Type="http://schemas.openxmlformats.org/officeDocument/2006/relationships/hyperlink" Target="https://yadi.sk/d/sfpm81pi3Xp76G" TargetMode="External"/><Relationship Id="rId28" Type="http://schemas.openxmlformats.org/officeDocument/2006/relationships/hyperlink" Target="https://yadi.sk/d/x9kPcNbk3Xp8xm" TargetMode="External"/><Relationship Id="rId49" Type="http://schemas.openxmlformats.org/officeDocument/2006/relationships/hyperlink" Target="https://yadi.sk/d/H1d6Dznf3Xuom6" TargetMode="External"/><Relationship Id="rId114" Type="http://schemas.openxmlformats.org/officeDocument/2006/relationships/hyperlink" Target="https://yadi.sk/d/RGKg9qk03YQxDt" TargetMode="External"/><Relationship Id="rId119" Type="http://schemas.openxmlformats.org/officeDocument/2006/relationships/hyperlink" Target="https://yadi.sk/d/RrT1QMI13YQyZk" TargetMode="External"/><Relationship Id="rId44" Type="http://schemas.openxmlformats.org/officeDocument/2006/relationships/hyperlink" Target="https://yadi.sk/d/L_H5Vyzb3XqQqe" TargetMode="External"/><Relationship Id="rId60" Type="http://schemas.openxmlformats.org/officeDocument/2006/relationships/hyperlink" Target="https://yadi.sk/d/_TVxTVh53Y5eEg" TargetMode="External"/><Relationship Id="rId65" Type="http://schemas.openxmlformats.org/officeDocument/2006/relationships/hyperlink" Target="https://yadi.sk/d/mrYQ62mP3Y6USw" TargetMode="External"/><Relationship Id="rId81" Type="http://schemas.openxmlformats.org/officeDocument/2006/relationships/hyperlink" Target="https://yadi.sk/i/tosepVy_3YBW3m" TargetMode="External"/><Relationship Id="rId86" Type="http://schemas.openxmlformats.org/officeDocument/2006/relationships/hyperlink" Target="https://yadi.sk/d/BeNvsaHG3YBWzx" TargetMode="External"/><Relationship Id="rId13" Type="http://schemas.openxmlformats.org/officeDocument/2006/relationships/hyperlink" Target="https://yadi.sk/d/Bj8THkpu3X5pD3" TargetMode="External"/><Relationship Id="rId18" Type="http://schemas.openxmlformats.org/officeDocument/2006/relationships/hyperlink" Target="https://yadi.sk/d/navG6IRe3X5t7X" TargetMode="External"/><Relationship Id="rId39" Type="http://schemas.openxmlformats.org/officeDocument/2006/relationships/hyperlink" Target="https://yadi.sk/d/hWzy9TOc3XpDRh" TargetMode="External"/><Relationship Id="rId109" Type="http://schemas.openxmlformats.org/officeDocument/2006/relationships/hyperlink" Target="https://yadi.sk/i/8iyNw-s43YQvHS" TargetMode="External"/><Relationship Id="rId34" Type="http://schemas.openxmlformats.org/officeDocument/2006/relationships/hyperlink" Target="https://yadi.sk/d/yWX_6E_E3XpD4x" TargetMode="External"/><Relationship Id="rId50" Type="http://schemas.openxmlformats.org/officeDocument/2006/relationships/hyperlink" Target="https://yadi.sk/i/csNciXTI3XxTdm" TargetMode="External"/><Relationship Id="rId55" Type="http://schemas.openxmlformats.org/officeDocument/2006/relationships/hyperlink" Target="https://yadi.sk/d/-19h0qk53Y46Tf" TargetMode="External"/><Relationship Id="rId76" Type="http://schemas.openxmlformats.org/officeDocument/2006/relationships/hyperlink" Target="https://yadi.sk/i/D6QSbWs13YBViQ" TargetMode="External"/><Relationship Id="rId97" Type="http://schemas.openxmlformats.org/officeDocument/2006/relationships/hyperlink" Target="https://yadi.sk/d/QYDjCb0w3YEyYF" TargetMode="External"/><Relationship Id="rId104" Type="http://schemas.openxmlformats.org/officeDocument/2006/relationships/hyperlink" Target="https://yadi.sk/d/lpsjymJC3YEzKc" TargetMode="External"/><Relationship Id="rId120" Type="http://schemas.openxmlformats.org/officeDocument/2006/relationships/hyperlink" Target="https://yadi.sk/d/6wPMSayy3YQzWC" TargetMode="External"/><Relationship Id="rId125" Type="http://schemas.openxmlformats.org/officeDocument/2006/relationships/hyperlink" Target="https://yadi.sk/d/F6CJDNyn3YR4sC" TargetMode="External"/><Relationship Id="rId7" Type="http://schemas.openxmlformats.org/officeDocument/2006/relationships/hyperlink" Target="https://yadi.sk/i/GZdTa1GP3X5pji" TargetMode="External"/><Relationship Id="rId71" Type="http://schemas.openxmlformats.org/officeDocument/2006/relationships/hyperlink" Target="https://yadi.sk/d/y0AlnFfl3YBVN3" TargetMode="External"/><Relationship Id="rId92" Type="http://schemas.openxmlformats.org/officeDocument/2006/relationships/hyperlink" Target="https://yadi.sk/d/TEjv5LC73YEuT5" TargetMode="External"/><Relationship Id="rId2" Type="http://schemas.openxmlformats.org/officeDocument/2006/relationships/hyperlink" Target="https://yadi.sk/d/2EqrbCMQ3X3gP8" TargetMode="External"/><Relationship Id="rId29" Type="http://schemas.openxmlformats.org/officeDocument/2006/relationships/hyperlink" Target="https://yadi.sk/i/551eAuYf3Xp8w4" TargetMode="External"/><Relationship Id="rId24" Type="http://schemas.openxmlformats.org/officeDocument/2006/relationships/hyperlink" Target="https://yadi.sk/d/8nR9sJo13Xp74s" TargetMode="External"/><Relationship Id="rId40" Type="http://schemas.openxmlformats.org/officeDocument/2006/relationships/hyperlink" Target="https://yadi.sk/d/lZEx5txW3XpDMN" TargetMode="External"/><Relationship Id="rId45" Type="http://schemas.openxmlformats.org/officeDocument/2006/relationships/hyperlink" Target="https://yadi.sk/i/MESm06J23XqQuJ" TargetMode="External"/><Relationship Id="rId66" Type="http://schemas.openxmlformats.org/officeDocument/2006/relationships/hyperlink" Target="https://yadi.sk/d/F6xgKwJz3Y5fp4" TargetMode="External"/><Relationship Id="rId87" Type="http://schemas.openxmlformats.org/officeDocument/2006/relationships/hyperlink" Target="https://yadi.sk/d/nwAv0tuw3YBWzA" TargetMode="External"/><Relationship Id="rId110" Type="http://schemas.openxmlformats.org/officeDocument/2006/relationships/hyperlink" Target="https://yadi.sk/i/8IwC-glA3YQvPu" TargetMode="External"/><Relationship Id="rId115" Type="http://schemas.openxmlformats.org/officeDocument/2006/relationships/hyperlink" Target="https://yadi.sk/d/z-Kyw1Gb3YQxCR" TargetMode="External"/><Relationship Id="rId61" Type="http://schemas.openxmlformats.org/officeDocument/2006/relationships/hyperlink" Target="https://yadi.sk/d/10uQFMIR3Y5ctp" TargetMode="External"/><Relationship Id="rId82" Type="http://schemas.openxmlformats.org/officeDocument/2006/relationships/hyperlink" Target="https://yadi.sk/d/d3wYq6EF3YBWXh" TargetMode="External"/><Relationship Id="rId19" Type="http://schemas.openxmlformats.org/officeDocument/2006/relationships/hyperlink" Target="https://yadi.sk/d/5MkLPdey3X5t9V" TargetMode="External"/><Relationship Id="rId14" Type="http://schemas.openxmlformats.org/officeDocument/2006/relationships/hyperlink" Target="https://yadi.sk/i/mdgWuY2e3X5s59" TargetMode="External"/><Relationship Id="rId30" Type="http://schemas.openxmlformats.org/officeDocument/2006/relationships/hyperlink" Target="https://yadi.sk/d/SyMWHAjL3XpB3E" TargetMode="External"/><Relationship Id="rId35" Type="http://schemas.openxmlformats.org/officeDocument/2006/relationships/hyperlink" Target="https://yadi.sk/d/5p2SBHzP3XpD7w" TargetMode="External"/><Relationship Id="rId56" Type="http://schemas.openxmlformats.org/officeDocument/2006/relationships/hyperlink" Target="https://yadi.sk/d/c6eaYjTv3Y46WY" TargetMode="External"/><Relationship Id="rId77" Type="http://schemas.openxmlformats.org/officeDocument/2006/relationships/hyperlink" Target="https://yadi.sk/d/l71dMx_w3YBVhs" TargetMode="External"/><Relationship Id="rId100" Type="http://schemas.openxmlformats.org/officeDocument/2006/relationships/hyperlink" Target="https://yadi.sk/d/eHJTytg73YEyZJ" TargetMode="External"/><Relationship Id="rId105" Type="http://schemas.openxmlformats.org/officeDocument/2006/relationships/hyperlink" Target="https://yadi.sk/i/7_ZA_sBb3YMDws" TargetMode="External"/><Relationship Id="rId126" Type="http://schemas.openxmlformats.org/officeDocument/2006/relationships/hyperlink" Target="https://yadi.sk/d/tk9SxQjw3YR4uE" TargetMode="External"/><Relationship Id="rId8" Type="http://schemas.openxmlformats.org/officeDocument/2006/relationships/hyperlink" Target="https://yadi.sk/d/CbzRN3TW3X5peG" TargetMode="External"/><Relationship Id="rId51" Type="http://schemas.openxmlformats.org/officeDocument/2006/relationships/hyperlink" Target="https://yadi.sk/i/Vva4RzJC3XxTfw" TargetMode="External"/><Relationship Id="rId72" Type="http://schemas.openxmlformats.org/officeDocument/2006/relationships/hyperlink" Target="https://yadi.sk/i/2s6SHeEX3YBVNE" TargetMode="External"/><Relationship Id="rId93" Type="http://schemas.openxmlformats.org/officeDocument/2006/relationships/hyperlink" Target="https://yadi.sk/d/-qB81bSE3YEuWe" TargetMode="External"/><Relationship Id="rId98" Type="http://schemas.openxmlformats.org/officeDocument/2006/relationships/hyperlink" Target="https://yadi.sk/d/vMq8gLA53YEyWs" TargetMode="External"/><Relationship Id="rId121" Type="http://schemas.openxmlformats.org/officeDocument/2006/relationships/hyperlink" Target="https://yadi.sk/d/m5bC75Av3YQzXn" TargetMode="External"/><Relationship Id="rId3" Type="http://schemas.openxmlformats.org/officeDocument/2006/relationships/hyperlink" Target="https://yadi.sk/d/eJ4ozx-M3X3gT3" TargetMode="External"/><Relationship Id="rId25" Type="http://schemas.openxmlformats.org/officeDocument/2006/relationships/hyperlink" Target="https://yadi.sk/d/iFKqUhyM3Xp6zd" TargetMode="External"/><Relationship Id="rId46" Type="http://schemas.openxmlformats.org/officeDocument/2006/relationships/hyperlink" Target="https://yadi.sk/d/Qn44ijHm3XuoiK" TargetMode="External"/><Relationship Id="rId67" Type="http://schemas.openxmlformats.org/officeDocument/2006/relationships/hyperlink" Target="https://yadi.sk/d/1kVkjaan3Y5fnZ" TargetMode="External"/><Relationship Id="rId116" Type="http://schemas.openxmlformats.org/officeDocument/2006/relationships/hyperlink" Target="https://yadi.sk/d/Adp04o-c3YQycp" TargetMode="External"/><Relationship Id="rId20" Type="http://schemas.openxmlformats.org/officeDocument/2006/relationships/hyperlink" Target="https://yadi.sk/d/Qj_OLqq73X5tBr" TargetMode="External"/><Relationship Id="rId41" Type="http://schemas.openxmlformats.org/officeDocument/2006/relationships/hyperlink" Target="https://yadi.sk/d/eDkVVhgl3XpDQQ" TargetMode="External"/><Relationship Id="rId62" Type="http://schemas.openxmlformats.org/officeDocument/2006/relationships/hyperlink" Target="https://yadi.sk/d/jFoeeqHY3Y5cpj" TargetMode="External"/><Relationship Id="rId83" Type="http://schemas.openxmlformats.org/officeDocument/2006/relationships/hyperlink" Target="https://yadi.sk/d/tMQBFweG3YBWYL" TargetMode="External"/><Relationship Id="rId88" Type="http://schemas.openxmlformats.org/officeDocument/2006/relationships/hyperlink" Target="https://yadi.sk/d/y3ZBqVZw3YBWzU" TargetMode="External"/><Relationship Id="rId111" Type="http://schemas.openxmlformats.org/officeDocument/2006/relationships/hyperlink" Target="https://yadi.sk/i/3fWV7G5x3YQvRh" TargetMode="External"/><Relationship Id="rId15" Type="http://schemas.openxmlformats.org/officeDocument/2006/relationships/hyperlink" Target="https://yadi.sk/i/M5PlX3pb3X5rye" TargetMode="External"/><Relationship Id="rId36" Type="http://schemas.openxmlformats.org/officeDocument/2006/relationships/hyperlink" Target="https://yadi.sk/d/L8hZtC1m3XpD9D" TargetMode="External"/><Relationship Id="rId57" Type="http://schemas.openxmlformats.org/officeDocument/2006/relationships/hyperlink" Target="https://yadi.sk/d/nOeFj8G_3Y5eCJ" TargetMode="External"/><Relationship Id="rId106" Type="http://schemas.openxmlformats.org/officeDocument/2006/relationships/hyperlink" Target="https://yadi.sk/i/AqcrLc523YMDxK" TargetMode="External"/><Relationship Id="rId127" Type="http://schemas.openxmlformats.org/officeDocument/2006/relationships/hyperlink" Target="https://yadi.sk/d/UVuK0UtJ3YR4t9" TargetMode="External"/><Relationship Id="rId10" Type="http://schemas.openxmlformats.org/officeDocument/2006/relationships/hyperlink" Target="https://yadi.sk/d/5jMCTAwb3X5pGA" TargetMode="External"/><Relationship Id="rId31" Type="http://schemas.openxmlformats.org/officeDocument/2006/relationships/hyperlink" Target="https://yadi.sk/d/yicASl7R3XpB4i" TargetMode="External"/><Relationship Id="rId52" Type="http://schemas.openxmlformats.org/officeDocument/2006/relationships/hyperlink" Target="https://yadi.sk/d/0YrLTkjU3Y46RY" TargetMode="External"/><Relationship Id="rId73" Type="http://schemas.openxmlformats.org/officeDocument/2006/relationships/hyperlink" Target="https://yadi.sk/i/mSf9-dmE3YBVNL" TargetMode="External"/><Relationship Id="rId78" Type="http://schemas.openxmlformats.org/officeDocument/2006/relationships/hyperlink" Target="https://yadi.sk/d/88j0N-Vz3YBW53" TargetMode="External"/><Relationship Id="rId94" Type="http://schemas.openxmlformats.org/officeDocument/2006/relationships/hyperlink" Target="https://yadi.sk/d/ax__R_NA3YEvFf" TargetMode="External"/><Relationship Id="rId99" Type="http://schemas.openxmlformats.org/officeDocument/2006/relationships/hyperlink" Target="https://yadi.sk/d/GJOUxH6a3YEyVR" TargetMode="External"/><Relationship Id="rId101" Type="http://schemas.openxmlformats.org/officeDocument/2006/relationships/hyperlink" Target="https://yadi.sk/d/S7cg5ETD3YEzMB" TargetMode="External"/><Relationship Id="rId122" Type="http://schemas.openxmlformats.org/officeDocument/2006/relationships/hyperlink" Target="https://yadi.sk/d/npQM3ImX3YQzYi" TargetMode="External"/><Relationship Id="rId4" Type="http://schemas.openxmlformats.org/officeDocument/2006/relationships/hyperlink" Target="https://yadi.sk/d/r0BzyM0T3X3gX7" TargetMode="External"/><Relationship Id="rId9" Type="http://schemas.openxmlformats.org/officeDocument/2006/relationships/hyperlink" Target="https://yadi.sk/d/MLg71c0B3X5pgS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yadi.sk/d/3AW0Qyqy3Yzkpo" TargetMode="External"/><Relationship Id="rId21" Type="http://schemas.openxmlformats.org/officeDocument/2006/relationships/hyperlink" Target="https://yadi.sk/d/FtULoYce3Yzj6Z" TargetMode="External"/><Relationship Id="rId42" Type="http://schemas.openxmlformats.org/officeDocument/2006/relationships/hyperlink" Target="https://yadi.sk/d/62pJh4pM3ZLdBX" TargetMode="External"/><Relationship Id="rId47" Type="http://schemas.openxmlformats.org/officeDocument/2006/relationships/hyperlink" Target="https://yadi.sk/d/nYPydU2i3ZLetB" TargetMode="External"/><Relationship Id="rId63" Type="http://schemas.openxmlformats.org/officeDocument/2006/relationships/hyperlink" Target="https://yadi.sk/d/kkgjB-kb3ZWWtg" TargetMode="External"/><Relationship Id="rId68" Type="http://schemas.openxmlformats.org/officeDocument/2006/relationships/hyperlink" Target="https://yadi.sk/d/5LWg6iDw3ZYkgh" TargetMode="External"/><Relationship Id="rId84" Type="http://schemas.openxmlformats.org/officeDocument/2006/relationships/hyperlink" Target="https://yadi.sk/d/17TINKs43Zd4T4" TargetMode="External"/><Relationship Id="rId89" Type="http://schemas.openxmlformats.org/officeDocument/2006/relationships/hyperlink" Target="https://yadi.sk/d/wVwEyLqZ3ZdAQH" TargetMode="External"/><Relationship Id="rId16" Type="http://schemas.openxmlformats.org/officeDocument/2006/relationships/hyperlink" Target="https://yadi.sk/i/u6YtCuro3Yzi5r" TargetMode="External"/><Relationship Id="rId11" Type="http://schemas.openxmlformats.org/officeDocument/2006/relationships/hyperlink" Target="https://yadi.sk/d/yHYGoucu3YzdT7" TargetMode="External"/><Relationship Id="rId32" Type="http://schemas.openxmlformats.org/officeDocument/2006/relationships/hyperlink" Target="https://yadi.sk/d/8txuTeUw3ZFvrP" TargetMode="External"/><Relationship Id="rId37" Type="http://schemas.openxmlformats.org/officeDocument/2006/relationships/hyperlink" Target="https://yadi.sk/d/aFEBifnh3ZFw4H" TargetMode="External"/><Relationship Id="rId53" Type="http://schemas.openxmlformats.org/officeDocument/2006/relationships/hyperlink" Target="https://yadi.sk/d/L5hTOiLq3ZLfae" TargetMode="External"/><Relationship Id="rId58" Type="http://schemas.openxmlformats.org/officeDocument/2006/relationships/hyperlink" Target="https://yadi.sk/d/LWzvvHwn3ZP2Gw" TargetMode="External"/><Relationship Id="rId74" Type="http://schemas.openxmlformats.org/officeDocument/2006/relationships/hyperlink" Target="https://yadi.sk/d/wJpSYa5o3ZbEbt" TargetMode="External"/><Relationship Id="rId79" Type="http://schemas.openxmlformats.org/officeDocument/2006/relationships/hyperlink" Target="https://yadi.sk/i/ekPfTwOx3ZbGYQ" TargetMode="External"/><Relationship Id="rId5" Type="http://schemas.openxmlformats.org/officeDocument/2006/relationships/hyperlink" Target="https://yadi.sk/i/H0yWhpZV3YnyRW" TargetMode="External"/><Relationship Id="rId14" Type="http://schemas.openxmlformats.org/officeDocument/2006/relationships/hyperlink" Target="https://yadi.sk/i/K8EP64o23Yzh32" TargetMode="External"/><Relationship Id="rId22" Type="http://schemas.openxmlformats.org/officeDocument/2006/relationships/hyperlink" Target="https://yadi.sk/d/NUOhr2Ox3Yzk3R" TargetMode="External"/><Relationship Id="rId27" Type="http://schemas.openxmlformats.org/officeDocument/2006/relationships/hyperlink" Target="https://yadi.sk/d/ZQvmrc8z3Yzkoy" TargetMode="External"/><Relationship Id="rId30" Type="http://schemas.openxmlformats.org/officeDocument/2006/relationships/hyperlink" Target="https://yadi.sk/i/ymGGenJT3YzkGa" TargetMode="External"/><Relationship Id="rId35" Type="http://schemas.openxmlformats.org/officeDocument/2006/relationships/hyperlink" Target="https://yadi.sk/d/i_eDUFb13ZFw7G" TargetMode="External"/><Relationship Id="rId43" Type="http://schemas.openxmlformats.org/officeDocument/2006/relationships/hyperlink" Target="https://yadi.sk/d/McnxJetP3ZLe99" TargetMode="External"/><Relationship Id="rId48" Type="http://schemas.openxmlformats.org/officeDocument/2006/relationships/hyperlink" Target="https://yadi.sk/d/D8ZSz-MG3ZLeu6" TargetMode="External"/><Relationship Id="rId56" Type="http://schemas.openxmlformats.org/officeDocument/2006/relationships/hyperlink" Target="https://yadi.sk/i/iSucSWwW3ZP2KV" TargetMode="External"/><Relationship Id="rId64" Type="http://schemas.openxmlformats.org/officeDocument/2006/relationships/hyperlink" Target="https://yadi.sk/i/f6zASTrA3ZWXEq" TargetMode="External"/><Relationship Id="rId69" Type="http://schemas.openxmlformats.org/officeDocument/2006/relationships/hyperlink" Target="https://yadi.sk/d/hzJJfpVk3ZYkmz" TargetMode="External"/><Relationship Id="rId77" Type="http://schemas.openxmlformats.org/officeDocument/2006/relationships/hyperlink" Target="https://yadi.sk/d/U4eY4goT3ZbFGy" TargetMode="External"/><Relationship Id="rId8" Type="http://schemas.openxmlformats.org/officeDocument/2006/relationships/hyperlink" Target="https://yadi.sk/i/4wiM-jKk3YnySe" TargetMode="External"/><Relationship Id="rId51" Type="http://schemas.openxmlformats.org/officeDocument/2006/relationships/hyperlink" Target="https://yadi.sk/d/i0kSWSxu3ZLfmq" TargetMode="External"/><Relationship Id="rId72" Type="http://schemas.openxmlformats.org/officeDocument/2006/relationships/hyperlink" Target="https://yadi.sk/d/V8Mj5_WN3ZbEdQ" TargetMode="External"/><Relationship Id="rId80" Type="http://schemas.openxmlformats.org/officeDocument/2006/relationships/hyperlink" Target="https://yadi.sk/i/Cg-7Tjqu3ZbGWe" TargetMode="External"/><Relationship Id="rId85" Type="http://schemas.openxmlformats.org/officeDocument/2006/relationships/hyperlink" Target="https://yadi.sk/d/g5ARUTgJ3Zd4ef" TargetMode="External"/><Relationship Id="rId3" Type="http://schemas.openxmlformats.org/officeDocument/2006/relationships/hyperlink" Target="https://yadi.sk/d/cgGweLpa3Ynz65" TargetMode="External"/><Relationship Id="rId12" Type="http://schemas.openxmlformats.org/officeDocument/2006/relationships/hyperlink" Target="https://yadi.sk/d/1f_xQ_1J3YzdVg" TargetMode="External"/><Relationship Id="rId17" Type="http://schemas.openxmlformats.org/officeDocument/2006/relationships/hyperlink" Target="https://yadi.sk/i/fZnrrCNv3YzhwH" TargetMode="External"/><Relationship Id="rId25" Type="http://schemas.openxmlformats.org/officeDocument/2006/relationships/hyperlink" Target="https://yadi.sk/d/16ByrjRo3Yzk4x" TargetMode="External"/><Relationship Id="rId33" Type="http://schemas.openxmlformats.org/officeDocument/2006/relationships/hyperlink" Target="https://yadi.sk/i/uzjj1BDE3ZFvoR" TargetMode="External"/><Relationship Id="rId38" Type="http://schemas.openxmlformats.org/officeDocument/2006/relationships/hyperlink" Target="https://yadi.sk/d/jiNtMWVv3ZFvzR" TargetMode="External"/><Relationship Id="rId46" Type="http://schemas.openxmlformats.org/officeDocument/2006/relationships/hyperlink" Target="https://yadi.sk/i/XFHHOZEy3ZLe8A" TargetMode="External"/><Relationship Id="rId59" Type="http://schemas.openxmlformats.org/officeDocument/2006/relationships/hyperlink" Target="https://yadi.sk/i/2l2oUB_t3ZP2pU" TargetMode="External"/><Relationship Id="rId67" Type="http://schemas.openxmlformats.org/officeDocument/2006/relationships/hyperlink" Target="https://yadi.sk/d/hhcSDRiL3ZYkht" TargetMode="External"/><Relationship Id="rId20" Type="http://schemas.openxmlformats.org/officeDocument/2006/relationships/hyperlink" Target="https://yadi.sk/d/i_iW9dUx3Yzj44" TargetMode="External"/><Relationship Id="rId41" Type="http://schemas.openxmlformats.org/officeDocument/2006/relationships/hyperlink" Target="https://yadi.sk/d/ryYtiCzH3ZLd6v" TargetMode="External"/><Relationship Id="rId54" Type="http://schemas.openxmlformats.org/officeDocument/2006/relationships/hyperlink" Target="https://yadi.sk/i/lXRykt5c3ZLfni" TargetMode="External"/><Relationship Id="rId62" Type="http://schemas.openxmlformats.org/officeDocument/2006/relationships/hyperlink" Target="https://yadi.sk/d/W-jj4Kw_3ZWWuV" TargetMode="External"/><Relationship Id="rId70" Type="http://schemas.openxmlformats.org/officeDocument/2006/relationships/hyperlink" Target="https://yadi.sk/d/Rm3KDARE3ZYkm8" TargetMode="External"/><Relationship Id="rId75" Type="http://schemas.openxmlformats.org/officeDocument/2006/relationships/hyperlink" Target="https://yadi.sk/d/E5AOsjox3ZbFKt" TargetMode="External"/><Relationship Id="rId83" Type="http://schemas.openxmlformats.org/officeDocument/2006/relationships/hyperlink" Target="https://yadi.sk/d/vXf3LqoR3Zd4Hd" TargetMode="External"/><Relationship Id="rId88" Type="http://schemas.openxmlformats.org/officeDocument/2006/relationships/hyperlink" Target="https://yadi.sk/d/HloApJ0-3Zd5Ab" TargetMode="External"/><Relationship Id="rId1" Type="http://schemas.openxmlformats.org/officeDocument/2006/relationships/hyperlink" Target="https://yadi.sk/d/K-LlyCke3Ynz29" TargetMode="External"/><Relationship Id="rId6" Type="http://schemas.openxmlformats.org/officeDocument/2006/relationships/hyperlink" Target="https://yadi.sk/d/MiLd-ZPO3YnyQe" TargetMode="External"/><Relationship Id="rId15" Type="http://schemas.openxmlformats.org/officeDocument/2006/relationships/hyperlink" Target="https://yadi.sk/i/o1qnB1Gn3Yzh3o" TargetMode="External"/><Relationship Id="rId23" Type="http://schemas.openxmlformats.org/officeDocument/2006/relationships/hyperlink" Target="https://yadi.sk/i/Jff23hJq3Yzk2B" TargetMode="External"/><Relationship Id="rId28" Type="http://schemas.openxmlformats.org/officeDocument/2006/relationships/hyperlink" Target="https://yadi.sk/d/P-spccYg3Yzkqr" TargetMode="External"/><Relationship Id="rId36" Type="http://schemas.openxmlformats.org/officeDocument/2006/relationships/hyperlink" Target="https://yadi.sk/d/F3s1HjAL3ZFw8q" TargetMode="External"/><Relationship Id="rId49" Type="http://schemas.openxmlformats.org/officeDocument/2006/relationships/hyperlink" Target="https://yadi.sk/d/9xmXa1md3ZLevC" TargetMode="External"/><Relationship Id="rId57" Type="http://schemas.openxmlformats.org/officeDocument/2006/relationships/hyperlink" Target="https://yadi.sk/i/nW2-Qrre3ZP2LJ" TargetMode="External"/><Relationship Id="rId10" Type="http://schemas.openxmlformats.org/officeDocument/2006/relationships/hyperlink" Target="https://yadi.sk/d/BroVmc1q3Yzde2" TargetMode="External"/><Relationship Id="rId31" Type="http://schemas.openxmlformats.org/officeDocument/2006/relationships/hyperlink" Target="https://yadi.sk/d/OA9_HpUr3ZFvsa" TargetMode="External"/><Relationship Id="rId44" Type="http://schemas.openxmlformats.org/officeDocument/2006/relationships/hyperlink" Target="https://yadi.sk/d/-UzziFz83ZLeAt" TargetMode="External"/><Relationship Id="rId52" Type="http://schemas.openxmlformats.org/officeDocument/2006/relationships/hyperlink" Target="https://yadi.sk/i/sDVkvOnx3ZLfc4" TargetMode="External"/><Relationship Id="rId60" Type="http://schemas.openxmlformats.org/officeDocument/2006/relationships/hyperlink" Target="https://yadi.sk/d/2mApsAjE3ZWWrP" TargetMode="External"/><Relationship Id="rId65" Type="http://schemas.openxmlformats.org/officeDocument/2006/relationships/hyperlink" Target="https://yadi.sk/i/nmO4AeF83ZWXFy" TargetMode="External"/><Relationship Id="rId73" Type="http://schemas.openxmlformats.org/officeDocument/2006/relationships/hyperlink" Target="https://yadi.sk/d/b9ugBR_r3ZbEiG" TargetMode="External"/><Relationship Id="rId78" Type="http://schemas.openxmlformats.org/officeDocument/2006/relationships/hyperlink" Target="https://yadi.sk/d/5jIEPeMj3ZbFJ4" TargetMode="External"/><Relationship Id="rId81" Type="http://schemas.openxmlformats.org/officeDocument/2006/relationships/hyperlink" Target="https://yadi.sk/i/8RNLPszm3ZbGTw" TargetMode="External"/><Relationship Id="rId86" Type="http://schemas.openxmlformats.org/officeDocument/2006/relationships/hyperlink" Target="https://yadi.sk/i/J8-httH33Zd4fw" TargetMode="External"/><Relationship Id="rId4" Type="http://schemas.openxmlformats.org/officeDocument/2006/relationships/hyperlink" Target="https://yadi.sk/d/e-K0n_Cz3Ynz4i" TargetMode="External"/><Relationship Id="rId9" Type="http://schemas.openxmlformats.org/officeDocument/2006/relationships/hyperlink" Target="https://yadi.sk/d/UKNRZ2N03YzddT" TargetMode="External"/><Relationship Id="rId13" Type="http://schemas.openxmlformats.org/officeDocument/2006/relationships/hyperlink" Target="https://yadi.sk/i/Ek2cygAF3Yzh2K" TargetMode="External"/><Relationship Id="rId18" Type="http://schemas.openxmlformats.org/officeDocument/2006/relationships/hyperlink" Target="https://yadi.sk/d/Q1c7Zetj3YzhzJ" TargetMode="External"/><Relationship Id="rId39" Type="http://schemas.openxmlformats.org/officeDocument/2006/relationships/hyperlink" Target="https://yadi.sk/d/ZLmSW5ki3ZLd5H" TargetMode="External"/><Relationship Id="rId34" Type="http://schemas.openxmlformats.org/officeDocument/2006/relationships/hyperlink" Target="https://yadi.sk/i/rRlVkIvk3ZFvqk" TargetMode="External"/><Relationship Id="rId50" Type="http://schemas.openxmlformats.org/officeDocument/2006/relationships/hyperlink" Target="https://yadi.sk/d/CEx3iRWq3ZLewP" TargetMode="External"/><Relationship Id="rId55" Type="http://schemas.openxmlformats.org/officeDocument/2006/relationships/hyperlink" Target="https://yadi.sk/d/GKOuMOX33ZP2Hw" TargetMode="External"/><Relationship Id="rId76" Type="http://schemas.openxmlformats.org/officeDocument/2006/relationships/hyperlink" Target="https://yadi.sk/d/Fs8G8AG93ZbFMG" TargetMode="External"/><Relationship Id="rId7" Type="http://schemas.openxmlformats.org/officeDocument/2006/relationships/hyperlink" Target="https://yadi.sk/d/beEmoC-w3YnyNF" TargetMode="External"/><Relationship Id="rId71" Type="http://schemas.openxmlformats.org/officeDocument/2006/relationships/hyperlink" Target="https://yadi.sk/d/CHgCVRBh3ZbEjy" TargetMode="External"/><Relationship Id="rId2" Type="http://schemas.openxmlformats.org/officeDocument/2006/relationships/hyperlink" Target="https://yadi.sk/i/1P6xpdX63Ynz7E" TargetMode="External"/><Relationship Id="rId29" Type="http://schemas.openxmlformats.org/officeDocument/2006/relationships/hyperlink" Target="https://yadi.sk/d/EAKIesbh3Yzkru" TargetMode="External"/><Relationship Id="rId24" Type="http://schemas.openxmlformats.org/officeDocument/2006/relationships/hyperlink" Target="https://yadi.sk/i/YGw00rJW3Yzjyw" TargetMode="External"/><Relationship Id="rId40" Type="http://schemas.openxmlformats.org/officeDocument/2006/relationships/hyperlink" Target="https://yadi.sk/d/2r67TOe73ZLd7m" TargetMode="External"/><Relationship Id="rId45" Type="http://schemas.openxmlformats.org/officeDocument/2006/relationships/hyperlink" Target="https://yadi.sk/d/IbY0oWKH3ZLeAA" TargetMode="External"/><Relationship Id="rId66" Type="http://schemas.openxmlformats.org/officeDocument/2006/relationships/hyperlink" Target="https://yadi.sk/i/SCo2tDTV3ZWXHa" TargetMode="External"/><Relationship Id="rId87" Type="http://schemas.openxmlformats.org/officeDocument/2006/relationships/hyperlink" Target="https://yadi.sk/d/JRK46RS53Zd5A6" TargetMode="External"/><Relationship Id="rId61" Type="http://schemas.openxmlformats.org/officeDocument/2006/relationships/hyperlink" Target="https://yadi.sk/d/qc6fo0-F3ZWWsr" TargetMode="External"/><Relationship Id="rId82" Type="http://schemas.openxmlformats.org/officeDocument/2006/relationships/hyperlink" Target="https://yadi.sk/i/1RTobQ-B3ZbGVP" TargetMode="External"/><Relationship Id="rId19" Type="http://schemas.openxmlformats.org/officeDocument/2006/relationships/hyperlink" Target="https://yadi.sk/d/n2sL2rzY3Yzj5h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64"/>
  <sheetViews>
    <sheetView zoomScale="70" zoomScaleNormal="70" workbookViewId="0">
      <pane ySplit="1" topLeftCell="A2" activePane="bottomLeft" state="frozen"/>
      <selection pane="bottomLeft" activeCell="D276" sqref="D276"/>
    </sheetView>
  </sheetViews>
  <sheetFormatPr defaultColWidth="15.5703125" defaultRowHeight="12.75"/>
  <cols>
    <col min="1" max="1" width="21.140625" style="19" customWidth="1"/>
    <col min="2" max="2" width="11.140625" style="20" bestFit="1" customWidth="1"/>
    <col min="3" max="3" width="39.28515625" style="20" customWidth="1"/>
    <col min="4" max="4" width="23.42578125" style="20" bestFit="1" customWidth="1"/>
    <col min="5" max="5" width="45" style="20" customWidth="1"/>
    <col min="6" max="6" width="20.28515625" style="19" bestFit="1" customWidth="1"/>
    <col min="7" max="7" width="25.28515625" style="19" bestFit="1" customWidth="1"/>
    <col min="8" max="8" width="22.5703125" style="19" bestFit="1" customWidth="1"/>
    <col min="9" max="9" width="35" style="19" bestFit="1" customWidth="1"/>
    <col min="10" max="10" width="33.85546875" style="20" customWidth="1"/>
    <col min="11" max="11" width="41" style="21" customWidth="1"/>
    <col min="12" max="12" width="34" style="20" bestFit="1" customWidth="1"/>
    <col min="13" max="13" width="19.28515625" style="20" bestFit="1" customWidth="1"/>
    <col min="14" max="16384" width="15.5703125" style="6"/>
  </cols>
  <sheetData>
    <row r="1" spans="1:13" ht="16.5" customHeight="1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8" t="s">
        <v>9</v>
      </c>
      <c r="K1" s="48" t="s">
        <v>10</v>
      </c>
      <c r="L1" s="48" t="s">
        <v>44</v>
      </c>
      <c r="M1" s="48" t="s">
        <v>45</v>
      </c>
    </row>
    <row r="2" spans="1:13" ht="16.5" customHeight="1">
      <c r="A2" s="49">
        <v>43161</v>
      </c>
      <c r="B2" s="2" t="s">
        <v>68</v>
      </c>
      <c r="C2" s="2" t="s">
        <v>91</v>
      </c>
      <c r="D2" s="2" t="s">
        <v>69</v>
      </c>
      <c r="E2" s="2" t="s">
        <v>70</v>
      </c>
      <c r="F2" s="50">
        <v>0.8125</v>
      </c>
      <c r="G2" s="51" t="s">
        <v>71</v>
      </c>
      <c r="H2" s="51" t="s">
        <v>71</v>
      </c>
      <c r="I2" s="51" t="s">
        <v>71</v>
      </c>
      <c r="J2" s="2" t="s">
        <v>309</v>
      </c>
      <c r="K2" s="2"/>
      <c r="L2" s="1" t="s">
        <v>85</v>
      </c>
      <c r="M2" s="1" t="s">
        <v>86</v>
      </c>
    </row>
    <row r="3" spans="1:13" ht="16.5" customHeight="1">
      <c r="A3" s="49">
        <v>43161</v>
      </c>
      <c r="B3" s="2" t="s">
        <v>68</v>
      </c>
      <c r="C3" s="2" t="s">
        <v>92</v>
      </c>
      <c r="D3" s="2" t="s">
        <v>69</v>
      </c>
      <c r="E3" s="2" t="s">
        <v>72</v>
      </c>
      <c r="F3" s="50">
        <v>0.8208333333333333</v>
      </c>
      <c r="G3" s="51" t="s">
        <v>71</v>
      </c>
      <c r="H3" s="51" t="s">
        <v>71</v>
      </c>
      <c r="I3" s="51" t="s">
        <v>71</v>
      </c>
      <c r="J3" s="2" t="s">
        <v>309</v>
      </c>
      <c r="K3" s="2"/>
      <c r="L3" s="1" t="s">
        <v>85</v>
      </c>
      <c r="M3" s="1" t="s">
        <v>86</v>
      </c>
    </row>
    <row r="4" spans="1:13" ht="16.5" customHeight="1">
      <c r="A4" s="49">
        <v>43161</v>
      </c>
      <c r="B4" s="2" t="s">
        <v>68</v>
      </c>
      <c r="C4" s="2" t="s">
        <v>93</v>
      </c>
      <c r="D4" s="2" t="s">
        <v>69</v>
      </c>
      <c r="E4" s="2" t="s">
        <v>73</v>
      </c>
      <c r="F4" s="50">
        <v>0.83124999999999993</v>
      </c>
      <c r="G4" s="51" t="s">
        <v>71</v>
      </c>
      <c r="H4" s="51" t="s">
        <v>14</v>
      </c>
      <c r="I4" s="51" t="s">
        <v>14</v>
      </c>
      <c r="J4" s="2" t="s">
        <v>309</v>
      </c>
      <c r="K4" s="2"/>
      <c r="L4" s="1" t="s">
        <v>85</v>
      </c>
      <c r="M4" s="1" t="s">
        <v>86</v>
      </c>
    </row>
    <row r="5" spans="1:13" ht="16.5" customHeight="1">
      <c r="A5" s="49">
        <v>43161</v>
      </c>
      <c r="B5" s="2" t="s">
        <v>68</v>
      </c>
      <c r="C5" s="2" t="s">
        <v>90</v>
      </c>
      <c r="D5" s="2" t="s">
        <v>69</v>
      </c>
      <c r="E5" s="2" t="s">
        <v>74</v>
      </c>
      <c r="F5" s="50">
        <v>0.86805555555555547</v>
      </c>
      <c r="G5" s="51" t="s">
        <v>71</v>
      </c>
      <c r="H5" s="51" t="s">
        <v>71</v>
      </c>
      <c r="I5" s="51" t="s">
        <v>71</v>
      </c>
      <c r="J5" s="2" t="s">
        <v>309</v>
      </c>
      <c r="K5" s="2"/>
      <c r="L5" s="1" t="s">
        <v>85</v>
      </c>
      <c r="M5" s="1" t="s">
        <v>86</v>
      </c>
    </row>
    <row r="6" spans="1:13" ht="16.5" customHeight="1">
      <c r="A6" s="52">
        <v>43164</v>
      </c>
      <c r="B6" s="2" t="s">
        <v>68</v>
      </c>
      <c r="C6" s="2" t="s">
        <v>91</v>
      </c>
      <c r="D6" s="2" t="s">
        <v>69</v>
      </c>
      <c r="E6" s="2" t="s">
        <v>75</v>
      </c>
      <c r="F6" s="50">
        <v>0.82777777777777783</v>
      </c>
      <c r="G6" s="51" t="s">
        <v>71</v>
      </c>
      <c r="H6" s="51" t="s">
        <v>71</v>
      </c>
      <c r="I6" s="51" t="s">
        <v>71</v>
      </c>
      <c r="J6" s="2" t="s">
        <v>309</v>
      </c>
      <c r="K6" s="2"/>
      <c r="L6" s="1" t="s">
        <v>85</v>
      </c>
      <c r="M6" s="1" t="s">
        <v>86</v>
      </c>
    </row>
    <row r="7" spans="1:13" ht="16.5" customHeight="1">
      <c r="A7" s="52">
        <v>43164</v>
      </c>
      <c r="B7" s="2" t="s">
        <v>68</v>
      </c>
      <c r="C7" s="2" t="s">
        <v>92</v>
      </c>
      <c r="D7" s="2" t="s">
        <v>69</v>
      </c>
      <c r="E7" s="2" t="s">
        <v>76</v>
      </c>
      <c r="F7" s="50">
        <v>0.81874999999999998</v>
      </c>
      <c r="G7" s="51" t="s">
        <v>71</v>
      </c>
      <c r="H7" s="51" t="s">
        <v>71</v>
      </c>
      <c r="I7" s="51" t="s">
        <v>71</v>
      </c>
      <c r="J7" s="2" t="s">
        <v>309</v>
      </c>
      <c r="K7" s="2"/>
      <c r="L7" s="1" t="s">
        <v>85</v>
      </c>
      <c r="M7" s="1" t="s">
        <v>86</v>
      </c>
    </row>
    <row r="8" spans="1:13" ht="16.5" customHeight="1">
      <c r="A8" s="52">
        <v>43164</v>
      </c>
      <c r="B8" s="2" t="s">
        <v>68</v>
      </c>
      <c r="C8" s="2" t="s">
        <v>93</v>
      </c>
      <c r="D8" s="2" t="s">
        <v>69</v>
      </c>
      <c r="E8" s="2" t="s">
        <v>77</v>
      </c>
      <c r="F8" s="50">
        <v>0.82986111111111116</v>
      </c>
      <c r="G8" s="51" t="s">
        <v>14</v>
      </c>
      <c r="H8" s="51"/>
      <c r="I8" s="51"/>
      <c r="J8" s="2" t="s">
        <v>309</v>
      </c>
      <c r="K8" s="2" t="s">
        <v>89</v>
      </c>
      <c r="L8" s="1" t="s">
        <v>85</v>
      </c>
      <c r="M8" s="1" t="s">
        <v>86</v>
      </c>
    </row>
    <row r="9" spans="1:13" ht="16.5" customHeight="1">
      <c r="A9" s="52">
        <v>43164</v>
      </c>
      <c r="B9" s="2" t="s">
        <v>68</v>
      </c>
      <c r="C9" s="2" t="s">
        <v>90</v>
      </c>
      <c r="D9" s="2" t="s">
        <v>69</v>
      </c>
      <c r="E9" s="2" t="s">
        <v>78</v>
      </c>
      <c r="F9" s="50">
        <v>0.77847222222222223</v>
      </c>
      <c r="G9" s="51" t="s">
        <v>71</v>
      </c>
      <c r="H9" s="51" t="s">
        <v>71</v>
      </c>
      <c r="I9" s="51" t="s">
        <v>71</v>
      </c>
      <c r="J9" s="2" t="s">
        <v>309</v>
      </c>
      <c r="K9" s="2"/>
      <c r="L9" s="1" t="s">
        <v>85</v>
      </c>
      <c r="M9" s="1" t="s">
        <v>86</v>
      </c>
    </row>
    <row r="10" spans="1:13" ht="16.5" customHeight="1">
      <c r="A10" s="49">
        <v>43166</v>
      </c>
      <c r="B10" s="2" t="s">
        <v>68</v>
      </c>
      <c r="C10" s="2" t="s">
        <v>94</v>
      </c>
      <c r="D10" s="2" t="s">
        <v>69</v>
      </c>
      <c r="E10" s="7" t="s">
        <v>79</v>
      </c>
      <c r="F10" s="50">
        <v>0.83750000000000002</v>
      </c>
      <c r="G10" s="51" t="s">
        <v>71</v>
      </c>
      <c r="H10" s="51" t="s">
        <v>71</v>
      </c>
      <c r="I10" s="51" t="s">
        <v>71</v>
      </c>
      <c r="J10" s="2" t="s">
        <v>309</v>
      </c>
      <c r="K10" s="2"/>
      <c r="L10" s="1" t="s">
        <v>87</v>
      </c>
      <c r="M10" s="1" t="s">
        <v>88</v>
      </c>
    </row>
    <row r="11" spans="1:13" ht="16.5" customHeight="1">
      <c r="A11" s="49">
        <v>43166</v>
      </c>
      <c r="B11" s="2" t="s">
        <v>68</v>
      </c>
      <c r="C11" s="2" t="s">
        <v>95</v>
      </c>
      <c r="D11" s="2" t="s">
        <v>69</v>
      </c>
      <c r="E11" s="7" t="s">
        <v>80</v>
      </c>
      <c r="F11" s="50">
        <v>0.77222222222222225</v>
      </c>
      <c r="G11" s="51" t="s">
        <v>71</v>
      </c>
      <c r="H11" s="51" t="s">
        <v>71</v>
      </c>
      <c r="I11" s="51" t="s">
        <v>71</v>
      </c>
      <c r="J11" s="2" t="s">
        <v>309</v>
      </c>
      <c r="K11" s="2"/>
      <c r="L11" s="1" t="s">
        <v>87</v>
      </c>
      <c r="M11" s="1" t="s">
        <v>88</v>
      </c>
    </row>
    <row r="12" spans="1:13" ht="16.5" customHeight="1">
      <c r="A12" s="49">
        <v>43166</v>
      </c>
      <c r="B12" s="2" t="s">
        <v>68</v>
      </c>
      <c r="C12" s="2" t="s">
        <v>96</v>
      </c>
      <c r="D12" s="2" t="s">
        <v>69</v>
      </c>
      <c r="E12" s="7" t="s">
        <v>81</v>
      </c>
      <c r="F12" s="51" t="s">
        <v>82</v>
      </c>
      <c r="G12" s="51" t="s">
        <v>14</v>
      </c>
      <c r="H12" s="51"/>
      <c r="I12" s="51"/>
      <c r="J12" s="2" t="s">
        <v>309</v>
      </c>
      <c r="K12" s="2" t="s">
        <v>83</v>
      </c>
      <c r="L12" s="1" t="s">
        <v>87</v>
      </c>
      <c r="M12" s="1" t="s">
        <v>88</v>
      </c>
    </row>
    <row r="13" spans="1:13" ht="16.5" customHeight="1">
      <c r="A13" s="49">
        <v>43166</v>
      </c>
      <c r="B13" s="2" t="s">
        <v>68</v>
      </c>
      <c r="C13" s="2" t="s">
        <v>92</v>
      </c>
      <c r="D13" s="2" t="s">
        <v>69</v>
      </c>
      <c r="E13" s="2" t="s">
        <v>84</v>
      </c>
      <c r="F13" s="50">
        <v>0.81944444444444453</v>
      </c>
      <c r="G13" s="51" t="s">
        <v>71</v>
      </c>
      <c r="H13" s="51" t="s">
        <v>71</v>
      </c>
      <c r="I13" s="51" t="s">
        <v>71</v>
      </c>
      <c r="J13" s="2" t="s">
        <v>309</v>
      </c>
      <c r="K13" s="2"/>
      <c r="L13" s="1" t="s">
        <v>85</v>
      </c>
      <c r="M13" s="1" t="s">
        <v>86</v>
      </c>
    </row>
    <row r="14" spans="1:13" ht="16.5" hidden="1" customHeight="1">
      <c r="A14" s="49">
        <v>43166</v>
      </c>
      <c r="B14" s="2" t="s">
        <v>11</v>
      </c>
      <c r="C14" s="2" t="s">
        <v>56</v>
      </c>
      <c r="D14" s="2" t="s">
        <v>12</v>
      </c>
      <c r="E14" s="2" t="s">
        <v>13</v>
      </c>
      <c r="F14" s="3">
        <v>0.66666666666666663</v>
      </c>
      <c r="G14" s="4" t="s">
        <v>14</v>
      </c>
      <c r="H14" s="51"/>
      <c r="I14" s="51"/>
      <c r="J14" s="5" t="str">
        <f>HYPERLINK("https://yadi.sk/i/dpXzhr733TG37K","https://yadi.sk/i/dpXzhr733TG37K")</f>
        <v>https://yadi.sk/i/dpXzhr733TG37K</v>
      </c>
      <c r="K14" s="2" t="s">
        <v>15</v>
      </c>
      <c r="L14" s="8" t="s">
        <v>46</v>
      </c>
      <c r="M14" s="8" t="s">
        <v>47</v>
      </c>
    </row>
    <row r="15" spans="1:13" ht="16.5" hidden="1" customHeight="1">
      <c r="A15" s="49">
        <v>43166</v>
      </c>
      <c r="B15" s="2" t="s">
        <v>11</v>
      </c>
      <c r="C15" s="53" t="s">
        <v>57</v>
      </c>
      <c r="D15" s="53" t="s">
        <v>16</v>
      </c>
      <c r="E15" s="23" t="s">
        <v>17</v>
      </c>
      <c r="F15" s="3">
        <v>0.69097222222222221</v>
      </c>
      <c r="G15" s="4" t="s">
        <v>14</v>
      </c>
      <c r="H15" s="51"/>
      <c r="I15" s="51"/>
      <c r="J15" s="5" t="str">
        <f>HYPERLINK("https://yadi.sk/i/Wu7uWM4s3TG37M","https://yadi.sk/i/Wu7uWM4s3TG37M")</f>
        <v>https://yadi.sk/i/Wu7uWM4s3TG37M</v>
      </c>
      <c r="K15" s="2" t="s">
        <v>18</v>
      </c>
      <c r="L15" s="8" t="s">
        <v>48</v>
      </c>
      <c r="M15" s="8" t="s">
        <v>49</v>
      </c>
    </row>
    <row r="16" spans="1:13" ht="16.5" hidden="1" customHeight="1">
      <c r="A16" s="49">
        <v>43166</v>
      </c>
      <c r="B16" s="2" t="s">
        <v>11</v>
      </c>
      <c r="C16" s="53" t="s">
        <v>58</v>
      </c>
      <c r="D16" s="23" t="s">
        <v>19</v>
      </c>
      <c r="E16" s="23" t="s">
        <v>20</v>
      </c>
      <c r="F16" s="3">
        <v>0.71875</v>
      </c>
      <c r="G16" s="4" t="s">
        <v>14</v>
      </c>
      <c r="H16" s="51"/>
      <c r="I16" s="51"/>
      <c r="J16" s="5" t="str">
        <f>HYPERLINK("https://yadi.sk/i/kkGRpoP03TG3hg","https://yadi.sk/i/kkGRpoP03TG3hg")</f>
        <v>https://yadi.sk/i/kkGRpoP03TG3hg</v>
      </c>
      <c r="K16" s="2" t="s">
        <v>21</v>
      </c>
      <c r="L16" s="8" t="s">
        <v>48</v>
      </c>
      <c r="M16" s="8" t="s">
        <v>49</v>
      </c>
    </row>
    <row r="17" spans="1:13" ht="16.5" hidden="1" customHeight="1">
      <c r="A17" s="49">
        <v>43166</v>
      </c>
      <c r="B17" s="2" t="s">
        <v>24</v>
      </c>
      <c r="C17" s="53" t="s">
        <v>51</v>
      </c>
      <c r="D17" s="53" t="s">
        <v>22</v>
      </c>
      <c r="E17" s="53" t="s">
        <v>23</v>
      </c>
      <c r="F17" s="3">
        <v>0.84027777777777779</v>
      </c>
      <c r="G17" s="4" t="s">
        <v>14</v>
      </c>
      <c r="H17" s="51"/>
      <c r="I17" s="51"/>
      <c r="J17" s="5" t="str">
        <f>HYPERLINK("https://yadi.sk/i/Ga8ESHKM3TG3yo","https://yadi.sk/i/Ga8ESHKM3TG3yo")</f>
        <v>https://yadi.sk/i/Ga8ESHKM3TG3yo</v>
      </c>
      <c r="K17" s="2" t="s">
        <v>18</v>
      </c>
      <c r="L17" s="8" t="s">
        <v>50</v>
      </c>
      <c r="M17" s="8">
        <v>89081211555</v>
      </c>
    </row>
    <row r="18" spans="1:13" ht="16.5" hidden="1" customHeight="1">
      <c r="A18" s="49">
        <v>43166</v>
      </c>
      <c r="B18" s="2" t="s">
        <v>24</v>
      </c>
      <c r="C18" s="53" t="s">
        <v>55</v>
      </c>
      <c r="D18" s="23" t="s">
        <v>25</v>
      </c>
      <c r="E18" s="53" t="s">
        <v>26</v>
      </c>
      <c r="F18" s="3">
        <v>0.76388888888888884</v>
      </c>
      <c r="G18" s="4" t="s">
        <v>14</v>
      </c>
      <c r="H18" s="51"/>
      <c r="I18" s="51"/>
      <c r="J18" s="5" t="str">
        <f>HYPERLINK("https://yadi.sk/i/LqyoL8Yn3TG3z6","https://yadi.sk/i/LqyoL8Yn3TG3z6")</f>
        <v>https://yadi.sk/i/LqyoL8Yn3TG3z6</v>
      </c>
      <c r="K18" s="2" t="s">
        <v>27</v>
      </c>
      <c r="L18" s="10" t="s">
        <v>298</v>
      </c>
      <c r="M18" s="8">
        <v>89103188508</v>
      </c>
    </row>
    <row r="19" spans="1:13" ht="16.5" hidden="1" customHeight="1">
      <c r="A19" s="49">
        <v>43166</v>
      </c>
      <c r="B19" s="2" t="s">
        <v>24</v>
      </c>
      <c r="C19" s="53" t="s">
        <v>54</v>
      </c>
      <c r="D19" s="53" t="s">
        <v>28</v>
      </c>
      <c r="E19" s="23" t="s">
        <v>29</v>
      </c>
      <c r="F19" s="3">
        <v>0.78888888888888886</v>
      </c>
      <c r="G19" s="4" t="s">
        <v>14</v>
      </c>
      <c r="H19" s="51"/>
      <c r="I19" s="51"/>
      <c r="J19" s="5" t="str">
        <f>HYPERLINK("https://yadi.sk/i/SCFOPRKy3TG3zz","https://yadi.sk/i/SCFOPRKy3TG3zz")</f>
        <v>https://yadi.sk/i/SCFOPRKy3TG3zz</v>
      </c>
      <c r="K19" s="2" t="s">
        <v>27</v>
      </c>
      <c r="L19" s="10" t="s">
        <v>298</v>
      </c>
      <c r="M19" s="8">
        <v>89103188508</v>
      </c>
    </row>
    <row r="20" spans="1:13" ht="16.5" hidden="1" customHeight="1">
      <c r="A20" s="49">
        <v>43166</v>
      </c>
      <c r="B20" s="2" t="s">
        <v>24</v>
      </c>
      <c r="C20" s="53" t="s">
        <v>53</v>
      </c>
      <c r="D20" s="53" t="s">
        <v>22</v>
      </c>
      <c r="E20" s="23" t="s">
        <v>30</v>
      </c>
      <c r="F20" s="3">
        <v>0.81041666666666667</v>
      </c>
      <c r="G20" s="4" t="s">
        <v>14</v>
      </c>
      <c r="H20" s="51"/>
      <c r="I20" s="51"/>
      <c r="J20" s="5" t="str">
        <f>HYPERLINK("https://yadi.sk/i/TmL-KWO53TG3zS","https://yadi.sk/i/TmL-KWO53TG3zS")</f>
        <v>https://yadi.sk/i/TmL-KWO53TG3zS</v>
      </c>
      <c r="K20" s="2" t="s">
        <v>31</v>
      </c>
      <c r="L20" s="8" t="s">
        <v>50</v>
      </c>
      <c r="M20" s="8">
        <v>89081211555</v>
      </c>
    </row>
    <row r="21" spans="1:13" ht="16.5" hidden="1" customHeight="1">
      <c r="A21" s="49">
        <v>43166</v>
      </c>
      <c r="B21" s="2" t="s">
        <v>24</v>
      </c>
      <c r="C21" s="53" t="s">
        <v>52</v>
      </c>
      <c r="D21" s="53" t="s">
        <v>22</v>
      </c>
      <c r="E21" s="23" t="s">
        <v>32</v>
      </c>
      <c r="F21" s="3">
        <v>0.82291666666666663</v>
      </c>
      <c r="G21" s="4" t="s">
        <v>14</v>
      </c>
      <c r="H21" s="51"/>
      <c r="I21" s="51"/>
      <c r="J21" s="5" t="str">
        <f>HYPERLINK("https://yadi.sk/i/kkCNOhET3TG42w","https://yadi.sk/i/kkCNOhET3TG42w")</f>
        <v>https://yadi.sk/i/kkCNOhET3TG42w</v>
      </c>
      <c r="K21" s="2" t="s">
        <v>33</v>
      </c>
      <c r="L21" s="8" t="s">
        <v>50</v>
      </c>
      <c r="M21" s="8">
        <v>89081211555</v>
      </c>
    </row>
    <row r="22" spans="1:13" ht="16.5" hidden="1" customHeight="1">
      <c r="A22" s="49">
        <v>43166</v>
      </c>
      <c r="B22" s="2" t="s">
        <v>34</v>
      </c>
      <c r="C22" s="23" t="s">
        <v>60</v>
      </c>
      <c r="D22" s="23" t="s">
        <v>22</v>
      </c>
      <c r="E22" s="53" t="s">
        <v>35</v>
      </c>
      <c r="F22" s="3">
        <v>0.73750000000000004</v>
      </c>
      <c r="G22" s="4" t="s">
        <v>14</v>
      </c>
      <c r="H22" s="51"/>
      <c r="I22" s="51"/>
      <c r="J22" s="5" t="str">
        <f>HYPERLINK("https://yadi.sk/i/W8AbZpcl3TG4Jp","https://yadi.sk/i/W8AbZpcl3TG4Jp")</f>
        <v>https://yadi.sk/i/W8AbZpcl3TG4Jp</v>
      </c>
      <c r="K22" s="2" t="s">
        <v>36</v>
      </c>
      <c r="L22" s="9" t="s">
        <v>65</v>
      </c>
      <c r="M22" s="9" t="s">
        <v>66</v>
      </c>
    </row>
    <row r="23" spans="1:13" ht="16.5" hidden="1" customHeight="1">
      <c r="A23" s="49">
        <v>43166</v>
      </c>
      <c r="B23" s="2" t="s">
        <v>34</v>
      </c>
      <c r="C23" s="23" t="s">
        <v>59</v>
      </c>
      <c r="D23" s="23" t="s">
        <v>22</v>
      </c>
      <c r="E23" s="23" t="s">
        <v>37</v>
      </c>
      <c r="F23" s="3">
        <v>0.74791666666666667</v>
      </c>
      <c r="G23" s="4" t="s">
        <v>14</v>
      </c>
      <c r="H23" s="51"/>
      <c r="I23" s="51"/>
      <c r="J23" s="5" t="str">
        <f>HYPERLINK("https://yadi.sk/i/3adzCEdy3TG4Jb","https://yadi.sk/i/3adzCEdy3TG4Jb")</f>
        <v>https://yadi.sk/i/3adzCEdy3TG4Jb</v>
      </c>
      <c r="K23" s="2" t="s">
        <v>27</v>
      </c>
      <c r="L23" s="9" t="s">
        <v>65</v>
      </c>
      <c r="M23" s="9" t="s">
        <v>67</v>
      </c>
    </row>
    <row r="24" spans="1:13" ht="16.5" hidden="1" customHeight="1">
      <c r="A24" s="49">
        <v>43166</v>
      </c>
      <c r="B24" s="2" t="s">
        <v>34</v>
      </c>
      <c r="C24" s="23" t="s">
        <v>61</v>
      </c>
      <c r="D24" s="23" t="s">
        <v>22</v>
      </c>
      <c r="E24" s="23" t="s">
        <v>38</v>
      </c>
      <c r="F24" s="3">
        <v>0.7631944444444444</v>
      </c>
      <c r="G24" s="4" t="s">
        <v>14</v>
      </c>
      <c r="H24" s="51"/>
      <c r="I24" s="51"/>
      <c r="J24" s="5" t="str">
        <f>HYPERLINK("https://yadi.sk/i/4kUtwyXV3TG4Jy","https://yadi.sk/i/4kUtwyXV3TG4Jy")</f>
        <v>https://yadi.sk/i/4kUtwyXV3TG4Jy</v>
      </c>
      <c r="K24" s="2" t="s">
        <v>39</v>
      </c>
      <c r="L24" s="9" t="s">
        <v>63</v>
      </c>
      <c r="M24" s="9" t="s">
        <v>64</v>
      </c>
    </row>
    <row r="25" spans="1:13" ht="16.5" hidden="1" customHeight="1">
      <c r="A25" s="49">
        <v>43166</v>
      </c>
      <c r="B25" s="2" t="s">
        <v>34</v>
      </c>
      <c r="C25" s="23" t="s">
        <v>62</v>
      </c>
      <c r="D25" s="23" t="s">
        <v>40</v>
      </c>
      <c r="E25" s="23" t="s">
        <v>41</v>
      </c>
      <c r="F25" s="3">
        <v>0.76458333333333328</v>
      </c>
      <c r="G25" s="4" t="s">
        <v>14</v>
      </c>
      <c r="H25" s="51"/>
      <c r="I25" s="51"/>
      <c r="J25" s="2" t="s">
        <v>42</v>
      </c>
      <c r="K25" s="2" t="s">
        <v>43</v>
      </c>
      <c r="L25" s="9" t="s">
        <v>63</v>
      </c>
      <c r="M25" s="9" t="s">
        <v>64</v>
      </c>
    </row>
    <row r="26" spans="1:13" ht="16.5" hidden="1" customHeight="1">
      <c r="A26" s="22">
        <v>43171</v>
      </c>
      <c r="B26" s="2" t="s">
        <v>97</v>
      </c>
      <c r="C26" s="2" t="s">
        <v>156</v>
      </c>
      <c r="D26" s="2" t="s">
        <v>19</v>
      </c>
      <c r="E26" s="2" t="s">
        <v>98</v>
      </c>
      <c r="F26" s="3">
        <v>0.73611111111111116</v>
      </c>
      <c r="G26" s="4" t="s">
        <v>14</v>
      </c>
      <c r="H26" s="4"/>
      <c r="I26" s="4"/>
      <c r="J26" s="54" t="s">
        <v>99</v>
      </c>
      <c r="K26" s="2" t="s">
        <v>100</v>
      </c>
      <c r="L26" s="9" t="s">
        <v>142</v>
      </c>
      <c r="M26" s="9" t="s">
        <v>143</v>
      </c>
    </row>
    <row r="27" spans="1:13" ht="16.5" hidden="1" customHeight="1">
      <c r="A27" s="22">
        <v>43171</v>
      </c>
      <c r="B27" s="2" t="s">
        <v>97</v>
      </c>
      <c r="C27" s="2" t="s">
        <v>157</v>
      </c>
      <c r="D27" s="2" t="s">
        <v>19</v>
      </c>
      <c r="E27" s="2" t="s">
        <v>101</v>
      </c>
      <c r="F27" s="3">
        <v>0.75694444444444442</v>
      </c>
      <c r="G27" s="4" t="s">
        <v>14</v>
      </c>
      <c r="H27" s="4"/>
      <c r="I27" s="4"/>
      <c r="J27" s="54" t="s">
        <v>102</v>
      </c>
      <c r="K27" s="2" t="s">
        <v>103</v>
      </c>
      <c r="L27" s="9" t="s">
        <v>144</v>
      </c>
      <c r="M27" s="9" t="s">
        <v>145</v>
      </c>
    </row>
    <row r="28" spans="1:13" ht="16.5" hidden="1" customHeight="1">
      <c r="A28" s="22">
        <v>43171</v>
      </c>
      <c r="B28" s="2" t="s">
        <v>97</v>
      </c>
      <c r="C28" s="2" t="s">
        <v>154</v>
      </c>
      <c r="D28" s="2" t="s">
        <v>22</v>
      </c>
      <c r="E28" s="2" t="s">
        <v>104</v>
      </c>
      <c r="F28" s="3">
        <v>0.79861111111111116</v>
      </c>
      <c r="G28" s="4" t="s">
        <v>14</v>
      </c>
      <c r="H28" s="4"/>
      <c r="I28" s="4"/>
      <c r="J28" s="5" t="s">
        <v>105</v>
      </c>
      <c r="K28" s="2" t="s">
        <v>106</v>
      </c>
      <c r="L28" s="9" t="s">
        <v>141</v>
      </c>
      <c r="M28" s="9">
        <v>89027231777</v>
      </c>
    </row>
    <row r="29" spans="1:13" ht="16.5" hidden="1" customHeight="1">
      <c r="A29" s="22">
        <v>43171</v>
      </c>
      <c r="B29" s="2" t="s">
        <v>97</v>
      </c>
      <c r="C29" s="2" t="s">
        <v>155</v>
      </c>
      <c r="D29" s="2" t="s">
        <v>107</v>
      </c>
      <c r="E29" s="2" t="s">
        <v>108</v>
      </c>
      <c r="F29" s="3">
        <v>0.84027777777777779</v>
      </c>
      <c r="G29" s="4" t="s">
        <v>14</v>
      </c>
      <c r="H29" s="4"/>
      <c r="I29" s="4"/>
      <c r="J29" s="5" t="s">
        <v>109</v>
      </c>
      <c r="K29" s="2" t="s">
        <v>110</v>
      </c>
      <c r="L29" s="9" t="s">
        <v>142</v>
      </c>
      <c r="M29" s="9" t="s">
        <v>143</v>
      </c>
    </row>
    <row r="30" spans="1:13" ht="16.5" hidden="1" customHeight="1">
      <c r="A30" s="22">
        <v>43171</v>
      </c>
      <c r="B30" s="2" t="s">
        <v>11</v>
      </c>
      <c r="C30" s="2" t="s">
        <v>160</v>
      </c>
      <c r="D30" s="23" t="s">
        <v>28</v>
      </c>
      <c r="E30" s="23" t="s">
        <v>111</v>
      </c>
      <c r="F30" s="3">
        <v>0.75694444444444442</v>
      </c>
      <c r="G30" s="4" t="s">
        <v>14</v>
      </c>
      <c r="H30" s="4"/>
      <c r="I30" s="4"/>
      <c r="J30" s="5" t="str">
        <f>HYPERLINK("https://yadi.sk/i/7ekXzk1v3THWBM","https://yadi.sk/i/7ekXzk1v3THWBM")</f>
        <v>https://yadi.sk/i/7ekXzk1v3THWBM</v>
      </c>
      <c r="K30" s="2" t="s">
        <v>112</v>
      </c>
      <c r="L30" s="9" t="s">
        <v>147</v>
      </c>
      <c r="M30" s="9" t="s">
        <v>148</v>
      </c>
    </row>
    <row r="31" spans="1:13" ht="16.5" hidden="1" customHeight="1">
      <c r="A31" s="22">
        <v>43171</v>
      </c>
      <c r="B31" s="2" t="s">
        <v>11</v>
      </c>
      <c r="C31" s="23" t="s">
        <v>159</v>
      </c>
      <c r="D31" s="23" t="s">
        <v>113</v>
      </c>
      <c r="E31" s="23" t="s">
        <v>114</v>
      </c>
      <c r="F31" s="3">
        <v>0.77500000000000002</v>
      </c>
      <c r="G31" s="4" t="s">
        <v>14</v>
      </c>
      <c r="H31" s="4"/>
      <c r="I31" s="4"/>
      <c r="J31" s="5" t="str">
        <f>HYPERLINK("https://yadi.sk/i/VzGpGzim3THWBW","https://yadi.sk/i/VzGpGzim3THWBW")</f>
        <v>https://yadi.sk/i/VzGpGzim3THWBW</v>
      </c>
      <c r="K31" s="2" t="s">
        <v>115</v>
      </c>
      <c r="L31" s="8" t="s">
        <v>48</v>
      </c>
      <c r="M31" s="9" t="s">
        <v>149</v>
      </c>
    </row>
    <row r="32" spans="1:13" ht="16.5" hidden="1" customHeight="1">
      <c r="A32" s="22">
        <v>43171</v>
      </c>
      <c r="B32" s="2" t="s">
        <v>11</v>
      </c>
      <c r="C32" s="23" t="s">
        <v>158</v>
      </c>
      <c r="D32" s="23" t="s">
        <v>116</v>
      </c>
      <c r="E32" s="23" t="s">
        <v>117</v>
      </c>
      <c r="F32" s="3">
        <v>0.79861111111111116</v>
      </c>
      <c r="G32" s="4" t="s">
        <v>14</v>
      </c>
      <c r="H32" s="4"/>
      <c r="I32" s="4"/>
      <c r="J32" s="5" t="str">
        <f>HYPERLINK("https://yadi.sk/i/uXDbzgSY3THWDD","https://yadi.sk/i/uXDbzgSY3THWDD")</f>
        <v>https://yadi.sk/i/uXDbzgSY3THWDD</v>
      </c>
      <c r="K32" s="2" t="s">
        <v>118</v>
      </c>
      <c r="L32" s="8" t="s">
        <v>46</v>
      </c>
      <c r="M32" s="9" t="s">
        <v>146</v>
      </c>
    </row>
    <row r="33" spans="1:13" ht="16.5" hidden="1" customHeight="1">
      <c r="A33" s="22">
        <v>43171</v>
      </c>
      <c r="B33" s="2" t="s">
        <v>11</v>
      </c>
      <c r="C33" s="55" t="s">
        <v>57</v>
      </c>
      <c r="D33" s="23" t="s">
        <v>119</v>
      </c>
      <c r="E33" s="23" t="s">
        <v>120</v>
      </c>
      <c r="F33" s="3">
        <v>0.82986111111111116</v>
      </c>
      <c r="G33" s="4" t="s">
        <v>14</v>
      </c>
      <c r="H33" s="4"/>
      <c r="I33" s="4"/>
      <c r="J33" s="5" t="str">
        <f>HYPERLINK("https://yadi.sk/i/y5SCwWCj3THWBP","https://yadi.sk/i/y5SCwWCj3THWBP")</f>
        <v>https://yadi.sk/i/y5SCwWCj3THWBP</v>
      </c>
      <c r="K33" s="2" t="s">
        <v>118</v>
      </c>
      <c r="L33" s="8" t="s">
        <v>48</v>
      </c>
      <c r="M33" s="9" t="s">
        <v>149</v>
      </c>
    </row>
    <row r="34" spans="1:13" ht="16.5" hidden="1" customHeight="1">
      <c r="A34" s="22">
        <v>43171</v>
      </c>
      <c r="B34" s="2" t="s">
        <v>121</v>
      </c>
      <c r="C34" s="23" t="s">
        <v>152</v>
      </c>
      <c r="D34" s="23" t="s">
        <v>122</v>
      </c>
      <c r="E34" s="23" t="s">
        <v>123</v>
      </c>
      <c r="F34" s="3">
        <v>0.76180555555555551</v>
      </c>
      <c r="G34" s="4" t="s">
        <v>14</v>
      </c>
      <c r="H34" s="4"/>
      <c r="I34" s="4"/>
      <c r="J34" s="5" t="str">
        <f>HYPERLINK("https://yadi.sk/i/8LEZdWN33THYJt","https://yadi.sk/i/8LEZdWN33THYJt")</f>
        <v>https://yadi.sk/i/8LEZdWN33THYJt</v>
      </c>
      <c r="K34" s="2" t="s">
        <v>118</v>
      </c>
      <c r="L34" s="9" t="s">
        <v>151</v>
      </c>
      <c r="M34" s="9">
        <v>89190273440</v>
      </c>
    </row>
    <row r="35" spans="1:13" ht="16.5" hidden="1" customHeight="1">
      <c r="A35" s="22">
        <v>43171</v>
      </c>
      <c r="B35" s="2" t="s">
        <v>121</v>
      </c>
      <c r="C35" s="53" t="s">
        <v>153</v>
      </c>
      <c r="D35" s="23" t="s">
        <v>122</v>
      </c>
      <c r="E35" s="23" t="s">
        <v>124</v>
      </c>
      <c r="F35" s="3">
        <v>0.76736111111111116</v>
      </c>
      <c r="G35" s="4" t="s">
        <v>14</v>
      </c>
      <c r="H35" s="4"/>
      <c r="I35" s="4"/>
      <c r="J35" s="5" t="str">
        <f>HYPERLINK("https://yadi.sk/i/FaAwnCwR3THYJo","https://yadi.sk/i/FaAwnCwR3THYJo")</f>
        <v>https://yadi.sk/i/FaAwnCwR3THYJo</v>
      </c>
      <c r="K35" s="2" t="s">
        <v>125</v>
      </c>
      <c r="L35" s="9" t="s">
        <v>151</v>
      </c>
      <c r="M35" s="9">
        <v>89190273440</v>
      </c>
    </row>
    <row r="36" spans="1:13" ht="16.5" hidden="1" customHeight="1">
      <c r="A36" s="22">
        <v>43171</v>
      </c>
      <c r="B36" s="2" t="s">
        <v>121</v>
      </c>
      <c r="C36" s="2" t="s">
        <v>126</v>
      </c>
      <c r="D36" s="2" t="s">
        <v>107</v>
      </c>
      <c r="E36" s="2" t="s">
        <v>127</v>
      </c>
      <c r="F36" s="3">
        <v>0.80902777777777779</v>
      </c>
      <c r="G36" s="4" t="s">
        <v>71</v>
      </c>
      <c r="H36" s="4" t="s">
        <v>14</v>
      </c>
      <c r="I36" s="4" t="s">
        <v>71</v>
      </c>
      <c r="J36" s="5" t="str">
        <f>HYPERLINK("https://yadi.sk/d/WLXPTR383TJbN3","https://yadi.sk/d/WLXPTR383TJbN3")</f>
        <v>https://yadi.sk/d/WLXPTR383TJbN3</v>
      </c>
      <c r="K36" s="2"/>
      <c r="L36" s="9" t="s">
        <v>150</v>
      </c>
      <c r="M36" s="9">
        <v>84922531643</v>
      </c>
    </row>
    <row r="37" spans="1:13" ht="16.5" hidden="1" customHeight="1">
      <c r="A37" s="22">
        <v>43171</v>
      </c>
      <c r="B37" s="2" t="s">
        <v>121</v>
      </c>
      <c r="C37" s="2" t="s">
        <v>128</v>
      </c>
      <c r="D37" s="2" t="s">
        <v>107</v>
      </c>
      <c r="E37" s="23" t="s">
        <v>129</v>
      </c>
      <c r="F37" s="3">
        <v>0.83263888888888893</v>
      </c>
      <c r="G37" s="4" t="s">
        <v>71</v>
      </c>
      <c r="H37" s="4" t="s">
        <v>14</v>
      </c>
      <c r="I37" s="4" t="s">
        <v>71</v>
      </c>
      <c r="J37" s="5" t="str">
        <f>HYPERLINK("https://yadi.sk/d/5YWNb4aY3TJbQJ","https://yadi.sk/d/5YWNb4aY3TJbQJ")</f>
        <v>https://yadi.sk/d/5YWNb4aY3TJbQJ</v>
      </c>
      <c r="K37" s="2"/>
      <c r="L37" s="9" t="s">
        <v>150</v>
      </c>
      <c r="M37" s="9">
        <v>84922531643</v>
      </c>
    </row>
    <row r="38" spans="1:13" ht="16.5" hidden="1" customHeight="1">
      <c r="A38" s="22">
        <v>43171</v>
      </c>
      <c r="B38" s="2" t="s">
        <v>130</v>
      </c>
      <c r="C38" s="2" t="s">
        <v>131</v>
      </c>
      <c r="D38" s="2" t="s">
        <v>22</v>
      </c>
      <c r="E38" s="2" t="s">
        <v>132</v>
      </c>
      <c r="F38" s="3">
        <v>0.75694444444444442</v>
      </c>
      <c r="G38" s="4" t="s">
        <v>14</v>
      </c>
      <c r="H38" s="4"/>
      <c r="I38" s="4"/>
      <c r="J38" s="5" t="str">
        <f>HYPERLINK("https://yadi.sk/i/O2zwhaag3THaQN","https://yadi.sk/i/O2zwhaag3THaQN")</f>
        <v>https://yadi.sk/i/O2zwhaag3THaQN</v>
      </c>
      <c r="K38" s="2" t="s">
        <v>133</v>
      </c>
      <c r="L38" s="9" t="s">
        <v>139</v>
      </c>
      <c r="M38" s="9" t="s">
        <v>140</v>
      </c>
    </row>
    <row r="39" spans="1:13" ht="16.5" hidden="1" customHeight="1">
      <c r="A39" s="22">
        <v>43171</v>
      </c>
      <c r="B39" s="2" t="s">
        <v>130</v>
      </c>
      <c r="C39" s="2" t="s">
        <v>134</v>
      </c>
      <c r="D39" s="2" t="s">
        <v>22</v>
      </c>
      <c r="E39" s="2" t="s">
        <v>135</v>
      </c>
      <c r="F39" s="3">
        <v>0.76111111111111107</v>
      </c>
      <c r="G39" s="4" t="s">
        <v>14</v>
      </c>
      <c r="H39" s="4"/>
      <c r="I39" s="4"/>
      <c r="J39" s="5" t="str">
        <f>HYPERLINK("https://yadi.sk/i/sNMWhp9C3THaQi","https://yadi.sk/i/sNMWhp9C3THaQi")</f>
        <v>https://yadi.sk/i/sNMWhp9C3THaQi</v>
      </c>
      <c r="K39" s="2" t="s">
        <v>136</v>
      </c>
      <c r="L39" s="9" t="s">
        <v>139</v>
      </c>
      <c r="M39" s="9" t="s">
        <v>140</v>
      </c>
    </row>
    <row r="40" spans="1:13" ht="16.5" hidden="1" customHeight="1">
      <c r="A40" s="22">
        <v>43171</v>
      </c>
      <c r="B40" s="2" t="s">
        <v>130</v>
      </c>
      <c r="C40" s="2" t="s">
        <v>137</v>
      </c>
      <c r="D40" s="2" t="s">
        <v>22</v>
      </c>
      <c r="E40" s="2" t="s">
        <v>138</v>
      </c>
      <c r="F40" s="3">
        <v>0.81597222222222221</v>
      </c>
      <c r="G40" s="4" t="s">
        <v>71</v>
      </c>
      <c r="H40" s="4" t="s">
        <v>71</v>
      </c>
      <c r="I40" s="4" t="s">
        <v>71</v>
      </c>
      <c r="J40" s="5" t="str">
        <f>HYPERLINK("https://yadi.sk/d/0j3eBqDx3TJbAm","https://yadi.sk/d/0j3eBqDx3TJbAm")</f>
        <v>https://yadi.sk/d/0j3eBqDx3TJbAm</v>
      </c>
      <c r="K40" s="2"/>
      <c r="L40" s="9" t="s">
        <v>139</v>
      </c>
      <c r="M40" s="9" t="s">
        <v>140</v>
      </c>
    </row>
    <row r="41" spans="1:13" ht="16.5" hidden="1" customHeight="1">
      <c r="A41" s="49">
        <v>43172</v>
      </c>
      <c r="B41" s="2" t="s">
        <v>161</v>
      </c>
      <c r="C41" s="2" t="s">
        <v>228</v>
      </c>
      <c r="D41" s="2" t="s">
        <v>162</v>
      </c>
      <c r="E41" s="2" t="s">
        <v>163</v>
      </c>
      <c r="F41" s="3">
        <v>0.73611111111111116</v>
      </c>
      <c r="G41" s="4" t="s">
        <v>14</v>
      </c>
      <c r="H41" s="4"/>
      <c r="I41" s="4"/>
      <c r="J41" s="5" t="s">
        <v>164</v>
      </c>
      <c r="K41" s="2" t="s">
        <v>165</v>
      </c>
      <c r="L41" s="9" t="s">
        <v>231</v>
      </c>
      <c r="M41" s="9">
        <v>89192648797</v>
      </c>
    </row>
    <row r="42" spans="1:13" ht="16.5" hidden="1" customHeight="1">
      <c r="A42" s="49">
        <v>43172</v>
      </c>
      <c r="B42" s="2" t="s">
        <v>161</v>
      </c>
      <c r="C42" s="2" t="s">
        <v>234</v>
      </c>
      <c r="D42" s="2" t="s">
        <v>162</v>
      </c>
      <c r="E42" s="2" t="s">
        <v>166</v>
      </c>
      <c r="F42" s="3">
        <v>0.75694444444444442</v>
      </c>
      <c r="G42" s="4" t="s">
        <v>14</v>
      </c>
      <c r="H42" s="4"/>
      <c r="I42" s="4"/>
      <c r="J42" s="5" t="s">
        <v>167</v>
      </c>
      <c r="K42" s="2" t="s">
        <v>168</v>
      </c>
      <c r="L42" s="9" t="s">
        <v>232</v>
      </c>
      <c r="M42" s="9" t="s">
        <v>233</v>
      </c>
    </row>
    <row r="43" spans="1:13" ht="16.5" hidden="1" customHeight="1">
      <c r="A43" s="49">
        <v>43172</v>
      </c>
      <c r="B43" s="2" t="s">
        <v>161</v>
      </c>
      <c r="C43" s="2" t="s">
        <v>229</v>
      </c>
      <c r="D43" s="2" t="s">
        <v>162</v>
      </c>
      <c r="E43" s="2" t="s">
        <v>169</v>
      </c>
      <c r="F43" s="3">
        <v>0.7680555555555556</v>
      </c>
      <c r="G43" s="4" t="s">
        <v>14</v>
      </c>
      <c r="H43" s="4"/>
      <c r="I43" s="4"/>
      <c r="J43" s="5" t="s">
        <v>170</v>
      </c>
      <c r="K43" s="2" t="s">
        <v>168</v>
      </c>
      <c r="L43" s="9" t="s">
        <v>231</v>
      </c>
      <c r="M43" s="9">
        <v>89192648797</v>
      </c>
    </row>
    <row r="44" spans="1:13" ht="16.5" hidden="1" customHeight="1">
      <c r="A44" s="49">
        <v>43172</v>
      </c>
      <c r="B44" s="2" t="s">
        <v>161</v>
      </c>
      <c r="C44" s="2" t="s">
        <v>230</v>
      </c>
      <c r="D44" s="2" t="s">
        <v>162</v>
      </c>
      <c r="E44" s="2" t="s">
        <v>171</v>
      </c>
      <c r="F44" s="3">
        <v>0.78194444444444444</v>
      </c>
      <c r="G44" s="4" t="s">
        <v>14</v>
      </c>
      <c r="H44" s="4"/>
      <c r="I44" s="4"/>
      <c r="J44" s="5" t="s">
        <v>172</v>
      </c>
      <c r="K44" s="2" t="s">
        <v>173</v>
      </c>
      <c r="L44" s="9" t="s">
        <v>232</v>
      </c>
      <c r="M44" s="9" t="s">
        <v>233</v>
      </c>
    </row>
    <row r="45" spans="1:13" ht="16.5" hidden="1" customHeight="1">
      <c r="A45" s="49">
        <v>43172</v>
      </c>
      <c r="B45" s="2" t="s">
        <v>174</v>
      </c>
      <c r="C45" s="2" t="s">
        <v>235</v>
      </c>
      <c r="D45" s="2" t="s">
        <v>22</v>
      </c>
      <c r="E45" s="2" t="s">
        <v>175</v>
      </c>
      <c r="F45" s="3">
        <v>0.73888888888888893</v>
      </c>
      <c r="G45" s="4" t="s">
        <v>14</v>
      </c>
      <c r="H45" s="4"/>
      <c r="I45" s="4"/>
      <c r="J45" s="5" t="s">
        <v>176</v>
      </c>
      <c r="K45" s="2" t="s">
        <v>177</v>
      </c>
      <c r="L45" s="9" t="s">
        <v>236</v>
      </c>
      <c r="M45" s="9" t="s">
        <v>237</v>
      </c>
    </row>
    <row r="46" spans="1:13" ht="16.5" hidden="1" customHeight="1">
      <c r="A46" s="49">
        <v>43172</v>
      </c>
      <c r="B46" s="2" t="s">
        <v>174</v>
      </c>
      <c r="C46" s="2" t="s">
        <v>178</v>
      </c>
      <c r="D46" s="2" t="s">
        <v>22</v>
      </c>
      <c r="E46" s="2" t="s">
        <v>179</v>
      </c>
      <c r="F46" s="3">
        <v>0.75694444444444442</v>
      </c>
      <c r="G46" s="4" t="s">
        <v>71</v>
      </c>
      <c r="H46" s="4" t="s">
        <v>14</v>
      </c>
      <c r="I46" s="4" t="s">
        <v>71</v>
      </c>
      <c r="J46" s="5" t="s">
        <v>180</v>
      </c>
      <c r="K46" s="2" t="s">
        <v>181</v>
      </c>
      <c r="L46" s="9" t="s">
        <v>236</v>
      </c>
      <c r="M46" s="9" t="s">
        <v>237</v>
      </c>
    </row>
    <row r="47" spans="1:13" ht="16.5" hidden="1" customHeight="1">
      <c r="A47" s="49">
        <v>43172</v>
      </c>
      <c r="B47" s="2" t="s">
        <v>174</v>
      </c>
      <c r="C47" s="2" t="s">
        <v>240</v>
      </c>
      <c r="D47" s="2" t="s">
        <v>107</v>
      </c>
      <c r="E47" s="2" t="s">
        <v>182</v>
      </c>
      <c r="F47" s="3">
        <v>0.77430555555555558</v>
      </c>
      <c r="G47" s="4" t="s">
        <v>14</v>
      </c>
      <c r="H47" s="4"/>
      <c r="I47" s="4"/>
      <c r="J47" s="5" t="s">
        <v>183</v>
      </c>
      <c r="K47" s="2" t="s">
        <v>184</v>
      </c>
      <c r="L47" s="9" t="s">
        <v>238</v>
      </c>
      <c r="M47" s="9">
        <v>89043682092</v>
      </c>
    </row>
    <row r="48" spans="1:13" ht="16.5" hidden="1" customHeight="1">
      <c r="A48" s="49">
        <v>43172</v>
      </c>
      <c r="B48" s="2" t="s">
        <v>174</v>
      </c>
      <c r="C48" s="2" t="s">
        <v>185</v>
      </c>
      <c r="D48" s="2" t="s">
        <v>186</v>
      </c>
      <c r="E48" s="2" t="s">
        <v>187</v>
      </c>
      <c r="F48" s="3">
        <v>0.80208333333333337</v>
      </c>
      <c r="G48" s="4" t="s">
        <v>71</v>
      </c>
      <c r="H48" s="4" t="s">
        <v>71</v>
      </c>
      <c r="I48" s="4" t="s">
        <v>71</v>
      </c>
      <c r="J48" s="5" t="s">
        <v>188</v>
      </c>
      <c r="K48" s="2"/>
      <c r="L48" s="10" t="s">
        <v>495</v>
      </c>
      <c r="M48" s="10" t="s">
        <v>239</v>
      </c>
    </row>
    <row r="49" spans="1:13" ht="16.5" hidden="1" customHeight="1">
      <c r="A49" s="49">
        <v>43172</v>
      </c>
      <c r="B49" s="2" t="s">
        <v>189</v>
      </c>
      <c r="C49" s="2" t="s">
        <v>247</v>
      </c>
      <c r="D49" s="2" t="s">
        <v>22</v>
      </c>
      <c r="E49" s="2" t="s">
        <v>190</v>
      </c>
      <c r="F49" s="3">
        <v>0.7680555555555556</v>
      </c>
      <c r="G49" s="4" t="s">
        <v>14</v>
      </c>
      <c r="H49" s="4"/>
      <c r="I49" s="4"/>
      <c r="J49" s="5" t="s">
        <v>191</v>
      </c>
      <c r="K49" s="2" t="s">
        <v>192</v>
      </c>
      <c r="L49" s="9" t="s">
        <v>250</v>
      </c>
      <c r="M49" s="9">
        <v>89204228666</v>
      </c>
    </row>
    <row r="50" spans="1:13" ht="16.5" hidden="1" customHeight="1">
      <c r="A50" s="49">
        <v>43172</v>
      </c>
      <c r="B50" s="2" t="s">
        <v>189</v>
      </c>
      <c r="C50" s="2" t="s">
        <v>193</v>
      </c>
      <c r="D50" s="2" t="s">
        <v>22</v>
      </c>
      <c r="E50" s="2" t="s">
        <v>194</v>
      </c>
      <c r="F50" s="3">
        <v>0.79722222222222228</v>
      </c>
      <c r="G50" s="4" t="s">
        <v>71</v>
      </c>
      <c r="H50" s="4" t="s">
        <v>71</v>
      </c>
      <c r="I50" s="4" t="s">
        <v>71</v>
      </c>
      <c r="J50" s="5" t="s">
        <v>195</v>
      </c>
      <c r="K50" s="2" t="s">
        <v>196</v>
      </c>
      <c r="L50" s="9" t="s">
        <v>249</v>
      </c>
      <c r="M50" s="9">
        <v>89050497124</v>
      </c>
    </row>
    <row r="51" spans="1:13" ht="16.5" hidden="1" customHeight="1">
      <c r="A51" s="49">
        <v>43172</v>
      </c>
      <c r="B51" s="2" t="s">
        <v>189</v>
      </c>
      <c r="C51" s="2" t="s">
        <v>197</v>
      </c>
      <c r="D51" s="2" t="s">
        <v>22</v>
      </c>
      <c r="E51" s="2" t="s">
        <v>198</v>
      </c>
      <c r="F51" s="3">
        <v>0.8125</v>
      </c>
      <c r="G51" s="4" t="s">
        <v>71</v>
      </c>
      <c r="H51" s="4" t="s">
        <v>71</v>
      </c>
      <c r="I51" s="4" t="s">
        <v>71</v>
      </c>
      <c r="J51" s="5" t="s">
        <v>199</v>
      </c>
      <c r="K51" s="2"/>
      <c r="L51" s="9" t="s">
        <v>248</v>
      </c>
      <c r="M51" s="9">
        <v>89518531479</v>
      </c>
    </row>
    <row r="52" spans="1:13" ht="16.5" hidden="1" customHeight="1">
      <c r="A52" s="49">
        <v>43172</v>
      </c>
      <c r="B52" s="2" t="s">
        <v>189</v>
      </c>
      <c r="C52" s="2" t="s">
        <v>200</v>
      </c>
      <c r="D52" s="2" t="s">
        <v>22</v>
      </c>
      <c r="E52" s="2" t="s">
        <v>201</v>
      </c>
      <c r="F52" s="3">
        <v>0.83333333333333337</v>
      </c>
      <c r="G52" s="4" t="s">
        <v>71</v>
      </c>
      <c r="H52" s="4" t="s">
        <v>71</v>
      </c>
      <c r="I52" s="4" t="s">
        <v>71</v>
      </c>
      <c r="J52" s="5" t="s">
        <v>202</v>
      </c>
      <c r="K52" s="2"/>
      <c r="L52" s="9" t="s">
        <v>251</v>
      </c>
      <c r="M52" s="9">
        <v>89805370782</v>
      </c>
    </row>
    <row r="53" spans="1:13" ht="16.5" hidden="1" customHeight="1">
      <c r="A53" s="49">
        <v>43172</v>
      </c>
      <c r="B53" s="2" t="s">
        <v>203</v>
      </c>
      <c r="C53" s="2" t="s">
        <v>204</v>
      </c>
      <c r="D53" s="2" t="s">
        <v>22</v>
      </c>
      <c r="E53" s="2" t="s">
        <v>205</v>
      </c>
      <c r="F53" s="3">
        <v>0.79374999999999996</v>
      </c>
      <c r="G53" s="4" t="s">
        <v>71</v>
      </c>
      <c r="H53" s="4" t="s">
        <v>14</v>
      </c>
      <c r="I53" s="4" t="s">
        <v>14</v>
      </c>
      <c r="J53" s="5" t="s">
        <v>206</v>
      </c>
      <c r="K53" s="2" t="s">
        <v>207</v>
      </c>
      <c r="L53" s="9" t="s">
        <v>245</v>
      </c>
      <c r="M53" s="9" t="s">
        <v>246</v>
      </c>
    </row>
    <row r="54" spans="1:13" ht="16.5" hidden="1" customHeight="1">
      <c r="A54" s="49">
        <v>43172</v>
      </c>
      <c r="B54" s="2" t="s">
        <v>203</v>
      </c>
      <c r="C54" s="2" t="s">
        <v>243</v>
      </c>
      <c r="D54" s="2" t="s">
        <v>22</v>
      </c>
      <c r="E54" s="2" t="s">
        <v>208</v>
      </c>
      <c r="F54" s="3">
        <v>0.81458333333333333</v>
      </c>
      <c r="G54" s="4" t="s">
        <v>14</v>
      </c>
      <c r="H54" s="4"/>
      <c r="I54" s="4"/>
      <c r="J54" s="5" t="s">
        <v>209</v>
      </c>
      <c r="K54" s="2" t="s">
        <v>210</v>
      </c>
      <c r="L54" s="9" t="s">
        <v>241</v>
      </c>
      <c r="M54" s="9" t="s">
        <v>242</v>
      </c>
    </row>
    <row r="55" spans="1:13" ht="16.5" hidden="1" customHeight="1">
      <c r="A55" s="49">
        <v>43172</v>
      </c>
      <c r="B55" s="2" t="s">
        <v>203</v>
      </c>
      <c r="C55" s="2" t="s">
        <v>211</v>
      </c>
      <c r="D55" s="2" t="s">
        <v>22</v>
      </c>
      <c r="E55" s="2" t="s">
        <v>212</v>
      </c>
      <c r="F55" s="3">
        <v>0.83402777777777781</v>
      </c>
      <c r="G55" s="4" t="s">
        <v>71</v>
      </c>
      <c r="H55" s="4" t="s">
        <v>14</v>
      </c>
      <c r="I55" s="4" t="s">
        <v>14</v>
      </c>
      <c r="J55" s="5" t="s">
        <v>213</v>
      </c>
      <c r="K55" s="2" t="s">
        <v>207</v>
      </c>
      <c r="L55" s="9" t="s">
        <v>241</v>
      </c>
      <c r="M55" s="9" t="s">
        <v>242</v>
      </c>
    </row>
    <row r="56" spans="1:13" ht="16.5" hidden="1" customHeight="1">
      <c r="A56" s="49">
        <v>43172</v>
      </c>
      <c r="B56" s="2" t="s">
        <v>203</v>
      </c>
      <c r="C56" s="2" t="s">
        <v>244</v>
      </c>
      <c r="D56" s="2" t="s">
        <v>214</v>
      </c>
      <c r="E56" s="2" t="s">
        <v>215</v>
      </c>
      <c r="F56" s="3">
        <v>0.85347222222222219</v>
      </c>
      <c r="G56" s="4" t="s">
        <v>14</v>
      </c>
      <c r="H56" s="4"/>
      <c r="I56" s="4"/>
      <c r="J56" s="5" t="s">
        <v>216</v>
      </c>
      <c r="K56" s="2" t="s">
        <v>217</v>
      </c>
      <c r="L56" s="9" t="s">
        <v>241</v>
      </c>
      <c r="M56" s="9" t="s">
        <v>242</v>
      </c>
    </row>
    <row r="57" spans="1:13" ht="16.5" hidden="1" customHeight="1">
      <c r="A57" s="49">
        <v>43172</v>
      </c>
      <c r="B57" s="2" t="s">
        <v>218</v>
      </c>
      <c r="C57" s="2" t="s">
        <v>219</v>
      </c>
      <c r="D57" s="2" t="s">
        <v>22</v>
      </c>
      <c r="E57" s="2" t="s">
        <v>220</v>
      </c>
      <c r="F57" s="3">
        <v>0.76249999999999996</v>
      </c>
      <c r="G57" s="4" t="s">
        <v>71</v>
      </c>
      <c r="H57" s="4" t="s">
        <v>14</v>
      </c>
      <c r="I57" s="4" t="s">
        <v>71</v>
      </c>
      <c r="J57" s="5" t="s">
        <v>221</v>
      </c>
      <c r="K57" s="2"/>
      <c r="L57" s="9" t="s">
        <v>252</v>
      </c>
      <c r="M57" s="9" t="s">
        <v>253</v>
      </c>
    </row>
    <row r="58" spans="1:13" ht="16.5" hidden="1" customHeight="1">
      <c r="A58" s="49">
        <v>43172</v>
      </c>
      <c r="B58" s="2" t="s">
        <v>218</v>
      </c>
      <c r="C58" s="2" t="s">
        <v>222</v>
      </c>
      <c r="D58" s="2" t="s">
        <v>22</v>
      </c>
      <c r="E58" s="2" t="s">
        <v>223</v>
      </c>
      <c r="F58" s="3">
        <v>0.75347222222222221</v>
      </c>
      <c r="G58" s="4" t="s">
        <v>14</v>
      </c>
      <c r="H58" s="4"/>
      <c r="I58" s="4"/>
      <c r="J58" s="5" t="s">
        <v>224</v>
      </c>
      <c r="K58" s="2" t="s">
        <v>225</v>
      </c>
      <c r="L58" s="9" t="s">
        <v>252</v>
      </c>
      <c r="M58" s="9" t="s">
        <v>253</v>
      </c>
    </row>
    <row r="59" spans="1:13" ht="16.5" hidden="1" customHeight="1">
      <c r="A59" s="49">
        <v>43172</v>
      </c>
      <c r="B59" s="2" t="s">
        <v>218</v>
      </c>
      <c r="C59" s="2" t="s">
        <v>304</v>
      </c>
      <c r="D59" s="2" t="s">
        <v>22</v>
      </c>
      <c r="E59" s="2" t="s">
        <v>226</v>
      </c>
      <c r="F59" s="3">
        <v>0.80555555555555558</v>
      </c>
      <c r="G59" s="4" t="s">
        <v>71</v>
      </c>
      <c r="H59" s="4" t="s">
        <v>71</v>
      </c>
      <c r="I59" s="4" t="s">
        <v>71</v>
      </c>
      <c r="J59" s="5" t="s">
        <v>227</v>
      </c>
      <c r="K59" s="2"/>
      <c r="L59" s="9" t="s">
        <v>252</v>
      </c>
      <c r="M59" s="9" t="s">
        <v>253</v>
      </c>
    </row>
    <row r="60" spans="1:13" ht="16.5" hidden="1" customHeight="1">
      <c r="A60" s="22">
        <v>43173</v>
      </c>
      <c r="B60" s="2" t="s">
        <v>254</v>
      </c>
      <c r="C60" s="2" t="s">
        <v>289</v>
      </c>
      <c r="D60" s="7" t="s">
        <v>255</v>
      </c>
      <c r="E60" s="56" t="s">
        <v>256</v>
      </c>
      <c r="F60" s="3">
        <v>0.75902777777777775</v>
      </c>
      <c r="G60" s="4" t="s">
        <v>14</v>
      </c>
      <c r="H60" s="4"/>
      <c r="I60" s="4"/>
      <c r="J60" s="57" t="str">
        <f>HYPERLINK("https://yadi.sk/d/X5cD2uuA3TNN5G","https://yadi.sk/d/X5cD2uuA3TNN5G")</f>
        <v>https://yadi.sk/d/X5cD2uuA3TNN5G</v>
      </c>
      <c r="K60" s="56" t="s">
        <v>257</v>
      </c>
      <c r="L60" s="10" t="s">
        <v>291</v>
      </c>
      <c r="M60" s="10">
        <v>89206864828</v>
      </c>
    </row>
    <row r="61" spans="1:13" ht="16.5" hidden="1" customHeight="1">
      <c r="A61" s="22">
        <v>43173</v>
      </c>
      <c r="B61" s="2" t="s">
        <v>254</v>
      </c>
      <c r="C61" s="2" t="s">
        <v>290</v>
      </c>
      <c r="D61" s="7" t="s">
        <v>258</v>
      </c>
      <c r="E61" s="56" t="s">
        <v>259</v>
      </c>
      <c r="F61" s="3">
        <v>0.78472222222222221</v>
      </c>
      <c r="G61" s="4" t="s">
        <v>14</v>
      </c>
      <c r="H61" s="4"/>
      <c r="I61" s="4"/>
      <c r="J61" s="57" t="str">
        <f>HYPERLINK("https://yadi.sk/i/vzfB4XmI3TNTuV","https://yadi.sk/i/vzfB4XmI3TNTuV")</f>
        <v>https://yadi.sk/i/vzfB4XmI3TNTuV</v>
      </c>
      <c r="K61" s="56" t="s">
        <v>260</v>
      </c>
      <c r="L61" s="10" t="s">
        <v>292</v>
      </c>
      <c r="M61" s="10">
        <v>89157417934</v>
      </c>
    </row>
    <row r="62" spans="1:13" ht="16.5" hidden="1" customHeight="1">
      <c r="A62" s="22">
        <v>43173</v>
      </c>
      <c r="B62" s="2" t="s">
        <v>34</v>
      </c>
      <c r="C62" s="2" t="s">
        <v>293</v>
      </c>
      <c r="D62" s="2" t="s">
        <v>261</v>
      </c>
      <c r="E62" s="56" t="s">
        <v>262</v>
      </c>
      <c r="F62" s="3">
        <v>0.73958333333333337</v>
      </c>
      <c r="G62" s="4" t="s">
        <v>14</v>
      </c>
      <c r="H62" s="4"/>
      <c r="I62" s="4"/>
      <c r="J62" s="57" t="str">
        <f>HYPERLINK("https://yadi.sk/i/inYGNxaX3TNMwZ","https://yadi.sk/i/inYGNxaX3TNMwZ")</f>
        <v>https://yadi.sk/i/inYGNxaX3TNMwZ</v>
      </c>
      <c r="K62" s="56" t="s">
        <v>263</v>
      </c>
      <c r="L62" s="10" t="s">
        <v>65</v>
      </c>
      <c r="M62" s="10" t="s">
        <v>294</v>
      </c>
    </row>
    <row r="63" spans="1:13" ht="16.5" hidden="1" customHeight="1">
      <c r="A63" s="22">
        <v>43173</v>
      </c>
      <c r="B63" s="2" t="s">
        <v>34</v>
      </c>
      <c r="C63" s="2" t="s">
        <v>264</v>
      </c>
      <c r="D63" s="7" t="s">
        <v>261</v>
      </c>
      <c r="E63" s="58" t="s">
        <v>265</v>
      </c>
      <c r="F63" s="3">
        <v>0.79861111111111116</v>
      </c>
      <c r="G63" s="4" t="s">
        <v>71</v>
      </c>
      <c r="H63" s="4" t="s">
        <v>71</v>
      </c>
      <c r="I63" s="4" t="s">
        <v>71</v>
      </c>
      <c r="J63" s="57" t="str">
        <f>HYPERLINK("https://yadi.sk/d/XAVOdJFn3TNaP6","https://yadi.sk/d/XAVOdJFn3TNaP6")</f>
        <v>https://yadi.sk/d/XAVOdJFn3TNaP6</v>
      </c>
      <c r="K63" s="59" t="s">
        <v>266</v>
      </c>
      <c r="L63" s="10" t="s">
        <v>65</v>
      </c>
      <c r="M63" s="10" t="s">
        <v>294</v>
      </c>
    </row>
    <row r="64" spans="1:13" ht="16.5" hidden="1" customHeight="1">
      <c r="A64" s="22">
        <v>43173</v>
      </c>
      <c r="B64" s="2" t="s">
        <v>34</v>
      </c>
      <c r="C64" s="2" t="s">
        <v>267</v>
      </c>
      <c r="D64" s="7" t="s">
        <v>261</v>
      </c>
      <c r="E64" s="58" t="s">
        <v>265</v>
      </c>
      <c r="F64" s="3">
        <v>0.79861111111111116</v>
      </c>
      <c r="G64" s="4" t="s">
        <v>71</v>
      </c>
      <c r="H64" s="4" t="s">
        <v>71</v>
      </c>
      <c r="I64" s="4" t="s">
        <v>71</v>
      </c>
      <c r="J64" s="57" t="str">
        <f>HYPERLINK("https://yadi.sk/d/yew0DivS3TNaRk","https://yadi.sk/d/yew0DivS3TNaRk")</f>
        <v>https://yadi.sk/d/yew0DivS3TNaRk</v>
      </c>
      <c r="K64" s="60" t="s">
        <v>268</v>
      </c>
      <c r="L64" s="10" t="s">
        <v>65</v>
      </c>
      <c r="M64" s="10" t="s">
        <v>294</v>
      </c>
    </row>
    <row r="65" spans="1:13" ht="16.5" hidden="1" customHeight="1">
      <c r="A65" s="22">
        <v>43173</v>
      </c>
      <c r="B65" s="2" t="s">
        <v>34</v>
      </c>
      <c r="C65" s="2" t="s">
        <v>269</v>
      </c>
      <c r="D65" s="7" t="s">
        <v>261</v>
      </c>
      <c r="E65" s="56" t="s">
        <v>270</v>
      </c>
      <c r="F65" s="3">
        <v>0.83333333333333337</v>
      </c>
      <c r="G65" s="4" t="s">
        <v>71</v>
      </c>
      <c r="H65" s="4" t="s">
        <v>14</v>
      </c>
      <c r="I65" s="4" t="s">
        <v>71</v>
      </c>
      <c r="J65" s="57" t="str">
        <f>HYPERLINK("https://yadi.sk/d/xfJ0mPa43TNbXm","https://yadi.sk/d/xfJ0mPa43TNbXm")</f>
        <v>https://yadi.sk/d/xfJ0mPa43TNbXm</v>
      </c>
      <c r="K65" s="61"/>
      <c r="L65" s="10" t="s">
        <v>65</v>
      </c>
      <c r="M65" s="10" t="s">
        <v>294</v>
      </c>
    </row>
    <row r="66" spans="1:13" ht="16.5" hidden="1" customHeight="1">
      <c r="A66" s="22">
        <v>43173</v>
      </c>
      <c r="B66" s="2" t="s">
        <v>24</v>
      </c>
      <c r="C66" s="2" t="s">
        <v>295</v>
      </c>
      <c r="D66" s="7" t="s">
        <v>271</v>
      </c>
      <c r="E66" s="56" t="s">
        <v>272</v>
      </c>
      <c r="F66" s="3">
        <v>0.8</v>
      </c>
      <c r="G66" s="4" t="s">
        <v>71</v>
      </c>
      <c r="H66" s="4" t="s">
        <v>71</v>
      </c>
      <c r="I66" s="4" t="s">
        <v>71</v>
      </c>
      <c r="J66" s="57" t="str">
        <f>HYPERLINK("https://yadi.sk/d/h7vRHQoT3TNcdS","https://yadi.sk/d/h7vRHQoT3TNcdS")</f>
        <v>https://yadi.sk/d/h7vRHQoT3TNcdS</v>
      </c>
      <c r="K66" s="56" t="s">
        <v>273</v>
      </c>
      <c r="L66" s="8" t="s">
        <v>50</v>
      </c>
      <c r="M66" s="11">
        <v>9081211555</v>
      </c>
    </row>
    <row r="67" spans="1:13" ht="16.5" hidden="1" customHeight="1">
      <c r="A67" s="22">
        <v>43173</v>
      </c>
      <c r="B67" s="2" t="s">
        <v>24</v>
      </c>
      <c r="C67" s="2" t="s">
        <v>296</v>
      </c>
      <c r="D67" s="7" t="s">
        <v>271</v>
      </c>
      <c r="E67" s="56" t="s">
        <v>274</v>
      </c>
      <c r="F67" s="3">
        <v>0.82222222222222219</v>
      </c>
      <c r="G67" s="4" t="s">
        <v>14</v>
      </c>
      <c r="H67" s="4"/>
      <c r="I67" s="4"/>
      <c r="J67" s="57" t="str">
        <f>HYPERLINK("https://yadi.sk/i/GLd3ghJB3TNckD","https://yadi.sk/i/GLd3ghJB3TNckD")</f>
        <v>https://yadi.sk/i/GLd3ghJB3TNckD</v>
      </c>
      <c r="K67" s="56" t="s">
        <v>275</v>
      </c>
      <c r="L67" s="8" t="s">
        <v>50</v>
      </c>
      <c r="M67" s="11">
        <v>9081211555</v>
      </c>
    </row>
    <row r="68" spans="1:13" ht="16.5" hidden="1" customHeight="1">
      <c r="A68" s="22">
        <v>43173</v>
      </c>
      <c r="B68" s="2" t="s">
        <v>24</v>
      </c>
      <c r="C68" s="23" t="s">
        <v>297</v>
      </c>
      <c r="D68" s="7" t="s">
        <v>276</v>
      </c>
      <c r="E68" s="56" t="s">
        <v>277</v>
      </c>
      <c r="F68" s="3">
        <v>0.83194444444444449</v>
      </c>
      <c r="G68" s="4" t="s">
        <v>71</v>
      </c>
      <c r="H68" s="4" t="s">
        <v>71</v>
      </c>
      <c r="I68" s="4" t="s">
        <v>71</v>
      </c>
      <c r="J68" s="57" t="str">
        <f>HYPERLINK("https://yadi.sk/i/kQ6A5p-u3TNctb","https://yadi.sk/i/kQ6A5p-u3TNctb")</f>
        <v>https://yadi.sk/i/kQ6A5p-u3TNctb</v>
      </c>
      <c r="K68" s="61"/>
      <c r="L68" s="10" t="s">
        <v>298</v>
      </c>
      <c r="M68" s="10">
        <v>89103188508</v>
      </c>
    </row>
    <row r="69" spans="1:13" ht="16.5" hidden="1" customHeight="1">
      <c r="A69" s="22">
        <v>43173</v>
      </c>
      <c r="B69" s="2" t="s">
        <v>24</v>
      </c>
      <c r="C69" s="2" t="s">
        <v>54</v>
      </c>
      <c r="D69" s="7" t="s">
        <v>276</v>
      </c>
      <c r="E69" s="56" t="s">
        <v>277</v>
      </c>
      <c r="F69" s="3">
        <v>0.83125000000000004</v>
      </c>
      <c r="G69" s="4" t="s">
        <v>14</v>
      </c>
      <c r="H69" s="4"/>
      <c r="I69" s="4"/>
      <c r="J69" s="61"/>
      <c r="K69" s="56" t="s">
        <v>278</v>
      </c>
      <c r="L69" s="10" t="s">
        <v>298</v>
      </c>
      <c r="M69" s="10">
        <v>89103188508</v>
      </c>
    </row>
    <row r="70" spans="1:13" ht="16.5" hidden="1" customHeight="1">
      <c r="A70" s="22">
        <v>43173</v>
      </c>
      <c r="B70" s="2" t="s">
        <v>279</v>
      </c>
      <c r="C70" s="2" t="s">
        <v>299</v>
      </c>
      <c r="D70" s="7" t="s">
        <v>186</v>
      </c>
      <c r="E70" s="56" t="s">
        <v>280</v>
      </c>
      <c r="F70" s="3">
        <v>0.81805555555555554</v>
      </c>
      <c r="G70" s="4" t="s">
        <v>14</v>
      </c>
      <c r="H70" s="4"/>
      <c r="I70" s="4"/>
      <c r="J70" s="57" t="s">
        <v>281</v>
      </c>
      <c r="K70" s="56" t="s">
        <v>282</v>
      </c>
      <c r="L70" s="10" t="s">
        <v>303</v>
      </c>
      <c r="M70" s="10">
        <v>89208755587</v>
      </c>
    </row>
    <row r="71" spans="1:13" ht="16.5" hidden="1" customHeight="1">
      <c r="A71" s="22">
        <v>43173</v>
      </c>
      <c r="B71" s="2" t="s">
        <v>279</v>
      </c>
      <c r="C71" s="2" t="s">
        <v>300</v>
      </c>
      <c r="D71" s="7" t="s">
        <v>186</v>
      </c>
      <c r="E71" s="56" t="s">
        <v>283</v>
      </c>
      <c r="F71" s="3">
        <v>0.82499999999999996</v>
      </c>
      <c r="G71" s="4" t="s">
        <v>71</v>
      </c>
      <c r="H71" s="4" t="s">
        <v>14</v>
      </c>
      <c r="I71" s="4" t="s">
        <v>71</v>
      </c>
      <c r="J71" s="57" t="s">
        <v>284</v>
      </c>
      <c r="K71" s="61"/>
      <c r="L71" s="10" t="s">
        <v>303</v>
      </c>
      <c r="M71" s="10">
        <v>89208755587</v>
      </c>
    </row>
    <row r="72" spans="1:13" ht="16.5" hidden="1" customHeight="1">
      <c r="A72" s="22">
        <v>43173</v>
      </c>
      <c r="B72" s="2" t="s">
        <v>279</v>
      </c>
      <c r="C72" s="2" t="s">
        <v>301</v>
      </c>
      <c r="D72" s="7" t="s">
        <v>186</v>
      </c>
      <c r="E72" s="56" t="s">
        <v>285</v>
      </c>
      <c r="F72" s="3">
        <v>0.84236111111111112</v>
      </c>
      <c r="G72" s="4" t="s">
        <v>71</v>
      </c>
      <c r="H72" s="4" t="s">
        <v>71</v>
      </c>
      <c r="I72" s="4" t="s">
        <v>71</v>
      </c>
      <c r="J72" s="57" t="s">
        <v>286</v>
      </c>
      <c r="K72" s="61"/>
      <c r="L72" s="10" t="s">
        <v>303</v>
      </c>
      <c r="M72" s="10">
        <v>89208755587</v>
      </c>
    </row>
    <row r="73" spans="1:13" ht="16.5" hidden="1" customHeight="1">
      <c r="A73" s="22">
        <v>43173</v>
      </c>
      <c r="B73" s="2" t="s">
        <v>279</v>
      </c>
      <c r="C73" s="2" t="s">
        <v>302</v>
      </c>
      <c r="D73" s="7" t="s">
        <v>186</v>
      </c>
      <c r="E73" s="56" t="s">
        <v>287</v>
      </c>
      <c r="F73" s="3">
        <v>0.83472222222222225</v>
      </c>
      <c r="G73" s="4" t="s">
        <v>71</v>
      </c>
      <c r="H73" s="4" t="s">
        <v>71</v>
      </c>
      <c r="I73" s="4" t="s">
        <v>71</v>
      </c>
      <c r="J73" s="57" t="s">
        <v>288</v>
      </c>
      <c r="K73" s="61"/>
      <c r="L73" s="10" t="s">
        <v>303</v>
      </c>
      <c r="M73" s="10">
        <v>89208755587</v>
      </c>
    </row>
    <row r="74" spans="1:13" ht="16.5" customHeight="1">
      <c r="A74" s="49">
        <v>43174</v>
      </c>
      <c r="B74" s="10" t="s">
        <v>68</v>
      </c>
      <c r="C74" s="12" t="s">
        <v>92</v>
      </c>
      <c r="D74" s="13" t="s">
        <v>107</v>
      </c>
      <c r="E74" s="14" t="s">
        <v>305</v>
      </c>
      <c r="F74" s="15">
        <v>0.79513888888888884</v>
      </c>
      <c r="G74" s="4" t="s">
        <v>71</v>
      </c>
      <c r="H74" s="4" t="s">
        <v>71</v>
      </c>
      <c r="I74" s="4" t="s">
        <v>71</v>
      </c>
      <c r="J74" s="2" t="s">
        <v>309</v>
      </c>
      <c r="K74" s="7"/>
      <c r="L74" s="12" t="s">
        <v>85</v>
      </c>
      <c r="M74" s="12" t="s">
        <v>86</v>
      </c>
    </row>
    <row r="75" spans="1:13" ht="16.5" customHeight="1">
      <c r="A75" s="49">
        <v>43174</v>
      </c>
      <c r="B75" s="10" t="s">
        <v>68</v>
      </c>
      <c r="C75" s="12" t="s">
        <v>90</v>
      </c>
      <c r="D75" s="13" t="s">
        <v>107</v>
      </c>
      <c r="E75" s="14" t="s">
        <v>306</v>
      </c>
      <c r="F75" s="15">
        <v>0.8041666666666667</v>
      </c>
      <c r="G75" s="4" t="s">
        <v>71</v>
      </c>
      <c r="H75" s="4" t="s">
        <v>71</v>
      </c>
      <c r="I75" s="4" t="s">
        <v>71</v>
      </c>
      <c r="J75" s="2" t="s">
        <v>309</v>
      </c>
      <c r="K75" s="7"/>
      <c r="L75" s="12" t="s">
        <v>85</v>
      </c>
      <c r="M75" s="12" t="s">
        <v>86</v>
      </c>
    </row>
    <row r="76" spans="1:13" ht="16.5" customHeight="1">
      <c r="A76" s="49">
        <v>43174</v>
      </c>
      <c r="B76" s="10" t="s">
        <v>68</v>
      </c>
      <c r="C76" s="12" t="s">
        <v>308</v>
      </c>
      <c r="D76" s="13" t="s">
        <v>107</v>
      </c>
      <c r="E76" s="14" t="s">
        <v>307</v>
      </c>
      <c r="F76" s="15">
        <v>0.81944444444444453</v>
      </c>
      <c r="G76" s="4" t="s">
        <v>71</v>
      </c>
      <c r="H76" s="4" t="s">
        <v>14</v>
      </c>
      <c r="I76" s="4" t="s">
        <v>71</v>
      </c>
      <c r="J76" s="2" t="s">
        <v>309</v>
      </c>
      <c r="K76" s="7"/>
      <c r="L76" s="12" t="s">
        <v>85</v>
      </c>
      <c r="M76" s="12" t="s">
        <v>86</v>
      </c>
    </row>
    <row r="77" spans="1:13" ht="16.5" hidden="1" customHeight="1">
      <c r="A77" s="49">
        <v>43174</v>
      </c>
      <c r="B77" s="2" t="s">
        <v>310</v>
      </c>
      <c r="C77" s="23" t="s">
        <v>334</v>
      </c>
      <c r="D77" s="2" t="s">
        <v>311</v>
      </c>
      <c r="E77" s="56" t="s">
        <v>312</v>
      </c>
      <c r="F77" s="3">
        <v>0.7631944444444444</v>
      </c>
      <c r="G77" s="4" t="s">
        <v>71</v>
      </c>
      <c r="H77" s="4" t="s">
        <v>14</v>
      </c>
      <c r="I77" s="4" t="s">
        <v>71</v>
      </c>
      <c r="J77" s="57" t="str">
        <f>HYPERLINK("https://yadi.sk/d/OSsIlUAf3TQZjB","https://yadi.sk/d/OSsIlUAf3TQZjB")</f>
        <v>https://yadi.sk/d/OSsIlUAf3TQZjB</v>
      </c>
      <c r="K77" s="61"/>
      <c r="L77" s="7" t="s">
        <v>341</v>
      </c>
      <c r="M77" s="7" t="s">
        <v>342</v>
      </c>
    </row>
    <row r="78" spans="1:13" ht="16.5" hidden="1" customHeight="1">
      <c r="A78" s="49">
        <v>43174</v>
      </c>
      <c r="B78" s="2" t="s">
        <v>310</v>
      </c>
      <c r="C78" s="2" t="s">
        <v>335</v>
      </c>
      <c r="D78" s="2" t="s">
        <v>313</v>
      </c>
      <c r="E78" s="56" t="s">
        <v>314</v>
      </c>
      <c r="F78" s="3">
        <v>0.77777777777777779</v>
      </c>
      <c r="G78" s="4" t="s">
        <v>14</v>
      </c>
      <c r="H78" s="4"/>
      <c r="I78" s="4"/>
      <c r="J78" s="57" t="str">
        <f>HYPERLINK("https://yadi.sk/i/C0myk9N23TQeH8","https://yadi.sk/i/C0myk9N23TQeH8")</f>
        <v>https://yadi.sk/i/C0myk9N23TQeH8</v>
      </c>
      <c r="K78" s="56" t="s">
        <v>315</v>
      </c>
      <c r="L78" s="10" t="s">
        <v>343</v>
      </c>
      <c r="M78" s="10" t="s">
        <v>344</v>
      </c>
    </row>
    <row r="79" spans="1:13" ht="16.5" hidden="1" customHeight="1">
      <c r="A79" s="49">
        <v>43174</v>
      </c>
      <c r="B79" s="2" t="s">
        <v>310</v>
      </c>
      <c r="C79" s="23" t="s">
        <v>316</v>
      </c>
      <c r="D79" s="2" t="s">
        <v>317</v>
      </c>
      <c r="E79" s="56" t="s">
        <v>319</v>
      </c>
      <c r="F79" s="3">
        <v>0.80277777777777781</v>
      </c>
      <c r="G79" s="4" t="s">
        <v>71</v>
      </c>
      <c r="H79" s="4" t="s">
        <v>71</v>
      </c>
      <c r="I79" s="4" t="s">
        <v>71</v>
      </c>
      <c r="J79" s="57" t="str">
        <f>HYPERLINK("https://yadi.sk/d/lQFPQUEt3TQf5G","https://yadi.sk/d/lQFPQUEt3TQf5G")</f>
        <v>https://yadi.sk/d/lQFPQUEt3TQf5G</v>
      </c>
      <c r="K79" s="61"/>
      <c r="L79" s="10" t="s">
        <v>345</v>
      </c>
      <c r="M79" s="10" t="s">
        <v>346</v>
      </c>
    </row>
    <row r="80" spans="1:13" ht="16.5" hidden="1" customHeight="1">
      <c r="A80" s="49">
        <v>43174</v>
      </c>
      <c r="B80" s="2" t="s">
        <v>310</v>
      </c>
      <c r="C80" s="7" t="s">
        <v>336</v>
      </c>
      <c r="D80" s="2" t="s">
        <v>317</v>
      </c>
      <c r="E80" s="56" t="s">
        <v>318</v>
      </c>
      <c r="F80" s="3" t="s">
        <v>320</v>
      </c>
      <c r="G80" s="4" t="s">
        <v>71</v>
      </c>
      <c r="H80" s="4" t="s">
        <v>71</v>
      </c>
      <c r="I80" s="4" t="s">
        <v>71</v>
      </c>
      <c r="J80" s="57" t="str">
        <f>HYPERLINK("https://yadi.sk/d/WkNkv9pV3TQhmZ","https://yadi.sk/d/WkNkv9pV3TQhmZ")</f>
        <v>https://yadi.sk/d/WkNkv9pV3TQhmZ</v>
      </c>
      <c r="K80" s="61"/>
      <c r="L80" s="10" t="s">
        <v>345</v>
      </c>
      <c r="M80" s="10" t="s">
        <v>346</v>
      </c>
    </row>
    <row r="81" spans="1:13" ht="16.5" hidden="1" customHeight="1">
      <c r="A81" s="49">
        <v>43174</v>
      </c>
      <c r="B81" s="2" t="s">
        <v>97</v>
      </c>
      <c r="C81" s="23" t="s">
        <v>337</v>
      </c>
      <c r="D81" s="2" t="s">
        <v>321</v>
      </c>
      <c r="E81" s="56" t="s">
        <v>322</v>
      </c>
      <c r="F81" s="3">
        <v>0.78888888888888886</v>
      </c>
      <c r="G81" s="4" t="s">
        <v>71</v>
      </c>
      <c r="H81" s="4" t="s">
        <v>71</v>
      </c>
      <c r="I81" s="4" t="s">
        <v>71</v>
      </c>
      <c r="J81" s="57" t="s">
        <v>323</v>
      </c>
      <c r="K81" s="61"/>
      <c r="L81" s="16" t="s">
        <v>144</v>
      </c>
      <c r="M81" s="16" t="s">
        <v>340</v>
      </c>
    </row>
    <row r="82" spans="1:13" ht="16.5" hidden="1" customHeight="1">
      <c r="A82" s="49">
        <v>43174</v>
      </c>
      <c r="B82" s="2" t="s">
        <v>97</v>
      </c>
      <c r="C82" s="23" t="s">
        <v>157</v>
      </c>
      <c r="D82" s="2" t="s">
        <v>324</v>
      </c>
      <c r="E82" s="56" t="s">
        <v>325</v>
      </c>
      <c r="F82" s="3" t="s">
        <v>326</v>
      </c>
      <c r="G82" s="4" t="s">
        <v>71</v>
      </c>
      <c r="H82" s="4" t="s">
        <v>71</v>
      </c>
      <c r="I82" s="4" t="s">
        <v>71</v>
      </c>
      <c r="J82" s="57" t="s">
        <v>327</v>
      </c>
      <c r="K82" s="56" t="s">
        <v>328</v>
      </c>
      <c r="L82" s="16" t="s">
        <v>144</v>
      </c>
      <c r="M82" s="16" t="s">
        <v>340</v>
      </c>
    </row>
    <row r="83" spans="1:13" ht="16.5" hidden="1" customHeight="1">
      <c r="A83" s="49">
        <v>43174</v>
      </c>
      <c r="B83" s="2" t="s">
        <v>97</v>
      </c>
      <c r="C83" s="23" t="s">
        <v>338</v>
      </c>
      <c r="D83" s="2" t="s">
        <v>119</v>
      </c>
      <c r="E83" s="56" t="s">
        <v>329</v>
      </c>
      <c r="F83" s="3">
        <v>0.78541666666666665</v>
      </c>
      <c r="G83" s="4" t="s">
        <v>14</v>
      </c>
      <c r="H83" s="4"/>
      <c r="I83" s="4"/>
      <c r="J83" s="57" t="s">
        <v>330</v>
      </c>
      <c r="K83" s="56" t="s">
        <v>331</v>
      </c>
      <c r="L83" s="10" t="s">
        <v>141</v>
      </c>
      <c r="M83" s="10">
        <v>89027231777</v>
      </c>
    </row>
    <row r="84" spans="1:13" ht="16.5" hidden="1" customHeight="1">
      <c r="A84" s="49">
        <v>43174</v>
      </c>
      <c r="B84" s="2" t="s">
        <v>97</v>
      </c>
      <c r="C84" s="23" t="s">
        <v>339</v>
      </c>
      <c r="D84" s="2" t="s">
        <v>113</v>
      </c>
      <c r="E84" s="56" t="s">
        <v>332</v>
      </c>
      <c r="F84" s="3">
        <v>0.75694444444444442</v>
      </c>
      <c r="G84" s="4" t="s">
        <v>71</v>
      </c>
      <c r="H84" s="4" t="s">
        <v>71</v>
      </c>
      <c r="I84" s="4" t="s">
        <v>71</v>
      </c>
      <c r="J84" s="57" t="s">
        <v>333</v>
      </c>
      <c r="K84" s="61"/>
      <c r="L84" s="10" t="s">
        <v>142</v>
      </c>
      <c r="M84" s="10" t="s">
        <v>143</v>
      </c>
    </row>
    <row r="85" spans="1:13" ht="16.5" hidden="1" customHeight="1">
      <c r="A85" s="22">
        <v>43175</v>
      </c>
      <c r="B85" s="62" t="s">
        <v>11</v>
      </c>
      <c r="C85" s="2" t="s">
        <v>347</v>
      </c>
      <c r="D85" s="23" t="s">
        <v>348</v>
      </c>
      <c r="E85" s="23" t="s">
        <v>349</v>
      </c>
      <c r="F85" s="3">
        <v>0.71388888888888891</v>
      </c>
      <c r="G85" s="4" t="s">
        <v>71</v>
      </c>
      <c r="H85" s="4" t="s">
        <v>71</v>
      </c>
      <c r="I85" s="4" t="s">
        <v>71</v>
      </c>
      <c r="J85" s="57" t="str">
        <f>HYPERLINK("https://yadi.sk/d/S22ruFrw3TStsN","https://yadi.sk/d/S22ruFrw3TStsN")</f>
        <v>https://yadi.sk/d/S22ruFrw3TStsN</v>
      </c>
      <c r="K85" s="61"/>
      <c r="L85" s="8" t="s">
        <v>48</v>
      </c>
      <c r="M85" s="10" t="s">
        <v>434</v>
      </c>
    </row>
    <row r="86" spans="1:13" ht="16.5" hidden="1" customHeight="1">
      <c r="A86" s="22">
        <v>43175</v>
      </c>
      <c r="B86" s="62" t="s">
        <v>11</v>
      </c>
      <c r="C86" s="2" t="s">
        <v>350</v>
      </c>
      <c r="D86" s="2" t="s">
        <v>351</v>
      </c>
      <c r="E86" s="2" t="s">
        <v>352</v>
      </c>
      <c r="F86" s="3">
        <v>0.74444444444444446</v>
      </c>
      <c r="G86" s="4" t="s">
        <v>71</v>
      </c>
      <c r="H86" s="4" t="s">
        <v>71</v>
      </c>
      <c r="I86" s="4" t="s">
        <v>71</v>
      </c>
      <c r="J86" s="57" t="str">
        <f>HYPERLINK("https://yadi.sk/d/1VHpdpyO3TSu6C","https://yadi.sk/d/1VHpdpyO3TSu6C")</f>
        <v>https://yadi.sk/d/1VHpdpyO3TSu6C</v>
      </c>
      <c r="K86" s="61"/>
      <c r="L86" s="8" t="s">
        <v>46</v>
      </c>
      <c r="M86" s="10" t="s">
        <v>146</v>
      </c>
    </row>
    <row r="87" spans="1:13" ht="16.5" hidden="1" customHeight="1">
      <c r="A87" s="22">
        <v>43175</v>
      </c>
      <c r="B87" s="62" t="s">
        <v>11</v>
      </c>
      <c r="C87" s="2" t="s">
        <v>159</v>
      </c>
      <c r="D87" s="2" t="s">
        <v>353</v>
      </c>
      <c r="E87" s="2" t="s">
        <v>354</v>
      </c>
      <c r="F87" s="3">
        <v>0.77916666666666667</v>
      </c>
      <c r="G87" s="4" t="s">
        <v>71</v>
      </c>
      <c r="H87" s="4" t="s">
        <v>71</v>
      </c>
      <c r="I87" s="4" t="s">
        <v>71</v>
      </c>
      <c r="J87" s="57" t="str">
        <f>HYPERLINK("https://yadi.sk/d/JVd2f8yK3TSu7u","https://yadi.sk/d/JVd2f8yK3TSu7u")</f>
        <v>https://yadi.sk/d/JVd2f8yK3TSu7u</v>
      </c>
      <c r="K87" s="61"/>
      <c r="L87" s="8" t="s">
        <v>48</v>
      </c>
      <c r="M87" s="10" t="s">
        <v>434</v>
      </c>
    </row>
    <row r="88" spans="1:13" ht="16.5" hidden="1" customHeight="1">
      <c r="A88" s="22">
        <v>43175</v>
      </c>
      <c r="B88" s="62" t="s">
        <v>174</v>
      </c>
      <c r="C88" s="2" t="s">
        <v>185</v>
      </c>
      <c r="D88" s="2" t="s">
        <v>355</v>
      </c>
      <c r="E88" s="2" t="s">
        <v>356</v>
      </c>
      <c r="F88" s="3">
        <v>0.74652777777777779</v>
      </c>
      <c r="G88" s="4" t="s">
        <v>71</v>
      </c>
      <c r="H88" s="4" t="s">
        <v>71</v>
      </c>
      <c r="I88" s="4" t="s">
        <v>71</v>
      </c>
      <c r="J88" s="57" t="str">
        <f>HYPERLINK("https://yadi.sk/d/yek0Gvkw3TSvGq","https://yadi.sk/d/yek0Gvkw3TSvGq")</f>
        <v>https://yadi.sk/d/yek0Gvkw3TSvGq</v>
      </c>
      <c r="K88" s="61"/>
      <c r="L88" s="10" t="s">
        <v>495</v>
      </c>
      <c r="M88" s="10">
        <v>89585696061</v>
      </c>
    </row>
    <row r="89" spans="1:13" ht="16.5" hidden="1" customHeight="1">
      <c r="A89" s="22">
        <v>43175</v>
      </c>
      <c r="B89" s="62" t="s">
        <v>174</v>
      </c>
      <c r="C89" s="2" t="s">
        <v>235</v>
      </c>
      <c r="D89" s="2" t="s">
        <v>107</v>
      </c>
      <c r="E89" s="2" t="s">
        <v>357</v>
      </c>
      <c r="F89" s="3">
        <v>0.78194444444444444</v>
      </c>
      <c r="G89" s="4" t="s">
        <v>14</v>
      </c>
      <c r="H89" s="4"/>
      <c r="I89" s="4"/>
      <c r="J89" s="57" t="str">
        <f>HYPERLINK("https://yadi.sk/i/6loaF-5L3TSuHS","https://yadi.sk/i/6loaF-5L3TSuHS")</f>
        <v>https://yadi.sk/i/6loaF-5L3TSuHS</v>
      </c>
      <c r="K89" s="56" t="s">
        <v>358</v>
      </c>
      <c r="L89" s="10" t="s">
        <v>236</v>
      </c>
      <c r="M89" s="10" t="s">
        <v>237</v>
      </c>
    </row>
    <row r="90" spans="1:13" ht="16.5" hidden="1" customHeight="1">
      <c r="A90" s="22">
        <v>43175</v>
      </c>
      <c r="B90" s="62" t="s">
        <v>174</v>
      </c>
      <c r="C90" s="2" t="s">
        <v>359</v>
      </c>
      <c r="D90" s="2" t="s">
        <v>360</v>
      </c>
      <c r="E90" s="2" t="s">
        <v>361</v>
      </c>
      <c r="F90" s="63">
        <v>0.79513888888888884</v>
      </c>
      <c r="G90" s="4" t="s">
        <v>71</v>
      </c>
      <c r="H90" s="4" t="s">
        <v>71</v>
      </c>
      <c r="I90" s="4" t="s">
        <v>71</v>
      </c>
      <c r="J90" s="57" t="str">
        <f>HYPERLINK("https://yadi.sk/d/DLfonmLf3TSuzc","https://yadi.sk/d/DLfonmLf3TSuzc")</f>
        <v>https://yadi.sk/d/DLfonmLf3TSuzc</v>
      </c>
      <c r="K90" s="61"/>
      <c r="L90" s="10" t="s">
        <v>495</v>
      </c>
      <c r="M90" s="10">
        <v>89585696061</v>
      </c>
    </row>
    <row r="91" spans="1:13" ht="16.5" hidden="1" customHeight="1">
      <c r="A91" s="22">
        <v>43175</v>
      </c>
      <c r="B91" s="62" t="s">
        <v>174</v>
      </c>
      <c r="C91" s="2" t="s">
        <v>240</v>
      </c>
      <c r="D91" s="2" t="s">
        <v>116</v>
      </c>
      <c r="E91" s="2" t="s">
        <v>182</v>
      </c>
      <c r="F91" s="3">
        <v>0.83680555555555558</v>
      </c>
      <c r="G91" s="4" t="s">
        <v>71</v>
      </c>
      <c r="H91" s="4" t="s">
        <v>71</v>
      </c>
      <c r="I91" s="4" t="s">
        <v>71</v>
      </c>
      <c r="J91" s="57" t="str">
        <f>HYPERLINK("https://yadi.sk/d/3MuqLJE63TSuyh","https://yadi.sk/d/3MuqLJE63TSuyh")</f>
        <v>https://yadi.sk/d/3MuqLJE63TSuyh</v>
      </c>
      <c r="K91" s="61"/>
      <c r="L91" s="10" t="s">
        <v>238</v>
      </c>
      <c r="M91" s="10">
        <v>89043682092</v>
      </c>
    </row>
    <row r="92" spans="1:13" ht="16.5" hidden="1" customHeight="1">
      <c r="A92" s="22">
        <v>43175</v>
      </c>
      <c r="B92" s="62" t="s">
        <v>189</v>
      </c>
      <c r="C92" s="2" t="s">
        <v>462</v>
      </c>
      <c r="D92" s="2" t="s">
        <v>362</v>
      </c>
      <c r="E92" s="2" t="s">
        <v>363</v>
      </c>
      <c r="F92" s="3">
        <v>0.81111111111111112</v>
      </c>
      <c r="G92" s="4" t="s">
        <v>71</v>
      </c>
      <c r="H92" s="4" t="s">
        <v>71</v>
      </c>
      <c r="I92" s="4" t="s">
        <v>71</v>
      </c>
      <c r="J92" s="57" t="s">
        <v>364</v>
      </c>
      <c r="K92" s="61"/>
      <c r="L92" s="9" t="s">
        <v>249</v>
      </c>
      <c r="M92" s="10">
        <v>89050497124</v>
      </c>
    </row>
    <row r="93" spans="1:13" ht="16.5" hidden="1" customHeight="1">
      <c r="A93" s="22">
        <v>43175</v>
      </c>
      <c r="B93" s="62" t="s">
        <v>189</v>
      </c>
      <c r="C93" s="2" t="s">
        <v>463</v>
      </c>
      <c r="D93" s="2" t="s">
        <v>362</v>
      </c>
      <c r="E93" s="2" t="s">
        <v>365</v>
      </c>
      <c r="F93" s="3">
        <v>0.8305555555555556</v>
      </c>
      <c r="G93" s="4" t="s">
        <v>71</v>
      </c>
      <c r="H93" s="4" t="s">
        <v>71</v>
      </c>
      <c r="I93" s="4" t="s">
        <v>71</v>
      </c>
      <c r="J93" s="57" t="s">
        <v>366</v>
      </c>
      <c r="K93" s="61"/>
      <c r="L93" s="10" t="s">
        <v>466</v>
      </c>
      <c r="M93" s="10">
        <v>89204191919</v>
      </c>
    </row>
    <row r="94" spans="1:13" ht="16.5" hidden="1" customHeight="1">
      <c r="A94" s="22">
        <v>43175</v>
      </c>
      <c r="B94" s="62" t="s">
        <v>189</v>
      </c>
      <c r="C94" s="2" t="s">
        <v>367</v>
      </c>
      <c r="D94" s="2" t="s">
        <v>362</v>
      </c>
      <c r="E94" s="2" t="s">
        <v>368</v>
      </c>
      <c r="F94" s="3">
        <v>0.81736111111111109</v>
      </c>
      <c r="G94" s="4" t="s">
        <v>71</v>
      </c>
      <c r="H94" s="4" t="s">
        <v>71</v>
      </c>
      <c r="I94" s="4" t="s">
        <v>71</v>
      </c>
      <c r="J94" s="57" t="s">
        <v>369</v>
      </c>
      <c r="K94" s="61"/>
      <c r="L94" s="17" t="s">
        <v>251</v>
      </c>
      <c r="M94" s="18">
        <v>89805370782</v>
      </c>
    </row>
    <row r="95" spans="1:13" ht="16.5" hidden="1" customHeight="1">
      <c r="A95" s="22">
        <v>43175</v>
      </c>
      <c r="B95" s="62" t="s">
        <v>189</v>
      </c>
      <c r="C95" s="7" t="s">
        <v>464</v>
      </c>
      <c r="D95" s="2" t="s">
        <v>362</v>
      </c>
      <c r="E95" s="2" t="s">
        <v>370</v>
      </c>
      <c r="F95" s="3">
        <v>0.84027777777777779</v>
      </c>
      <c r="G95" s="4" t="s">
        <v>71</v>
      </c>
      <c r="H95" s="4" t="s">
        <v>71</v>
      </c>
      <c r="I95" s="4" t="s">
        <v>71</v>
      </c>
      <c r="J95" s="57" t="s">
        <v>371</v>
      </c>
      <c r="K95" s="61"/>
      <c r="L95" s="7" t="s">
        <v>465</v>
      </c>
      <c r="M95" s="7">
        <v>89601228797</v>
      </c>
    </row>
    <row r="96" spans="1:13" ht="16.5" hidden="1" customHeight="1">
      <c r="A96" s="49">
        <v>43176</v>
      </c>
      <c r="B96" s="62" t="s">
        <v>203</v>
      </c>
      <c r="C96" s="2" t="s">
        <v>467</v>
      </c>
      <c r="D96" s="2" t="s">
        <v>22</v>
      </c>
      <c r="E96" s="2" t="s">
        <v>372</v>
      </c>
      <c r="F96" s="3">
        <v>0.75</v>
      </c>
      <c r="G96" s="4" t="s">
        <v>14</v>
      </c>
      <c r="H96" s="4"/>
      <c r="I96" s="4"/>
      <c r="J96" s="57" t="s">
        <v>373</v>
      </c>
      <c r="K96" s="56" t="s">
        <v>374</v>
      </c>
      <c r="L96" s="10" t="s">
        <v>245</v>
      </c>
      <c r="M96" s="10" t="s">
        <v>246</v>
      </c>
    </row>
    <row r="97" spans="1:13" ht="16.5" hidden="1" customHeight="1">
      <c r="A97" s="49">
        <v>43176</v>
      </c>
      <c r="B97" s="62" t="s">
        <v>203</v>
      </c>
      <c r="C97" s="2" t="s">
        <v>468</v>
      </c>
      <c r="D97" s="2" t="s">
        <v>22</v>
      </c>
      <c r="E97" s="2" t="s">
        <v>375</v>
      </c>
      <c r="F97" s="3">
        <v>0.75694444444444442</v>
      </c>
      <c r="G97" s="4" t="s">
        <v>14</v>
      </c>
      <c r="H97" s="4"/>
      <c r="I97" s="4"/>
      <c r="J97" s="57" t="s">
        <v>376</v>
      </c>
      <c r="K97" s="56" t="s">
        <v>377</v>
      </c>
      <c r="L97" s="10" t="s">
        <v>245</v>
      </c>
      <c r="M97" s="10" t="s">
        <v>246</v>
      </c>
    </row>
    <row r="98" spans="1:13" ht="16.5" hidden="1" customHeight="1">
      <c r="A98" s="49">
        <v>43176</v>
      </c>
      <c r="B98" s="62" t="s">
        <v>203</v>
      </c>
      <c r="C98" s="2" t="s">
        <v>244</v>
      </c>
      <c r="D98" s="2" t="s">
        <v>186</v>
      </c>
      <c r="E98" s="2" t="s">
        <v>378</v>
      </c>
      <c r="F98" s="3">
        <v>0.82291666666666663</v>
      </c>
      <c r="G98" s="4" t="s">
        <v>71</v>
      </c>
      <c r="H98" s="4" t="s">
        <v>14</v>
      </c>
      <c r="I98" s="4" t="s">
        <v>71</v>
      </c>
      <c r="J98" s="57" t="s">
        <v>379</v>
      </c>
      <c r="K98" s="61"/>
      <c r="L98" s="10" t="s">
        <v>470</v>
      </c>
      <c r="M98" s="10">
        <v>89109484749</v>
      </c>
    </row>
    <row r="99" spans="1:13" ht="16.5" hidden="1" customHeight="1">
      <c r="A99" s="49">
        <v>43176</v>
      </c>
      <c r="B99" s="62" t="s">
        <v>203</v>
      </c>
      <c r="C99" s="2" t="s">
        <v>469</v>
      </c>
      <c r="D99" s="2" t="s">
        <v>186</v>
      </c>
      <c r="E99" s="2" t="s">
        <v>380</v>
      </c>
      <c r="F99" s="3">
        <v>0.79861111111111116</v>
      </c>
      <c r="G99" s="4" t="s">
        <v>14</v>
      </c>
      <c r="H99" s="4"/>
      <c r="I99" s="4"/>
      <c r="J99" s="57" t="s">
        <v>381</v>
      </c>
      <c r="K99" s="56" t="s">
        <v>382</v>
      </c>
      <c r="L99" s="10" t="s">
        <v>470</v>
      </c>
      <c r="M99" s="10">
        <v>89109484749</v>
      </c>
    </row>
    <row r="100" spans="1:13" ht="16.5" hidden="1" customHeight="1">
      <c r="A100" s="49">
        <v>43176</v>
      </c>
      <c r="B100" s="62" t="s">
        <v>130</v>
      </c>
      <c r="C100" s="2" t="s">
        <v>131</v>
      </c>
      <c r="D100" s="2" t="s">
        <v>383</v>
      </c>
      <c r="E100" s="2" t="s">
        <v>384</v>
      </c>
      <c r="F100" s="3">
        <v>0.79166666666666663</v>
      </c>
      <c r="G100" s="4" t="s">
        <v>14</v>
      </c>
      <c r="H100" s="4"/>
      <c r="I100" s="4"/>
      <c r="J100" s="57" t="s">
        <v>385</v>
      </c>
      <c r="K100" s="56" t="s">
        <v>386</v>
      </c>
      <c r="L100" s="10" t="s">
        <v>139</v>
      </c>
      <c r="M100" s="10" t="s">
        <v>140</v>
      </c>
    </row>
    <row r="101" spans="1:13" ht="16.5" hidden="1" customHeight="1">
      <c r="A101" s="49">
        <v>43176</v>
      </c>
      <c r="B101" s="62" t="s">
        <v>130</v>
      </c>
      <c r="C101" s="2" t="s">
        <v>137</v>
      </c>
      <c r="D101" s="2" t="s">
        <v>383</v>
      </c>
      <c r="E101" s="2" t="s">
        <v>387</v>
      </c>
      <c r="F101" s="3">
        <v>0.8256944444444444</v>
      </c>
      <c r="G101" s="4" t="s">
        <v>71</v>
      </c>
      <c r="H101" s="4" t="s">
        <v>71</v>
      </c>
      <c r="I101" s="4" t="s">
        <v>71</v>
      </c>
      <c r="J101" s="57" t="s">
        <v>388</v>
      </c>
      <c r="K101" s="56" t="s">
        <v>389</v>
      </c>
      <c r="L101" s="10" t="s">
        <v>139</v>
      </c>
      <c r="M101" s="10" t="s">
        <v>140</v>
      </c>
    </row>
    <row r="102" spans="1:13" ht="16.5" hidden="1" customHeight="1">
      <c r="A102" s="49">
        <v>43176</v>
      </c>
      <c r="B102" s="62" t="s">
        <v>130</v>
      </c>
      <c r="C102" s="2" t="s">
        <v>134</v>
      </c>
      <c r="D102" s="2" t="s">
        <v>383</v>
      </c>
      <c r="E102" s="2" t="s">
        <v>390</v>
      </c>
      <c r="F102" s="3">
        <v>0.84027777777777779</v>
      </c>
      <c r="G102" s="4" t="s">
        <v>14</v>
      </c>
      <c r="H102" s="4"/>
      <c r="I102" s="4"/>
      <c r="J102" s="57" t="s">
        <v>391</v>
      </c>
      <c r="K102" s="56" t="s">
        <v>392</v>
      </c>
      <c r="L102" s="10" t="s">
        <v>139</v>
      </c>
      <c r="M102" s="10" t="s">
        <v>140</v>
      </c>
    </row>
    <row r="103" spans="1:13" ht="16.5" hidden="1" customHeight="1">
      <c r="A103" s="49">
        <v>43176</v>
      </c>
      <c r="B103" s="62" t="s">
        <v>393</v>
      </c>
      <c r="C103" s="2" t="s">
        <v>471</v>
      </c>
      <c r="D103" s="2" t="s">
        <v>186</v>
      </c>
      <c r="E103" s="2" t="s">
        <v>394</v>
      </c>
      <c r="F103" s="3">
        <v>0.82291666666666663</v>
      </c>
      <c r="G103" s="4" t="s">
        <v>71</v>
      </c>
      <c r="H103" s="4" t="s">
        <v>71</v>
      </c>
      <c r="I103" s="4" t="s">
        <v>71</v>
      </c>
      <c r="J103" s="57" t="s">
        <v>395</v>
      </c>
      <c r="K103" s="56" t="s">
        <v>396</v>
      </c>
      <c r="L103" s="10" t="s">
        <v>474</v>
      </c>
      <c r="M103" s="10" t="s">
        <v>475</v>
      </c>
    </row>
    <row r="104" spans="1:13" ht="16.5" hidden="1" customHeight="1">
      <c r="A104" s="49">
        <v>43176</v>
      </c>
      <c r="B104" s="62" t="s">
        <v>393</v>
      </c>
      <c r="C104" s="2" t="s">
        <v>472</v>
      </c>
      <c r="D104" s="2" t="s">
        <v>186</v>
      </c>
      <c r="E104" s="2" t="s">
        <v>397</v>
      </c>
      <c r="F104" s="3">
        <v>0.8125</v>
      </c>
      <c r="G104" s="4" t="s">
        <v>14</v>
      </c>
      <c r="H104" s="4"/>
      <c r="I104" s="4"/>
      <c r="J104" s="57" t="s">
        <v>398</v>
      </c>
      <c r="K104" s="56" t="s">
        <v>399</v>
      </c>
      <c r="L104" s="10" t="s">
        <v>474</v>
      </c>
      <c r="M104" s="10" t="s">
        <v>475</v>
      </c>
    </row>
    <row r="105" spans="1:13" ht="16.5" hidden="1" customHeight="1">
      <c r="A105" s="49">
        <v>43176</v>
      </c>
      <c r="B105" s="62" t="s">
        <v>393</v>
      </c>
      <c r="C105" s="2" t="s">
        <v>473</v>
      </c>
      <c r="D105" s="2" t="s">
        <v>186</v>
      </c>
      <c r="E105" s="2" t="s">
        <v>400</v>
      </c>
      <c r="F105" s="3">
        <v>0.84027777777777779</v>
      </c>
      <c r="G105" s="4" t="s">
        <v>14</v>
      </c>
      <c r="H105" s="4"/>
      <c r="I105" s="4"/>
      <c r="J105" s="57" t="s">
        <v>401</v>
      </c>
      <c r="K105" s="56" t="s">
        <v>402</v>
      </c>
      <c r="L105" s="10" t="s">
        <v>474</v>
      </c>
      <c r="M105" s="10" t="s">
        <v>475</v>
      </c>
    </row>
    <row r="106" spans="1:13" ht="16.5" hidden="1" customHeight="1">
      <c r="A106" s="49">
        <v>43176</v>
      </c>
      <c r="B106" s="62" t="s">
        <v>121</v>
      </c>
      <c r="C106" s="23" t="s">
        <v>152</v>
      </c>
      <c r="D106" s="23" t="s">
        <v>403</v>
      </c>
      <c r="E106" s="2" t="s">
        <v>404</v>
      </c>
      <c r="F106" s="3">
        <v>0.78125</v>
      </c>
      <c r="G106" s="4" t="s">
        <v>14</v>
      </c>
      <c r="H106" s="4"/>
      <c r="I106" s="4"/>
      <c r="J106" s="57" t="str">
        <f>HYPERLINK("https://yadi.sk/i/GOF7zlru3TUhBs","https://yadi.sk/i/GOF7zlru3TUhBs")</f>
        <v>https://yadi.sk/i/GOF7zlru3TUhBs</v>
      </c>
      <c r="K106" s="56" t="s">
        <v>405</v>
      </c>
      <c r="L106" s="10" t="s">
        <v>151</v>
      </c>
      <c r="M106" s="10">
        <v>89190273440</v>
      </c>
    </row>
    <row r="107" spans="1:13" ht="16.5" hidden="1" customHeight="1">
      <c r="A107" s="49">
        <v>43176</v>
      </c>
      <c r="B107" s="62" t="s">
        <v>121</v>
      </c>
      <c r="C107" s="2" t="s">
        <v>476</v>
      </c>
      <c r="D107" s="23" t="s">
        <v>403</v>
      </c>
      <c r="E107" s="2" t="s">
        <v>406</v>
      </c>
      <c r="F107" s="3">
        <v>0.79027777777777775</v>
      </c>
      <c r="G107" s="4" t="s">
        <v>14</v>
      </c>
      <c r="H107" s="4"/>
      <c r="I107" s="4"/>
      <c r="J107" s="57" t="str">
        <f>HYPERLINK("https://yadi.sk/i/uOVDlRYl3TUhBd","https://yadi.sk/i/uOVDlRYl3TUhBd")</f>
        <v>https://yadi.sk/i/uOVDlRYl3TUhBd</v>
      </c>
      <c r="K107" s="56" t="s">
        <v>407</v>
      </c>
      <c r="L107" s="9" t="s">
        <v>150</v>
      </c>
      <c r="M107" s="10" t="s">
        <v>477</v>
      </c>
    </row>
    <row r="108" spans="1:13" ht="16.5" hidden="1" customHeight="1">
      <c r="A108" s="22">
        <v>43177</v>
      </c>
      <c r="B108" s="62" t="s">
        <v>161</v>
      </c>
      <c r="C108" s="2" t="s">
        <v>408</v>
      </c>
      <c r="D108" s="2" t="s">
        <v>409</v>
      </c>
      <c r="E108" s="2" t="s">
        <v>410</v>
      </c>
      <c r="F108" s="3">
        <v>0.62152777777777779</v>
      </c>
      <c r="G108" s="4" t="s">
        <v>71</v>
      </c>
      <c r="H108" s="4" t="s">
        <v>71</v>
      </c>
      <c r="I108" s="4" t="s">
        <v>71</v>
      </c>
      <c r="J108" s="57" t="str">
        <f>HYPERLINK("https://yadi.sk/d/p7iEH62W3TVjrm","https://yadi.sk/d/p7iEH62W3TVjrm")</f>
        <v>https://yadi.sk/d/p7iEH62W3TVjrm</v>
      </c>
      <c r="K108" s="56" t="s">
        <v>411</v>
      </c>
      <c r="L108" s="10" t="s">
        <v>478</v>
      </c>
      <c r="M108" s="10">
        <v>89192648797</v>
      </c>
    </row>
    <row r="109" spans="1:13" ht="16.5" hidden="1" customHeight="1">
      <c r="A109" s="22">
        <v>43177</v>
      </c>
      <c r="B109" s="62" t="s">
        <v>161</v>
      </c>
      <c r="C109" s="2" t="s">
        <v>412</v>
      </c>
      <c r="D109" s="2" t="s">
        <v>413</v>
      </c>
      <c r="E109" s="2" t="s">
        <v>414</v>
      </c>
      <c r="F109" s="3">
        <v>0.65625</v>
      </c>
      <c r="G109" s="4" t="s">
        <v>14</v>
      </c>
      <c r="H109" s="4"/>
      <c r="I109" s="4"/>
      <c r="J109" s="57" t="str">
        <f>HYPERLINK("https://yadi.sk/i/PiOitdQx3TVjkf","https://yadi.sk/i/PiOitdQx3TVjkf")</f>
        <v>https://yadi.sk/i/PiOitdQx3TVjkf</v>
      </c>
      <c r="K109" s="56" t="s">
        <v>415</v>
      </c>
      <c r="L109" s="9" t="s">
        <v>232</v>
      </c>
      <c r="M109" s="10">
        <v>89282667744</v>
      </c>
    </row>
    <row r="110" spans="1:13" ht="16.5" hidden="1" customHeight="1">
      <c r="A110" s="22">
        <v>43177</v>
      </c>
      <c r="B110" s="62" t="s">
        <v>310</v>
      </c>
      <c r="C110" s="2" t="s">
        <v>481</v>
      </c>
      <c r="D110" s="2" t="s">
        <v>416</v>
      </c>
      <c r="E110" s="2" t="s">
        <v>417</v>
      </c>
      <c r="F110" s="3">
        <v>0.72222222222222221</v>
      </c>
      <c r="G110" s="4" t="s">
        <v>14</v>
      </c>
      <c r="H110" s="4"/>
      <c r="I110" s="4"/>
      <c r="J110" s="57" t="str">
        <f>HYPERLINK("https://yadi.sk/i/FXUoqZbs3TVtMX","https://yadi.sk/i/FXUoqZbs3TVtMX")</f>
        <v>https://yadi.sk/i/FXUoqZbs3TVtMX</v>
      </c>
      <c r="K110" s="56" t="s">
        <v>418</v>
      </c>
      <c r="L110" s="10" t="s">
        <v>345</v>
      </c>
      <c r="M110" s="10" t="s">
        <v>346</v>
      </c>
    </row>
    <row r="111" spans="1:13" ht="16.5" hidden="1" customHeight="1">
      <c r="A111" s="22">
        <v>43177</v>
      </c>
      <c r="B111" s="62" t="s">
        <v>310</v>
      </c>
      <c r="C111" s="2" t="s">
        <v>482</v>
      </c>
      <c r="D111" s="2" t="s">
        <v>416</v>
      </c>
      <c r="E111" s="2" t="s">
        <v>419</v>
      </c>
      <c r="F111" s="3">
        <v>0.72777777777777775</v>
      </c>
      <c r="G111" s="4" t="s">
        <v>14</v>
      </c>
      <c r="H111" s="4"/>
      <c r="I111" s="4"/>
      <c r="J111" s="57" t="str">
        <f>HYPERLINK("https://yadi.sk/i/AVd3XKfq3TVtMM","https://yadi.sk/i/AVd3XKfq3TVtMM")</f>
        <v>https://yadi.sk/i/AVd3XKfq3TVtMM</v>
      </c>
      <c r="K111" s="56" t="s">
        <v>418</v>
      </c>
      <c r="L111" s="10" t="s">
        <v>345</v>
      </c>
      <c r="M111" s="10" t="s">
        <v>346</v>
      </c>
    </row>
    <row r="112" spans="1:13" ht="16.5" hidden="1" customHeight="1">
      <c r="A112" s="22">
        <v>43177</v>
      </c>
      <c r="B112" s="62" t="s">
        <v>310</v>
      </c>
      <c r="C112" s="2" t="s">
        <v>480</v>
      </c>
      <c r="D112" s="23" t="s">
        <v>420</v>
      </c>
      <c r="E112" s="2" t="s">
        <v>421</v>
      </c>
      <c r="F112" s="3">
        <v>0.74305555555555558</v>
      </c>
      <c r="G112" s="4" t="s">
        <v>71</v>
      </c>
      <c r="H112" s="4" t="s">
        <v>71</v>
      </c>
      <c r="I112" s="4" t="s">
        <v>71</v>
      </c>
      <c r="J112" s="57" t="str">
        <f>HYPERLINK("https://yadi.sk/d/uoOiM3v43TVtPV","https://yadi.sk/d/uoOiM3v43TVtPV")</f>
        <v>https://yadi.sk/d/uoOiM3v43TVtPV</v>
      </c>
      <c r="K112" s="61"/>
      <c r="L112" s="10" t="s">
        <v>341</v>
      </c>
      <c r="M112" s="10" t="s">
        <v>342</v>
      </c>
    </row>
    <row r="113" spans="1:13" ht="16.5" hidden="1" customHeight="1">
      <c r="A113" s="22">
        <v>43177</v>
      </c>
      <c r="B113" s="62" t="s">
        <v>310</v>
      </c>
      <c r="C113" s="2" t="s">
        <v>334</v>
      </c>
      <c r="D113" s="2" t="s">
        <v>420</v>
      </c>
      <c r="E113" s="2" t="s">
        <v>422</v>
      </c>
      <c r="F113" s="3">
        <v>0.74652777777777779</v>
      </c>
      <c r="G113" s="4" t="s">
        <v>14</v>
      </c>
      <c r="H113" s="4"/>
      <c r="I113" s="4"/>
      <c r="J113" s="57" t="str">
        <f>HYPERLINK("https://yadi.sk/i/HlFHWo_H3TVtLv","https://yadi.sk/i/HlFHWo_H3TVtLv")</f>
        <v>https://yadi.sk/i/HlFHWo_H3TVtLv</v>
      </c>
      <c r="K113" s="56" t="s">
        <v>423</v>
      </c>
      <c r="L113" s="10" t="s">
        <v>341</v>
      </c>
      <c r="M113" s="10" t="s">
        <v>342</v>
      </c>
    </row>
    <row r="114" spans="1:13" ht="16.5" hidden="1" customHeight="1">
      <c r="A114" s="22">
        <v>43177</v>
      </c>
      <c r="B114" s="62" t="s">
        <v>218</v>
      </c>
      <c r="C114" s="2" t="s">
        <v>483</v>
      </c>
      <c r="D114" s="2" t="s">
        <v>424</v>
      </c>
      <c r="E114" s="2" t="s">
        <v>425</v>
      </c>
      <c r="F114" s="3">
        <v>0.70763888888888893</v>
      </c>
      <c r="G114" s="4" t="s">
        <v>71</v>
      </c>
      <c r="H114" s="4" t="s">
        <v>71</v>
      </c>
      <c r="I114" s="4" t="s">
        <v>71</v>
      </c>
      <c r="J114" s="57" t="s">
        <v>426</v>
      </c>
      <c r="K114" s="61"/>
      <c r="L114" s="10" t="s">
        <v>487</v>
      </c>
      <c r="M114" s="10">
        <v>89036440803</v>
      </c>
    </row>
    <row r="115" spans="1:13" ht="16.5" hidden="1" customHeight="1">
      <c r="A115" s="22">
        <v>43177</v>
      </c>
      <c r="B115" s="62" t="s">
        <v>218</v>
      </c>
      <c r="C115" s="2" t="s">
        <v>484</v>
      </c>
      <c r="D115" s="2" t="s">
        <v>427</v>
      </c>
      <c r="E115" s="2" t="s">
        <v>428</v>
      </c>
      <c r="F115" s="3">
        <v>0.77569444444444446</v>
      </c>
      <c r="G115" s="4" t="s">
        <v>71</v>
      </c>
      <c r="H115" s="4" t="s">
        <v>71</v>
      </c>
      <c r="I115" s="4" t="s">
        <v>71</v>
      </c>
      <c r="J115" s="57" t="s">
        <v>429</v>
      </c>
      <c r="K115" s="61"/>
      <c r="L115" s="10" t="s">
        <v>488</v>
      </c>
      <c r="M115" s="10">
        <v>89803020082</v>
      </c>
    </row>
    <row r="116" spans="1:13" ht="16.5" hidden="1" customHeight="1">
      <c r="A116" s="22">
        <v>43177</v>
      </c>
      <c r="B116" s="62" t="s">
        <v>218</v>
      </c>
      <c r="C116" s="2" t="s">
        <v>485</v>
      </c>
      <c r="D116" s="2" t="s">
        <v>427</v>
      </c>
      <c r="E116" s="2" t="s">
        <v>430</v>
      </c>
      <c r="F116" s="3">
        <v>0.80208333333333337</v>
      </c>
      <c r="G116" s="4" t="s">
        <v>14</v>
      </c>
      <c r="H116" s="4"/>
      <c r="I116" s="4"/>
      <c r="J116" s="57" t="s">
        <v>431</v>
      </c>
      <c r="K116" s="56" t="s">
        <v>432</v>
      </c>
      <c r="L116" s="10" t="s">
        <v>488</v>
      </c>
      <c r="M116" s="10">
        <v>89803020082</v>
      </c>
    </row>
    <row r="117" spans="1:13" ht="16.5" hidden="1" customHeight="1">
      <c r="A117" s="22">
        <v>43177</v>
      </c>
      <c r="B117" s="62" t="s">
        <v>218</v>
      </c>
      <c r="C117" s="2" t="s">
        <v>486</v>
      </c>
      <c r="D117" s="2" t="s">
        <v>427</v>
      </c>
      <c r="E117" s="2" t="s">
        <v>428</v>
      </c>
      <c r="F117" s="3">
        <v>0.77361111111111114</v>
      </c>
      <c r="G117" s="4" t="s">
        <v>71</v>
      </c>
      <c r="H117" s="4" t="s">
        <v>71</v>
      </c>
      <c r="I117" s="4" t="s">
        <v>71</v>
      </c>
      <c r="J117" s="57" t="s">
        <v>433</v>
      </c>
      <c r="K117" s="61"/>
      <c r="L117" s="10" t="s">
        <v>488</v>
      </c>
      <c r="M117" s="10">
        <v>89803020082</v>
      </c>
    </row>
    <row r="118" spans="1:13" ht="16.5" hidden="1" customHeight="1">
      <c r="A118" s="49">
        <v>43178</v>
      </c>
      <c r="B118" s="2" t="s">
        <v>279</v>
      </c>
      <c r="C118" s="2" t="s">
        <v>489</v>
      </c>
      <c r="D118" s="2" t="s">
        <v>186</v>
      </c>
      <c r="E118" s="2" t="s">
        <v>435</v>
      </c>
      <c r="F118" s="3">
        <v>0.80208333333333337</v>
      </c>
      <c r="G118" s="4" t="s">
        <v>71</v>
      </c>
      <c r="H118" s="4" t="s">
        <v>71</v>
      </c>
      <c r="I118" s="4" t="s">
        <v>71</v>
      </c>
      <c r="J118" s="57" t="s">
        <v>436</v>
      </c>
      <c r="K118" s="61"/>
      <c r="L118" s="10" t="s">
        <v>492</v>
      </c>
      <c r="M118" s="10" t="s">
        <v>493</v>
      </c>
    </row>
    <row r="119" spans="1:13" ht="16.5" hidden="1" customHeight="1">
      <c r="A119" s="49">
        <v>43178</v>
      </c>
      <c r="B119" s="2" t="s">
        <v>279</v>
      </c>
      <c r="C119" s="2" t="s">
        <v>490</v>
      </c>
      <c r="D119" s="2" t="s">
        <v>186</v>
      </c>
      <c r="E119" s="2" t="s">
        <v>437</v>
      </c>
      <c r="F119" s="3">
        <v>0.8125</v>
      </c>
      <c r="G119" s="4" t="s">
        <v>71</v>
      </c>
      <c r="H119" s="4" t="s">
        <v>71</v>
      </c>
      <c r="I119" s="4" t="s">
        <v>71</v>
      </c>
      <c r="J119" s="57" t="s">
        <v>438</v>
      </c>
      <c r="K119" s="61"/>
      <c r="L119" s="10" t="s">
        <v>492</v>
      </c>
      <c r="M119" s="10" t="s">
        <v>493</v>
      </c>
    </row>
    <row r="120" spans="1:13" ht="16.5" hidden="1" customHeight="1">
      <c r="A120" s="49">
        <v>43178</v>
      </c>
      <c r="B120" s="2" t="s">
        <v>279</v>
      </c>
      <c r="C120" s="2" t="s">
        <v>491</v>
      </c>
      <c r="D120" s="2" t="s">
        <v>186</v>
      </c>
      <c r="E120" s="2" t="s">
        <v>439</v>
      </c>
      <c r="F120" s="3">
        <v>0.81944444444444442</v>
      </c>
      <c r="G120" s="4" t="s">
        <v>71</v>
      </c>
      <c r="H120" s="4" t="s">
        <v>71</v>
      </c>
      <c r="I120" s="4" t="s">
        <v>71</v>
      </c>
      <c r="J120" s="57" t="s">
        <v>440</v>
      </c>
      <c r="K120" s="56" t="s">
        <v>441</v>
      </c>
      <c r="L120" s="10" t="s">
        <v>303</v>
      </c>
      <c r="M120" s="10">
        <v>89208755587</v>
      </c>
    </row>
    <row r="121" spans="1:13" ht="16.5" hidden="1" customHeight="1">
      <c r="A121" s="49">
        <v>43178</v>
      </c>
      <c r="B121" s="2" t="s">
        <v>279</v>
      </c>
      <c r="C121" s="2" t="s">
        <v>299</v>
      </c>
      <c r="D121" s="2" t="s">
        <v>186</v>
      </c>
      <c r="E121" s="2" t="s">
        <v>442</v>
      </c>
      <c r="F121" s="3">
        <v>0.80208333333333337</v>
      </c>
      <c r="G121" s="4" t="s">
        <v>14</v>
      </c>
      <c r="H121" s="4"/>
      <c r="I121" s="4"/>
      <c r="J121" s="57" t="s">
        <v>443</v>
      </c>
      <c r="K121" s="56" t="s">
        <v>444</v>
      </c>
      <c r="L121" s="10" t="s">
        <v>303</v>
      </c>
      <c r="M121" s="10">
        <v>89208755587</v>
      </c>
    </row>
    <row r="122" spans="1:13" ht="16.5" hidden="1" customHeight="1">
      <c r="A122" s="49">
        <v>43178</v>
      </c>
      <c r="B122" s="2" t="s">
        <v>121</v>
      </c>
      <c r="C122" s="2" t="s">
        <v>445</v>
      </c>
      <c r="D122" s="2" t="s">
        <v>446</v>
      </c>
      <c r="E122" s="2" t="s">
        <v>447</v>
      </c>
      <c r="F122" s="3">
        <v>0.78125</v>
      </c>
      <c r="G122" s="4" t="s">
        <v>71</v>
      </c>
      <c r="H122" s="4" t="s">
        <v>14</v>
      </c>
      <c r="I122" s="4" t="s">
        <v>71</v>
      </c>
      <c r="J122" s="57" t="str">
        <f>HYPERLINK("https://yadi.sk/d/1el9U-7o3TYPh9","https://yadi.sk/d/1el9U-7o3TYPh9")</f>
        <v>https://yadi.sk/d/1el9U-7o3TYPh9</v>
      </c>
      <c r="K122" s="56" t="s">
        <v>448</v>
      </c>
      <c r="L122" s="9" t="s">
        <v>150</v>
      </c>
      <c r="M122" s="10">
        <v>84922531643</v>
      </c>
    </row>
    <row r="123" spans="1:13" ht="16.5" hidden="1" customHeight="1">
      <c r="A123" s="49">
        <v>43178</v>
      </c>
      <c r="B123" s="2" t="s">
        <v>121</v>
      </c>
      <c r="C123" s="53" t="s">
        <v>449</v>
      </c>
      <c r="D123" s="2" t="s">
        <v>446</v>
      </c>
      <c r="E123" s="2" t="s">
        <v>450</v>
      </c>
      <c r="F123" s="3">
        <v>0.7895833333333333</v>
      </c>
      <c r="G123" s="4" t="s">
        <v>71</v>
      </c>
      <c r="H123" s="4" t="s">
        <v>71</v>
      </c>
      <c r="I123" s="4" t="s">
        <v>71</v>
      </c>
      <c r="J123" s="57" t="str">
        <f>HYPERLINK("https://yadi.sk/d/WiNmeN863TYPsy","https://yadi.sk/d/WiNmeN863TYPsy")</f>
        <v>https://yadi.sk/d/WiNmeN863TYPsy</v>
      </c>
      <c r="K123" s="61"/>
      <c r="L123" s="9" t="s">
        <v>150</v>
      </c>
      <c r="M123" s="10">
        <v>84922531643</v>
      </c>
    </row>
    <row r="124" spans="1:13" ht="16.5" hidden="1" customHeight="1">
      <c r="A124" s="49">
        <v>43178</v>
      </c>
      <c r="B124" s="2" t="s">
        <v>121</v>
      </c>
      <c r="C124" s="2" t="s">
        <v>153</v>
      </c>
      <c r="D124" s="2" t="s">
        <v>446</v>
      </c>
      <c r="E124" s="2" t="s">
        <v>451</v>
      </c>
      <c r="F124" s="3">
        <v>0.80208333333333337</v>
      </c>
      <c r="G124" s="4" t="s">
        <v>14</v>
      </c>
      <c r="H124" s="4"/>
      <c r="I124" s="4"/>
      <c r="J124" s="57" t="str">
        <f>HYPERLINK("https://yadi.sk/i/KxmGNmLd3TYLWB","https://yadi.sk/i/KxmGNmLd3TYLWB")</f>
        <v>https://yadi.sk/i/KxmGNmLd3TYLWB</v>
      </c>
      <c r="K124" s="56" t="s">
        <v>452</v>
      </c>
      <c r="L124" s="10" t="s">
        <v>151</v>
      </c>
      <c r="M124" s="10">
        <v>89190273440</v>
      </c>
    </row>
    <row r="125" spans="1:13" ht="16.5" hidden="1" customHeight="1">
      <c r="A125" s="49">
        <v>43178</v>
      </c>
      <c r="B125" s="2" t="s">
        <v>121</v>
      </c>
      <c r="C125" s="2" t="s">
        <v>453</v>
      </c>
      <c r="D125" s="2" t="s">
        <v>446</v>
      </c>
      <c r="E125" s="2" t="s">
        <v>454</v>
      </c>
      <c r="F125" s="3">
        <v>0.80833333333333335</v>
      </c>
      <c r="G125" s="4" t="s">
        <v>71</v>
      </c>
      <c r="H125" s="4" t="s">
        <v>71</v>
      </c>
      <c r="I125" s="4" t="s">
        <v>71</v>
      </c>
      <c r="J125" s="57" t="str">
        <f>HYPERLINK("https://yadi.sk/d/2Kf87BKh3TYQ2H","https://yadi.sk/d/2Kf87BKh3TYQ2H")</f>
        <v>https://yadi.sk/d/2Kf87BKh3TYQ2H</v>
      </c>
      <c r="K125" s="61"/>
      <c r="L125" s="10" t="s">
        <v>151</v>
      </c>
      <c r="M125" s="10">
        <v>89190273440</v>
      </c>
    </row>
    <row r="126" spans="1:13" ht="16.5" hidden="1" customHeight="1">
      <c r="A126" s="49">
        <v>43178</v>
      </c>
      <c r="B126" s="2" t="s">
        <v>174</v>
      </c>
      <c r="C126" s="2" t="s">
        <v>494</v>
      </c>
      <c r="D126" s="2" t="s">
        <v>119</v>
      </c>
      <c r="E126" s="2" t="s">
        <v>455</v>
      </c>
      <c r="F126" s="3">
        <v>0.78611111111111109</v>
      </c>
      <c r="G126" s="4" t="s">
        <v>14</v>
      </c>
      <c r="H126" s="4"/>
      <c r="I126" s="4"/>
      <c r="J126" s="57" t="str">
        <f>HYPERLINK("https://yadi.sk/i/G14SWyZz3TYLD5","https://yadi.sk/i/G14SWyZz3TYLD5")</f>
        <v>https://yadi.sk/i/G14SWyZz3TYLD5</v>
      </c>
      <c r="K126" s="56" t="s">
        <v>456</v>
      </c>
      <c r="L126" s="10" t="s">
        <v>495</v>
      </c>
      <c r="M126" s="10">
        <v>89585696061</v>
      </c>
    </row>
    <row r="127" spans="1:13" ht="16.5" hidden="1" customHeight="1">
      <c r="A127" s="49">
        <v>43178</v>
      </c>
      <c r="B127" s="2" t="s">
        <v>174</v>
      </c>
      <c r="C127" s="2" t="s">
        <v>235</v>
      </c>
      <c r="D127" s="23" t="s">
        <v>107</v>
      </c>
      <c r="E127" s="2" t="s">
        <v>457</v>
      </c>
      <c r="F127" s="3">
        <v>0.80555555555555558</v>
      </c>
      <c r="G127" s="4" t="s">
        <v>71</v>
      </c>
      <c r="H127" s="4" t="s">
        <v>71</v>
      </c>
      <c r="I127" s="4" t="s">
        <v>71</v>
      </c>
      <c r="J127" s="57" t="str">
        <f>HYPERLINK("https://yadi.sk/d/eOrHYVMM3TYRgb","https://yadi.sk/d/eOrHYVMM3TYRgb")</f>
        <v>https://yadi.sk/d/eOrHYVMM3TYRgb</v>
      </c>
      <c r="K127" s="61"/>
      <c r="L127" s="10" t="s">
        <v>236</v>
      </c>
      <c r="M127" s="10" t="s">
        <v>237</v>
      </c>
    </row>
    <row r="128" spans="1:13" ht="16.5" hidden="1" customHeight="1">
      <c r="A128" s="49">
        <v>43178</v>
      </c>
      <c r="B128" s="2" t="s">
        <v>174</v>
      </c>
      <c r="C128" s="2" t="s">
        <v>458</v>
      </c>
      <c r="D128" s="2" t="s">
        <v>107</v>
      </c>
      <c r="E128" s="2" t="s">
        <v>459</v>
      </c>
      <c r="F128" s="3">
        <v>0.8125</v>
      </c>
      <c r="G128" s="4" t="s">
        <v>71</v>
      </c>
      <c r="H128" s="4" t="s">
        <v>71</v>
      </c>
      <c r="I128" s="4" t="s">
        <v>71</v>
      </c>
      <c r="J128" s="57" t="str">
        <f>HYPERLINK("https://yadi.sk/d/vhXEVw2r3TYS7A","https://yadi.sk/d/vhXEVw2r3TYS7A")</f>
        <v>https://yadi.sk/d/vhXEVw2r3TYS7A</v>
      </c>
      <c r="K128" s="61"/>
      <c r="L128" s="10" t="s">
        <v>238</v>
      </c>
      <c r="M128" s="10">
        <v>89043682092</v>
      </c>
    </row>
    <row r="129" spans="1:13" ht="16.5" hidden="1" customHeight="1">
      <c r="A129" s="49">
        <v>43178</v>
      </c>
      <c r="B129" s="2" t="s">
        <v>174</v>
      </c>
      <c r="C129" s="23" t="s">
        <v>460</v>
      </c>
      <c r="D129" s="2" t="s">
        <v>107</v>
      </c>
      <c r="E129" s="2" t="s">
        <v>461</v>
      </c>
      <c r="F129" s="3">
        <v>0.83333333333333337</v>
      </c>
      <c r="G129" s="4" t="s">
        <v>71</v>
      </c>
      <c r="H129" s="4" t="s">
        <v>71</v>
      </c>
      <c r="I129" s="4" t="s">
        <v>71</v>
      </c>
      <c r="J129" s="57" t="str">
        <f>HYPERLINK("https://yadi.sk/d/IEgTiIOj3TYSDb","https://yadi.sk/d/IEgTiIOj3TYSDb")</f>
        <v>https://yadi.sk/d/IEgTiIOj3TYSDb</v>
      </c>
      <c r="K129" s="61"/>
      <c r="L129" s="10" t="s">
        <v>238</v>
      </c>
      <c r="M129" s="10">
        <v>89043682092</v>
      </c>
    </row>
    <row r="130" spans="1:13" ht="16.5" customHeight="1">
      <c r="A130" s="49">
        <v>43178</v>
      </c>
      <c r="B130" s="10" t="s">
        <v>68</v>
      </c>
      <c r="C130" s="10" t="s">
        <v>91</v>
      </c>
      <c r="D130" s="10" t="s">
        <v>107</v>
      </c>
      <c r="E130" s="10" t="s">
        <v>496</v>
      </c>
      <c r="F130" s="15">
        <v>0.7631944444444444</v>
      </c>
      <c r="G130" s="4" t="s">
        <v>71</v>
      </c>
      <c r="H130" s="4" t="s">
        <v>71</v>
      </c>
      <c r="I130" s="4" t="s">
        <v>71</v>
      </c>
      <c r="J130" s="2" t="s">
        <v>309</v>
      </c>
      <c r="K130" s="7"/>
      <c r="L130" s="10" t="s">
        <v>85</v>
      </c>
      <c r="M130" s="10" t="s">
        <v>86</v>
      </c>
    </row>
    <row r="131" spans="1:13" ht="16.5" customHeight="1">
      <c r="A131" s="49">
        <v>43178</v>
      </c>
      <c r="B131" s="10" t="s">
        <v>68</v>
      </c>
      <c r="C131" s="10" t="s">
        <v>92</v>
      </c>
      <c r="D131" s="10" t="s">
        <v>107</v>
      </c>
      <c r="E131" s="10" t="s">
        <v>497</v>
      </c>
      <c r="F131" s="15">
        <v>0.78263888888888899</v>
      </c>
      <c r="G131" s="4" t="s">
        <v>71</v>
      </c>
      <c r="H131" s="4" t="s">
        <v>71</v>
      </c>
      <c r="I131" s="4" t="s">
        <v>71</v>
      </c>
      <c r="J131" s="2" t="s">
        <v>309</v>
      </c>
      <c r="K131" s="7"/>
      <c r="L131" s="10" t="s">
        <v>85</v>
      </c>
      <c r="M131" s="10" t="s">
        <v>86</v>
      </c>
    </row>
    <row r="132" spans="1:13" ht="16.5" customHeight="1">
      <c r="A132" s="49">
        <v>43178</v>
      </c>
      <c r="B132" s="10" t="s">
        <v>68</v>
      </c>
      <c r="C132" s="10" t="s">
        <v>93</v>
      </c>
      <c r="D132" s="10" t="s">
        <v>107</v>
      </c>
      <c r="E132" s="10" t="s">
        <v>497</v>
      </c>
      <c r="F132" s="15">
        <v>0.78611111111111109</v>
      </c>
      <c r="G132" s="4" t="s">
        <v>71</v>
      </c>
      <c r="H132" s="4" t="s">
        <v>71</v>
      </c>
      <c r="I132" s="4" t="s">
        <v>71</v>
      </c>
      <c r="J132" s="2" t="s">
        <v>309</v>
      </c>
      <c r="K132" s="7"/>
      <c r="L132" s="10" t="s">
        <v>85</v>
      </c>
      <c r="M132" s="10" t="s">
        <v>86</v>
      </c>
    </row>
    <row r="133" spans="1:13" ht="16.5" customHeight="1">
      <c r="A133" s="49">
        <v>43178</v>
      </c>
      <c r="B133" s="10" t="s">
        <v>68</v>
      </c>
      <c r="C133" s="10" t="s">
        <v>308</v>
      </c>
      <c r="D133" s="10" t="s">
        <v>107</v>
      </c>
      <c r="E133" s="10" t="s">
        <v>498</v>
      </c>
      <c r="F133" s="15">
        <v>0.77569444444444446</v>
      </c>
      <c r="G133" s="4" t="s">
        <v>71</v>
      </c>
      <c r="H133" s="4" t="s">
        <v>71</v>
      </c>
      <c r="I133" s="4" t="s">
        <v>71</v>
      </c>
      <c r="J133" s="2" t="s">
        <v>309</v>
      </c>
      <c r="K133" s="7"/>
      <c r="L133" s="10" t="s">
        <v>85</v>
      </c>
      <c r="M133" s="10" t="s">
        <v>86</v>
      </c>
    </row>
    <row r="134" spans="1:13" ht="16.5" customHeight="1">
      <c r="A134" s="49">
        <v>43178</v>
      </c>
      <c r="B134" s="10" t="s">
        <v>68</v>
      </c>
      <c r="C134" s="10" t="s">
        <v>90</v>
      </c>
      <c r="D134" s="10" t="s">
        <v>107</v>
      </c>
      <c r="E134" s="10" t="s">
        <v>499</v>
      </c>
      <c r="F134" s="15">
        <v>0.76666666666666661</v>
      </c>
      <c r="G134" s="4" t="s">
        <v>71</v>
      </c>
      <c r="H134" s="4" t="s">
        <v>71</v>
      </c>
      <c r="I134" s="4" t="s">
        <v>71</v>
      </c>
      <c r="J134" s="2" t="s">
        <v>309</v>
      </c>
      <c r="K134" s="7"/>
      <c r="L134" s="10" t="s">
        <v>85</v>
      </c>
      <c r="M134" s="10" t="s">
        <v>86</v>
      </c>
    </row>
    <row r="135" spans="1:13" ht="16.5" hidden="1" customHeight="1">
      <c r="A135" s="22">
        <v>43179</v>
      </c>
      <c r="B135" s="39" t="s">
        <v>34</v>
      </c>
      <c r="C135" s="39" t="s">
        <v>558</v>
      </c>
      <c r="D135" s="44" t="s">
        <v>186</v>
      </c>
      <c r="E135" s="39" t="s">
        <v>505</v>
      </c>
      <c r="F135" s="40">
        <v>0.79513888888888884</v>
      </c>
      <c r="G135" s="41" t="s">
        <v>14</v>
      </c>
      <c r="H135" s="41"/>
      <c r="I135" s="41"/>
      <c r="J135" s="42" t="str">
        <f>HYPERLINK("https://yadi.sk/i/NlcCAeqj3TacN7","https://yadi.sk/i/NlcCAeqj3TacN7")</f>
        <v>https://yadi.sk/i/NlcCAeqj3TacN7</v>
      </c>
      <c r="K135" s="43" t="s">
        <v>506</v>
      </c>
      <c r="L135" s="10" t="s">
        <v>65</v>
      </c>
      <c r="M135" s="10">
        <v>89997648473</v>
      </c>
    </row>
    <row r="136" spans="1:13" ht="16.5" hidden="1" customHeight="1">
      <c r="A136" s="22">
        <v>43179</v>
      </c>
      <c r="B136" s="39" t="s">
        <v>34</v>
      </c>
      <c r="C136" s="44" t="s">
        <v>559</v>
      </c>
      <c r="D136" s="44" t="s">
        <v>186</v>
      </c>
      <c r="E136" s="39" t="s">
        <v>507</v>
      </c>
      <c r="F136" s="40">
        <v>0.80277777777777781</v>
      </c>
      <c r="G136" s="41" t="s">
        <v>14</v>
      </c>
      <c r="H136" s="41"/>
      <c r="I136" s="41"/>
      <c r="J136" s="42" t="str">
        <f>HYPERLINK("https://yadi.sk/i/Nua8yXmi3TacMU","https://yadi.sk/i/Nua8yXmi3TacMU")</f>
        <v>https://yadi.sk/i/Nua8yXmi3TacMU</v>
      </c>
      <c r="K136" s="43" t="s">
        <v>508</v>
      </c>
      <c r="L136" s="10" t="s">
        <v>65</v>
      </c>
      <c r="M136" s="10">
        <v>89997648473</v>
      </c>
    </row>
    <row r="137" spans="1:13" ht="16.5" hidden="1" customHeight="1">
      <c r="A137" s="22">
        <v>43179</v>
      </c>
      <c r="B137" s="39" t="s">
        <v>34</v>
      </c>
      <c r="C137" s="39" t="s">
        <v>560</v>
      </c>
      <c r="D137" s="44" t="s">
        <v>186</v>
      </c>
      <c r="E137" s="39" t="s">
        <v>507</v>
      </c>
      <c r="F137" s="40">
        <v>0.8041666666666667</v>
      </c>
      <c r="G137" s="41" t="s">
        <v>14</v>
      </c>
      <c r="H137" s="41"/>
      <c r="I137" s="41"/>
      <c r="J137" s="42" t="str">
        <f>HYPERLINK("https://yadi.sk/i/Nua8yXmi3TacMU","https://yadi.sk/i/Nua8yXmi3TacMU")</f>
        <v>https://yadi.sk/i/Nua8yXmi3TacMU</v>
      </c>
      <c r="K137" s="43" t="s">
        <v>509</v>
      </c>
      <c r="L137" s="10" t="s">
        <v>65</v>
      </c>
      <c r="M137" s="10">
        <v>89997648473</v>
      </c>
    </row>
    <row r="138" spans="1:13" ht="16.5" hidden="1" customHeight="1">
      <c r="A138" s="22">
        <v>43179</v>
      </c>
      <c r="B138" s="39" t="s">
        <v>34</v>
      </c>
      <c r="C138" s="39" t="s">
        <v>561</v>
      </c>
      <c r="D138" s="44" t="s">
        <v>186</v>
      </c>
      <c r="E138" s="39" t="s">
        <v>510</v>
      </c>
      <c r="F138" s="40">
        <v>0.83680555555555558</v>
      </c>
      <c r="G138" s="41" t="s">
        <v>71</v>
      </c>
      <c r="H138" s="41" t="s">
        <v>71</v>
      </c>
      <c r="I138" s="41" t="s">
        <v>71</v>
      </c>
      <c r="J138" s="42" t="str">
        <f>HYPERLINK("https://yadi.sk/d/97z5u6WY3TadN6","https://yadi.sk/d/97z5u6WY3TadN6")</f>
        <v>https://yadi.sk/d/97z5u6WY3TadN6</v>
      </c>
      <c r="K138" s="46"/>
      <c r="L138" s="10" t="s">
        <v>65</v>
      </c>
      <c r="M138" s="10">
        <v>89997648473</v>
      </c>
    </row>
    <row r="139" spans="1:13" ht="16.5" hidden="1" customHeight="1">
      <c r="A139" s="22">
        <v>43179</v>
      </c>
      <c r="B139" s="39" t="s">
        <v>189</v>
      </c>
      <c r="C139" s="39" t="s">
        <v>562</v>
      </c>
      <c r="D139" s="44" t="s">
        <v>186</v>
      </c>
      <c r="E139" s="39" t="s">
        <v>511</v>
      </c>
      <c r="F139" s="40">
        <v>0.82638888888888884</v>
      </c>
      <c r="G139" s="41" t="s">
        <v>14</v>
      </c>
      <c r="H139" s="41"/>
      <c r="I139" s="41"/>
      <c r="J139" s="42" t="s">
        <v>512</v>
      </c>
      <c r="K139" s="43" t="s">
        <v>513</v>
      </c>
      <c r="L139" s="10" t="s">
        <v>248</v>
      </c>
      <c r="M139" s="10">
        <v>89518531479</v>
      </c>
    </row>
    <row r="140" spans="1:13" ht="16.5" hidden="1" customHeight="1">
      <c r="A140" s="22">
        <v>43179</v>
      </c>
      <c r="B140" s="39" t="s">
        <v>189</v>
      </c>
      <c r="C140" s="39" t="s">
        <v>563</v>
      </c>
      <c r="D140" s="44" t="s">
        <v>186</v>
      </c>
      <c r="E140" s="39" t="s">
        <v>514</v>
      </c>
      <c r="F140" s="40">
        <v>0.80555555555555558</v>
      </c>
      <c r="G140" s="41" t="s">
        <v>71</v>
      </c>
      <c r="H140" s="41" t="s">
        <v>71</v>
      </c>
      <c r="I140" s="41" t="s">
        <v>71</v>
      </c>
      <c r="J140" s="42" t="s">
        <v>515</v>
      </c>
      <c r="K140" s="46"/>
      <c r="L140" s="10" t="s">
        <v>466</v>
      </c>
      <c r="M140" s="10">
        <v>89204191919</v>
      </c>
    </row>
    <row r="141" spans="1:13" ht="16.5" hidden="1" customHeight="1">
      <c r="A141" s="22">
        <v>43179</v>
      </c>
      <c r="B141" s="39" t="s">
        <v>189</v>
      </c>
      <c r="C141" s="39" t="s">
        <v>564</v>
      </c>
      <c r="D141" s="44" t="s">
        <v>186</v>
      </c>
      <c r="E141" s="39" t="s">
        <v>516</v>
      </c>
      <c r="F141" s="40">
        <v>0.81944444444444442</v>
      </c>
      <c r="G141" s="41" t="s">
        <v>71</v>
      </c>
      <c r="H141" s="41" t="s">
        <v>71</v>
      </c>
      <c r="I141" s="41" t="s">
        <v>71</v>
      </c>
      <c r="J141" s="42" t="s">
        <v>517</v>
      </c>
      <c r="K141" s="46"/>
      <c r="L141" s="10" t="s">
        <v>465</v>
      </c>
      <c r="M141" s="10" t="s">
        <v>565</v>
      </c>
    </row>
    <row r="142" spans="1:13" ht="16.5" hidden="1" customHeight="1">
      <c r="A142" s="22">
        <v>43179</v>
      </c>
      <c r="B142" s="39" t="s">
        <v>189</v>
      </c>
      <c r="C142" s="39" t="s">
        <v>464</v>
      </c>
      <c r="D142" s="44" t="s">
        <v>186</v>
      </c>
      <c r="E142" s="39" t="s">
        <v>516</v>
      </c>
      <c r="F142" s="40">
        <v>0.81597222222222221</v>
      </c>
      <c r="G142" s="41" t="s">
        <v>71</v>
      </c>
      <c r="H142" s="41" t="s">
        <v>71</v>
      </c>
      <c r="I142" s="41" t="s">
        <v>71</v>
      </c>
      <c r="J142" s="42" t="s">
        <v>518</v>
      </c>
      <c r="K142" s="46"/>
      <c r="L142" s="10" t="s">
        <v>465</v>
      </c>
      <c r="M142" s="10" t="s">
        <v>565</v>
      </c>
    </row>
    <row r="143" spans="1:13" ht="16.5" hidden="1" customHeight="1">
      <c r="A143" s="22">
        <v>43179</v>
      </c>
      <c r="B143" s="39" t="s">
        <v>393</v>
      </c>
      <c r="C143" s="39" t="s">
        <v>566</v>
      </c>
      <c r="D143" s="44" t="s">
        <v>186</v>
      </c>
      <c r="E143" s="39" t="s">
        <v>519</v>
      </c>
      <c r="F143" s="40">
        <v>0.80555555555555558</v>
      </c>
      <c r="G143" s="41" t="s">
        <v>71</v>
      </c>
      <c r="H143" s="41" t="s">
        <v>71</v>
      </c>
      <c r="I143" s="41" t="s">
        <v>71</v>
      </c>
      <c r="J143" s="42" t="s">
        <v>520</v>
      </c>
      <c r="K143" s="46"/>
      <c r="L143" s="10" t="s">
        <v>568</v>
      </c>
      <c r="M143" s="10" t="s">
        <v>569</v>
      </c>
    </row>
    <row r="144" spans="1:13" ht="16.5" hidden="1" customHeight="1">
      <c r="A144" s="22">
        <v>43179</v>
      </c>
      <c r="B144" s="39" t="s">
        <v>393</v>
      </c>
      <c r="C144" s="39" t="s">
        <v>567</v>
      </c>
      <c r="D144" s="44" t="s">
        <v>186</v>
      </c>
      <c r="E144" s="39" t="s">
        <v>521</v>
      </c>
      <c r="F144" s="40">
        <v>0.82291666666666663</v>
      </c>
      <c r="G144" s="41" t="s">
        <v>14</v>
      </c>
      <c r="H144" s="41"/>
      <c r="I144" s="41"/>
      <c r="J144" s="42" t="s">
        <v>522</v>
      </c>
      <c r="K144" s="43" t="s">
        <v>523</v>
      </c>
      <c r="L144" s="10" t="s">
        <v>474</v>
      </c>
      <c r="M144" s="10" t="s">
        <v>475</v>
      </c>
    </row>
    <row r="145" spans="1:13" ht="16.5" hidden="1" customHeight="1">
      <c r="A145" s="49">
        <v>43180</v>
      </c>
      <c r="B145" s="39" t="s">
        <v>161</v>
      </c>
      <c r="C145" s="39" t="s">
        <v>524</v>
      </c>
      <c r="D145" s="44" t="s">
        <v>525</v>
      </c>
      <c r="E145" s="44" t="s">
        <v>526</v>
      </c>
      <c r="F145" s="40">
        <v>0.79166666666666663</v>
      </c>
      <c r="G145" s="41" t="s">
        <v>14</v>
      </c>
      <c r="H145" s="41"/>
      <c r="I145" s="41"/>
      <c r="J145" s="42" t="str">
        <f>HYPERLINK("https://yadi.sk/i/Wt-OYr2R3TctX2","https://yadi.sk/i/Wt-OYr2R3TctX2")</f>
        <v>https://yadi.sk/i/Wt-OYr2R3TctX2</v>
      </c>
      <c r="K145" s="64" t="s">
        <v>31</v>
      </c>
      <c r="L145" s="10" t="s">
        <v>570</v>
      </c>
      <c r="M145" s="10">
        <v>89534771666</v>
      </c>
    </row>
    <row r="146" spans="1:13" ht="16.5" hidden="1" customHeight="1">
      <c r="A146" s="49">
        <v>43180</v>
      </c>
      <c r="B146" s="39" t="s">
        <v>161</v>
      </c>
      <c r="C146" s="39" t="s">
        <v>412</v>
      </c>
      <c r="D146" s="39" t="s">
        <v>119</v>
      </c>
      <c r="E146" s="39" t="s">
        <v>527</v>
      </c>
      <c r="F146" s="40">
        <v>0.80555555555555558</v>
      </c>
      <c r="G146" s="41" t="s">
        <v>14</v>
      </c>
      <c r="H146" s="41"/>
      <c r="I146" s="41"/>
      <c r="J146" s="42" t="str">
        <f>HYPERLINK("https://yadi.sk/i/D0JsWY5n3TctWD","https://yadi.sk/i/D0JsWY5n3TctWD")</f>
        <v>https://yadi.sk/i/D0JsWY5n3TctWD</v>
      </c>
      <c r="K146" s="43" t="s">
        <v>528</v>
      </c>
      <c r="L146" s="10" t="s">
        <v>479</v>
      </c>
      <c r="M146" s="10">
        <v>89282667744</v>
      </c>
    </row>
    <row r="147" spans="1:13" ht="16.5" hidden="1" customHeight="1">
      <c r="A147" s="49">
        <v>43180</v>
      </c>
      <c r="B147" s="39" t="s">
        <v>254</v>
      </c>
      <c r="C147" s="39" t="s">
        <v>571</v>
      </c>
      <c r="D147" s="44" t="s">
        <v>529</v>
      </c>
      <c r="E147" s="39" t="s">
        <v>530</v>
      </c>
      <c r="F147" s="40">
        <v>0.71527777777777779</v>
      </c>
      <c r="G147" s="41" t="s">
        <v>14</v>
      </c>
      <c r="H147" s="41"/>
      <c r="I147" s="41"/>
      <c r="J147" s="42" t="str">
        <f>HYPERLINK("https://yadi.sk/d/5R1mozdF3TcvTS","https://yadi.sk/d/5R1mozdF3TcvTS")</f>
        <v>https://yadi.sk/d/5R1mozdF3TcvTS</v>
      </c>
      <c r="K147" s="43" t="s">
        <v>531</v>
      </c>
      <c r="L147" s="10" t="s">
        <v>532</v>
      </c>
      <c r="M147" s="10" t="s">
        <v>574</v>
      </c>
    </row>
    <row r="148" spans="1:13" ht="16.5" hidden="1" customHeight="1">
      <c r="A148" s="49">
        <v>43180</v>
      </c>
      <c r="B148" s="39" t="s">
        <v>254</v>
      </c>
      <c r="C148" s="39" t="s">
        <v>532</v>
      </c>
      <c r="D148" s="44" t="s">
        <v>533</v>
      </c>
      <c r="E148" s="44" t="s">
        <v>534</v>
      </c>
      <c r="F148" s="40">
        <v>0.71875</v>
      </c>
      <c r="G148" s="41" t="s">
        <v>14</v>
      </c>
      <c r="H148" s="41"/>
      <c r="I148" s="41"/>
      <c r="J148" s="42" t="str">
        <f>HYPERLINK("https://yadi.sk/i/DmrdFe8r3TcqeB","https://yadi.sk/i/DmrdFe8r3TcqeB")</f>
        <v>https://yadi.sk/i/DmrdFe8r3TcqeB</v>
      </c>
      <c r="K148" s="43" t="s">
        <v>535</v>
      </c>
      <c r="L148" s="10" t="s">
        <v>532</v>
      </c>
      <c r="M148" s="10" t="s">
        <v>574</v>
      </c>
    </row>
    <row r="149" spans="1:13" ht="16.5" hidden="1" customHeight="1">
      <c r="A149" s="49">
        <v>43180</v>
      </c>
      <c r="B149" s="39" t="s">
        <v>254</v>
      </c>
      <c r="C149" s="44" t="s">
        <v>572</v>
      </c>
      <c r="D149" s="44" t="s">
        <v>533</v>
      </c>
      <c r="E149" s="39" t="s">
        <v>536</v>
      </c>
      <c r="F149" s="40">
        <v>0.73263888888888884</v>
      </c>
      <c r="G149" s="41" t="s">
        <v>71</v>
      </c>
      <c r="H149" s="41" t="s">
        <v>71</v>
      </c>
      <c r="I149" s="41" t="s">
        <v>71</v>
      </c>
      <c r="J149" s="42" t="str">
        <f>HYPERLINK("https://yadi.sk/d/DckKibFI3TcvVP","https://yadi.sk/d/DckKibFI3TcvVP")</f>
        <v>https://yadi.sk/d/DckKibFI3TcvVP</v>
      </c>
      <c r="K149" s="46"/>
      <c r="L149" s="10" t="s">
        <v>575</v>
      </c>
      <c r="M149" s="10" t="s">
        <v>576</v>
      </c>
    </row>
    <row r="150" spans="1:13" ht="16.5" hidden="1" customHeight="1">
      <c r="A150" s="49">
        <v>43180</v>
      </c>
      <c r="B150" s="39" t="s">
        <v>254</v>
      </c>
      <c r="C150" s="39" t="s">
        <v>573</v>
      </c>
      <c r="D150" s="44" t="s">
        <v>533</v>
      </c>
      <c r="E150" s="39" t="s">
        <v>537</v>
      </c>
      <c r="F150" s="40">
        <v>0.74305555555555558</v>
      </c>
      <c r="G150" s="41" t="s">
        <v>71</v>
      </c>
      <c r="H150" s="41" t="s">
        <v>14</v>
      </c>
      <c r="I150" s="41" t="s">
        <v>71</v>
      </c>
      <c r="J150" s="42" t="str">
        <f>HYPERLINK("https://yadi.sk/d/vjjXDV-M3TcvWn","https://yadi.sk/d/vjjXDV-M3TcvWn")</f>
        <v>https://yadi.sk/d/vjjXDV-M3TcvWn</v>
      </c>
      <c r="K150" s="43" t="s">
        <v>538</v>
      </c>
      <c r="L150" s="10" t="s">
        <v>575</v>
      </c>
      <c r="M150" s="10" t="s">
        <v>576</v>
      </c>
    </row>
    <row r="151" spans="1:13" ht="16.5" hidden="1" customHeight="1">
      <c r="A151" s="49">
        <v>43180</v>
      </c>
      <c r="B151" s="39" t="s">
        <v>218</v>
      </c>
      <c r="C151" s="39" t="s">
        <v>485</v>
      </c>
      <c r="D151" s="44" t="s">
        <v>427</v>
      </c>
      <c r="E151" s="39" t="s">
        <v>539</v>
      </c>
      <c r="F151" s="40">
        <v>0.82638888888888884</v>
      </c>
      <c r="G151" s="41" t="s">
        <v>71</v>
      </c>
      <c r="H151" s="41" t="s">
        <v>14</v>
      </c>
      <c r="I151" s="41" t="s">
        <v>14</v>
      </c>
      <c r="J151" s="42" t="s">
        <v>540</v>
      </c>
      <c r="K151" s="43" t="s">
        <v>541</v>
      </c>
      <c r="L151" s="10" t="s">
        <v>488</v>
      </c>
      <c r="M151" s="10">
        <v>89803020082</v>
      </c>
    </row>
    <row r="152" spans="1:13" ht="16.5" hidden="1" customHeight="1">
      <c r="A152" s="49">
        <v>43180</v>
      </c>
      <c r="B152" s="39" t="s">
        <v>218</v>
      </c>
      <c r="C152" s="39" t="s">
        <v>486</v>
      </c>
      <c r="D152" s="44" t="s">
        <v>427</v>
      </c>
      <c r="E152" s="39" t="s">
        <v>542</v>
      </c>
      <c r="F152" s="40">
        <v>0.79166666666666663</v>
      </c>
      <c r="G152" s="41" t="s">
        <v>71</v>
      </c>
      <c r="H152" s="41" t="s">
        <v>71</v>
      </c>
      <c r="I152" s="41" t="s">
        <v>71</v>
      </c>
      <c r="J152" s="42" t="s">
        <v>543</v>
      </c>
      <c r="K152" s="43"/>
      <c r="L152" s="10" t="s">
        <v>488</v>
      </c>
      <c r="M152" s="10">
        <v>89803020082</v>
      </c>
    </row>
    <row r="153" spans="1:13" ht="16.5" hidden="1" customHeight="1">
      <c r="A153" s="49">
        <v>43180</v>
      </c>
      <c r="B153" s="39" t="s">
        <v>218</v>
      </c>
      <c r="C153" s="39" t="s">
        <v>582</v>
      </c>
      <c r="D153" s="44" t="s">
        <v>544</v>
      </c>
      <c r="E153" s="39" t="s">
        <v>584</v>
      </c>
      <c r="F153" s="40">
        <v>0.77083333333333337</v>
      </c>
      <c r="G153" s="41" t="s">
        <v>14</v>
      </c>
      <c r="H153" s="41" t="s">
        <v>14</v>
      </c>
      <c r="I153" s="41" t="s">
        <v>14</v>
      </c>
      <c r="J153" s="65" t="s">
        <v>545</v>
      </c>
      <c r="K153" s="43" t="s">
        <v>585</v>
      </c>
      <c r="L153" s="10" t="s">
        <v>487</v>
      </c>
      <c r="M153" s="10">
        <v>89036440803</v>
      </c>
    </row>
    <row r="154" spans="1:13" ht="16.5" hidden="1" customHeight="1">
      <c r="A154" s="49">
        <v>43180</v>
      </c>
      <c r="B154" s="39" t="s">
        <v>218</v>
      </c>
      <c r="C154" s="39" t="s">
        <v>577</v>
      </c>
      <c r="D154" s="44" t="s">
        <v>546</v>
      </c>
      <c r="E154" s="39" t="s">
        <v>583</v>
      </c>
      <c r="F154" s="40">
        <v>0.85416666666666663</v>
      </c>
      <c r="G154" s="41" t="s">
        <v>14</v>
      </c>
      <c r="H154" s="41" t="s">
        <v>14</v>
      </c>
      <c r="I154" s="41" t="s">
        <v>14</v>
      </c>
      <c r="J154" s="46"/>
      <c r="K154" s="43" t="s">
        <v>586</v>
      </c>
      <c r="L154" s="10" t="s">
        <v>487</v>
      </c>
      <c r="M154" s="10">
        <v>89036440803</v>
      </c>
    </row>
    <row r="155" spans="1:13" ht="16.5" hidden="1" customHeight="1">
      <c r="A155" s="49">
        <v>43180</v>
      </c>
      <c r="B155" s="39" t="s">
        <v>97</v>
      </c>
      <c r="C155" s="39" t="s">
        <v>581</v>
      </c>
      <c r="D155" s="44" t="s">
        <v>119</v>
      </c>
      <c r="E155" s="39" t="s">
        <v>547</v>
      </c>
      <c r="F155" s="40">
        <v>0.77083333333333337</v>
      </c>
      <c r="G155" s="41" t="s">
        <v>14</v>
      </c>
      <c r="H155" s="41"/>
      <c r="I155" s="41"/>
      <c r="J155" s="42" t="s">
        <v>548</v>
      </c>
      <c r="K155" s="43" t="s">
        <v>549</v>
      </c>
      <c r="L155" s="10" t="s">
        <v>142</v>
      </c>
      <c r="M155" s="10" t="s">
        <v>143</v>
      </c>
    </row>
    <row r="156" spans="1:13" ht="16.5" hidden="1" customHeight="1">
      <c r="A156" s="49">
        <v>43180</v>
      </c>
      <c r="B156" s="39" t="s">
        <v>97</v>
      </c>
      <c r="C156" s="39" t="s">
        <v>578</v>
      </c>
      <c r="D156" s="44" t="s">
        <v>119</v>
      </c>
      <c r="E156" s="39" t="s">
        <v>550</v>
      </c>
      <c r="F156" s="40">
        <v>0.79861111111111116</v>
      </c>
      <c r="G156" s="41" t="s">
        <v>71</v>
      </c>
      <c r="H156" s="41" t="s">
        <v>71</v>
      </c>
      <c r="I156" s="41" t="s">
        <v>71</v>
      </c>
      <c r="J156" s="42" t="s">
        <v>551</v>
      </c>
      <c r="K156" s="46"/>
      <c r="L156" s="10" t="s">
        <v>141</v>
      </c>
      <c r="M156" s="10">
        <v>89027231777</v>
      </c>
    </row>
    <row r="157" spans="1:13" ht="16.5" hidden="1" customHeight="1">
      <c r="A157" s="49">
        <v>43180</v>
      </c>
      <c r="B157" s="39" t="s">
        <v>97</v>
      </c>
      <c r="C157" s="39" t="s">
        <v>579</v>
      </c>
      <c r="D157" s="44" t="s">
        <v>119</v>
      </c>
      <c r="E157" s="39" t="s">
        <v>552</v>
      </c>
      <c r="F157" s="40">
        <v>0.80555555555555558</v>
      </c>
      <c r="G157" s="41" t="s">
        <v>71</v>
      </c>
      <c r="H157" s="41" t="s">
        <v>71</v>
      </c>
      <c r="I157" s="41" t="s">
        <v>71</v>
      </c>
      <c r="J157" s="42" t="s">
        <v>553</v>
      </c>
      <c r="K157" s="43" t="s">
        <v>554</v>
      </c>
      <c r="L157" s="10" t="s">
        <v>142</v>
      </c>
      <c r="M157" s="10" t="s">
        <v>143</v>
      </c>
    </row>
    <row r="158" spans="1:13" ht="16.5" hidden="1" customHeight="1">
      <c r="A158" s="49">
        <v>43180</v>
      </c>
      <c r="B158" s="39" t="s">
        <v>97</v>
      </c>
      <c r="C158" s="39" t="s">
        <v>580</v>
      </c>
      <c r="D158" s="44" t="s">
        <v>119</v>
      </c>
      <c r="E158" s="39" t="s">
        <v>555</v>
      </c>
      <c r="F158" s="40">
        <v>0.77777777777777779</v>
      </c>
      <c r="G158" s="41" t="s">
        <v>14</v>
      </c>
      <c r="H158" s="41"/>
      <c r="I158" s="41"/>
      <c r="J158" s="42" t="s">
        <v>556</v>
      </c>
      <c r="K158" s="43" t="s">
        <v>557</v>
      </c>
      <c r="L158" s="10" t="s">
        <v>142</v>
      </c>
      <c r="M158" s="10" t="s">
        <v>143</v>
      </c>
    </row>
    <row r="159" spans="1:13" ht="16.5" hidden="1" customHeight="1">
      <c r="A159" s="22">
        <v>43181</v>
      </c>
      <c r="B159" s="39" t="s">
        <v>203</v>
      </c>
      <c r="C159" s="39" t="s">
        <v>609</v>
      </c>
      <c r="D159" s="44" t="s">
        <v>119</v>
      </c>
      <c r="E159" s="39" t="s">
        <v>587</v>
      </c>
      <c r="F159" s="40">
        <v>0.77083333333333337</v>
      </c>
      <c r="G159" s="41" t="s">
        <v>71</v>
      </c>
      <c r="H159" s="41" t="s">
        <v>71</v>
      </c>
      <c r="I159" s="41" t="s">
        <v>71</v>
      </c>
      <c r="J159" s="42" t="s">
        <v>588</v>
      </c>
      <c r="K159" s="46"/>
      <c r="L159" s="10" t="s">
        <v>470</v>
      </c>
      <c r="M159" s="10">
        <v>89109484749</v>
      </c>
    </row>
    <row r="160" spans="1:13" ht="16.5" hidden="1" customHeight="1">
      <c r="A160" s="22">
        <v>43181</v>
      </c>
      <c r="B160" s="39" t="s">
        <v>203</v>
      </c>
      <c r="C160" s="39" t="s">
        <v>610</v>
      </c>
      <c r="D160" s="44" t="s">
        <v>119</v>
      </c>
      <c r="E160" s="39" t="s">
        <v>589</v>
      </c>
      <c r="F160" s="40">
        <v>0.79166666666666663</v>
      </c>
      <c r="G160" s="41" t="s">
        <v>14</v>
      </c>
      <c r="H160" s="41" t="s">
        <v>14</v>
      </c>
      <c r="I160" s="41" t="s">
        <v>14</v>
      </c>
      <c r="J160" s="42" t="s">
        <v>590</v>
      </c>
      <c r="K160" s="43" t="s">
        <v>591</v>
      </c>
      <c r="L160" s="10" t="s">
        <v>470</v>
      </c>
      <c r="M160" s="10">
        <v>89109484749</v>
      </c>
    </row>
    <row r="161" spans="1:13" ht="16.5" hidden="1" customHeight="1">
      <c r="A161" s="22">
        <v>43181</v>
      </c>
      <c r="B161" s="39" t="s">
        <v>203</v>
      </c>
      <c r="C161" s="39" t="s">
        <v>211</v>
      </c>
      <c r="D161" s="44" t="s">
        <v>19</v>
      </c>
      <c r="E161" s="39" t="s">
        <v>592</v>
      </c>
      <c r="F161" s="40">
        <v>0.75486111111111109</v>
      </c>
      <c r="G161" s="41" t="s">
        <v>71</v>
      </c>
      <c r="H161" s="41" t="s">
        <v>14</v>
      </c>
      <c r="I161" s="41" t="s">
        <v>14</v>
      </c>
      <c r="J161" s="42" t="s">
        <v>593</v>
      </c>
      <c r="K161" s="46"/>
      <c r="L161" s="10" t="s">
        <v>611</v>
      </c>
      <c r="M161" s="10" t="s">
        <v>242</v>
      </c>
    </row>
    <row r="162" spans="1:13" ht="16.5" hidden="1" customHeight="1">
      <c r="A162" s="22">
        <v>43181</v>
      </c>
      <c r="B162" s="39" t="s">
        <v>130</v>
      </c>
      <c r="C162" s="39" t="s">
        <v>131</v>
      </c>
      <c r="D162" s="44" t="s">
        <v>383</v>
      </c>
      <c r="E162" s="39" t="s">
        <v>594</v>
      </c>
      <c r="F162" s="40">
        <v>0.79166666666666663</v>
      </c>
      <c r="G162" s="41" t="s">
        <v>71</v>
      </c>
      <c r="H162" s="41" t="s">
        <v>71</v>
      </c>
      <c r="I162" s="41" t="s">
        <v>71</v>
      </c>
      <c r="J162" s="42" t="s">
        <v>595</v>
      </c>
      <c r="K162" s="46"/>
      <c r="L162" s="10" t="s">
        <v>139</v>
      </c>
      <c r="M162" s="10" t="s">
        <v>140</v>
      </c>
    </row>
    <row r="163" spans="1:13" ht="16.5" hidden="1" customHeight="1">
      <c r="A163" s="22">
        <v>43181</v>
      </c>
      <c r="B163" s="39" t="s">
        <v>130</v>
      </c>
      <c r="C163" s="39" t="s">
        <v>596</v>
      </c>
      <c r="D163" s="44" t="s">
        <v>383</v>
      </c>
      <c r="E163" s="39" t="s">
        <v>597</v>
      </c>
      <c r="F163" s="40">
        <v>0.80555555555555558</v>
      </c>
      <c r="G163" s="41" t="s">
        <v>14</v>
      </c>
      <c r="H163" s="41" t="s">
        <v>14</v>
      </c>
      <c r="I163" s="41" t="s">
        <v>14</v>
      </c>
      <c r="J163" s="42" t="s">
        <v>598</v>
      </c>
      <c r="K163" s="43" t="s">
        <v>599</v>
      </c>
      <c r="L163" s="10" t="s">
        <v>139</v>
      </c>
      <c r="M163" s="10" t="s">
        <v>140</v>
      </c>
    </row>
    <row r="164" spans="1:13" ht="16.5" hidden="1" customHeight="1">
      <c r="A164" s="22">
        <v>43181</v>
      </c>
      <c r="B164" s="39" t="s">
        <v>130</v>
      </c>
      <c r="C164" s="39" t="s">
        <v>612</v>
      </c>
      <c r="D164" s="44" t="s">
        <v>383</v>
      </c>
      <c r="E164" s="39" t="s">
        <v>600</v>
      </c>
      <c r="F164" s="40">
        <v>0.82013888888888886</v>
      </c>
      <c r="G164" s="41" t="s">
        <v>71</v>
      </c>
      <c r="H164" s="41" t="s">
        <v>71</v>
      </c>
      <c r="I164" s="41" t="s">
        <v>71</v>
      </c>
      <c r="J164" s="42" t="s">
        <v>601</v>
      </c>
      <c r="K164" s="46"/>
      <c r="L164" s="10" t="s">
        <v>139</v>
      </c>
      <c r="M164" s="10" t="s">
        <v>140</v>
      </c>
    </row>
    <row r="165" spans="1:13" ht="16.5" hidden="1" customHeight="1">
      <c r="A165" s="22">
        <v>43181</v>
      </c>
      <c r="B165" s="39" t="s">
        <v>130</v>
      </c>
      <c r="C165" s="39" t="s">
        <v>613</v>
      </c>
      <c r="D165" s="44" t="s">
        <v>383</v>
      </c>
      <c r="E165" s="39" t="s">
        <v>602</v>
      </c>
      <c r="F165" s="40">
        <v>0.8125</v>
      </c>
      <c r="G165" s="41" t="s">
        <v>71</v>
      </c>
      <c r="H165" s="41" t="s">
        <v>71</v>
      </c>
      <c r="I165" s="41" t="s">
        <v>71</v>
      </c>
      <c r="J165" s="42" t="s">
        <v>603</v>
      </c>
      <c r="K165" s="46"/>
      <c r="L165" s="10" t="s">
        <v>139</v>
      </c>
      <c r="M165" s="10" t="s">
        <v>140</v>
      </c>
    </row>
    <row r="166" spans="1:13" ht="16.5" hidden="1" customHeight="1">
      <c r="A166" s="22">
        <v>43181</v>
      </c>
      <c r="B166" s="39" t="s">
        <v>310</v>
      </c>
      <c r="C166" s="39" t="s">
        <v>335</v>
      </c>
      <c r="D166" s="39" t="s">
        <v>271</v>
      </c>
      <c r="E166" s="39" t="s">
        <v>604</v>
      </c>
      <c r="F166" s="40">
        <v>0.79166666666666663</v>
      </c>
      <c r="G166" s="41" t="s">
        <v>14</v>
      </c>
      <c r="H166" s="41" t="s">
        <v>14</v>
      </c>
      <c r="I166" s="41" t="s">
        <v>14</v>
      </c>
      <c r="J166" s="42" t="str">
        <f>HYPERLINK("https://yadi.sk/d/ZxyJjNnL3TfAcU","https://yadi.sk/d/ZxyJjNnL3TfAcU")</f>
        <v>https://yadi.sk/d/ZxyJjNnL3TfAcU</v>
      </c>
      <c r="K166" s="43" t="s">
        <v>605</v>
      </c>
      <c r="L166" s="10" t="s">
        <v>343</v>
      </c>
      <c r="M166" s="10" t="s">
        <v>344</v>
      </c>
    </row>
    <row r="167" spans="1:13" ht="16.5" hidden="1" customHeight="1">
      <c r="A167" s="22">
        <v>43181</v>
      </c>
      <c r="B167" s="39" t="s">
        <v>310</v>
      </c>
      <c r="C167" s="39" t="s">
        <v>480</v>
      </c>
      <c r="D167" s="39" t="s">
        <v>271</v>
      </c>
      <c r="E167" s="39" t="s">
        <v>606</v>
      </c>
      <c r="F167" s="40">
        <v>0.82638888888888884</v>
      </c>
      <c r="G167" s="41" t="s">
        <v>14</v>
      </c>
      <c r="H167" s="41" t="s">
        <v>14</v>
      </c>
      <c r="I167" s="41" t="s">
        <v>14</v>
      </c>
      <c r="J167" s="42" t="s">
        <v>607</v>
      </c>
      <c r="K167" s="43" t="s">
        <v>608</v>
      </c>
      <c r="L167" s="10" t="s">
        <v>341</v>
      </c>
      <c r="M167" s="10" t="s">
        <v>342</v>
      </c>
    </row>
    <row r="168" spans="1:13" ht="16.5" hidden="1" customHeight="1">
      <c r="A168" s="49">
        <v>43182</v>
      </c>
      <c r="B168" s="39" t="s">
        <v>189</v>
      </c>
      <c r="C168" s="39" t="s">
        <v>666</v>
      </c>
      <c r="D168" s="39" t="s">
        <v>186</v>
      </c>
      <c r="E168" s="39" t="s">
        <v>614</v>
      </c>
      <c r="F168" s="40">
        <v>0.84027777777777779</v>
      </c>
      <c r="G168" s="41" t="s">
        <v>71</v>
      </c>
      <c r="H168" s="41" t="s">
        <v>71</v>
      </c>
      <c r="I168" s="41" t="s">
        <v>71</v>
      </c>
      <c r="J168" s="42" t="s">
        <v>615</v>
      </c>
      <c r="K168" s="43" t="s">
        <v>616</v>
      </c>
      <c r="L168" s="10" t="s">
        <v>251</v>
      </c>
      <c r="M168" s="10" t="s">
        <v>669</v>
      </c>
    </row>
    <row r="169" spans="1:13" ht="16.5" hidden="1" customHeight="1">
      <c r="A169" s="49">
        <v>43182</v>
      </c>
      <c r="B169" s="39" t="s">
        <v>189</v>
      </c>
      <c r="C169" s="39" t="s">
        <v>667</v>
      </c>
      <c r="D169" s="39" t="s">
        <v>186</v>
      </c>
      <c r="E169" s="39" t="s">
        <v>617</v>
      </c>
      <c r="F169" s="40">
        <v>0.80902777777777779</v>
      </c>
      <c r="G169" s="41" t="s">
        <v>14</v>
      </c>
      <c r="H169" s="41" t="s">
        <v>14</v>
      </c>
      <c r="I169" s="41" t="s">
        <v>14</v>
      </c>
      <c r="J169" s="42" t="s">
        <v>618</v>
      </c>
      <c r="K169" s="43" t="s">
        <v>619</v>
      </c>
      <c r="L169" s="10" t="s">
        <v>670</v>
      </c>
      <c r="M169" s="10">
        <v>89204228666</v>
      </c>
    </row>
    <row r="170" spans="1:13" ht="16.5" hidden="1" customHeight="1">
      <c r="A170" s="49">
        <v>43182</v>
      </c>
      <c r="B170" s="39" t="s">
        <v>189</v>
      </c>
      <c r="C170" s="39" t="s">
        <v>668</v>
      </c>
      <c r="D170" s="39" t="s">
        <v>186</v>
      </c>
      <c r="E170" s="39" t="s">
        <v>617</v>
      </c>
      <c r="F170" s="40">
        <v>0.80902777777777779</v>
      </c>
      <c r="G170" s="41" t="s">
        <v>14</v>
      </c>
      <c r="H170" s="41" t="s">
        <v>14</v>
      </c>
      <c r="I170" s="41" t="s">
        <v>14</v>
      </c>
      <c r="J170" s="42" t="s">
        <v>618</v>
      </c>
      <c r="K170" s="43" t="s">
        <v>620</v>
      </c>
      <c r="L170" s="10" t="s">
        <v>670</v>
      </c>
      <c r="M170" s="10">
        <v>89204228666</v>
      </c>
    </row>
    <row r="171" spans="1:13" ht="16.5" hidden="1" customHeight="1">
      <c r="A171" s="49">
        <v>43182</v>
      </c>
      <c r="B171" s="39" t="s">
        <v>189</v>
      </c>
      <c r="C171" s="39" t="s">
        <v>564</v>
      </c>
      <c r="D171" s="39" t="s">
        <v>186</v>
      </c>
      <c r="E171" s="39" t="s">
        <v>621</v>
      </c>
      <c r="F171" s="40">
        <v>0.79166666666666663</v>
      </c>
      <c r="G171" s="41" t="s">
        <v>71</v>
      </c>
      <c r="H171" s="41" t="s">
        <v>71</v>
      </c>
      <c r="I171" s="41" t="s">
        <v>71</v>
      </c>
      <c r="J171" s="42" t="s">
        <v>622</v>
      </c>
      <c r="K171" s="46"/>
      <c r="L171" s="10" t="s">
        <v>465</v>
      </c>
      <c r="M171" s="10" t="s">
        <v>565</v>
      </c>
    </row>
    <row r="172" spans="1:13" ht="16.5" hidden="1" customHeight="1">
      <c r="A172" s="49">
        <v>43182</v>
      </c>
      <c r="B172" s="39" t="s">
        <v>279</v>
      </c>
      <c r="C172" s="39" t="s">
        <v>671</v>
      </c>
      <c r="D172" s="39" t="s">
        <v>186</v>
      </c>
      <c r="E172" s="39" t="s">
        <v>623</v>
      </c>
      <c r="F172" s="40">
        <v>0.8125</v>
      </c>
      <c r="G172" s="41" t="s">
        <v>71</v>
      </c>
      <c r="H172" s="41" t="s">
        <v>71</v>
      </c>
      <c r="I172" s="41" t="s">
        <v>71</v>
      </c>
      <c r="J172" s="42" t="s">
        <v>624</v>
      </c>
      <c r="K172" s="46"/>
      <c r="L172" s="10" t="s">
        <v>492</v>
      </c>
      <c r="M172" s="10" t="s">
        <v>493</v>
      </c>
    </row>
    <row r="173" spans="1:13" ht="16.5" hidden="1" customHeight="1">
      <c r="A173" s="49">
        <v>43182</v>
      </c>
      <c r="B173" s="39" t="s">
        <v>279</v>
      </c>
      <c r="C173" s="39" t="s">
        <v>489</v>
      </c>
      <c r="D173" s="39" t="s">
        <v>186</v>
      </c>
      <c r="E173" s="39" t="s">
        <v>625</v>
      </c>
      <c r="F173" s="40">
        <v>0.82291666666666663</v>
      </c>
      <c r="G173" s="41" t="s">
        <v>14</v>
      </c>
      <c r="H173" s="41" t="s">
        <v>14</v>
      </c>
      <c r="I173" s="41" t="s">
        <v>14</v>
      </c>
      <c r="J173" s="42" t="s">
        <v>626</v>
      </c>
      <c r="K173" s="43" t="s">
        <v>627</v>
      </c>
      <c r="L173" s="10" t="s">
        <v>492</v>
      </c>
      <c r="M173" s="10" t="s">
        <v>493</v>
      </c>
    </row>
    <row r="174" spans="1:13" ht="16.5" hidden="1" customHeight="1">
      <c r="A174" s="49">
        <v>43182</v>
      </c>
      <c r="B174" s="39" t="s">
        <v>279</v>
      </c>
      <c r="C174" s="39" t="s">
        <v>490</v>
      </c>
      <c r="D174" s="39" t="s">
        <v>186</v>
      </c>
      <c r="E174" s="39" t="s">
        <v>628</v>
      </c>
      <c r="F174" s="40">
        <v>0.79861111111111116</v>
      </c>
      <c r="G174" s="41" t="s">
        <v>14</v>
      </c>
      <c r="H174" s="41" t="s">
        <v>14</v>
      </c>
      <c r="I174" s="41" t="s">
        <v>14</v>
      </c>
      <c r="J174" s="42" t="s">
        <v>629</v>
      </c>
      <c r="K174" s="43" t="s">
        <v>630</v>
      </c>
      <c r="L174" s="10" t="s">
        <v>492</v>
      </c>
      <c r="M174" s="10" t="s">
        <v>493</v>
      </c>
    </row>
    <row r="175" spans="1:13" ht="16.5" hidden="1" customHeight="1">
      <c r="A175" s="49">
        <v>43182</v>
      </c>
      <c r="B175" s="39" t="s">
        <v>279</v>
      </c>
      <c r="C175" s="2" t="s">
        <v>302</v>
      </c>
      <c r="D175" s="39" t="s">
        <v>186</v>
      </c>
      <c r="E175" s="39" t="s">
        <v>631</v>
      </c>
      <c r="F175" s="40">
        <v>0.80208333333333337</v>
      </c>
      <c r="G175" s="41" t="s">
        <v>14</v>
      </c>
      <c r="H175" s="41" t="s">
        <v>14</v>
      </c>
      <c r="I175" s="41" t="s">
        <v>14</v>
      </c>
      <c r="J175" s="42" t="s">
        <v>632</v>
      </c>
      <c r="K175" s="43" t="s">
        <v>620</v>
      </c>
      <c r="L175" s="10" t="s">
        <v>303</v>
      </c>
      <c r="M175" s="10">
        <v>89208755587</v>
      </c>
    </row>
    <row r="176" spans="1:13" ht="16.5" hidden="1" customHeight="1">
      <c r="A176" s="49">
        <v>43182</v>
      </c>
      <c r="B176" s="39" t="s">
        <v>174</v>
      </c>
      <c r="C176" s="39" t="s">
        <v>460</v>
      </c>
      <c r="D176" s="39" t="s">
        <v>271</v>
      </c>
      <c r="E176" s="39" t="s">
        <v>633</v>
      </c>
      <c r="F176" s="40">
        <v>0.78402777777777777</v>
      </c>
      <c r="G176" s="41" t="s">
        <v>14</v>
      </c>
      <c r="H176" s="41" t="s">
        <v>14</v>
      </c>
      <c r="I176" s="41" t="s">
        <v>14</v>
      </c>
      <c r="J176" s="42" t="str">
        <f>HYPERLINK("https://yadi.sk/i/qQOgSJ8g3ThGqe","https://yadi.sk/i/qQOgSJ8g3ThGqe")</f>
        <v>https://yadi.sk/i/qQOgSJ8g3ThGqe</v>
      </c>
      <c r="K176" s="43" t="s">
        <v>634</v>
      </c>
      <c r="L176" s="10" t="s">
        <v>238</v>
      </c>
      <c r="M176" s="10">
        <v>89043682092</v>
      </c>
    </row>
    <row r="177" spans="1:13" ht="16.5" hidden="1" customHeight="1">
      <c r="A177" s="49">
        <v>43182</v>
      </c>
      <c r="B177" s="39" t="s">
        <v>174</v>
      </c>
      <c r="C177" s="44" t="s">
        <v>178</v>
      </c>
      <c r="D177" s="39" t="s">
        <v>635</v>
      </c>
      <c r="E177" s="44" t="s">
        <v>636</v>
      </c>
      <c r="F177" s="45">
        <v>0.80347222222222225</v>
      </c>
      <c r="G177" s="41" t="s">
        <v>14</v>
      </c>
      <c r="H177" s="41" t="s">
        <v>14</v>
      </c>
      <c r="I177" s="41" t="s">
        <v>14</v>
      </c>
      <c r="J177" s="42" t="str">
        <f t="shared" ref="J177:J178" si="0">HYPERLINK("https://yadi.sk/i/DEMzf4vF3ThGqa","https://yadi.sk/i/DEMzf4vF3ThGqa")</f>
        <v>https://yadi.sk/i/DEMzf4vF3ThGqa</v>
      </c>
      <c r="K177" s="43" t="s">
        <v>637</v>
      </c>
      <c r="L177" s="10" t="s">
        <v>236</v>
      </c>
      <c r="M177" s="10" t="s">
        <v>237</v>
      </c>
    </row>
    <row r="178" spans="1:13" ht="16.5" hidden="1" customHeight="1">
      <c r="A178" s="49">
        <v>43182</v>
      </c>
      <c r="B178" s="39" t="s">
        <v>174</v>
      </c>
      <c r="C178" s="44" t="s">
        <v>235</v>
      </c>
      <c r="D178" s="39" t="s">
        <v>635</v>
      </c>
      <c r="E178" s="39" t="s">
        <v>638</v>
      </c>
      <c r="F178" s="40">
        <v>0.80555555555555558</v>
      </c>
      <c r="G178" s="41" t="s">
        <v>14</v>
      </c>
      <c r="H178" s="41" t="s">
        <v>14</v>
      </c>
      <c r="I178" s="41" t="s">
        <v>14</v>
      </c>
      <c r="J178" s="42" t="str">
        <f t="shared" si="0"/>
        <v>https://yadi.sk/i/DEMzf4vF3ThGqa</v>
      </c>
      <c r="K178" s="43" t="s">
        <v>639</v>
      </c>
      <c r="L178" s="10" t="s">
        <v>236</v>
      </c>
      <c r="M178" s="10" t="s">
        <v>237</v>
      </c>
    </row>
    <row r="179" spans="1:13" ht="16.5" hidden="1" customHeight="1">
      <c r="A179" s="49">
        <v>43182</v>
      </c>
      <c r="B179" s="39" t="s">
        <v>174</v>
      </c>
      <c r="C179" s="39" t="s">
        <v>640</v>
      </c>
      <c r="D179" s="39" t="s">
        <v>271</v>
      </c>
      <c r="E179" s="39" t="s">
        <v>641</v>
      </c>
      <c r="F179" s="40">
        <v>0.82638888888888884</v>
      </c>
      <c r="G179" s="41" t="s">
        <v>71</v>
      </c>
      <c r="H179" s="41" t="s">
        <v>71</v>
      </c>
      <c r="I179" s="41" t="s">
        <v>71</v>
      </c>
      <c r="J179" s="42" t="str">
        <f>HYPERLINK("https://yadi.sk/d/zeimbkko3ThKVb","https://yadi.sk/d/zeimbkko3ThKVb")</f>
        <v>https://yadi.sk/d/zeimbkko3ThKVb</v>
      </c>
      <c r="K179" s="46"/>
      <c r="L179" s="10" t="s">
        <v>238</v>
      </c>
      <c r="M179" s="10">
        <v>89043682092</v>
      </c>
    </row>
    <row r="180" spans="1:13" ht="16.5" hidden="1" customHeight="1">
      <c r="A180" s="49">
        <v>43182</v>
      </c>
      <c r="B180" s="39" t="s">
        <v>254</v>
      </c>
      <c r="C180" s="39" t="s">
        <v>672</v>
      </c>
      <c r="D180" s="66" t="s">
        <v>642</v>
      </c>
      <c r="E180" s="44" t="s">
        <v>643</v>
      </c>
      <c r="F180" s="40">
        <v>0.77361111111111114</v>
      </c>
      <c r="G180" s="41" t="s">
        <v>71</v>
      </c>
      <c r="H180" s="41" t="s">
        <v>14</v>
      </c>
      <c r="I180" s="41" t="s">
        <v>71</v>
      </c>
      <c r="J180" s="42" t="str">
        <f>HYPERLINK("https://yadi.sk/d/J0ewE1ZS3ThKuk","https://yadi.sk/d/J0ewE1ZS3ThKuk")</f>
        <v>https://yadi.sk/d/J0ewE1ZS3ThKuk</v>
      </c>
      <c r="K180" s="46"/>
      <c r="L180" s="10" t="s">
        <v>532</v>
      </c>
      <c r="M180" s="10" t="s">
        <v>574</v>
      </c>
    </row>
    <row r="181" spans="1:13" ht="16.5" hidden="1" customHeight="1">
      <c r="A181" s="49">
        <v>43182</v>
      </c>
      <c r="B181" s="39" t="s">
        <v>254</v>
      </c>
      <c r="C181" s="39" t="s">
        <v>571</v>
      </c>
      <c r="D181" s="44" t="s">
        <v>642</v>
      </c>
      <c r="E181" s="39" t="s">
        <v>644</v>
      </c>
      <c r="F181" s="40">
        <v>0.77013888888888893</v>
      </c>
      <c r="G181" s="41" t="s">
        <v>71</v>
      </c>
      <c r="H181" s="41" t="s">
        <v>71</v>
      </c>
      <c r="I181" s="41" t="s">
        <v>71</v>
      </c>
      <c r="J181" s="42" t="str">
        <f>HYPERLINK("https://yadi.sk/d/fB6xxCky3ThKsk","https://yadi.sk/d/fB6xxCky3ThKsk")</f>
        <v>https://yadi.sk/d/fB6xxCky3ThKsk</v>
      </c>
      <c r="K181" s="46"/>
      <c r="L181" s="10" t="s">
        <v>532</v>
      </c>
      <c r="M181" s="10" t="s">
        <v>574</v>
      </c>
    </row>
    <row r="182" spans="1:13" ht="16.5" hidden="1" customHeight="1">
      <c r="A182" s="22">
        <v>43183</v>
      </c>
      <c r="B182" s="39" t="s">
        <v>218</v>
      </c>
      <c r="C182" s="39" t="s">
        <v>673</v>
      </c>
      <c r="D182" s="44" t="s">
        <v>427</v>
      </c>
      <c r="E182" s="39" t="s">
        <v>645</v>
      </c>
      <c r="F182" s="40">
        <v>0.79166666666666663</v>
      </c>
      <c r="G182" s="41" t="s">
        <v>71</v>
      </c>
      <c r="H182" s="41" t="s">
        <v>71</v>
      </c>
      <c r="I182" s="41" t="s">
        <v>71</v>
      </c>
      <c r="J182" s="42" t="s">
        <v>646</v>
      </c>
      <c r="K182" s="46"/>
      <c r="L182" s="10" t="s">
        <v>488</v>
      </c>
      <c r="M182" s="10">
        <v>89803020082</v>
      </c>
    </row>
    <row r="183" spans="1:13" ht="16.5" hidden="1" customHeight="1">
      <c r="A183" s="22">
        <v>43183</v>
      </c>
      <c r="B183" s="39" t="s">
        <v>218</v>
      </c>
      <c r="C183" s="39" t="s">
        <v>674</v>
      </c>
      <c r="D183" s="44" t="s">
        <v>647</v>
      </c>
      <c r="E183" s="39" t="s">
        <v>648</v>
      </c>
      <c r="F183" s="40">
        <v>0.83333333333333337</v>
      </c>
      <c r="G183" s="41" t="s">
        <v>14</v>
      </c>
      <c r="H183" s="41" t="s">
        <v>14</v>
      </c>
      <c r="I183" s="41" t="s">
        <v>14</v>
      </c>
      <c r="J183" s="42" t="s">
        <v>649</v>
      </c>
      <c r="K183" s="43" t="s">
        <v>650</v>
      </c>
      <c r="L183" s="10" t="s">
        <v>487</v>
      </c>
      <c r="M183" s="10">
        <v>89036440804</v>
      </c>
    </row>
    <row r="184" spans="1:13" ht="16.5" hidden="1" customHeight="1">
      <c r="A184" s="22">
        <v>43183</v>
      </c>
      <c r="B184" s="39" t="s">
        <v>393</v>
      </c>
      <c r="C184" s="39" t="s">
        <v>471</v>
      </c>
      <c r="D184" s="44" t="s">
        <v>651</v>
      </c>
      <c r="E184" s="39" t="s">
        <v>652</v>
      </c>
      <c r="F184" s="40">
        <v>0.58333333333333337</v>
      </c>
      <c r="G184" s="41" t="s">
        <v>71</v>
      </c>
      <c r="H184" s="41" t="s">
        <v>71</v>
      </c>
      <c r="I184" s="41" t="s">
        <v>71</v>
      </c>
      <c r="J184" s="42" t="s">
        <v>653</v>
      </c>
      <c r="K184" s="46"/>
      <c r="L184" s="10" t="s">
        <v>474</v>
      </c>
      <c r="M184" s="10" t="s">
        <v>475</v>
      </c>
    </row>
    <row r="185" spans="1:13" ht="16.5" hidden="1" customHeight="1">
      <c r="A185" s="22">
        <v>43183</v>
      </c>
      <c r="B185" s="39" t="s">
        <v>393</v>
      </c>
      <c r="C185" s="39" t="s">
        <v>675</v>
      </c>
      <c r="D185" s="44" t="s">
        <v>186</v>
      </c>
      <c r="E185" s="39" t="s">
        <v>654</v>
      </c>
      <c r="F185" s="40">
        <v>0.8125</v>
      </c>
      <c r="G185" s="41" t="s">
        <v>14</v>
      </c>
      <c r="H185" s="41" t="s">
        <v>14</v>
      </c>
      <c r="I185" s="41" t="s">
        <v>14</v>
      </c>
      <c r="J185" s="42" t="s">
        <v>655</v>
      </c>
      <c r="K185" s="43" t="s">
        <v>656</v>
      </c>
      <c r="L185" s="10" t="s">
        <v>474</v>
      </c>
      <c r="M185" s="10" t="s">
        <v>475</v>
      </c>
    </row>
    <row r="186" spans="1:13" ht="16.5" hidden="1" customHeight="1">
      <c r="A186" s="22">
        <v>43183</v>
      </c>
      <c r="B186" s="39" t="s">
        <v>24</v>
      </c>
      <c r="C186" s="44" t="s">
        <v>657</v>
      </c>
      <c r="D186" s="39" t="s">
        <v>658</v>
      </c>
      <c r="E186" s="2" t="s">
        <v>661</v>
      </c>
      <c r="F186" s="40">
        <v>0.79166666666666663</v>
      </c>
      <c r="G186" s="41" t="s">
        <v>14</v>
      </c>
      <c r="H186" s="41" t="s">
        <v>14</v>
      </c>
      <c r="I186" s="41" t="s">
        <v>14</v>
      </c>
      <c r="J186" s="42" t="str">
        <f>HYPERLINK("https://yadi.sk/i/hSf8soWV3TiXrW","https://yadi.sk/i/hSf8soWV3TiXrW")</f>
        <v>https://yadi.sk/i/hSf8soWV3TiXrW</v>
      </c>
      <c r="K186" s="43" t="s">
        <v>659</v>
      </c>
      <c r="L186" s="10" t="s">
        <v>298</v>
      </c>
      <c r="M186" s="10">
        <v>89103188508</v>
      </c>
    </row>
    <row r="187" spans="1:13" ht="16.5" hidden="1" customHeight="1">
      <c r="A187" s="22">
        <v>43183</v>
      </c>
      <c r="B187" s="39" t="s">
        <v>24</v>
      </c>
      <c r="C187" s="39" t="s">
        <v>660</v>
      </c>
      <c r="D187" s="39" t="s">
        <v>658</v>
      </c>
      <c r="E187" s="39" t="s">
        <v>661</v>
      </c>
      <c r="F187" s="40">
        <v>0.8125</v>
      </c>
      <c r="G187" s="41" t="s">
        <v>14</v>
      </c>
      <c r="H187" s="41" t="s">
        <v>14</v>
      </c>
      <c r="I187" s="41" t="s">
        <v>14</v>
      </c>
      <c r="J187" s="42" t="str">
        <f>HYPERLINK("https://yadi.sk/i/hSf8soWV3TiXrW","https://yadi.sk/i/hSf8soWV3TiXrW")</f>
        <v>https://yadi.sk/i/hSf8soWV3TiXrW</v>
      </c>
      <c r="K187" s="43" t="s">
        <v>662</v>
      </c>
      <c r="L187" s="10" t="s">
        <v>298</v>
      </c>
      <c r="M187" s="10">
        <v>89103188508</v>
      </c>
    </row>
    <row r="188" spans="1:13" ht="15" hidden="1" customHeight="1">
      <c r="A188" s="49">
        <v>43185</v>
      </c>
      <c r="B188" s="73" t="s">
        <v>310</v>
      </c>
      <c r="C188" s="73" t="s">
        <v>334</v>
      </c>
      <c r="D188" s="73" t="s">
        <v>119</v>
      </c>
      <c r="E188" s="73" t="s">
        <v>676</v>
      </c>
      <c r="F188" s="75">
        <v>0.76736111111111116</v>
      </c>
      <c r="G188" s="76" t="s">
        <v>71</v>
      </c>
      <c r="H188" s="76" t="s">
        <v>71</v>
      </c>
      <c r="I188" s="76" t="s">
        <v>71</v>
      </c>
      <c r="J188" s="71" t="str">
        <f>HYPERLINK("https://yadi.sk/d/9LpQqU5a3Tn32f","https://yadi.sk/d/9LpQqU5a3Tn32f")</f>
        <v>https://yadi.sk/d/9LpQqU5a3Tn32f</v>
      </c>
      <c r="K188" s="79"/>
      <c r="L188" s="10" t="s">
        <v>341</v>
      </c>
      <c r="M188" s="10" t="s">
        <v>342</v>
      </c>
    </row>
    <row r="189" spans="1:13" ht="15" hidden="1" customHeight="1">
      <c r="A189" s="49">
        <v>43185</v>
      </c>
      <c r="B189" s="74" t="s">
        <v>310</v>
      </c>
      <c r="C189" s="74" t="s">
        <v>778</v>
      </c>
      <c r="D189" s="74" t="s">
        <v>119</v>
      </c>
      <c r="E189" s="74" t="s">
        <v>677</v>
      </c>
      <c r="F189" s="77">
        <v>0.76736111111111116</v>
      </c>
      <c r="G189" s="78" t="s">
        <v>71</v>
      </c>
      <c r="H189" s="78" t="s">
        <v>71</v>
      </c>
      <c r="I189" s="78" t="s">
        <v>71</v>
      </c>
      <c r="J189" s="72" t="str">
        <f>HYPERLINK("https://yadi.sk/d/A9ajLClc3Tn2zV","https://yadi.sk/d/A9ajLClc3Tn2zV")</f>
        <v>https://yadi.sk/d/A9ajLClc3Tn2zV</v>
      </c>
      <c r="K189" s="80"/>
      <c r="L189" s="10" t="s">
        <v>341</v>
      </c>
      <c r="M189" s="10" t="s">
        <v>342</v>
      </c>
    </row>
    <row r="190" spans="1:13" ht="15" hidden="1" customHeight="1">
      <c r="A190" s="49">
        <v>43185</v>
      </c>
      <c r="B190" s="74" t="s">
        <v>310</v>
      </c>
      <c r="C190" s="74" t="s">
        <v>779</v>
      </c>
      <c r="D190" s="74" t="s">
        <v>271</v>
      </c>
      <c r="E190" s="74" t="s">
        <v>678</v>
      </c>
      <c r="F190" s="77">
        <v>0.79305555555555551</v>
      </c>
      <c r="G190" s="78" t="s">
        <v>71</v>
      </c>
      <c r="H190" s="78" t="s">
        <v>71</v>
      </c>
      <c r="I190" s="78" t="s">
        <v>71</v>
      </c>
      <c r="J190" s="72" t="str">
        <f>HYPERLINK("https://yadi.sk/d/i8ySzKgi3Tn2yL","https://yadi.sk/d/i8ySzKgi3Tn2yL")</f>
        <v>https://yadi.sk/d/i8ySzKgi3Tn2yL</v>
      </c>
      <c r="K190" s="80"/>
      <c r="L190" s="10" t="s">
        <v>343</v>
      </c>
      <c r="M190" s="10" t="s">
        <v>344</v>
      </c>
    </row>
    <row r="191" spans="1:13" ht="15" hidden="1" customHeight="1">
      <c r="A191" s="49">
        <v>43185</v>
      </c>
      <c r="B191" s="74" t="s">
        <v>679</v>
      </c>
      <c r="C191" s="74" t="s">
        <v>671</v>
      </c>
      <c r="D191" s="74" t="s">
        <v>186</v>
      </c>
      <c r="E191" s="74" t="s">
        <v>680</v>
      </c>
      <c r="F191" s="77">
        <v>0.8125</v>
      </c>
      <c r="G191" s="78" t="s">
        <v>14</v>
      </c>
      <c r="H191" s="78"/>
      <c r="I191" s="78"/>
      <c r="J191" s="72" t="s">
        <v>681</v>
      </c>
      <c r="K191" s="81" t="s">
        <v>682</v>
      </c>
      <c r="L191" s="10" t="s">
        <v>492</v>
      </c>
      <c r="M191" s="10">
        <v>89109149497</v>
      </c>
    </row>
    <row r="192" spans="1:13" ht="15" hidden="1" customHeight="1">
      <c r="A192" s="49">
        <v>43185</v>
      </c>
      <c r="B192" s="74" t="s">
        <v>679</v>
      </c>
      <c r="C192" s="74" t="s">
        <v>489</v>
      </c>
      <c r="D192" s="74" t="s">
        <v>186</v>
      </c>
      <c r="E192" s="74" t="s">
        <v>683</v>
      </c>
      <c r="F192" s="77">
        <v>0.79861111111111116</v>
      </c>
      <c r="G192" s="78" t="s">
        <v>71</v>
      </c>
      <c r="H192" s="78" t="s">
        <v>71</v>
      </c>
      <c r="I192" s="78" t="s">
        <v>71</v>
      </c>
      <c r="J192" s="72" t="s">
        <v>684</v>
      </c>
      <c r="K192" s="80"/>
      <c r="L192" s="10" t="s">
        <v>492</v>
      </c>
      <c r="M192" s="10">
        <v>89109149497</v>
      </c>
    </row>
    <row r="193" spans="1:13" ht="15" hidden="1" customHeight="1">
      <c r="A193" s="49">
        <v>43185</v>
      </c>
      <c r="B193" s="74" t="s">
        <v>679</v>
      </c>
      <c r="C193" s="74" t="s">
        <v>299</v>
      </c>
      <c r="D193" s="74" t="s">
        <v>186</v>
      </c>
      <c r="E193" s="74" t="s">
        <v>685</v>
      </c>
      <c r="F193" s="77">
        <v>0.81944444444444442</v>
      </c>
      <c r="G193" s="78" t="s">
        <v>14</v>
      </c>
      <c r="H193" s="78"/>
      <c r="I193" s="78"/>
      <c r="J193" s="72" t="s">
        <v>686</v>
      </c>
      <c r="K193" s="81" t="s">
        <v>687</v>
      </c>
      <c r="L193" s="10" t="s">
        <v>303</v>
      </c>
      <c r="M193" s="10">
        <v>89208755587</v>
      </c>
    </row>
    <row r="194" spans="1:13" ht="15" hidden="1" customHeight="1">
      <c r="A194" s="49">
        <v>43185</v>
      </c>
      <c r="B194" s="74" t="s">
        <v>679</v>
      </c>
      <c r="C194" s="74" t="s">
        <v>301</v>
      </c>
      <c r="D194" s="74" t="s">
        <v>186</v>
      </c>
      <c r="E194" s="74" t="s">
        <v>688</v>
      </c>
      <c r="F194" s="77">
        <v>0.79861111111111116</v>
      </c>
      <c r="G194" s="78" t="s">
        <v>71</v>
      </c>
      <c r="H194" s="78" t="s">
        <v>71</v>
      </c>
      <c r="I194" s="78" t="s">
        <v>71</v>
      </c>
      <c r="J194" s="72" t="s">
        <v>689</v>
      </c>
      <c r="K194" s="80"/>
      <c r="L194" s="10" t="s">
        <v>303</v>
      </c>
      <c r="M194" s="10">
        <v>89208755587</v>
      </c>
    </row>
    <row r="195" spans="1:13" ht="15" hidden="1" customHeight="1">
      <c r="A195" s="49">
        <v>43185</v>
      </c>
      <c r="B195" s="74" t="s">
        <v>97</v>
      </c>
      <c r="C195" s="74" t="s">
        <v>780</v>
      </c>
      <c r="D195" s="74" t="s">
        <v>119</v>
      </c>
      <c r="E195" s="74" t="s">
        <v>690</v>
      </c>
      <c r="F195" s="77">
        <v>0.77777777777777779</v>
      </c>
      <c r="G195" s="78" t="s">
        <v>71</v>
      </c>
      <c r="H195" s="78" t="s">
        <v>71</v>
      </c>
      <c r="I195" s="78" t="s">
        <v>71</v>
      </c>
      <c r="J195" s="72" t="s">
        <v>691</v>
      </c>
      <c r="K195" s="80"/>
      <c r="L195" s="10" t="s">
        <v>141</v>
      </c>
      <c r="M195" s="10">
        <v>89027231777</v>
      </c>
    </row>
    <row r="196" spans="1:13" ht="15" hidden="1" customHeight="1">
      <c r="A196" s="49">
        <v>43185</v>
      </c>
      <c r="B196" s="74" t="s">
        <v>97</v>
      </c>
      <c r="C196" s="74" t="s">
        <v>781</v>
      </c>
      <c r="D196" s="74" t="s">
        <v>119</v>
      </c>
      <c r="E196" s="74" t="s">
        <v>692</v>
      </c>
      <c r="F196" s="77">
        <v>0.78819444444444442</v>
      </c>
      <c r="G196" s="78" t="s">
        <v>14</v>
      </c>
      <c r="H196" s="78"/>
      <c r="I196" s="78"/>
      <c r="J196" s="72" t="s">
        <v>693</v>
      </c>
      <c r="K196" s="81" t="s">
        <v>694</v>
      </c>
      <c r="L196" s="10" t="s">
        <v>141</v>
      </c>
      <c r="M196" s="10">
        <v>89027231777</v>
      </c>
    </row>
    <row r="197" spans="1:13" ht="15" hidden="1" customHeight="1">
      <c r="A197" s="49">
        <v>43185</v>
      </c>
      <c r="B197" s="74" t="s">
        <v>97</v>
      </c>
      <c r="C197" s="74" t="s">
        <v>782</v>
      </c>
      <c r="D197" s="74" t="s">
        <v>119</v>
      </c>
      <c r="E197" s="74" t="s">
        <v>695</v>
      </c>
      <c r="F197" s="77">
        <v>0.77430555555555558</v>
      </c>
      <c r="G197" s="78" t="s">
        <v>14</v>
      </c>
      <c r="H197" s="78"/>
      <c r="I197" s="78"/>
      <c r="J197" s="72" t="s">
        <v>696</v>
      </c>
      <c r="K197" s="81" t="s">
        <v>697</v>
      </c>
      <c r="L197" s="10" t="s">
        <v>142</v>
      </c>
      <c r="M197" s="10" t="s">
        <v>143</v>
      </c>
    </row>
    <row r="198" spans="1:13" ht="15" hidden="1" customHeight="1">
      <c r="A198" s="49">
        <v>43185</v>
      </c>
      <c r="B198" s="74" t="s">
        <v>97</v>
      </c>
      <c r="C198" s="74" t="s">
        <v>783</v>
      </c>
      <c r="D198" s="74" t="s">
        <v>119</v>
      </c>
      <c r="E198" s="74" t="s">
        <v>698</v>
      </c>
      <c r="F198" s="77">
        <v>0.79513888888888884</v>
      </c>
      <c r="G198" s="78" t="s">
        <v>14</v>
      </c>
      <c r="H198" s="78"/>
      <c r="I198" s="78"/>
      <c r="J198" s="72" t="s">
        <v>699</v>
      </c>
      <c r="K198" s="81" t="s">
        <v>700</v>
      </c>
      <c r="L198" s="10" t="s">
        <v>142</v>
      </c>
      <c r="M198" s="10" t="s">
        <v>143</v>
      </c>
    </row>
    <row r="199" spans="1:13" ht="15" customHeight="1">
      <c r="A199" s="49">
        <v>43185</v>
      </c>
      <c r="B199" s="74" t="s">
        <v>68</v>
      </c>
      <c r="C199" s="119" t="s">
        <v>91</v>
      </c>
      <c r="D199" s="119" t="s">
        <v>107</v>
      </c>
      <c r="E199" s="119" t="s">
        <v>837</v>
      </c>
      <c r="F199" s="120">
        <v>0.79166666666666663</v>
      </c>
      <c r="G199" s="121" t="s">
        <v>71</v>
      </c>
      <c r="H199" s="121" t="s">
        <v>71</v>
      </c>
      <c r="I199" s="121" t="s">
        <v>71</v>
      </c>
      <c r="J199" s="122" t="s">
        <v>309</v>
      </c>
      <c r="K199" s="123"/>
      <c r="L199" s="17" t="s">
        <v>85</v>
      </c>
      <c r="M199" s="17" t="s">
        <v>86</v>
      </c>
    </row>
    <row r="200" spans="1:13" ht="15" customHeight="1">
      <c r="A200" s="49">
        <v>43185</v>
      </c>
      <c r="B200" s="74" t="s">
        <v>68</v>
      </c>
      <c r="C200" s="119" t="s">
        <v>92</v>
      </c>
      <c r="D200" s="119" t="s">
        <v>107</v>
      </c>
      <c r="E200" s="119" t="s">
        <v>838</v>
      </c>
      <c r="F200" s="120">
        <v>0.80208333333333337</v>
      </c>
      <c r="G200" s="121" t="s">
        <v>71</v>
      </c>
      <c r="H200" s="121" t="s">
        <v>71</v>
      </c>
      <c r="I200" s="121" t="s">
        <v>71</v>
      </c>
      <c r="J200" s="122" t="s">
        <v>309</v>
      </c>
      <c r="K200" s="123"/>
      <c r="L200" s="17" t="s">
        <v>85</v>
      </c>
      <c r="M200" s="17" t="s">
        <v>86</v>
      </c>
    </row>
    <row r="201" spans="1:13" ht="15" customHeight="1">
      <c r="A201" s="49">
        <v>43185</v>
      </c>
      <c r="B201" s="74" t="s">
        <v>68</v>
      </c>
      <c r="C201" s="119" t="s">
        <v>93</v>
      </c>
      <c r="D201" s="119" t="s">
        <v>107</v>
      </c>
      <c r="E201" s="119" t="s">
        <v>839</v>
      </c>
      <c r="F201" s="120">
        <v>0.80763888888888891</v>
      </c>
      <c r="G201" s="121" t="s">
        <v>71</v>
      </c>
      <c r="H201" s="121" t="s">
        <v>71</v>
      </c>
      <c r="I201" s="121" t="s">
        <v>71</v>
      </c>
      <c r="J201" s="122" t="s">
        <v>309</v>
      </c>
      <c r="K201" s="123"/>
      <c r="L201" s="17" t="s">
        <v>85</v>
      </c>
      <c r="M201" s="17" t="s">
        <v>86</v>
      </c>
    </row>
    <row r="202" spans="1:13" ht="15" customHeight="1">
      <c r="A202" s="49">
        <v>43185</v>
      </c>
      <c r="B202" s="74" t="s">
        <v>68</v>
      </c>
      <c r="C202" s="119" t="s">
        <v>308</v>
      </c>
      <c r="D202" s="119" t="s">
        <v>107</v>
      </c>
      <c r="E202" s="119" t="s">
        <v>840</v>
      </c>
      <c r="F202" s="120">
        <v>0.81944444444444453</v>
      </c>
      <c r="G202" s="121" t="s">
        <v>71</v>
      </c>
      <c r="H202" s="121" t="s">
        <v>71</v>
      </c>
      <c r="I202" s="121" t="s">
        <v>71</v>
      </c>
      <c r="J202" s="122" t="s">
        <v>309</v>
      </c>
      <c r="K202" s="123"/>
      <c r="L202" s="17" t="s">
        <v>85</v>
      </c>
      <c r="M202" s="17" t="s">
        <v>86</v>
      </c>
    </row>
    <row r="203" spans="1:13" ht="15" hidden="1" customHeight="1">
      <c r="A203" s="22">
        <v>43186</v>
      </c>
      <c r="B203" s="73" t="s">
        <v>11</v>
      </c>
      <c r="C203" s="73" t="s">
        <v>159</v>
      </c>
      <c r="D203" s="73" t="s">
        <v>701</v>
      </c>
      <c r="E203" s="73" t="s">
        <v>702</v>
      </c>
      <c r="F203" s="75">
        <v>0.7729166666666667</v>
      </c>
      <c r="G203" s="76" t="s">
        <v>71</v>
      </c>
      <c r="H203" s="76" t="s">
        <v>71</v>
      </c>
      <c r="I203" s="76" t="s">
        <v>71</v>
      </c>
      <c r="J203" s="71" t="str">
        <f>HYPERLINK("https://yadi.sk/d/7DOJzwwC3TpUHY","https://yadi.sk/d/7DOJzwwC3TpUHY")</f>
        <v>https://yadi.sk/d/7DOJzwwC3TpUHY</v>
      </c>
      <c r="K203" s="79"/>
      <c r="L203" s="10" t="s">
        <v>785</v>
      </c>
      <c r="M203" s="10" t="s">
        <v>434</v>
      </c>
    </row>
    <row r="204" spans="1:13" ht="15" hidden="1" customHeight="1">
      <c r="A204" s="22">
        <v>43186</v>
      </c>
      <c r="B204" s="74" t="s">
        <v>11</v>
      </c>
      <c r="C204" s="74" t="s">
        <v>784</v>
      </c>
      <c r="D204" s="74" t="s">
        <v>703</v>
      </c>
      <c r="E204" s="74" t="s">
        <v>704</v>
      </c>
      <c r="F204" s="77">
        <v>0.80277777777777781</v>
      </c>
      <c r="G204" s="78" t="s">
        <v>14</v>
      </c>
      <c r="H204" s="78"/>
      <c r="I204" s="78"/>
      <c r="J204" s="72" t="str">
        <f>HYPERLINK("https://yadi.sk/i/Xcph4S_B3TpUL9","https://yadi.sk/i/Xcph4S_B3TpUL9")</f>
        <v>https://yadi.sk/i/Xcph4S_B3TpUL9</v>
      </c>
      <c r="K204" s="81" t="s">
        <v>705</v>
      </c>
      <c r="L204" s="10" t="s">
        <v>786</v>
      </c>
      <c r="M204" s="10" t="s">
        <v>146</v>
      </c>
    </row>
    <row r="205" spans="1:13" ht="15" hidden="1" customHeight="1">
      <c r="A205" s="22">
        <v>43186</v>
      </c>
      <c r="B205" s="74" t="s">
        <v>11</v>
      </c>
      <c r="C205" s="74" t="s">
        <v>706</v>
      </c>
      <c r="D205" s="74" t="s">
        <v>703</v>
      </c>
      <c r="E205" s="74" t="s">
        <v>707</v>
      </c>
      <c r="F205" s="77">
        <v>0.81666666666666665</v>
      </c>
      <c r="G205" s="78" t="s">
        <v>71</v>
      </c>
      <c r="H205" s="78" t="s">
        <v>14</v>
      </c>
      <c r="I205" s="78" t="s">
        <v>71</v>
      </c>
      <c r="J205" s="72" t="str">
        <f>HYPERLINK("https://yadi.sk/d/NOzvfH-E3TpUYg","https://yadi.sk/d/NOzvfH-E3TpUYg")</f>
        <v>https://yadi.sk/d/NOzvfH-E3TpUYg</v>
      </c>
      <c r="K205" s="80"/>
      <c r="L205" s="10" t="s">
        <v>787</v>
      </c>
      <c r="M205" s="10" t="s">
        <v>788</v>
      </c>
    </row>
    <row r="206" spans="1:13" ht="15" hidden="1" customHeight="1">
      <c r="A206" s="22">
        <v>43186</v>
      </c>
      <c r="B206" s="74" t="s">
        <v>11</v>
      </c>
      <c r="C206" s="74" t="s">
        <v>350</v>
      </c>
      <c r="D206" s="74" t="s">
        <v>703</v>
      </c>
      <c r="E206" s="74" t="s">
        <v>708</v>
      </c>
      <c r="F206" s="77">
        <v>0.81597222222222221</v>
      </c>
      <c r="G206" s="78" t="s">
        <v>71</v>
      </c>
      <c r="H206" s="78" t="s">
        <v>71</v>
      </c>
      <c r="I206" s="78" t="s">
        <v>71</v>
      </c>
      <c r="J206" s="72" t="str">
        <f>HYPERLINK("https://yadi.sk/d/YqcuEatS3TpUdx","https://yadi.sk/d/YqcuEatS3TpUdx")</f>
        <v>https://yadi.sk/d/YqcuEatS3TpUdx</v>
      </c>
      <c r="K206" s="80"/>
      <c r="L206" s="10" t="s">
        <v>786</v>
      </c>
      <c r="M206" s="10" t="s">
        <v>146</v>
      </c>
    </row>
    <row r="207" spans="1:13" ht="15" hidden="1" customHeight="1">
      <c r="A207" s="22">
        <v>43186</v>
      </c>
      <c r="B207" s="74" t="s">
        <v>203</v>
      </c>
      <c r="C207" s="74" t="s">
        <v>789</v>
      </c>
      <c r="D207" s="74" t="s">
        <v>119</v>
      </c>
      <c r="E207" s="74" t="s">
        <v>709</v>
      </c>
      <c r="F207" s="77">
        <v>0.77430555555555558</v>
      </c>
      <c r="G207" s="78" t="s">
        <v>71</v>
      </c>
      <c r="H207" s="78" t="s">
        <v>71</v>
      </c>
      <c r="I207" s="78" t="s">
        <v>71</v>
      </c>
      <c r="J207" s="72" t="s">
        <v>710</v>
      </c>
      <c r="K207" s="80"/>
      <c r="L207" s="10" t="s">
        <v>611</v>
      </c>
      <c r="M207" s="10" t="s">
        <v>242</v>
      </c>
    </row>
    <row r="208" spans="1:13" ht="15" hidden="1" customHeight="1">
      <c r="A208" s="22">
        <v>43186</v>
      </c>
      <c r="B208" s="74" t="s">
        <v>203</v>
      </c>
      <c r="C208" s="74" t="s">
        <v>790</v>
      </c>
      <c r="D208" s="74" t="s">
        <v>119</v>
      </c>
      <c r="E208" s="74" t="s">
        <v>711</v>
      </c>
      <c r="F208" s="77">
        <v>0.79374999999999996</v>
      </c>
      <c r="G208" s="78" t="s">
        <v>71</v>
      </c>
      <c r="H208" s="78" t="s">
        <v>71</v>
      </c>
      <c r="I208" s="78" t="s">
        <v>71</v>
      </c>
      <c r="J208" s="72" t="s">
        <v>712</v>
      </c>
      <c r="K208" s="80"/>
      <c r="L208" s="10" t="s">
        <v>245</v>
      </c>
      <c r="M208" s="10" t="s">
        <v>246</v>
      </c>
    </row>
    <row r="209" spans="1:13" ht="15" hidden="1" customHeight="1">
      <c r="A209" s="22">
        <v>43186</v>
      </c>
      <c r="B209" s="74" t="s">
        <v>130</v>
      </c>
      <c r="C209" s="74" t="s">
        <v>791</v>
      </c>
      <c r="D209" s="74" t="s">
        <v>383</v>
      </c>
      <c r="E209" s="74" t="s">
        <v>713</v>
      </c>
      <c r="F209" s="77">
        <v>0.79861111111111116</v>
      </c>
      <c r="G209" s="78" t="s">
        <v>14</v>
      </c>
      <c r="H209" s="78"/>
      <c r="I209" s="78"/>
      <c r="J209" s="72" t="s">
        <v>714</v>
      </c>
      <c r="K209" s="81" t="s">
        <v>715</v>
      </c>
      <c r="L209" s="10" t="s">
        <v>139</v>
      </c>
      <c r="M209" s="10" t="s">
        <v>140</v>
      </c>
    </row>
    <row r="210" spans="1:13" ht="15" hidden="1" customHeight="1">
      <c r="A210" s="22">
        <v>43186</v>
      </c>
      <c r="B210" s="74" t="s">
        <v>130</v>
      </c>
      <c r="C210" s="74" t="s">
        <v>792</v>
      </c>
      <c r="D210" s="74" t="s">
        <v>383</v>
      </c>
      <c r="E210" s="74" t="s">
        <v>716</v>
      </c>
      <c r="F210" s="77">
        <v>0.78472222222222221</v>
      </c>
      <c r="G210" s="78" t="s">
        <v>14</v>
      </c>
      <c r="H210" s="78"/>
      <c r="I210" s="78"/>
      <c r="J210" s="72" t="s">
        <v>717</v>
      </c>
      <c r="K210" s="81" t="s">
        <v>718</v>
      </c>
      <c r="L210" s="10" t="s">
        <v>139</v>
      </c>
      <c r="M210" s="10" t="s">
        <v>140</v>
      </c>
    </row>
    <row r="211" spans="1:13" ht="15" hidden="1" customHeight="1">
      <c r="A211" s="22">
        <v>43186</v>
      </c>
      <c r="B211" s="74" t="s">
        <v>130</v>
      </c>
      <c r="C211" s="74" t="s">
        <v>793</v>
      </c>
      <c r="D211" s="74" t="s">
        <v>383</v>
      </c>
      <c r="E211" s="74" t="s">
        <v>719</v>
      </c>
      <c r="F211" s="77">
        <v>0.81944444444444442</v>
      </c>
      <c r="G211" s="78" t="s">
        <v>14</v>
      </c>
      <c r="H211" s="78"/>
      <c r="I211" s="78"/>
      <c r="J211" s="72" t="s">
        <v>720</v>
      </c>
      <c r="K211" s="81" t="s">
        <v>721</v>
      </c>
      <c r="L211" s="10" t="s">
        <v>139</v>
      </c>
      <c r="M211" s="10" t="s">
        <v>140</v>
      </c>
    </row>
    <row r="212" spans="1:13" ht="15" hidden="1" customHeight="1">
      <c r="A212" s="22">
        <v>43186</v>
      </c>
      <c r="B212" s="74" t="s">
        <v>130</v>
      </c>
      <c r="C212" s="74" t="s">
        <v>794</v>
      </c>
      <c r="D212" s="74" t="s">
        <v>383</v>
      </c>
      <c r="E212" s="74" t="s">
        <v>722</v>
      </c>
      <c r="F212" s="77">
        <v>0.83333333333333337</v>
      </c>
      <c r="G212" s="78" t="s">
        <v>71</v>
      </c>
      <c r="H212" s="78" t="s">
        <v>71</v>
      </c>
      <c r="I212" s="78" t="s">
        <v>71</v>
      </c>
      <c r="J212" s="72" t="s">
        <v>723</v>
      </c>
      <c r="K212" s="80"/>
      <c r="L212" s="10" t="s">
        <v>139</v>
      </c>
      <c r="M212" s="10" t="s">
        <v>140</v>
      </c>
    </row>
    <row r="213" spans="1:13" ht="15" hidden="1" customHeight="1">
      <c r="A213" s="22">
        <v>43186</v>
      </c>
      <c r="B213" s="74" t="s">
        <v>393</v>
      </c>
      <c r="C213" s="74" t="s">
        <v>772</v>
      </c>
      <c r="D213" s="74" t="s">
        <v>529</v>
      </c>
      <c r="E213" s="74" t="s">
        <v>724</v>
      </c>
      <c r="F213" s="77">
        <v>0.74444444444444446</v>
      </c>
      <c r="G213" s="78" t="s">
        <v>14</v>
      </c>
      <c r="H213" s="78"/>
      <c r="I213" s="78"/>
      <c r="J213" s="72" t="s">
        <v>725</v>
      </c>
      <c r="K213" s="81" t="s">
        <v>726</v>
      </c>
      <c r="L213" s="10" t="s">
        <v>776</v>
      </c>
      <c r="M213" s="10" t="s">
        <v>777</v>
      </c>
    </row>
    <row r="214" spans="1:13" ht="15" hidden="1" customHeight="1">
      <c r="A214" s="22">
        <v>43186</v>
      </c>
      <c r="B214" s="74" t="s">
        <v>393</v>
      </c>
      <c r="C214" s="74" t="s">
        <v>773</v>
      </c>
      <c r="D214" s="74" t="s">
        <v>22</v>
      </c>
      <c r="E214" s="74" t="s">
        <v>727</v>
      </c>
      <c r="F214" s="77">
        <v>0.76388888888888884</v>
      </c>
      <c r="G214" s="78" t="s">
        <v>14</v>
      </c>
      <c r="H214" s="78"/>
      <c r="I214" s="78"/>
      <c r="J214" s="72" t="s">
        <v>728</v>
      </c>
      <c r="K214" s="81" t="s">
        <v>729</v>
      </c>
      <c r="L214" s="10" t="s">
        <v>776</v>
      </c>
      <c r="M214" s="10" t="s">
        <v>777</v>
      </c>
    </row>
    <row r="215" spans="1:13" ht="15" hidden="1" customHeight="1">
      <c r="A215" s="22">
        <v>43186</v>
      </c>
      <c r="B215" s="74" t="s">
        <v>393</v>
      </c>
      <c r="C215" s="74" t="s">
        <v>774</v>
      </c>
      <c r="D215" s="74" t="s">
        <v>529</v>
      </c>
      <c r="E215" s="74" t="s">
        <v>730</v>
      </c>
      <c r="F215" s="77">
        <v>0.75</v>
      </c>
      <c r="G215" s="78" t="s">
        <v>14</v>
      </c>
      <c r="H215" s="78"/>
      <c r="I215" s="78"/>
      <c r="J215" s="72" t="s">
        <v>731</v>
      </c>
      <c r="K215" s="81" t="s">
        <v>732</v>
      </c>
      <c r="L215" s="10" t="s">
        <v>776</v>
      </c>
      <c r="M215" s="10" t="s">
        <v>777</v>
      </c>
    </row>
    <row r="216" spans="1:13" ht="15" hidden="1" customHeight="1">
      <c r="A216" s="22">
        <v>43186</v>
      </c>
      <c r="B216" s="74" t="s">
        <v>393</v>
      </c>
      <c r="C216" s="74" t="s">
        <v>775</v>
      </c>
      <c r="D216" s="74" t="s">
        <v>529</v>
      </c>
      <c r="E216" s="74" t="s">
        <v>733</v>
      </c>
      <c r="F216" s="77">
        <v>0.71527777777777779</v>
      </c>
      <c r="G216" s="78" t="s">
        <v>14</v>
      </c>
      <c r="H216" s="78"/>
      <c r="I216" s="78"/>
      <c r="J216" s="72" t="s">
        <v>734</v>
      </c>
      <c r="K216" s="81" t="s">
        <v>735</v>
      </c>
      <c r="L216" s="10" t="s">
        <v>776</v>
      </c>
      <c r="M216" s="10" t="s">
        <v>777</v>
      </c>
    </row>
    <row r="217" spans="1:13" ht="15" hidden="1" customHeight="1">
      <c r="A217" s="49">
        <v>43187</v>
      </c>
      <c r="B217" s="73" t="s">
        <v>174</v>
      </c>
      <c r="C217" s="73" t="s">
        <v>795</v>
      </c>
      <c r="D217" s="73" t="s">
        <v>107</v>
      </c>
      <c r="E217" s="73" t="s">
        <v>736</v>
      </c>
      <c r="F217" s="75">
        <v>0.78055555555555556</v>
      </c>
      <c r="G217" s="76" t="s">
        <v>14</v>
      </c>
      <c r="H217" s="76"/>
      <c r="I217" s="76"/>
      <c r="J217" s="71" t="str">
        <f>HYPERLINK("https://yadi.sk/i/gj43aVlZ3TrZBK","https://yadi.sk/i/gj43aVlZ3TrZBK")</f>
        <v>https://yadi.sk/i/gj43aVlZ3TrZBK</v>
      </c>
      <c r="K217" s="82" t="s">
        <v>737</v>
      </c>
      <c r="L217" s="10" t="s">
        <v>796</v>
      </c>
      <c r="M217" s="10">
        <v>89585696061</v>
      </c>
    </row>
    <row r="218" spans="1:13" ht="15" hidden="1" customHeight="1">
      <c r="A218" s="49">
        <v>43187</v>
      </c>
      <c r="B218" s="74" t="s">
        <v>174</v>
      </c>
      <c r="C218" s="74" t="s">
        <v>178</v>
      </c>
      <c r="D218" s="74" t="s">
        <v>635</v>
      </c>
      <c r="E218" s="74" t="s">
        <v>738</v>
      </c>
      <c r="F218" s="77">
        <v>0.79861111111111116</v>
      </c>
      <c r="G218" s="78" t="s">
        <v>14</v>
      </c>
      <c r="H218" s="78"/>
      <c r="I218" s="78"/>
      <c r="J218" s="72" t="str">
        <f>HYPERLINK("https://yadi.sk/i/vdpaEKgy3TrZBL","https://yadi.sk/i/vdpaEKgy3TrZBL")</f>
        <v>https://yadi.sk/i/vdpaEKgy3TrZBL</v>
      </c>
      <c r="K218" s="81" t="s">
        <v>739</v>
      </c>
      <c r="L218" s="10" t="s">
        <v>236</v>
      </c>
      <c r="M218" s="10" t="s">
        <v>237</v>
      </c>
    </row>
    <row r="219" spans="1:13" ht="15" hidden="1" customHeight="1">
      <c r="A219" s="49">
        <v>43187</v>
      </c>
      <c r="B219" s="74" t="s">
        <v>174</v>
      </c>
      <c r="C219" s="74" t="s">
        <v>460</v>
      </c>
      <c r="D219" s="74" t="s">
        <v>271</v>
      </c>
      <c r="E219" s="74" t="s">
        <v>740</v>
      </c>
      <c r="F219" s="77">
        <v>0.8125</v>
      </c>
      <c r="G219" s="78" t="s">
        <v>14</v>
      </c>
      <c r="H219" s="78"/>
      <c r="I219" s="78"/>
      <c r="J219" s="72" t="str">
        <f>HYPERLINK("https://yadi.sk/i/ML5H65oa3TrZBQ","https://yadi.sk/i/ML5H65oa3TrZBQ")</f>
        <v>https://yadi.sk/i/ML5H65oa3TrZBQ</v>
      </c>
      <c r="K219" s="81" t="s">
        <v>741</v>
      </c>
      <c r="L219" s="10" t="s">
        <v>238</v>
      </c>
      <c r="M219" s="10">
        <v>89043682092</v>
      </c>
    </row>
    <row r="220" spans="1:13" ht="15" hidden="1" customHeight="1">
      <c r="A220" s="49">
        <v>43187</v>
      </c>
      <c r="B220" s="74" t="s">
        <v>174</v>
      </c>
      <c r="C220" s="74" t="s">
        <v>240</v>
      </c>
      <c r="D220" s="74" t="s">
        <v>116</v>
      </c>
      <c r="E220" s="74" t="s">
        <v>742</v>
      </c>
      <c r="F220" s="77">
        <v>0.83680555555555558</v>
      </c>
      <c r="G220" s="78" t="s">
        <v>71</v>
      </c>
      <c r="H220" s="78" t="s">
        <v>71</v>
      </c>
      <c r="I220" s="78" t="s">
        <v>71</v>
      </c>
      <c r="J220" s="72" t="str">
        <f>HYPERLINK("https://yadi.sk/d/4wCf77mP3TrZJa","https://yadi.sk/d/4wCf77mP3TrZJa")</f>
        <v>https://yadi.sk/d/4wCf77mP3TrZJa</v>
      </c>
      <c r="K220" s="81" t="s">
        <v>743</v>
      </c>
      <c r="L220" s="10" t="s">
        <v>238</v>
      </c>
      <c r="M220" s="10">
        <v>89043682092</v>
      </c>
    </row>
    <row r="221" spans="1:13" ht="15" hidden="1" customHeight="1">
      <c r="A221" s="49">
        <v>43187</v>
      </c>
      <c r="B221" s="74" t="s">
        <v>254</v>
      </c>
      <c r="C221" s="74" t="s">
        <v>767</v>
      </c>
      <c r="D221" s="74" t="s">
        <v>420</v>
      </c>
      <c r="E221" s="74" t="s">
        <v>744</v>
      </c>
      <c r="F221" s="77">
        <v>0.74236111111111114</v>
      </c>
      <c r="G221" s="78" t="s">
        <v>14</v>
      </c>
      <c r="H221" s="78"/>
      <c r="I221" s="78"/>
      <c r="J221" s="72" t="str">
        <f>HYPERLINK("https://yadi.sk/i/KSJBLxZG3Trbu3","https://yadi.sk/i/KSJBLxZG3Trbu3")</f>
        <v>https://yadi.sk/i/KSJBLxZG3Trbu3</v>
      </c>
      <c r="K221" s="81" t="s">
        <v>745</v>
      </c>
      <c r="L221" s="10" t="s">
        <v>769</v>
      </c>
      <c r="M221" s="10" t="s">
        <v>770</v>
      </c>
    </row>
    <row r="222" spans="1:13" ht="15" hidden="1" customHeight="1">
      <c r="A222" s="49">
        <v>43187</v>
      </c>
      <c r="B222" s="74" t="s">
        <v>254</v>
      </c>
      <c r="C222" s="74" t="s">
        <v>573</v>
      </c>
      <c r="D222" s="74" t="s">
        <v>746</v>
      </c>
      <c r="E222" s="74" t="s">
        <v>747</v>
      </c>
      <c r="F222" s="77">
        <v>0.75138888888888888</v>
      </c>
      <c r="G222" s="78" t="s">
        <v>14</v>
      </c>
      <c r="H222" s="78"/>
      <c r="I222" s="78"/>
      <c r="J222" s="72" t="str">
        <f>HYPERLINK("https://yadi.sk/i/byD12TAG3TrbuR","https://yadi.sk/i/byD12TAG3TrbuR")</f>
        <v>https://yadi.sk/i/byD12TAG3TrbuR</v>
      </c>
      <c r="K222" s="81" t="s">
        <v>748</v>
      </c>
      <c r="L222" s="10" t="s">
        <v>575</v>
      </c>
      <c r="M222" s="10" t="s">
        <v>576</v>
      </c>
    </row>
    <row r="223" spans="1:13" ht="15" hidden="1" customHeight="1">
      <c r="A223" s="49">
        <v>43187</v>
      </c>
      <c r="B223" s="74" t="s">
        <v>254</v>
      </c>
      <c r="C223" s="74" t="s">
        <v>768</v>
      </c>
      <c r="D223" s="74" t="s">
        <v>749</v>
      </c>
      <c r="E223" s="74" t="s">
        <v>750</v>
      </c>
      <c r="F223" s="77">
        <v>0.78472222222222221</v>
      </c>
      <c r="G223" s="78" t="s">
        <v>14</v>
      </c>
      <c r="H223" s="78"/>
      <c r="I223" s="78"/>
      <c r="J223" s="72" t="str">
        <f>HYPERLINK("https://yadi.sk/i/FmYWHfqy3Trbu9","https://yadi.sk/i/FmYWHfqy3Trbu9")</f>
        <v>https://yadi.sk/i/FmYWHfqy3Trbu9</v>
      </c>
      <c r="K223" s="81" t="s">
        <v>535</v>
      </c>
      <c r="L223" s="10" t="s">
        <v>532</v>
      </c>
      <c r="M223" s="10">
        <v>89040044424</v>
      </c>
    </row>
    <row r="224" spans="1:13" ht="15" hidden="1" customHeight="1">
      <c r="A224" s="49">
        <v>43187</v>
      </c>
      <c r="B224" s="74" t="s">
        <v>254</v>
      </c>
      <c r="C224" s="74" t="s">
        <v>290</v>
      </c>
      <c r="D224" s="74" t="s">
        <v>119</v>
      </c>
      <c r="E224" s="74" t="s">
        <v>751</v>
      </c>
      <c r="F224" s="77">
        <v>0.77430555555555558</v>
      </c>
      <c r="G224" s="78" t="s">
        <v>14</v>
      </c>
      <c r="H224" s="78"/>
      <c r="I224" s="78"/>
      <c r="J224" s="72" t="str">
        <f>HYPERLINK("https://yadi.sk/i/mBEjiCZj3Trbt8","https://yadi.sk/i/mBEjiCZj3Trbt8")</f>
        <v>https://yadi.sk/i/mBEjiCZj3Trbt8</v>
      </c>
      <c r="K224" s="81" t="s">
        <v>752</v>
      </c>
      <c r="L224" s="10" t="s">
        <v>292</v>
      </c>
      <c r="M224" s="10" t="s">
        <v>771</v>
      </c>
    </row>
    <row r="225" spans="1:13" ht="15" hidden="1" customHeight="1">
      <c r="A225" s="49">
        <v>43187</v>
      </c>
      <c r="B225" s="74" t="s">
        <v>34</v>
      </c>
      <c r="C225" s="74" t="s">
        <v>293</v>
      </c>
      <c r="D225" s="74" t="s">
        <v>186</v>
      </c>
      <c r="E225" s="74" t="s">
        <v>753</v>
      </c>
      <c r="F225" s="77">
        <v>0.80972222222222223</v>
      </c>
      <c r="G225" s="78" t="s">
        <v>71</v>
      </c>
      <c r="H225" s="78" t="s">
        <v>71</v>
      </c>
      <c r="I225" s="78" t="s">
        <v>71</v>
      </c>
      <c r="J225" s="72" t="str">
        <f>HYPERLINK("https://yadi.sk/d/ahY7EBAy3TrdZ5","https://yadi.sk/d/ahY7EBAy3TrdZ5")</f>
        <v>https://yadi.sk/d/ahY7EBAy3TrdZ5</v>
      </c>
      <c r="K225" s="80"/>
      <c r="L225" s="10" t="s">
        <v>797</v>
      </c>
      <c r="M225" s="10">
        <v>89206346464</v>
      </c>
    </row>
    <row r="226" spans="1:13" ht="15" hidden="1" customHeight="1">
      <c r="A226" s="49">
        <v>43187</v>
      </c>
      <c r="B226" s="74" t="s">
        <v>34</v>
      </c>
      <c r="C226" s="74" t="s">
        <v>561</v>
      </c>
      <c r="D226" s="74" t="s">
        <v>186</v>
      </c>
      <c r="E226" s="74" t="s">
        <v>753</v>
      </c>
      <c r="F226" s="77">
        <v>0.8125</v>
      </c>
      <c r="G226" s="78" t="s">
        <v>71</v>
      </c>
      <c r="H226" s="78" t="s">
        <v>71</v>
      </c>
      <c r="I226" s="78" t="s">
        <v>71</v>
      </c>
      <c r="J226" s="72" t="str">
        <f>HYPERLINK("https://yadi.sk/d/2wKxYSjg3TrdY4","https://yadi.sk/d/2wKxYSjg3TrdY4")</f>
        <v>https://yadi.sk/d/2wKxYSjg3TrdY4</v>
      </c>
      <c r="K226" s="80"/>
      <c r="L226" s="10" t="s">
        <v>797</v>
      </c>
      <c r="M226" s="10">
        <v>89206346464</v>
      </c>
    </row>
    <row r="227" spans="1:13" ht="15" hidden="1" customHeight="1">
      <c r="A227" s="49">
        <v>43187</v>
      </c>
      <c r="B227" s="74" t="s">
        <v>34</v>
      </c>
      <c r="C227" s="74" t="s">
        <v>559</v>
      </c>
      <c r="D227" s="74" t="s">
        <v>186</v>
      </c>
      <c r="E227" s="74" t="s">
        <v>754</v>
      </c>
      <c r="F227" s="77">
        <v>0.84722222222222221</v>
      </c>
      <c r="G227" s="78" t="s">
        <v>14</v>
      </c>
      <c r="H227" s="78"/>
      <c r="I227" s="78"/>
      <c r="J227" s="72" t="str">
        <f>HYPERLINK("https://yadi.sk/d/FfNsm_9e3TrdWJ","https://yadi.sk/d/FfNsm_9e3TrdWJ")</f>
        <v>https://yadi.sk/d/FfNsm_9e3TrdWJ</v>
      </c>
      <c r="K227" s="81" t="s">
        <v>755</v>
      </c>
      <c r="L227" s="10" t="s">
        <v>65</v>
      </c>
      <c r="M227" s="10">
        <v>89997648473</v>
      </c>
    </row>
    <row r="228" spans="1:13" ht="15" hidden="1" customHeight="1">
      <c r="A228" s="49">
        <v>43187</v>
      </c>
      <c r="B228" s="74" t="s">
        <v>189</v>
      </c>
      <c r="C228" s="74" t="s">
        <v>798</v>
      </c>
      <c r="D228" s="74" t="s">
        <v>107</v>
      </c>
      <c r="E228" s="74" t="s">
        <v>756</v>
      </c>
      <c r="F228" s="77">
        <v>0.77777777777777779</v>
      </c>
      <c r="G228" s="78" t="s">
        <v>14</v>
      </c>
      <c r="H228" s="78"/>
      <c r="I228" s="78"/>
      <c r="J228" s="72" t="s">
        <v>757</v>
      </c>
      <c r="K228" s="81" t="s">
        <v>758</v>
      </c>
      <c r="L228" s="10" t="s">
        <v>799</v>
      </c>
      <c r="M228" s="10">
        <v>89204077318</v>
      </c>
    </row>
    <row r="229" spans="1:13" ht="15" hidden="1" customHeight="1">
      <c r="A229" s="49">
        <v>43187</v>
      </c>
      <c r="B229" s="74" t="s">
        <v>189</v>
      </c>
      <c r="C229" s="74" t="s">
        <v>462</v>
      </c>
      <c r="D229" s="74" t="s">
        <v>186</v>
      </c>
      <c r="E229" s="74" t="s">
        <v>759</v>
      </c>
      <c r="F229" s="77">
        <v>0.79652777777777772</v>
      </c>
      <c r="G229" s="78" t="s">
        <v>71</v>
      </c>
      <c r="H229" s="78" t="s">
        <v>71</v>
      </c>
      <c r="I229" s="78" t="s">
        <v>71</v>
      </c>
      <c r="J229" s="72" t="s">
        <v>760</v>
      </c>
      <c r="K229" s="80"/>
      <c r="L229" s="10" t="s">
        <v>249</v>
      </c>
      <c r="M229" s="10">
        <v>89050497124</v>
      </c>
    </row>
    <row r="230" spans="1:13" ht="15" hidden="1" customHeight="1">
      <c r="A230" s="49">
        <v>43187</v>
      </c>
      <c r="B230" s="74" t="s">
        <v>189</v>
      </c>
      <c r="C230" s="74" t="s">
        <v>761</v>
      </c>
      <c r="D230" s="74" t="s">
        <v>22</v>
      </c>
      <c r="E230" s="74" t="s">
        <v>762</v>
      </c>
      <c r="F230" s="77">
        <v>0.77083333333333337</v>
      </c>
      <c r="G230" s="78" t="s">
        <v>14</v>
      </c>
      <c r="H230" s="78"/>
      <c r="I230" s="78"/>
      <c r="J230" s="72" t="s">
        <v>763</v>
      </c>
      <c r="K230" s="81" t="s">
        <v>764</v>
      </c>
      <c r="L230" s="10" t="s">
        <v>800</v>
      </c>
      <c r="M230" s="10">
        <v>89204228666</v>
      </c>
    </row>
    <row r="231" spans="1:13" ht="15" hidden="1" customHeight="1">
      <c r="A231" s="49">
        <v>43187</v>
      </c>
      <c r="B231" s="74" t="s">
        <v>189</v>
      </c>
      <c r="C231" s="74" t="s">
        <v>801</v>
      </c>
      <c r="D231" s="74" t="s">
        <v>107</v>
      </c>
      <c r="E231" s="74" t="s">
        <v>765</v>
      </c>
      <c r="F231" s="77">
        <v>0.8125</v>
      </c>
      <c r="G231" s="78" t="s">
        <v>14</v>
      </c>
      <c r="H231" s="78"/>
      <c r="I231" s="78"/>
      <c r="J231" s="72" t="s">
        <v>766</v>
      </c>
      <c r="K231" s="81" t="s">
        <v>758</v>
      </c>
      <c r="L231" s="10" t="s">
        <v>466</v>
      </c>
      <c r="M231" s="10">
        <v>89204191919</v>
      </c>
    </row>
    <row r="232" spans="1:13" ht="15" hidden="1" customHeight="1">
      <c r="A232" s="22">
        <v>43188</v>
      </c>
      <c r="B232" s="73" t="s">
        <v>393</v>
      </c>
      <c r="C232" s="83" t="s">
        <v>471</v>
      </c>
      <c r="D232" s="73" t="s">
        <v>186</v>
      </c>
      <c r="E232" s="73" t="s">
        <v>802</v>
      </c>
      <c r="F232" s="75">
        <v>0.85416666666666663</v>
      </c>
      <c r="G232" s="76" t="s">
        <v>14</v>
      </c>
      <c r="H232" s="76" t="s">
        <v>14</v>
      </c>
      <c r="I232" s="76" t="s">
        <v>14</v>
      </c>
      <c r="J232" s="71" t="s">
        <v>803</v>
      </c>
      <c r="K232" s="82" t="s">
        <v>804</v>
      </c>
      <c r="L232" s="10" t="s">
        <v>474</v>
      </c>
      <c r="M232" s="10" t="s">
        <v>475</v>
      </c>
    </row>
    <row r="233" spans="1:13" ht="15" hidden="1" customHeight="1">
      <c r="A233" s="22">
        <v>43188</v>
      </c>
      <c r="B233" s="74" t="s">
        <v>393</v>
      </c>
      <c r="C233" s="83" t="s">
        <v>472</v>
      </c>
      <c r="D233" s="74" t="s">
        <v>186</v>
      </c>
      <c r="E233" s="74" t="s">
        <v>805</v>
      </c>
      <c r="F233" s="77">
        <v>0.79166666666666663</v>
      </c>
      <c r="G233" s="78" t="s">
        <v>71</v>
      </c>
      <c r="H233" s="78" t="s">
        <v>71</v>
      </c>
      <c r="I233" s="78" t="s">
        <v>71</v>
      </c>
      <c r="J233" s="72" t="s">
        <v>806</v>
      </c>
      <c r="K233" s="80"/>
      <c r="L233" s="10" t="s">
        <v>474</v>
      </c>
      <c r="M233" s="10" t="s">
        <v>475</v>
      </c>
    </row>
    <row r="234" spans="1:13" ht="15" hidden="1" customHeight="1">
      <c r="A234" s="22">
        <v>43188</v>
      </c>
      <c r="B234" s="74" t="s">
        <v>393</v>
      </c>
      <c r="C234" s="83" t="s">
        <v>833</v>
      </c>
      <c r="D234" s="74" t="s">
        <v>186</v>
      </c>
      <c r="E234" s="74" t="s">
        <v>807</v>
      </c>
      <c r="F234" s="77">
        <v>0.8125</v>
      </c>
      <c r="G234" s="78" t="s">
        <v>14</v>
      </c>
      <c r="H234" s="78" t="s">
        <v>14</v>
      </c>
      <c r="I234" s="78" t="s">
        <v>14</v>
      </c>
      <c r="J234" s="72" t="s">
        <v>808</v>
      </c>
      <c r="K234" s="81" t="s">
        <v>809</v>
      </c>
      <c r="L234" s="10" t="s">
        <v>474</v>
      </c>
      <c r="M234" s="10" t="s">
        <v>475</v>
      </c>
    </row>
    <row r="235" spans="1:13" ht="15" hidden="1" customHeight="1">
      <c r="A235" s="22">
        <v>43188</v>
      </c>
      <c r="B235" s="74" t="s">
        <v>393</v>
      </c>
      <c r="C235" s="83" t="s">
        <v>834</v>
      </c>
      <c r="D235" s="74" t="s">
        <v>186</v>
      </c>
      <c r="E235" s="74" t="s">
        <v>810</v>
      </c>
      <c r="F235" s="77">
        <v>0.83333333333333337</v>
      </c>
      <c r="G235" s="78" t="s">
        <v>14</v>
      </c>
      <c r="H235" s="78" t="s">
        <v>14</v>
      </c>
      <c r="I235" s="78" t="s">
        <v>14</v>
      </c>
      <c r="J235" s="72" t="s">
        <v>811</v>
      </c>
      <c r="K235" s="81" t="s">
        <v>809</v>
      </c>
      <c r="L235" s="10" t="s">
        <v>474</v>
      </c>
      <c r="M235" s="10" t="s">
        <v>475</v>
      </c>
    </row>
    <row r="236" spans="1:13" ht="15" hidden="1" customHeight="1">
      <c r="A236" s="22">
        <v>43188</v>
      </c>
      <c r="B236" s="74" t="s">
        <v>97</v>
      </c>
      <c r="C236" s="74" t="s">
        <v>154</v>
      </c>
      <c r="D236" s="74" t="s">
        <v>119</v>
      </c>
      <c r="E236" s="74" t="s">
        <v>812</v>
      </c>
      <c r="F236" s="77">
        <v>0.77083333333333337</v>
      </c>
      <c r="G236" s="78" t="s">
        <v>14</v>
      </c>
      <c r="H236" s="78" t="s">
        <v>14</v>
      </c>
      <c r="I236" s="78" t="s">
        <v>14</v>
      </c>
      <c r="J236" s="72" t="s">
        <v>813</v>
      </c>
      <c r="K236" s="81" t="s">
        <v>814</v>
      </c>
      <c r="L236" s="10" t="s">
        <v>141</v>
      </c>
      <c r="M236" s="10">
        <v>89027231777</v>
      </c>
    </row>
    <row r="237" spans="1:13" ht="15" hidden="1" customHeight="1">
      <c r="A237" s="22">
        <v>43188</v>
      </c>
      <c r="B237" s="74" t="s">
        <v>97</v>
      </c>
      <c r="C237" s="74" t="s">
        <v>835</v>
      </c>
      <c r="D237" s="74" t="s">
        <v>119</v>
      </c>
      <c r="E237" s="74" t="s">
        <v>815</v>
      </c>
      <c r="F237" s="77">
        <v>0.77638888888888891</v>
      </c>
      <c r="G237" s="78" t="s">
        <v>71</v>
      </c>
      <c r="H237" s="78" t="s">
        <v>14</v>
      </c>
      <c r="I237" s="78" t="s">
        <v>14</v>
      </c>
      <c r="J237" s="72" t="s">
        <v>816</v>
      </c>
      <c r="K237" s="81" t="s">
        <v>817</v>
      </c>
      <c r="L237" s="10" t="s">
        <v>141</v>
      </c>
      <c r="M237" s="10">
        <v>89027231777</v>
      </c>
    </row>
    <row r="238" spans="1:13" ht="15" hidden="1" customHeight="1">
      <c r="A238" s="22">
        <v>43188</v>
      </c>
      <c r="B238" s="74" t="s">
        <v>97</v>
      </c>
      <c r="C238" s="74" t="s">
        <v>783</v>
      </c>
      <c r="D238" s="74" t="s">
        <v>119</v>
      </c>
      <c r="E238" s="74" t="s">
        <v>818</v>
      </c>
      <c r="F238" s="77">
        <v>0.79166666666666663</v>
      </c>
      <c r="G238" s="78" t="s">
        <v>14</v>
      </c>
      <c r="H238" s="78" t="s">
        <v>14</v>
      </c>
      <c r="I238" s="78" t="s">
        <v>14</v>
      </c>
      <c r="J238" s="72" t="s">
        <v>819</v>
      </c>
      <c r="K238" s="81" t="s">
        <v>820</v>
      </c>
      <c r="L238" s="10" t="s">
        <v>142</v>
      </c>
      <c r="M238" s="10" t="s">
        <v>143</v>
      </c>
    </row>
    <row r="239" spans="1:13" ht="15" hidden="1" customHeight="1">
      <c r="A239" s="22">
        <v>43188</v>
      </c>
      <c r="B239" s="74" t="s">
        <v>97</v>
      </c>
      <c r="C239" s="74" t="s">
        <v>337</v>
      </c>
      <c r="D239" s="74" t="s">
        <v>821</v>
      </c>
      <c r="E239" s="74" t="s">
        <v>822</v>
      </c>
      <c r="F239" s="77">
        <v>0.80763888888888891</v>
      </c>
      <c r="G239" s="78" t="s">
        <v>71</v>
      </c>
      <c r="H239" s="78" t="s">
        <v>71</v>
      </c>
      <c r="I239" s="78" t="s">
        <v>71</v>
      </c>
      <c r="J239" s="72" t="s">
        <v>823</v>
      </c>
      <c r="K239" s="80"/>
      <c r="L239" s="10" t="s">
        <v>144</v>
      </c>
      <c r="M239" s="10">
        <v>89158888800</v>
      </c>
    </row>
    <row r="240" spans="1:13" ht="15" hidden="1" customHeight="1">
      <c r="A240" s="22">
        <v>43188</v>
      </c>
      <c r="B240" s="74" t="s">
        <v>218</v>
      </c>
      <c r="C240" s="84" t="s">
        <v>836</v>
      </c>
      <c r="D240" s="74" t="s">
        <v>647</v>
      </c>
      <c r="E240" s="74" t="s">
        <v>648</v>
      </c>
      <c r="F240" s="77">
        <v>0.83680555555555558</v>
      </c>
      <c r="G240" s="78" t="s">
        <v>14</v>
      </c>
      <c r="H240" s="78" t="s">
        <v>14</v>
      </c>
      <c r="I240" s="78" t="s">
        <v>14</v>
      </c>
      <c r="J240" s="72" t="s">
        <v>824</v>
      </c>
      <c r="K240" s="81" t="s">
        <v>650</v>
      </c>
      <c r="L240" s="10" t="s">
        <v>488</v>
      </c>
      <c r="M240" s="10">
        <v>89803020082</v>
      </c>
    </row>
    <row r="241" spans="1:13" ht="15" hidden="1" customHeight="1">
      <c r="A241" s="22">
        <v>43188</v>
      </c>
      <c r="B241" s="74" t="s">
        <v>218</v>
      </c>
      <c r="C241" s="84" t="s">
        <v>484</v>
      </c>
      <c r="D241" s="74" t="s">
        <v>427</v>
      </c>
      <c r="E241" s="74" t="s">
        <v>825</v>
      </c>
      <c r="F241" s="77">
        <v>0.77569444444444446</v>
      </c>
      <c r="G241" s="78" t="s">
        <v>71</v>
      </c>
      <c r="H241" s="78" t="s">
        <v>71</v>
      </c>
      <c r="I241" s="78" t="s">
        <v>71</v>
      </c>
      <c r="J241" s="72" t="s">
        <v>826</v>
      </c>
      <c r="K241" s="81" t="s">
        <v>827</v>
      </c>
      <c r="L241" s="10" t="s">
        <v>488</v>
      </c>
      <c r="M241" s="10">
        <v>89803020082</v>
      </c>
    </row>
    <row r="242" spans="1:13" ht="15" hidden="1" customHeight="1">
      <c r="A242" s="22">
        <v>43188</v>
      </c>
      <c r="B242" s="74" t="s">
        <v>218</v>
      </c>
      <c r="C242" s="84" t="s">
        <v>486</v>
      </c>
      <c r="D242" s="74" t="s">
        <v>427</v>
      </c>
      <c r="E242" s="74" t="s">
        <v>825</v>
      </c>
      <c r="F242" s="77">
        <v>0.77777777777777779</v>
      </c>
      <c r="G242" s="78" t="s">
        <v>71</v>
      </c>
      <c r="H242" s="78" t="s">
        <v>71</v>
      </c>
      <c r="I242" s="78" t="s">
        <v>71</v>
      </c>
      <c r="J242" s="72" t="s">
        <v>828</v>
      </c>
      <c r="K242" s="81" t="s">
        <v>829</v>
      </c>
      <c r="L242" s="10" t="s">
        <v>488</v>
      </c>
      <c r="M242" s="10">
        <v>89803020082</v>
      </c>
    </row>
    <row r="243" spans="1:13" ht="15" hidden="1" customHeight="1">
      <c r="A243" s="22">
        <v>43188</v>
      </c>
      <c r="B243" s="74" t="s">
        <v>218</v>
      </c>
      <c r="C243" s="84" t="s">
        <v>673</v>
      </c>
      <c r="D243" s="74" t="s">
        <v>427</v>
      </c>
      <c r="E243" s="74" t="s">
        <v>830</v>
      </c>
      <c r="F243" s="77">
        <v>0.78472222222222221</v>
      </c>
      <c r="G243" s="78" t="s">
        <v>71</v>
      </c>
      <c r="H243" s="78" t="s">
        <v>71</v>
      </c>
      <c r="I243" s="78" t="s">
        <v>71</v>
      </c>
      <c r="J243" s="72" t="s">
        <v>831</v>
      </c>
      <c r="K243" s="81" t="s">
        <v>832</v>
      </c>
      <c r="L243" s="10" t="s">
        <v>488</v>
      </c>
      <c r="M243" s="10">
        <v>89803020082</v>
      </c>
    </row>
    <row r="244" spans="1:13" ht="15" hidden="1">
      <c r="A244" s="49">
        <v>43189</v>
      </c>
      <c r="B244" s="73" t="s">
        <v>161</v>
      </c>
      <c r="C244" s="73" t="s">
        <v>841</v>
      </c>
      <c r="D244" s="93" t="s">
        <v>842</v>
      </c>
      <c r="E244" s="73" t="s">
        <v>843</v>
      </c>
      <c r="F244" s="75">
        <v>0.73611111111111116</v>
      </c>
      <c r="G244" s="76" t="s">
        <v>14</v>
      </c>
      <c r="H244" s="76" t="s">
        <v>14</v>
      </c>
      <c r="I244" s="76" t="s">
        <v>14</v>
      </c>
      <c r="J244" s="71" t="str">
        <f>HYPERLINK("https://yadi.sk/i/1eQJ4SIW3TvqFQ","https://yadi.sk/i/1eQJ4SIW3TvqFQ")</f>
        <v>https://yadi.sk/i/1eQJ4SIW3TvqFQ</v>
      </c>
      <c r="K244" s="90" t="s">
        <v>627</v>
      </c>
    </row>
    <row r="245" spans="1:13" hidden="1">
      <c r="A245" s="49">
        <v>43189</v>
      </c>
      <c r="B245" s="74" t="s">
        <v>24</v>
      </c>
      <c r="C245" s="74" t="s">
        <v>844</v>
      </c>
      <c r="D245" s="74" t="s">
        <v>658</v>
      </c>
      <c r="E245" s="74" t="s">
        <v>845</v>
      </c>
      <c r="F245" s="77">
        <v>0.79652777777777772</v>
      </c>
      <c r="G245" s="78" t="s">
        <v>71</v>
      </c>
      <c r="H245" s="78" t="s">
        <v>71</v>
      </c>
      <c r="I245" s="78" t="s">
        <v>71</v>
      </c>
      <c r="J245" s="72" t="str">
        <f>HYPERLINK("https://yadi.sk/d/XfZ85k5W3Tvqsf","https://yadi.sk/d/XfZ85k5W3Tvqsf")</f>
        <v>https://yadi.sk/d/XfZ85k5W3Tvqsf</v>
      </c>
      <c r="K245" s="91"/>
    </row>
    <row r="246" spans="1:13" hidden="1">
      <c r="A246" s="49">
        <v>43189</v>
      </c>
      <c r="B246" s="74" t="s">
        <v>24</v>
      </c>
      <c r="C246" s="74" t="s">
        <v>846</v>
      </c>
      <c r="D246" s="94" t="s">
        <v>658</v>
      </c>
      <c r="E246" s="74" t="s">
        <v>845</v>
      </c>
      <c r="F246" s="77">
        <v>0.79861111111111116</v>
      </c>
      <c r="G246" s="78" t="s">
        <v>71</v>
      </c>
      <c r="H246" s="78" t="s">
        <v>71</v>
      </c>
      <c r="I246" s="78" t="s">
        <v>71</v>
      </c>
      <c r="J246" s="72" t="str">
        <f>HYPERLINK("https://yadi.sk/d/yIL0gdgW3Tvqzt","https://yadi.sk/d/yIL0gdgW3Tvqzt")</f>
        <v>https://yadi.sk/d/yIL0gdgW3Tvqzt</v>
      </c>
      <c r="K246" s="91"/>
    </row>
    <row r="247" spans="1:13" hidden="1">
      <c r="A247" s="49">
        <v>43189</v>
      </c>
      <c r="B247" s="74" t="s">
        <v>24</v>
      </c>
      <c r="C247" s="74" t="s">
        <v>847</v>
      </c>
      <c r="D247" s="74" t="s">
        <v>658</v>
      </c>
      <c r="E247" s="74" t="s">
        <v>845</v>
      </c>
      <c r="F247" s="77">
        <v>0.80069444444444449</v>
      </c>
      <c r="G247" s="78" t="s">
        <v>71</v>
      </c>
      <c r="H247" s="78" t="s">
        <v>71</v>
      </c>
      <c r="I247" s="78" t="s">
        <v>71</v>
      </c>
      <c r="J247" s="72" t="str">
        <f>HYPERLINK("https://yadi.sk/d/_LM-pmrm3TvrAR","https://yadi.sk/d/_LM-pmrm3TvrAR")</f>
        <v>https://yadi.sk/d/_LM-pmrm3TvrAR</v>
      </c>
      <c r="K247" s="91"/>
    </row>
    <row r="248" spans="1:13" ht="15" hidden="1" customHeight="1">
      <c r="A248" s="49">
        <v>43189</v>
      </c>
      <c r="B248" s="74" t="s">
        <v>24</v>
      </c>
      <c r="C248" s="74" t="s">
        <v>848</v>
      </c>
      <c r="D248" s="74" t="s">
        <v>849</v>
      </c>
      <c r="E248" s="74" t="s">
        <v>850</v>
      </c>
      <c r="F248" s="77">
        <v>0.84930555555555554</v>
      </c>
      <c r="G248" s="78" t="s">
        <v>14</v>
      </c>
      <c r="H248" s="78" t="s">
        <v>14</v>
      </c>
      <c r="I248" s="78" t="s">
        <v>14</v>
      </c>
      <c r="J248" s="72" t="str">
        <f>HYPERLINK("https://yadi.sk/i/_pT74JlP3TvrHY","https://yadi.sk/i/_pT74JlP3TvrHY")</f>
        <v>https://yadi.sk/i/_pT74JlP3TvrHY</v>
      </c>
      <c r="K248" s="92" t="s">
        <v>851</v>
      </c>
    </row>
    <row r="249" spans="1:13" ht="15.75" hidden="1" customHeight="1">
      <c r="A249" s="49">
        <v>43189</v>
      </c>
      <c r="B249" s="74" t="s">
        <v>121</v>
      </c>
      <c r="C249" s="74" t="s">
        <v>852</v>
      </c>
      <c r="D249" s="74" t="s">
        <v>853</v>
      </c>
      <c r="E249" s="74" t="s">
        <v>854</v>
      </c>
      <c r="F249" s="77">
        <v>0.75208333333333333</v>
      </c>
      <c r="G249" s="78" t="s">
        <v>14</v>
      </c>
      <c r="H249" s="78" t="s">
        <v>14</v>
      </c>
      <c r="I249" s="78" t="s">
        <v>14</v>
      </c>
      <c r="J249" s="72" t="str">
        <f>HYPERLINK("https://yadi.sk/i/_-WdsV6y3TvrT9","https://yadi.sk/i/_-WdsV6y3TvrT9")</f>
        <v>https://yadi.sk/i/_-WdsV6y3TvrT9</v>
      </c>
      <c r="K249" s="92" t="s">
        <v>855</v>
      </c>
    </row>
    <row r="250" spans="1:13" ht="15.75" hidden="1" customHeight="1">
      <c r="A250" s="49">
        <v>43189</v>
      </c>
      <c r="B250" s="74" t="s">
        <v>121</v>
      </c>
      <c r="C250" s="74" t="s">
        <v>856</v>
      </c>
      <c r="D250" s="74" t="s">
        <v>857</v>
      </c>
      <c r="E250" s="74" t="s">
        <v>858</v>
      </c>
      <c r="F250" s="77">
        <v>0.77777777777777779</v>
      </c>
      <c r="G250" s="78" t="s">
        <v>71</v>
      </c>
      <c r="H250" s="78" t="s">
        <v>71</v>
      </c>
      <c r="I250" s="78" t="s">
        <v>71</v>
      </c>
      <c r="J250" s="72" t="str">
        <f>HYPERLINK("https://yadi.sk/d/vPVTfq3o3TvrZ3","https://yadi.sk/d/vPVTfq3o3TvrZ3")</f>
        <v>https://yadi.sk/d/vPVTfq3o3TvrZ3</v>
      </c>
      <c r="K250" s="91"/>
    </row>
    <row r="251" spans="1:13" ht="15.75" hidden="1" customHeight="1">
      <c r="A251" s="49">
        <v>43189</v>
      </c>
      <c r="B251" s="74" t="s">
        <v>121</v>
      </c>
      <c r="C251" s="74" t="s">
        <v>859</v>
      </c>
      <c r="D251" s="74" t="s">
        <v>857</v>
      </c>
      <c r="E251" s="74" t="s">
        <v>860</v>
      </c>
      <c r="F251" s="77">
        <v>0.80208333333333337</v>
      </c>
      <c r="G251" s="78" t="s">
        <v>14</v>
      </c>
      <c r="H251" s="78" t="s">
        <v>14</v>
      </c>
      <c r="I251" s="78" t="s">
        <v>14</v>
      </c>
      <c r="J251" s="72" t="str">
        <f>HYPERLINK("https://yadi.sk/i/CZ5fXF3V3TvrT7","https://yadi.sk/i/CZ5fXF3V3TvrT7")</f>
        <v>https://yadi.sk/i/CZ5fXF3V3TvrT7</v>
      </c>
      <c r="K251" s="92" t="s">
        <v>861</v>
      </c>
    </row>
    <row r="252" spans="1:13" ht="15.75" hidden="1" customHeight="1">
      <c r="A252" s="49">
        <v>43189</v>
      </c>
      <c r="B252" s="74" t="s">
        <v>121</v>
      </c>
      <c r="C252" s="74" t="s">
        <v>862</v>
      </c>
      <c r="D252" s="74" t="s">
        <v>863</v>
      </c>
      <c r="E252" s="74" t="s">
        <v>864</v>
      </c>
      <c r="F252" s="77">
        <v>0.81597222222222221</v>
      </c>
      <c r="G252" s="78" t="s">
        <v>71</v>
      </c>
      <c r="H252" s="78" t="s">
        <v>71</v>
      </c>
      <c r="I252" s="78" t="s">
        <v>71</v>
      </c>
      <c r="J252" s="72" t="str">
        <f>HYPERLINK("https://yadi.sk/d/bYPZsqat3Tvrgm","https://yadi.sk/d/bYPZsqat3Tvrgm")</f>
        <v>https://yadi.sk/d/bYPZsqat3Tvrgm</v>
      </c>
      <c r="K252" s="91"/>
    </row>
    <row r="253" spans="1:13" ht="15.75" hidden="1" customHeight="1">
      <c r="A253" s="49">
        <v>43189</v>
      </c>
      <c r="B253" s="74" t="s">
        <v>279</v>
      </c>
      <c r="C253" s="74" t="s">
        <v>865</v>
      </c>
      <c r="D253" s="74" t="s">
        <v>186</v>
      </c>
      <c r="E253" s="74" t="s">
        <v>866</v>
      </c>
      <c r="F253" s="77">
        <v>0.80902777777777779</v>
      </c>
      <c r="G253" s="78" t="s">
        <v>71</v>
      </c>
      <c r="H253" s="78" t="s">
        <v>14</v>
      </c>
      <c r="I253" s="78" t="s">
        <v>71</v>
      </c>
      <c r="J253" s="72" t="s">
        <v>867</v>
      </c>
      <c r="K253" s="91"/>
    </row>
    <row r="254" spans="1:13" ht="15.75" hidden="1" customHeight="1">
      <c r="A254" s="49">
        <v>43189</v>
      </c>
      <c r="B254" s="74" t="s">
        <v>279</v>
      </c>
      <c r="C254" s="74" t="s">
        <v>367</v>
      </c>
      <c r="D254" s="74" t="s">
        <v>186</v>
      </c>
      <c r="E254" s="74" t="s">
        <v>868</v>
      </c>
      <c r="F254" s="77">
        <v>0.82291666666666663</v>
      </c>
      <c r="G254" s="78" t="s">
        <v>14</v>
      </c>
      <c r="H254" s="78" t="s">
        <v>14</v>
      </c>
      <c r="I254" s="78" t="s">
        <v>14</v>
      </c>
      <c r="J254" s="72" t="s">
        <v>869</v>
      </c>
      <c r="K254" s="92" t="s">
        <v>870</v>
      </c>
    </row>
    <row r="255" spans="1:13" ht="15.75" hidden="1" customHeight="1">
      <c r="A255" s="49">
        <v>43189</v>
      </c>
      <c r="B255" s="74" t="s">
        <v>279</v>
      </c>
      <c r="C255" s="74" t="s">
        <v>871</v>
      </c>
      <c r="D255" s="74" t="s">
        <v>186</v>
      </c>
      <c r="E255" s="74" t="s">
        <v>872</v>
      </c>
      <c r="F255" s="77">
        <v>0.81944444444444442</v>
      </c>
      <c r="G255" s="78" t="s">
        <v>71</v>
      </c>
      <c r="H255" s="78" t="s">
        <v>71</v>
      </c>
      <c r="I255" s="78" t="s">
        <v>71</v>
      </c>
      <c r="J255" s="72" t="s">
        <v>873</v>
      </c>
      <c r="K255" s="91"/>
    </row>
    <row r="256" spans="1:13" ht="15.75" hidden="1" customHeight="1">
      <c r="A256" s="49">
        <v>43189</v>
      </c>
      <c r="B256" s="74" t="s">
        <v>279</v>
      </c>
      <c r="C256" s="74" t="s">
        <v>874</v>
      </c>
      <c r="D256" s="74" t="s">
        <v>186</v>
      </c>
      <c r="E256" s="74" t="s">
        <v>875</v>
      </c>
      <c r="F256" s="77">
        <v>0.80555555555555558</v>
      </c>
      <c r="G256" s="78" t="s">
        <v>71</v>
      </c>
      <c r="H256" s="78" t="s">
        <v>71</v>
      </c>
      <c r="I256" s="78" t="s">
        <v>71</v>
      </c>
      <c r="J256" s="72" t="s">
        <v>876</v>
      </c>
      <c r="K256" s="91"/>
    </row>
    <row r="257" spans="1:11" ht="15.75" hidden="1" customHeight="1">
      <c r="A257" s="22">
        <v>43190</v>
      </c>
      <c r="B257" s="73" t="s">
        <v>310</v>
      </c>
      <c r="C257" s="73" t="s">
        <v>871</v>
      </c>
      <c r="D257" s="73" t="s">
        <v>877</v>
      </c>
      <c r="E257" s="73" t="s">
        <v>878</v>
      </c>
      <c r="F257" s="75">
        <v>0.63680555555555551</v>
      </c>
      <c r="G257" s="76" t="s">
        <v>71</v>
      </c>
      <c r="H257" s="76" t="s">
        <v>71</v>
      </c>
      <c r="I257" s="76" t="s">
        <v>71</v>
      </c>
      <c r="J257" s="71" t="str">
        <f>HYPERLINK("https://yadi.sk/d/NHPQ8o2q3TwSVK","https://yadi.sk/d/NHPQ8o2q3TwSVK")</f>
        <v>https://yadi.sk/d/NHPQ8o2q3TwSVK</v>
      </c>
      <c r="K257" s="89"/>
    </row>
    <row r="258" spans="1:11" ht="15.75" hidden="1" customHeight="1">
      <c r="A258" s="22">
        <v>43190</v>
      </c>
      <c r="B258" s="74" t="s">
        <v>310</v>
      </c>
      <c r="C258" s="74" t="s">
        <v>879</v>
      </c>
      <c r="D258" s="74" t="s">
        <v>880</v>
      </c>
      <c r="E258" s="74" t="s">
        <v>881</v>
      </c>
      <c r="F258" s="77">
        <v>0.66666666666666663</v>
      </c>
      <c r="G258" s="78" t="s">
        <v>71</v>
      </c>
      <c r="H258" s="78" t="s">
        <v>14</v>
      </c>
      <c r="I258" s="78" t="s">
        <v>71</v>
      </c>
      <c r="J258" s="72" t="str">
        <f>HYPERLINK("https://yadi.sk/d/oJO_N-sY3TxNeV","https://yadi.sk/d/oJO_N-sY3TxNeV")</f>
        <v>https://yadi.sk/d/oJO_N-sY3TxNeV</v>
      </c>
      <c r="K258" s="92" t="s">
        <v>882</v>
      </c>
    </row>
    <row r="259" spans="1:11" ht="15.75" hidden="1" customHeight="1">
      <c r="A259" s="22">
        <v>43190</v>
      </c>
      <c r="B259" s="74" t="s">
        <v>310</v>
      </c>
      <c r="C259" s="74" t="s">
        <v>883</v>
      </c>
      <c r="D259" s="74" t="s">
        <v>880</v>
      </c>
      <c r="E259" s="74" t="s">
        <v>881</v>
      </c>
      <c r="F259" s="77">
        <v>0.67013888888888884</v>
      </c>
      <c r="G259" s="78" t="s">
        <v>71</v>
      </c>
      <c r="H259" s="78" t="s">
        <v>71</v>
      </c>
      <c r="I259" s="78" t="s">
        <v>71</v>
      </c>
      <c r="J259" s="72" t="str">
        <f>HYPERLINK("https://yadi.sk/d/jjDMJyaJ3TxNZs","https://yadi.sk/d/jjDMJyaJ3TxNZs")</f>
        <v>https://yadi.sk/d/jjDMJyaJ3TxNZs</v>
      </c>
      <c r="K259" s="92" t="s">
        <v>882</v>
      </c>
    </row>
    <row r="260" spans="1:11" ht="15.75" hidden="1" customHeight="1">
      <c r="A260" s="22">
        <v>43190</v>
      </c>
      <c r="B260" s="74" t="s">
        <v>310</v>
      </c>
      <c r="C260" s="74" t="s">
        <v>884</v>
      </c>
      <c r="D260" s="74" t="s">
        <v>885</v>
      </c>
      <c r="E260" s="74" t="s">
        <v>886</v>
      </c>
      <c r="F260" s="77">
        <v>0.79097222222222219</v>
      </c>
      <c r="G260" s="78" t="s">
        <v>14</v>
      </c>
      <c r="H260" s="78" t="s">
        <v>14</v>
      </c>
      <c r="I260" s="78" t="s">
        <v>14</v>
      </c>
      <c r="J260" s="72" t="str">
        <f>HYPERLINK("https://yadi.sk/i/yVMz3idU3TxNff","https://yadi.sk/i/yVMz3idU3TxNff")</f>
        <v>https://yadi.sk/i/yVMz3idU3TxNff</v>
      </c>
      <c r="K260" s="92" t="s">
        <v>887</v>
      </c>
    </row>
    <row r="261" spans="1:11" ht="15.75" hidden="1" customHeight="1">
      <c r="A261" s="22">
        <v>43190</v>
      </c>
      <c r="B261" s="74" t="s">
        <v>888</v>
      </c>
      <c r="C261" s="74" t="s">
        <v>889</v>
      </c>
      <c r="D261" s="74" t="s">
        <v>119</v>
      </c>
      <c r="E261" s="74" t="s">
        <v>890</v>
      </c>
      <c r="F261" s="77">
        <v>0.77777777777777779</v>
      </c>
      <c r="G261" s="78" t="s">
        <v>71</v>
      </c>
      <c r="H261" s="78" t="s">
        <v>71</v>
      </c>
      <c r="I261" s="78" t="s">
        <v>71</v>
      </c>
      <c r="J261" s="72" t="s">
        <v>891</v>
      </c>
      <c r="K261" s="91"/>
    </row>
    <row r="262" spans="1:11" ht="15.75" hidden="1" customHeight="1">
      <c r="A262" s="22">
        <v>43190</v>
      </c>
      <c r="B262" s="74" t="s">
        <v>130</v>
      </c>
      <c r="C262" s="74" t="s">
        <v>892</v>
      </c>
      <c r="D262" s="74" t="s">
        <v>383</v>
      </c>
      <c r="E262" s="74" t="s">
        <v>893</v>
      </c>
      <c r="F262" s="77">
        <v>0.79027777777777775</v>
      </c>
      <c r="G262" s="78" t="s">
        <v>71</v>
      </c>
      <c r="H262" s="78" t="s">
        <v>71</v>
      </c>
      <c r="I262" s="78" t="s">
        <v>71</v>
      </c>
      <c r="J262" s="72" t="s">
        <v>894</v>
      </c>
      <c r="K262" s="91"/>
    </row>
    <row r="263" spans="1:11" ht="15.75" hidden="1" customHeight="1">
      <c r="A263" s="22">
        <v>43190</v>
      </c>
      <c r="B263" s="74" t="s">
        <v>130</v>
      </c>
      <c r="C263" s="74" t="s">
        <v>895</v>
      </c>
      <c r="D263" s="74" t="s">
        <v>383</v>
      </c>
      <c r="E263" s="74" t="s">
        <v>896</v>
      </c>
      <c r="F263" s="77">
        <v>0.82986111111111116</v>
      </c>
      <c r="G263" s="78" t="s">
        <v>71</v>
      </c>
      <c r="H263" s="78" t="s">
        <v>71</v>
      </c>
      <c r="I263" s="78" t="s">
        <v>71</v>
      </c>
      <c r="J263" s="72" t="s">
        <v>897</v>
      </c>
      <c r="K263" s="92" t="s">
        <v>898</v>
      </c>
    </row>
    <row r="264" spans="1:11" ht="15.75" hidden="1" customHeight="1">
      <c r="A264" s="22">
        <v>43190</v>
      </c>
      <c r="B264" s="74" t="s">
        <v>130</v>
      </c>
      <c r="C264" s="74" t="s">
        <v>865</v>
      </c>
      <c r="D264" s="74" t="s">
        <v>383</v>
      </c>
      <c r="E264" s="74" t="s">
        <v>899</v>
      </c>
      <c r="F264" s="77">
        <v>0.80694444444444446</v>
      </c>
      <c r="G264" s="78" t="s">
        <v>71</v>
      </c>
      <c r="H264" s="78" t="s">
        <v>71</v>
      </c>
      <c r="I264" s="78" t="s">
        <v>71</v>
      </c>
      <c r="J264" s="72" t="s">
        <v>900</v>
      </c>
      <c r="K264" s="91"/>
    </row>
  </sheetData>
  <autoFilter ref="A1:M264">
    <filterColumn colId="1">
      <filters>
        <filter val="Ярославль"/>
      </filters>
    </filterColumn>
  </autoFilter>
  <dataValidations count="1">
    <dataValidation type="list" allowBlank="1" sqref="G2:I40 G60:I105">
      <formula1>"ДА,НЕТ"</formula1>
    </dataValidation>
  </dataValidations>
  <hyperlinks>
    <hyperlink ref="J26" r:id="rId1"/>
    <hyperlink ref="J27" r:id="rId2"/>
    <hyperlink ref="J28" r:id="rId3"/>
    <hyperlink ref="J29" r:id="rId4"/>
    <hyperlink ref="J70" r:id="rId5"/>
    <hyperlink ref="J71" r:id="rId6"/>
    <hyperlink ref="J72" r:id="rId7"/>
    <hyperlink ref="J73" r:id="rId8"/>
    <hyperlink ref="J81" r:id="rId9"/>
    <hyperlink ref="J82" r:id="rId10"/>
    <hyperlink ref="J83" r:id="rId11"/>
    <hyperlink ref="J84" r:id="rId12"/>
    <hyperlink ref="J92" r:id="rId13"/>
    <hyperlink ref="J93" r:id="rId14"/>
    <hyperlink ref="J94" r:id="rId15"/>
    <hyperlink ref="J95" r:id="rId16"/>
    <hyperlink ref="J96" r:id="rId17"/>
    <hyperlink ref="J97" r:id="rId18"/>
    <hyperlink ref="J98" r:id="rId19"/>
    <hyperlink ref="J99" r:id="rId20"/>
    <hyperlink ref="J100" r:id="rId21"/>
    <hyperlink ref="J101" r:id="rId22"/>
    <hyperlink ref="J102" r:id="rId23"/>
    <hyperlink ref="J103" r:id="rId24"/>
    <hyperlink ref="J104" r:id="rId25"/>
    <hyperlink ref="J105" r:id="rId26"/>
    <hyperlink ref="J114" r:id="rId27"/>
    <hyperlink ref="J115" r:id="rId28"/>
    <hyperlink ref="J116" r:id="rId29"/>
    <hyperlink ref="J117" r:id="rId30"/>
    <hyperlink ref="J118" r:id="rId31"/>
    <hyperlink ref="J119" r:id="rId32"/>
    <hyperlink ref="J120" r:id="rId33"/>
    <hyperlink ref="J121" r:id="rId34"/>
    <hyperlink ref="J139" r:id="rId35"/>
    <hyperlink ref="J140" r:id="rId36"/>
    <hyperlink ref="J141" r:id="rId37"/>
    <hyperlink ref="J142" r:id="rId38"/>
    <hyperlink ref="J143" r:id="rId39"/>
    <hyperlink ref="J144" r:id="rId40"/>
    <hyperlink ref="J151" r:id="rId41"/>
    <hyperlink ref="J155" r:id="rId42"/>
    <hyperlink ref="J156" r:id="rId43"/>
    <hyperlink ref="J157" r:id="rId44"/>
    <hyperlink ref="J158" r:id="rId45"/>
    <hyperlink ref="J152" r:id="rId46"/>
    <hyperlink ref="J153" r:id="rId47"/>
    <hyperlink ref="J159" r:id="rId48"/>
    <hyperlink ref="J160" r:id="rId49"/>
    <hyperlink ref="J161" r:id="rId50"/>
    <hyperlink ref="J162" r:id="rId51"/>
    <hyperlink ref="J163" r:id="rId52"/>
    <hyperlink ref="J164" r:id="rId53"/>
    <hyperlink ref="J165" r:id="rId54"/>
    <hyperlink ref="J167" r:id="rId55"/>
    <hyperlink ref="J168" r:id="rId56"/>
    <hyperlink ref="J169" r:id="rId57"/>
    <hyperlink ref="J170" r:id="rId58"/>
    <hyperlink ref="J171" r:id="rId59"/>
    <hyperlink ref="J172" r:id="rId60"/>
    <hyperlink ref="J173" r:id="rId61"/>
    <hyperlink ref="J174" r:id="rId62"/>
    <hyperlink ref="J175" r:id="rId63"/>
    <hyperlink ref="J182" r:id="rId64"/>
    <hyperlink ref="J183" r:id="rId65"/>
    <hyperlink ref="J184" r:id="rId66"/>
    <hyperlink ref="J185" r:id="rId67"/>
    <hyperlink ref="J191" r:id="rId68"/>
    <hyperlink ref="J192" r:id="rId69"/>
    <hyperlink ref="J193" r:id="rId70"/>
    <hyperlink ref="J194" r:id="rId71"/>
    <hyperlink ref="J195" r:id="rId72"/>
    <hyperlink ref="J196" r:id="rId73"/>
    <hyperlink ref="J197" r:id="rId74"/>
    <hyperlink ref="J198" r:id="rId75"/>
    <hyperlink ref="J207" r:id="rId76"/>
    <hyperlink ref="J208" r:id="rId77"/>
    <hyperlink ref="J209" r:id="rId78"/>
    <hyperlink ref="J210" r:id="rId79"/>
    <hyperlink ref="J211" r:id="rId80"/>
    <hyperlink ref="J212" r:id="rId81"/>
    <hyperlink ref="J213" r:id="rId82"/>
    <hyperlink ref="J214" r:id="rId83"/>
    <hyperlink ref="J215" r:id="rId84"/>
    <hyperlink ref="J216" r:id="rId85"/>
    <hyperlink ref="J228" r:id="rId86"/>
    <hyperlink ref="J229" r:id="rId87"/>
    <hyperlink ref="J230" r:id="rId88"/>
    <hyperlink ref="J231" r:id="rId89"/>
    <hyperlink ref="J232" r:id="rId90"/>
    <hyperlink ref="J233" r:id="rId91"/>
    <hyperlink ref="J234" r:id="rId92"/>
    <hyperlink ref="J235" r:id="rId93"/>
    <hyperlink ref="J236" r:id="rId94"/>
    <hyperlink ref="J237" r:id="rId95"/>
    <hyperlink ref="J238" r:id="rId96"/>
    <hyperlink ref="J239" r:id="rId97"/>
    <hyperlink ref="J240" r:id="rId98"/>
    <hyperlink ref="J241" r:id="rId99"/>
    <hyperlink ref="J242" r:id="rId100"/>
    <hyperlink ref="J243" r:id="rId101"/>
    <hyperlink ref="J253" r:id="rId102"/>
    <hyperlink ref="J254" r:id="rId103"/>
    <hyperlink ref="J255" r:id="rId104"/>
    <hyperlink ref="J256" r:id="rId105"/>
    <hyperlink ref="J261" r:id="rId106"/>
    <hyperlink ref="J262" r:id="rId107"/>
    <hyperlink ref="J263" r:id="rId108"/>
    <hyperlink ref="J264" r:id="rId109"/>
  </hyperlinks>
  <pageMargins left="0.7" right="0.7" top="0.75" bottom="0.75" header="0.3" footer="0.3"/>
  <pageSetup paperSize="9" orientation="portrait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0"/>
  <sheetViews>
    <sheetView topLeftCell="A16" zoomScale="90" zoomScaleNormal="90" workbookViewId="0">
      <selection activeCell="Y44" sqref="Y44"/>
    </sheetView>
  </sheetViews>
  <sheetFormatPr defaultRowHeight="12.75"/>
  <cols>
    <col min="1" max="1" width="2.7109375" customWidth="1"/>
    <col min="2" max="2" width="24.42578125" customWidth="1"/>
    <col min="3" max="24" width="7" customWidth="1"/>
    <col min="25" max="25" width="11.85546875" customWidth="1"/>
    <col min="27" max="27" width="12" customWidth="1"/>
    <col min="28" max="28" width="32" customWidth="1"/>
    <col min="29" max="29" width="9" style="87" customWidth="1"/>
    <col min="31" max="31" width="10.28515625" customWidth="1"/>
    <col min="32" max="32" width="36.85546875" customWidth="1"/>
  </cols>
  <sheetData>
    <row r="2" spans="2:29">
      <c r="B2" s="30" t="s">
        <v>6</v>
      </c>
      <c r="C2" s="28" t="s">
        <v>503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421" t="s">
        <v>501</v>
      </c>
      <c r="AA2" s="88" t="s">
        <v>502</v>
      </c>
      <c r="AB2" s="88" t="s">
        <v>664</v>
      </c>
      <c r="AC2" s="88" t="s">
        <v>665</v>
      </c>
    </row>
    <row r="3" spans="2:29">
      <c r="B3" s="29" t="s">
        <v>502</v>
      </c>
      <c r="C3" s="33">
        <v>43161</v>
      </c>
      <c r="D3" s="33">
        <v>43164</v>
      </c>
      <c r="E3" s="33">
        <v>43166</v>
      </c>
      <c r="F3" s="33">
        <v>43171</v>
      </c>
      <c r="G3" s="33">
        <v>43172</v>
      </c>
      <c r="H3" s="33">
        <v>43173</v>
      </c>
      <c r="I3" s="33">
        <v>43174</v>
      </c>
      <c r="J3" s="33">
        <v>43175</v>
      </c>
      <c r="K3" s="33">
        <v>43176</v>
      </c>
      <c r="L3" s="33">
        <v>43177</v>
      </c>
      <c r="M3" s="33">
        <v>43178</v>
      </c>
      <c r="N3" s="33">
        <v>43179</v>
      </c>
      <c r="O3" s="33">
        <v>43180</v>
      </c>
      <c r="P3" s="33">
        <v>43181</v>
      </c>
      <c r="Q3" s="33">
        <v>43182</v>
      </c>
      <c r="R3" s="33">
        <v>43183</v>
      </c>
      <c r="S3" s="33">
        <v>43185</v>
      </c>
      <c r="T3" s="33">
        <v>43186</v>
      </c>
      <c r="U3" s="33">
        <v>43187</v>
      </c>
      <c r="V3" s="33">
        <v>43188</v>
      </c>
      <c r="W3" s="33">
        <v>43189</v>
      </c>
      <c r="X3" s="33">
        <v>43190</v>
      </c>
      <c r="Y3" s="422"/>
      <c r="AA3" s="67" t="s">
        <v>34</v>
      </c>
      <c r="AB3" s="67" t="s">
        <v>65</v>
      </c>
      <c r="AC3" s="85">
        <v>4</v>
      </c>
    </row>
    <row r="4" spans="2:29">
      <c r="B4" s="24" t="s">
        <v>11</v>
      </c>
      <c r="C4" s="26"/>
      <c r="D4" s="26"/>
      <c r="E4" s="26"/>
      <c r="F4" s="26"/>
      <c r="G4" s="26"/>
      <c r="H4" s="26"/>
      <c r="I4" s="26"/>
      <c r="J4" s="26">
        <v>3</v>
      </c>
      <c r="K4" s="26"/>
      <c r="L4" s="26"/>
      <c r="M4" s="26"/>
      <c r="N4" s="26"/>
      <c r="O4" s="26"/>
      <c r="P4" s="26"/>
      <c r="Q4" s="26"/>
      <c r="R4" s="26"/>
      <c r="S4" s="26"/>
      <c r="T4" s="26">
        <v>3</v>
      </c>
      <c r="U4" s="26"/>
      <c r="V4" s="26"/>
      <c r="W4" s="26"/>
      <c r="X4" s="26"/>
      <c r="Y4">
        <f>SUM(C4:X4)</f>
        <v>6</v>
      </c>
      <c r="AA4" s="67" t="s">
        <v>279</v>
      </c>
      <c r="AB4" s="67" t="s">
        <v>303</v>
      </c>
      <c r="AC4" s="85">
        <v>4</v>
      </c>
    </row>
    <row r="5" spans="2:29">
      <c r="B5" s="24" t="s">
        <v>218</v>
      </c>
      <c r="C5" s="26"/>
      <c r="D5" s="26"/>
      <c r="E5" s="26"/>
      <c r="F5" s="26"/>
      <c r="G5" s="26">
        <v>2</v>
      </c>
      <c r="H5" s="26"/>
      <c r="I5" s="26"/>
      <c r="J5" s="26"/>
      <c r="K5" s="26"/>
      <c r="L5" s="26">
        <v>3</v>
      </c>
      <c r="M5" s="26"/>
      <c r="N5" s="26"/>
      <c r="O5" s="26">
        <v>2</v>
      </c>
      <c r="P5" s="26"/>
      <c r="Q5" s="26"/>
      <c r="R5" s="26">
        <v>1</v>
      </c>
      <c r="S5" s="26"/>
      <c r="T5" s="26"/>
      <c r="U5" s="26"/>
      <c r="V5" s="26">
        <v>3</v>
      </c>
      <c r="W5" s="26"/>
      <c r="X5" s="26"/>
      <c r="Y5">
        <f t="shared" ref="Y5:Y19" si="0">SUM(C5:X5)</f>
        <v>11</v>
      </c>
      <c r="AA5" s="67" t="s">
        <v>130</v>
      </c>
      <c r="AB5" s="67" t="s">
        <v>139</v>
      </c>
      <c r="AC5" s="85">
        <v>4</v>
      </c>
    </row>
    <row r="6" spans="2:29">
      <c r="B6" s="24" t="s">
        <v>121</v>
      </c>
      <c r="C6" s="26"/>
      <c r="D6" s="26"/>
      <c r="E6" s="26"/>
      <c r="F6" s="26">
        <v>2</v>
      </c>
      <c r="G6" s="26"/>
      <c r="H6" s="26"/>
      <c r="I6" s="26"/>
      <c r="J6" s="26"/>
      <c r="K6" s="26"/>
      <c r="L6" s="26"/>
      <c r="M6" s="26">
        <v>3</v>
      </c>
      <c r="N6" s="26"/>
      <c r="W6">
        <v>2</v>
      </c>
      <c r="Y6">
        <f t="shared" si="0"/>
        <v>7</v>
      </c>
      <c r="AA6" s="67" t="s">
        <v>174</v>
      </c>
      <c r="AB6" s="67" t="s">
        <v>236</v>
      </c>
      <c r="AC6" s="85">
        <v>4</v>
      </c>
    </row>
    <row r="7" spans="2:29">
      <c r="B7" s="24" t="s">
        <v>189</v>
      </c>
      <c r="C7" s="26"/>
      <c r="D7" s="26"/>
      <c r="E7" s="26"/>
      <c r="F7" s="26"/>
      <c r="G7" s="26">
        <v>3</v>
      </c>
      <c r="H7" s="26"/>
      <c r="I7" s="26"/>
      <c r="J7" s="26">
        <v>4</v>
      </c>
      <c r="K7" s="26"/>
      <c r="L7" s="26"/>
      <c r="M7" s="26"/>
      <c r="N7" s="26">
        <v>3</v>
      </c>
      <c r="O7" s="26"/>
      <c r="P7" s="26"/>
      <c r="Q7" s="26">
        <v>2</v>
      </c>
      <c r="R7" s="26"/>
      <c r="S7" s="26"/>
      <c r="T7" s="26"/>
      <c r="U7" s="26">
        <v>1</v>
      </c>
      <c r="V7" s="26"/>
      <c r="W7" s="26"/>
      <c r="X7" s="26"/>
      <c r="Y7">
        <f t="shared" si="0"/>
        <v>13</v>
      </c>
      <c r="AA7" s="67" t="s">
        <v>393</v>
      </c>
      <c r="AB7" s="67" t="s">
        <v>474</v>
      </c>
      <c r="AC7" s="85">
        <v>4</v>
      </c>
    </row>
    <row r="8" spans="2:29">
      <c r="B8" s="24" t="s">
        <v>310</v>
      </c>
      <c r="C8" s="26"/>
      <c r="D8" s="26"/>
      <c r="E8" s="26"/>
      <c r="F8" s="26"/>
      <c r="G8" s="26"/>
      <c r="H8" s="26"/>
      <c r="I8" s="26">
        <v>3</v>
      </c>
      <c r="J8" s="26"/>
      <c r="K8" s="26"/>
      <c r="L8" s="26">
        <v>1</v>
      </c>
      <c r="M8" s="26"/>
      <c r="N8" s="26"/>
      <c r="O8" s="26"/>
      <c r="P8" s="26"/>
      <c r="Q8" s="26"/>
      <c r="R8" s="26"/>
      <c r="S8" s="26">
        <v>3</v>
      </c>
      <c r="T8" s="26"/>
      <c r="U8" s="26"/>
      <c r="V8" s="26"/>
      <c r="W8" s="26"/>
      <c r="X8" s="26">
        <v>3</v>
      </c>
      <c r="Y8">
        <f t="shared" si="0"/>
        <v>10</v>
      </c>
      <c r="AA8" s="67" t="s">
        <v>97</v>
      </c>
      <c r="AB8" s="67" t="s">
        <v>141</v>
      </c>
      <c r="AC8" s="85">
        <v>4</v>
      </c>
    </row>
    <row r="9" spans="2:29">
      <c r="B9" s="24" t="s">
        <v>279</v>
      </c>
      <c r="C9" s="26"/>
      <c r="D9" s="26"/>
      <c r="E9" s="26"/>
      <c r="F9" s="26"/>
      <c r="G9" s="26"/>
      <c r="H9" s="26">
        <v>3</v>
      </c>
      <c r="I9" s="26"/>
      <c r="J9" s="26"/>
      <c r="K9" s="26"/>
      <c r="L9" s="26"/>
      <c r="M9" s="26">
        <v>3</v>
      </c>
      <c r="N9" s="26"/>
      <c r="O9" s="26"/>
      <c r="P9" s="26"/>
      <c r="Q9" s="26">
        <v>1</v>
      </c>
      <c r="R9" s="26"/>
      <c r="S9" s="26">
        <v>2</v>
      </c>
      <c r="T9" s="26"/>
      <c r="U9" s="26"/>
      <c r="V9" s="26"/>
      <c r="W9" s="26">
        <v>3</v>
      </c>
      <c r="X9" s="26"/>
      <c r="Y9">
        <f t="shared" si="0"/>
        <v>12</v>
      </c>
      <c r="AA9" s="67" t="s">
        <v>97</v>
      </c>
      <c r="AB9" s="67" t="s">
        <v>142</v>
      </c>
      <c r="AC9" s="85">
        <v>4</v>
      </c>
    </row>
    <row r="10" spans="2:29">
      <c r="B10" s="24" t="s">
        <v>130</v>
      </c>
      <c r="C10" s="26"/>
      <c r="D10" s="26"/>
      <c r="E10" s="26"/>
      <c r="F10" s="26">
        <v>1</v>
      </c>
      <c r="G10" s="26"/>
      <c r="H10" s="26"/>
      <c r="I10" s="26"/>
      <c r="J10" s="26"/>
      <c r="K10" s="26">
        <v>1</v>
      </c>
      <c r="L10" s="26"/>
      <c r="M10" s="26"/>
      <c r="N10" s="26"/>
      <c r="O10" s="26"/>
      <c r="P10" s="26">
        <v>3</v>
      </c>
      <c r="Q10" s="26"/>
      <c r="R10" s="26"/>
      <c r="S10" s="26"/>
      <c r="T10" s="26">
        <v>1</v>
      </c>
      <c r="U10" s="26"/>
      <c r="V10" s="26"/>
      <c r="W10" s="26"/>
      <c r="X10" s="26">
        <v>3</v>
      </c>
      <c r="Y10">
        <f t="shared" si="0"/>
        <v>9</v>
      </c>
      <c r="AA10" s="67" t="s">
        <v>121</v>
      </c>
      <c r="AB10" s="67" t="s">
        <v>151</v>
      </c>
      <c r="AC10" s="85">
        <v>3</v>
      </c>
    </row>
    <row r="11" spans="2:29">
      <c r="B11" s="24" t="s">
        <v>24</v>
      </c>
      <c r="C11" s="26"/>
      <c r="D11" s="26"/>
      <c r="E11" s="26"/>
      <c r="F11" s="26"/>
      <c r="G11" s="26"/>
      <c r="H11" s="26">
        <v>2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>
        <v>3</v>
      </c>
      <c r="X11" s="26"/>
      <c r="Y11">
        <f t="shared" si="0"/>
        <v>5</v>
      </c>
      <c r="AA11" s="67" t="s">
        <v>24</v>
      </c>
      <c r="AB11" s="67" t="s">
        <v>298</v>
      </c>
      <c r="AC11" s="85">
        <v>3</v>
      </c>
    </row>
    <row r="12" spans="2:29">
      <c r="B12" s="24" t="s">
        <v>393</v>
      </c>
      <c r="C12" s="26"/>
      <c r="D12" s="26"/>
      <c r="E12" s="26"/>
      <c r="F12" s="26"/>
      <c r="G12" s="26"/>
      <c r="H12" s="26"/>
      <c r="I12" s="26"/>
      <c r="J12" s="26"/>
      <c r="K12" s="26">
        <v>1</v>
      </c>
      <c r="L12" s="26"/>
      <c r="M12" s="26"/>
      <c r="N12" s="26">
        <v>1</v>
      </c>
      <c r="O12" s="26"/>
      <c r="P12" s="26"/>
      <c r="Q12" s="26"/>
      <c r="R12" s="26">
        <v>1</v>
      </c>
      <c r="S12" s="26"/>
      <c r="T12" s="26">
        <v>0</v>
      </c>
      <c r="U12" s="26"/>
      <c r="V12" s="26">
        <v>1</v>
      </c>
      <c r="W12" s="26"/>
      <c r="X12" s="26"/>
      <c r="Y12">
        <f t="shared" si="0"/>
        <v>4</v>
      </c>
      <c r="AA12" s="67" t="s">
        <v>218</v>
      </c>
      <c r="AB12" s="67" t="s">
        <v>252</v>
      </c>
      <c r="AC12" s="85">
        <v>3</v>
      </c>
    </row>
    <row r="13" spans="2:29">
      <c r="B13" s="24" t="s">
        <v>161</v>
      </c>
      <c r="C13" s="26"/>
      <c r="D13" s="26"/>
      <c r="E13" s="26"/>
      <c r="F13" s="26"/>
      <c r="G13" s="26"/>
      <c r="H13" s="26"/>
      <c r="I13" s="26"/>
      <c r="J13" s="26"/>
      <c r="K13" s="26"/>
      <c r="L13" s="26">
        <v>1</v>
      </c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0</v>
      </c>
      <c r="X13" s="26"/>
      <c r="Y13">
        <f t="shared" si="0"/>
        <v>1</v>
      </c>
      <c r="AA13" s="67" t="s">
        <v>11</v>
      </c>
      <c r="AB13" s="67" t="s">
        <v>46</v>
      </c>
      <c r="AC13" s="85">
        <v>3</v>
      </c>
    </row>
    <row r="14" spans="2:29">
      <c r="B14" s="24" t="s">
        <v>34</v>
      </c>
      <c r="C14" s="26"/>
      <c r="D14" s="26"/>
      <c r="E14" s="26"/>
      <c r="F14" s="26"/>
      <c r="G14" s="26"/>
      <c r="H14" s="26">
        <v>3</v>
      </c>
      <c r="I14" s="26"/>
      <c r="J14" s="26"/>
      <c r="K14" s="26"/>
      <c r="L14" s="26"/>
      <c r="M14" s="26"/>
      <c r="N14" s="26">
        <v>1</v>
      </c>
      <c r="O14" s="26"/>
      <c r="P14" s="26"/>
      <c r="Q14" s="26"/>
      <c r="R14" s="26"/>
      <c r="S14" s="26"/>
      <c r="T14" s="26"/>
      <c r="U14" s="26">
        <v>2</v>
      </c>
      <c r="V14" s="26"/>
      <c r="W14" s="26"/>
      <c r="X14" s="26"/>
      <c r="Y14">
        <f t="shared" si="0"/>
        <v>6</v>
      </c>
      <c r="AA14" s="67" t="s">
        <v>189</v>
      </c>
      <c r="AB14" s="67" t="s">
        <v>250</v>
      </c>
      <c r="AC14" s="85">
        <v>3</v>
      </c>
    </row>
    <row r="15" spans="2:29">
      <c r="B15" s="24" t="s">
        <v>174</v>
      </c>
      <c r="C15" s="26"/>
      <c r="D15" s="26"/>
      <c r="E15" s="26"/>
      <c r="F15" s="26"/>
      <c r="G15" s="26">
        <v>2</v>
      </c>
      <c r="H15" s="26"/>
      <c r="I15" s="26"/>
      <c r="J15" s="26">
        <v>3</v>
      </c>
      <c r="K15" s="26"/>
      <c r="L15" s="26"/>
      <c r="M15" s="26">
        <v>3</v>
      </c>
      <c r="N15" s="26"/>
      <c r="O15" s="26"/>
      <c r="P15" s="26"/>
      <c r="Q15" s="26">
        <v>1</v>
      </c>
      <c r="R15" s="26"/>
      <c r="S15" s="26"/>
      <c r="T15" s="26"/>
      <c r="U15" s="26">
        <v>1</v>
      </c>
      <c r="V15" s="26"/>
      <c r="W15" s="26"/>
      <c r="X15" s="26"/>
      <c r="Y15">
        <f t="shared" si="0"/>
        <v>10</v>
      </c>
      <c r="AA15" s="67" t="s">
        <v>174</v>
      </c>
      <c r="AB15" s="67" t="s">
        <v>238</v>
      </c>
      <c r="AC15" s="85">
        <v>3</v>
      </c>
    </row>
    <row r="16" spans="2:29">
      <c r="B16" s="24" t="s">
        <v>97</v>
      </c>
      <c r="C16" s="26"/>
      <c r="D16" s="26"/>
      <c r="E16" s="26"/>
      <c r="F16" s="26"/>
      <c r="G16" s="26"/>
      <c r="H16" s="26"/>
      <c r="I16" s="26">
        <v>3</v>
      </c>
      <c r="J16" s="26"/>
      <c r="K16" s="26"/>
      <c r="L16" s="26"/>
      <c r="M16" s="26"/>
      <c r="N16" s="26"/>
      <c r="O16" s="26">
        <v>2</v>
      </c>
      <c r="P16" s="26"/>
      <c r="Q16" s="26"/>
      <c r="R16" s="26"/>
      <c r="S16" s="26">
        <v>1</v>
      </c>
      <c r="T16" s="26"/>
      <c r="U16" s="26"/>
      <c r="V16" s="26">
        <v>2</v>
      </c>
      <c r="W16" s="26"/>
      <c r="X16" s="26"/>
      <c r="Y16">
        <f t="shared" si="0"/>
        <v>8</v>
      </c>
      <c r="AA16" s="67" t="s">
        <v>11</v>
      </c>
      <c r="AB16" s="67" t="s">
        <v>48</v>
      </c>
      <c r="AC16" s="85">
        <v>2</v>
      </c>
    </row>
    <row r="17" spans="2:29">
      <c r="B17" s="24" t="s">
        <v>254</v>
      </c>
      <c r="O17">
        <v>2</v>
      </c>
      <c r="Q17">
        <v>2</v>
      </c>
      <c r="U17">
        <v>0</v>
      </c>
      <c r="Y17">
        <f t="shared" si="0"/>
        <v>4</v>
      </c>
      <c r="AA17" s="67" t="s">
        <v>24</v>
      </c>
      <c r="AB17" s="67" t="s">
        <v>50</v>
      </c>
      <c r="AC17" s="85">
        <v>2</v>
      </c>
    </row>
    <row r="18" spans="2:29">
      <c r="B18" s="24" t="s">
        <v>203</v>
      </c>
      <c r="C18" s="26"/>
      <c r="D18" s="26"/>
      <c r="E18" s="26"/>
      <c r="F18" s="26"/>
      <c r="G18" s="26">
        <v>2</v>
      </c>
      <c r="H18" s="26"/>
      <c r="I18" s="26"/>
      <c r="J18" s="26"/>
      <c r="K18" s="26">
        <v>1</v>
      </c>
      <c r="L18" s="26"/>
      <c r="M18" s="26"/>
      <c r="N18" s="26"/>
      <c r="O18" s="26"/>
      <c r="P18" s="26">
        <v>2</v>
      </c>
      <c r="Q18" s="26"/>
      <c r="R18" s="26"/>
      <c r="S18" s="26"/>
      <c r="T18" s="26">
        <v>2</v>
      </c>
      <c r="U18" s="26"/>
      <c r="V18" s="26"/>
      <c r="W18" s="26"/>
      <c r="X18" s="26">
        <v>1</v>
      </c>
      <c r="Y18">
        <f t="shared" si="0"/>
        <v>8</v>
      </c>
      <c r="AA18" s="67" t="s">
        <v>161</v>
      </c>
      <c r="AB18" s="67" t="s">
        <v>232</v>
      </c>
      <c r="AC18" s="85">
        <v>2</v>
      </c>
    </row>
    <row r="19" spans="2:29">
      <c r="B19" s="24" t="s">
        <v>68</v>
      </c>
      <c r="C19" s="26">
        <v>4</v>
      </c>
      <c r="D19" s="26">
        <v>3</v>
      </c>
      <c r="E19" s="26">
        <v>3</v>
      </c>
      <c r="F19" s="26"/>
      <c r="G19" s="26"/>
      <c r="H19" s="26"/>
      <c r="I19" s="26">
        <v>3</v>
      </c>
      <c r="J19" s="26"/>
      <c r="K19" s="26"/>
      <c r="L19" s="26"/>
      <c r="M19" s="26">
        <v>5</v>
      </c>
      <c r="N19" s="26"/>
      <c r="O19" s="26"/>
      <c r="P19" s="26"/>
      <c r="Q19" s="26"/>
      <c r="R19" s="26"/>
      <c r="S19" s="26">
        <v>4</v>
      </c>
      <c r="T19" s="26"/>
      <c r="U19" s="26"/>
      <c r="V19" s="26"/>
      <c r="W19" s="26"/>
      <c r="X19" s="26"/>
      <c r="Y19">
        <f t="shared" si="0"/>
        <v>22</v>
      </c>
      <c r="AA19" s="67" t="s">
        <v>161</v>
      </c>
      <c r="AB19" s="67" t="s">
        <v>231</v>
      </c>
      <c r="AC19" s="85">
        <v>2</v>
      </c>
    </row>
    <row r="20" spans="2:29">
      <c r="B20" s="25" t="s">
        <v>500</v>
      </c>
      <c r="C20" s="27">
        <v>4</v>
      </c>
      <c r="D20" s="27">
        <v>3</v>
      </c>
      <c r="E20" s="27">
        <v>3</v>
      </c>
      <c r="F20" s="27">
        <v>3</v>
      </c>
      <c r="G20" s="27">
        <v>9</v>
      </c>
      <c r="H20" s="27">
        <v>8</v>
      </c>
      <c r="I20" s="27">
        <v>9</v>
      </c>
      <c r="J20" s="27">
        <v>10</v>
      </c>
      <c r="K20" s="27">
        <v>3</v>
      </c>
      <c r="L20" s="27">
        <v>5</v>
      </c>
      <c r="M20" s="27">
        <v>14</v>
      </c>
      <c r="N20" s="27">
        <f>SUM(N4:N19)</f>
        <v>5</v>
      </c>
      <c r="O20" s="27">
        <f>SUM(O4:O19)</f>
        <v>6</v>
      </c>
      <c r="P20" s="27">
        <f>SUM(P4:P19)</f>
        <v>5</v>
      </c>
      <c r="Q20" s="27">
        <f t="shared" ref="Q20:X20" si="1">SUM(Q4:Q19)</f>
        <v>6</v>
      </c>
      <c r="R20" s="27">
        <f t="shared" si="1"/>
        <v>2</v>
      </c>
      <c r="S20" s="27">
        <f t="shared" si="1"/>
        <v>10</v>
      </c>
      <c r="T20" s="27">
        <f t="shared" si="1"/>
        <v>6</v>
      </c>
      <c r="U20" s="27">
        <f t="shared" si="1"/>
        <v>4</v>
      </c>
      <c r="V20" s="27">
        <f t="shared" si="1"/>
        <v>6</v>
      </c>
      <c r="W20" s="27">
        <f t="shared" si="1"/>
        <v>8</v>
      </c>
      <c r="X20" s="27">
        <f t="shared" si="1"/>
        <v>7</v>
      </c>
      <c r="Y20" s="27">
        <f>SUM(C20:X20)</f>
        <v>136</v>
      </c>
      <c r="AA20" s="67" t="s">
        <v>310</v>
      </c>
      <c r="AB20" s="67" t="s">
        <v>341</v>
      </c>
      <c r="AC20" s="85">
        <v>2</v>
      </c>
    </row>
    <row r="21" spans="2:29">
      <c r="AA21" s="67" t="s">
        <v>310</v>
      </c>
      <c r="AB21" s="67" t="s">
        <v>343</v>
      </c>
      <c r="AC21" s="85">
        <v>2</v>
      </c>
    </row>
    <row r="22" spans="2:29">
      <c r="B22" s="30" t="s">
        <v>504</v>
      </c>
      <c r="C22" s="28" t="s">
        <v>503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421" t="s">
        <v>501</v>
      </c>
      <c r="AA22" s="67" t="s">
        <v>203</v>
      </c>
      <c r="AB22" s="67" t="s">
        <v>470</v>
      </c>
      <c r="AC22" s="85">
        <v>2</v>
      </c>
    </row>
    <row r="23" spans="2:29">
      <c r="B23" s="29" t="s">
        <v>502</v>
      </c>
      <c r="C23" s="33">
        <v>43161</v>
      </c>
      <c r="D23" s="33">
        <v>43164</v>
      </c>
      <c r="E23" s="33">
        <v>43166</v>
      </c>
      <c r="F23" s="33">
        <v>43171</v>
      </c>
      <c r="G23" s="33">
        <v>43172</v>
      </c>
      <c r="H23" s="33">
        <v>43173</v>
      </c>
      <c r="I23" s="33">
        <v>43174</v>
      </c>
      <c r="J23" s="33">
        <v>43175</v>
      </c>
      <c r="K23" s="33">
        <v>43176</v>
      </c>
      <c r="L23" s="33">
        <v>43177</v>
      </c>
      <c r="M23" s="33">
        <v>43178</v>
      </c>
      <c r="N23" s="33">
        <v>43179</v>
      </c>
      <c r="O23" s="33">
        <v>43180</v>
      </c>
      <c r="P23" s="33">
        <v>43181</v>
      </c>
      <c r="Q23" s="33">
        <v>43182</v>
      </c>
      <c r="R23" s="33">
        <v>43183</v>
      </c>
      <c r="S23" s="33">
        <v>43185</v>
      </c>
      <c r="T23" s="33">
        <v>43186</v>
      </c>
      <c r="U23" s="33">
        <v>43187</v>
      </c>
      <c r="V23" s="33">
        <v>43188</v>
      </c>
      <c r="W23" s="33">
        <v>43189</v>
      </c>
      <c r="X23" s="33">
        <v>43190</v>
      </c>
      <c r="Y23" s="422"/>
      <c r="AA23" s="67" t="s">
        <v>174</v>
      </c>
      <c r="AB23" s="67" t="s">
        <v>495</v>
      </c>
      <c r="AC23" s="85">
        <v>2</v>
      </c>
    </row>
    <row r="24" spans="2:29">
      <c r="B24" s="24" t="s">
        <v>11</v>
      </c>
      <c r="C24" s="26"/>
      <c r="D24" s="26"/>
      <c r="E24" s="26">
        <v>3</v>
      </c>
      <c r="F24" s="26">
        <v>4</v>
      </c>
      <c r="G24" s="26"/>
      <c r="H24" s="26"/>
      <c r="I24" s="26"/>
      <c r="J24" s="26">
        <v>3</v>
      </c>
      <c r="K24" s="26"/>
      <c r="L24" s="26"/>
      <c r="M24" s="26"/>
      <c r="N24" s="26"/>
      <c r="O24" s="26"/>
      <c r="P24" s="26"/>
      <c r="Q24" s="26"/>
      <c r="R24" s="26"/>
      <c r="S24" s="26"/>
      <c r="T24" s="26">
        <v>4</v>
      </c>
      <c r="U24" s="26"/>
      <c r="V24" s="26"/>
      <c r="W24" s="26"/>
      <c r="X24" s="26"/>
      <c r="Y24" s="26">
        <f>SUM(C24:X24)</f>
        <v>14</v>
      </c>
      <c r="AA24" s="67" t="s">
        <v>254</v>
      </c>
      <c r="AB24" s="67" t="s">
        <v>292</v>
      </c>
      <c r="AC24" s="85">
        <v>2</v>
      </c>
    </row>
    <row r="25" spans="2:29">
      <c r="B25" s="24" t="s">
        <v>218</v>
      </c>
      <c r="G25">
        <v>3</v>
      </c>
      <c r="L25">
        <v>4</v>
      </c>
      <c r="O25">
        <v>4</v>
      </c>
      <c r="R25">
        <v>2</v>
      </c>
      <c r="V25">
        <v>4</v>
      </c>
      <c r="Y25" s="26">
        <f t="shared" ref="Y25:Y38" si="2">SUM(C25:X25)</f>
        <v>17</v>
      </c>
      <c r="AA25" s="69" t="s">
        <v>254</v>
      </c>
      <c r="AB25" s="68" t="s">
        <v>532</v>
      </c>
      <c r="AC25" s="86">
        <v>2</v>
      </c>
    </row>
    <row r="26" spans="2:29">
      <c r="B26" s="24" t="s">
        <v>121</v>
      </c>
      <c r="F26">
        <v>4</v>
      </c>
      <c r="K26">
        <v>2</v>
      </c>
      <c r="M26">
        <v>4</v>
      </c>
      <c r="W26">
        <v>4</v>
      </c>
      <c r="Y26" s="26">
        <f t="shared" si="2"/>
        <v>14</v>
      </c>
      <c r="AA26" s="70" t="s">
        <v>279</v>
      </c>
      <c r="AB26" s="69" t="s">
        <v>492</v>
      </c>
      <c r="AC26" s="86">
        <v>2</v>
      </c>
    </row>
    <row r="27" spans="2:29">
      <c r="B27" s="24" t="s">
        <v>189</v>
      </c>
      <c r="G27">
        <v>4</v>
      </c>
      <c r="J27">
        <v>4</v>
      </c>
      <c r="N27">
        <v>4</v>
      </c>
      <c r="Q27">
        <v>4</v>
      </c>
      <c r="U27">
        <v>4</v>
      </c>
      <c r="Y27" s="26">
        <f t="shared" si="2"/>
        <v>20</v>
      </c>
      <c r="AA27" s="67" t="s">
        <v>218</v>
      </c>
      <c r="AB27" s="67" t="s">
        <v>488</v>
      </c>
      <c r="AC27" s="85">
        <v>2</v>
      </c>
    </row>
    <row r="28" spans="2:29">
      <c r="B28" s="24" t="s">
        <v>310</v>
      </c>
      <c r="I28">
        <v>4</v>
      </c>
      <c r="L28">
        <v>4</v>
      </c>
      <c r="P28">
        <v>2</v>
      </c>
      <c r="S28">
        <v>3</v>
      </c>
      <c r="X28">
        <v>4</v>
      </c>
      <c r="Y28" s="26">
        <f t="shared" si="2"/>
        <v>17</v>
      </c>
      <c r="AA28" s="67" t="s">
        <v>97</v>
      </c>
      <c r="AB28" s="67" t="s">
        <v>144</v>
      </c>
      <c r="AC28" s="85">
        <v>2</v>
      </c>
    </row>
    <row r="29" spans="2:29">
      <c r="B29" s="24" t="s">
        <v>279</v>
      </c>
      <c r="H29">
        <v>4</v>
      </c>
      <c r="M29">
        <v>4</v>
      </c>
      <c r="Q29">
        <v>4</v>
      </c>
      <c r="S29">
        <v>4</v>
      </c>
      <c r="W29">
        <v>4</v>
      </c>
      <c r="Y29" s="26">
        <f t="shared" si="2"/>
        <v>20</v>
      </c>
      <c r="AA29" s="67" t="s">
        <v>11</v>
      </c>
      <c r="AB29" s="67" t="s">
        <v>147</v>
      </c>
      <c r="AC29" s="85">
        <v>1</v>
      </c>
    </row>
    <row r="30" spans="2:29">
      <c r="B30" s="24" t="s">
        <v>130</v>
      </c>
      <c r="F30">
        <v>3</v>
      </c>
      <c r="K30">
        <v>3</v>
      </c>
      <c r="P30">
        <v>4</v>
      </c>
      <c r="T30">
        <v>4</v>
      </c>
      <c r="X30">
        <v>3</v>
      </c>
      <c r="Y30" s="26">
        <f t="shared" si="2"/>
        <v>17</v>
      </c>
      <c r="AA30" s="67" t="s">
        <v>121</v>
      </c>
      <c r="AB30" s="67" t="s">
        <v>150</v>
      </c>
      <c r="AC30" s="85">
        <v>1</v>
      </c>
    </row>
    <row r="31" spans="2:29">
      <c r="B31" s="24" t="s">
        <v>24</v>
      </c>
      <c r="E31">
        <v>5</v>
      </c>
      <c r="H31">
        <v>4</v>
      </c>
      <c r="R31">
        <v>2</v>
      </c>
      <c r="W31">
        <v>4</v>
      </c>
      <c r="Y31" s="26">
        <f t="shared" si="2"/>
        <v>15</v>
      </c>
      <c r="AA31" s="67" t="s">
        <v>310</v>
      </c>
      <c r="AB31" s="67" t="s">
        <v>345</v>
      </c>
      <c r="AC31" s="85">
        <v>1</v>
      </c>
    </row>
    <row r="32" spans="2:29">
      <c r="B32" s="24" t="s">
        <v>393</v>
      </c>
      <c r="K32">
        <v>3</v>
      </c>
      <c r="N32">
        <v>2</v>
      </c>
      <c r="R32">
        <v>2</v>
      </c>
      <c r="T32">
        <v>4</v>
      </c>
      <c r="V32">
        <v>4</v>
      </c>
      <c r="Y32" s="26">
        <f t="shared" si="2"/>
        <v>15</v>
      </c>
      <c r="AA32" s="67" t="s">
        <v>34</v>
      </c>
      <c r="AB32" s="67" t="s">
        <v>63</v>
      </c>
      <c r="AC32" s="85">
        <v>1</v>
      </c>
    </row>
    <row r="33" spans="2:29">
      <c r="B33" s="20" t="s">
        <v>161</v>
      </c>
      <c r="G33">
        <v>4</v>
      </c>
      <c r="L33">
        <v>2</v>
      </c>
      <c r="O33">
        <v>2</v>
      </c>
      <c r="W33">
        <v>1</v>
      </c>
      <c r="Y33" s="26">
        <f t="shared" si="2"/>
        <v>9</v>
      </c>
      <c r="AA33" s="67" t="s">
        <v>254</v>
      </c>
      <c r="AB33" s="67" t="s">
        <v>291</v>
      </c>
      <c r="AC33" s="85">
        <v>1</v>
      </c>
    </row>
    <row r="34" spans="2:29">
      <c r="B34" s="24" t="s">
        <v>34</v>
      </c>
      <c r="E34">
        <v>4</v>
      </c>
      <c r="H34">
        <v>4</v>
      </c>
      <c r="N34">
        <v>4</v>
      </c>
      <c r="U34">
        <v>3</v>
      </c>
      <c r="Y34" s="26">
        <f t="shared" si="2"/>
        <v>15</v>
      </c>
      <c r="AA34" s="67" t="s">
        <v>203</v>
      </c>
      <c r="AB34" s="67" t="s">
        <v>241</v>
      </c>
      <c r="AC34" s="85">
        <v>1</v>
      </c>
    </row>
    <row r="35" spans="2:29">
      <c r="B35" s="24" t="s">
        <v>174</v>
      </c>
      <c r="G35">
        <v>4</v>
      </c>
      <c r="J35">
        <v>4</v>
      </c>
      <c r="M35">
        <v>4</v>
      </c>
      <c r="Q35">
        <v>4</v>
      </c>
      <c r="U35">
        <v>4</v>
      </c>
      <c r="Y35" s="26">
        <f t="shared" si="2"/>
        <v>20</v>
      </c>
      <c r="AA35" s="67" t="s">
        <v>203</v>
      </c>
      <c r="AB35" s="67" t="s">
        <v>245</v>
      </c>
      <c r="AC35" s="85">
        <v>1</v>
      </c>
    </row>
    <row r="36" spans="2:29">
      <c r="B36" s="24" t="s">
        <v>97</v>
      </c>
      <c r="F36">
        <v>4</v>
      </c>
      <c r="I36">
        <v>4</v>
      </c>
      <c r="O36">
        <v>4</v>
      </c>
      <c r="S36">
        <v>4</v>
      </c>
      <c r="V36">
        <v>4</v>
      </c>
      <c r="Y36" s="26">
        <f t="shared" si="2"/>
        <v>20</v>
      </c>
      <c r="AA36" s="67" t="s">
        <v>68</v>
      </c>
      <c r="AB36" s="67" t="s">
        <v>85</v>
      </c>
      <c r="AC36" s="85">
        <v>1</v>
      </c>
    </row>
    <row r="37" spans="2:29">
      <c r="B37" s="24" t="s">
        <v>254</v>
      </c>
      <c r="H37">
        <v>2</v>
      </c>
      <c r="O37">
        <v>4</v>
      </c>
      <c r="Q37">
        <v>2</v>
      </c>
      <c r="U37">
        <v>4</v>
      </c>
      <c r="Y37" s="26">
        <f t="shared" si="2"/>
        <v>12</v>
      </c>
      <c r="AA37" s="67" t="s">
        <v>68</v>
      </c>
      <c r="AB37" s="67" t="s">
        <v>87</v>
      </c>
      <c r="AC37" s="85">
        <v>1</v>
      </c>
    </row>
    <row r="38" spans="2:29">
      <c r="B38" s="24" t="s">
        <v>203</v>
      </c>
      <c r="G38">
        <v>4</v>
      </c>
      <c r="K38">
        <v>4</v>
      </c>
      <c r="P38">
        <v>3</v>
      </c>
      <c r="T38">
        <v>2</v>
      </c>
      <c r="X38">
        <v>1</v>
      </c>
      <c r="Y38" s="26">
        <f t="shared" si="2"/>
        <v>14</v>
      </c>
      <c r="AA38" s="67" t="s">
        <v>34</v>
      </c>
      <c r="AB38" s="68" t="s">
        <v>248</v>
      </c>
      <c r="AC38" s="85">
        <v>1</v>
      </c>
    </row>
    <row r="39" spans="2:29">
      <c r="B39" s="24" t="s">
        <v>68</v>
      </c>
      <c r="C39">
        <v>4</v>
      </c>
      <c r="D39">
        <v>4</v>
      </c>
      <c r="E39">
        <v>4</v>
      </c>
      <c r="I39">
        <v>3</v>
      </c>
      <c r="M39">
        <v>5</v>
      </c>
      <c r="S39">
        <v>4</v>
      </c>
      <c r="Y39" s="26">
        <f>SUM(C39:X39)</f>
        <v>24</v>
      </c>
      <c r="AA39" s="67" t="s">
        <v>161</v>
      </c>
      <c r="AB39" s="68" t="s">
        <v>570</v>
      </c>
      <c r="AC39" s="86">
        <v>1</v>
      </c>
    </row>
    <row r="40" spans="2:29">
      <c r="B40" s="25" t="s">
        <v>500</v>
      </c>
      <c r="C40" s="27">
        <f>SUM(C24:C39)</f>
        <v>4</v>
      </c>
      <c r="D40" s="27">
        <f t="shared" ref="D40:M40" si="3">SUM(D24:D39)</f>
        <v>4</v>
      </c>
      <c r="E40" s="27">
        <f t="shared" si="3"/>
        <v>16</v>
      </c>
      <c r="F40" s="27">
        <f t="shared" si="3"/>
        <v>15</v>
      </c>
      <c r="G40" s="27">
        <f t="shared" si="3"/>
        <v>19</v>
      </c>
      <c r="H40" s="27">
        <f t="shared" si="3"/>
        <v>14</v>
      </c>
      <c r="I40" s="27">
        <f t="shared" si="3"/>
        <v>11</v>
      </c>
      <c r="J40" s="27">
        <f t="shared" si="3"/>
        <v>11</v>
      </c>
      <c r="K40" s="27">
        <f t="shared" si="3"/>
        <v>12</v>
      </c>
      <c r="L40" s="27">
        <f t="shared" si="3"/>
        <v>10</v>
      </c>
      <c r="M40" s="27">
        <f t="shared" si="3"/>
        <v>17</v>
      </c>
      <c r="N40" s="27">
        <f>SUM(N24:N39)</f>
        <v>10</v>
      </c>
      <c r="O40" s="27">
        <f>SUM(O24:O39)</f>
        <v>14</v>
      </c>
      <c r="P40" s="27">
        <f>SUM(P24:P39)</f>
        <v>9</v>
      </c>
      <c r="Q40" s="27">
        <f t="shared" ref="Q40" si="4">SUM(Q24:Q39)</f>
        <v>14</v>
      </c>
      <c r="R40" s="27">
        <f>SUM(R24:R39)</f>
        <v>6</v>
      </c>
      <c r="S40" s="27">
        <f t="shared" ref="S40:X40" si="5">SUM(S24:S39)</f>
        <v>15</v>
      </c>
      <c r="T40" s="27">
        <f t="shared" si="5"/>
        <v>14</v>
      </c>
      <c r="U40" s="27">
        <f t="shared" si="5"/>
        <v>15</v>
      </c>
      <c r="V40" s="27">
        <f t="shared" si="5"/>
        <v>12</v>
      </c>
      <c r="W40" s="27">
        <f t="shared" si="5"/>
        <v>13</v>
      </c>
      <c r="X40" s="27">
        <f t="shared" si="5"/>
        <v>8</v>
      </c>
      <c r="Y40" s="27">
        <f>SUM(C40:X40)</f>
        <v>263</v>
      </c>
      <c r="AA40" t="s">
        <v>393</v>
      </c>
      <c r="AB40" t="s">
        <v>776</v>
      </c>
      <c r="AC40" s="86">
        <v>1</v>
      </c>
    </row>
    <row r="41" spans="2:29">
      <c r="AA41" t="s">
        <v>254</v>
      </c>
      <c r="AB41" t="s">
        <v>769</v>
      </c>
      <c r="AC41" s="86">
        <v>1</v>
      </c>
    </row>
    <row r="42" spans="2:29" ht="15">
      <c r="B42" s="423" t="s">
        <v>663</v>
      </c>
      <c r="C42" s="423"/>
      <c r="D42" s="423"/>
      <c r="E42" s="423"/>
      <c r="F42" s="423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421" t="s">
        <v>501</v>
      </c>
      <c r="AA42" t="s">
        <v>254</v>
      </c>
      <c r="AB42" t="s">
        <v>575</v>
      </c>
      <c r="AC42" s="86">
        <v>1</v>
      </c>
    </row>
    <row r="43" spans="2:29">
      <c r="B43" s="38" t="s">
        <v>502</v>
      </c>
      <c r="C43" s="34">
        <v>43161</v>
      </c>
      <c r="D43" s="34">
        <v>43164</v>
      </c>
      <c r="E43" s="34">
        <v>43166</v>
      </c>
      <c r="F43" s="34">
        <v>43171</v>
      </c>
      <c r="G43" s="34">
        <v>43172</v>
      </c>
      <c r="H43" s="34">
        <v>43173</v>
      </c>
      <c r="I43" s="34">
        <v>43174</v>
      </c>
      <c r="J43" s="34">
        <v>43175</v>
      </c>
      <c r="K43" s="34">
        <v>43176</v>
      </c>
      <c r="L43" s="34">
        <v>43177</v>
      </c>
      <c r="M43" s="34">
        <v>43178</v>
      </c>
      <c r="N43" s="34">
        <v>43179</v>
      </c>
      <c r="O43" s="34">
        <v>43180</v>
      </c>
      <c r="P43" s="34">
        <v>43181</v>
      </c>
      <c r="Q43" s="34">
        <v>43182</v>
      </c>
      <c r="R43" s="34">
        <v>43183</v>
      </c>
      <c r="S43" s="34">
        <v>43185</v>
      </c>
      <c r="T43" s="34">
        <v>43186</v>
      </c>
      <c r="U43" s="34">
        <v>43187</v>
      </c>
      <c r="V43" s="34">
        <v>43188</v>
      </c>
      <c r="W43" s="34">
        <v>43189</v>
      </c>
      <c r="X43" s="34">
        <v>43190</v>
      </c>
      <c r="Y43" s="421"/>
      <c r="AA43" t="s">
        <v>189</v>
      </c>
      <c r="AB43" t="s">
        <v>799</v>
      </c>
      <c r="AC43" s="86">
        <v>1</v>
      </c>
    </row>
    <row r="44" spans="2:29">
      <c r="B44" s="37" t="s">
        <v>11</v>
      </c>
      <c r="C44" s="35" t="str">
        <f>IFERROR(C4/C24," ")</f>
        <v xml:space="preserve"> </v>
      </c>
      <c r="D44" s="35" t="str">
        <f t="shared" ref="D44:P44" si="6">IFERROR(D4/D24," ")</f>
        <v xml:space="preserve"> </v>
      </c>
      <c r="E44" s="35">
        <f t="shared" si="6"/>
        <v>0</v>
      </c>
      <c r="F44" s="35">
        <f t="shared" si="6"/>
        <v>0</v>
      </c>
      <c r="G44" s="35" t="str">
        <f t="shared" si="6"/>
        <v xml:space="preserve"> </v>
      </c>
      <c r="H44" s="35" t="str">
        <f t="shared" si="6"/>
        <v xml:space="preserve"> </v>
      </c>
      <c r="I44" s="35" t="str">
        <f t="shared" si="6"/>
        <v xml:space="preserve"> </v>
      </c>
      <c r="J44" s="35">
        <f t="shared" si="6"/>
        <v>1</v>
      </c>
      <c r="K44" s="35" t="str">
        <f t="shared" si="6"/>
        <v xml:space="preserve"> </v>
      </c>
      <c r="L44" s="35" t="str">
        <f t="shared" si="6"/>
        <v xml:space="preserve"> </v>
      </c>
      <c r="M44" s="35" t="str">
        <f t="shared" si="6"/>
        <v xml:space="preserve"> </v>
      </c>
      <c r="N44" s="35" t="str">
        <f t="shared" si="6"/>
        <v xml:space="preserve"> </v>
      </c>
      <c r="O44" s="35" t="str">
        <f t="shared" si="6"/>
        <v xml:space="preserve"> </v>
      </c>
      <c r="P44" s="35" t="str">
        <f t="shared" si="6"/>
        <v xml:space="preserve"> </v>
      </c>
      <c r="Q44" s="35" t="str">
        <f t="shared" ref="Q44:X44" si="7">IFERROR(Q4/Q24," ")</f>
        <v xml:space="preserve"> </v>
      </c>
      <c r="R44" s="35" t="str">
        <f t="shared" si="7"/>
        <v xml:space="preserve"> </v>
      </c>
      <c r="S44" s="35" t="str">
        <f t="shared" si="7"/>
        <v xml:space="preserve"> </v>
      </c>
      <c r="T44" s="35">
        <f t="shared" si="7"/>
        <v>0.75</v>
      </c>
      <c r="U44" s="35" t="str">
        <f t="shared" si="7"/>
        <v xml:space="preserve"> </v>
      </c>
      <c r="V44" s="35" t="str">
        <f t="shared" si="7"/>
        <v xml:space="preserve"> </v>
      </c>
      <c r="W44" s="35" t="str">
        <f t="shared" si="7"/>
        <v xml:space="preserve"> </v>
      </c>
      <c r="X44" s="35" t="str">
        <f t="shared" si="7"/>
        <v xml:space="preserve"> </v>
      </c>
      <c r="Y44" s="35">
        <f>IFERROR(Y4/Y24," ")</f>
        <v>0.42857142857142855</v>
      </c>
      <c r="AA44" t="s">
        <v>189</v>
      </c>
      <c r="AB44" t="s">
        <v>466</v>
      </c>
      <c r="AC44" s="86">
        <v>1</v>
      </c>
    </row>
    <row r="45" spans="2:29">
      <c r="B45" s="37" t="s">
        <v>218</v>
      </c>
      <c r="C45" s="35" t="str">
        <f t="shared" ref="C45:N45" si="8">IFERROR(C5/C25," ")</f>
        <v xml:space="preserve"> </v>
      </c>
      <c r="D45" s="35" t="str">
        <f t="shared" si="8"/>
        <v xml:space="preserve"> </v>
      </c>
      <c r="E45" s="35" t="str">
        <f t="shared" si="8"/>
        <v xml:space="preserve"> </v>
      </c>
      <c r="F45" s="35" t="str">
        <f t="shared" si="8"/>
        <v xml:space="preserve"> </v>
      </c>
      <c r="G45" s="35">
        <f t="shared" si="8"/>
        <v>0.66666666666666663</v>
      </c>
      <c r="H45" s="35" t="str">
        <f t="shared" si="8"/>
        <v xml:space="preserve"> </v>
      </c>
      <c r="I45" s="35" t="str">
        <f t="shared" si="8"/>
        <v xml:space="preserve"> </v>
      </c>
      <c r="J45" s="35" t="str">
        <f t="shared" si="8"/>
        <v xml:space="preserve"> </v>
      </c>
      <c r="K45" s="35" t="str">
        <f t="shared" si="8"/>
        <v xml:space="preserve"> </v>
      </c>
      <c r="L45" s="35">
        <f t="shared" si="8"/>
        <v>0.75</v>
      </c>
      <c r="M45" s="35" t="str">
        <f t="shared" si="8"/>
        <v xml:space="preserve"> </v>
      </c>
      <c r="N45" s="35" t="str">
        <f t="shared" si="8"/>
        <v xml:space="preserve"> </v>
      </c>
      <c r="O45" s="35">
        <f>IFERROR(O5/O25," ")</f>
        <v>0.5</v>
      </c>
      <c r="P45" s="35" t="str">
        <f t="shared" ref="P45:X45" si="9">IFERROR(P5/P25," ")</f>
        <v xml:space="preserve"> </v>
      </c>
      <c r="Q45" s="35" t="str">
        <f t="shared" si="9"/>
        <v xml:space="preserve"> </v>
      </c>
      <c r="R45" s="35">
        <f t="shared" si="9"/>
        <v>0.5</v>
      </c>
      <c r="S45" s="35" t="str">
        <f t="shared" si="9"/>
        <v xml:space="preserve"> </v>
      </c>
      <c r="T45" s="35" t="str">
        <f t="shared" si="9"/>
        <v xml:space="preserve"> </v>
      </c>
      <c r="U45" s="35" t="str">
        <f t="shared" si="9"/>
        <v xml:space="preserve"> </v>
      </c>
      <c r="V45" s="35">
        <f t="shared" si="9"/>
        <v>0.75</v>
      </c>
      <c r="W45" s="35" t="str">
        <f t="shared" si="9"/>
        <v xml:space="preserve"> </v>
      </c>
      <c r="X45" s="35" t="str">
        <f t="shared" si="9"/>
        <v xml:space="preserve"> </v>
      </c>
      <c r="Y45" s="35">
        <f>IFERROR(Y5/Y25," ")</f>
        <v>0.6470588235294118</v>
      </c>
    </row>
    <row r="46" spans="2:29">
      <c r="B46" s="37" t="s">
        <v>121</v>
      </c>
      <c r="C46" s="35" t="str">
        <f t="shared" ref="C46:Y46" si="10">IFERROR(C6/C26," ")</f>
        <v xml:space="preserve"> </v>
      </c>
      <c r="D46" s="35" t="str">
        <f t="shared" si="10"/>
        <v xml:space="preserve"> </v>
      </c>
      <c r="E46" s="35" t="str">
        <f t="shared" si="10"/>
        <v xml:space="preserve"> </v>
      </c>
      <c r="F46" s="35">
        <f t="shared" si="10"/>
        <v>0.5</v>
      </c>
      <c r="G46" s="35" t="str">
        <f t="shared" si="10"/>
        <v xml:space="preserve"> </v>
      </c>
      <c r="H46" s="35" t="str">
        <f t="shared" si="10"/>
        <v xml:space="preserve"> </v>
      </c>
      <c r="I46" s="35" t="str">
        <f t="shared" si="10"/>
        <v xml:space="preserve"> </v>
      </c>
      <c r="J46" s="35" t="str">
        <f t="shared" si="10"/>
        <v xml:space="preserve"> </v>
      </c>
      <c r="K46" s="35">
        <f t="shared" si="10"/>
        <v>0</v>
      </c>
      <c r="L46" s="35" t="str">
        <f t="shared" si="10"/>
        <v xml:space="preserve"> </v>
      </c>
      <c r="M46" s="35">
        <f t="shared" si="10"/>
        <v>0.75</v>
      </c>
      <c r="N46" s="35" t="str">
        <f t="shared" si="10"/>
        <v xml:space="preserve"> </v>
      </c>
      <c r="O46" s="35" t="str">
        <f t="shared" si="10"/>
        <v xml:space="preserve"> </v>
      </c>
      <c r="P46" s="35" t="str">
        <f t="shared" si="10"/>
        <v xml:space="preserve"> </v>
      </c>
      <c r="Q46" s="35" t="str">
        <f t="shared" ref="Q46:X46" si="11">IFERROR(Q6/Q26," ")</f>
        <v xml:space="preserve"> </v>
      </c>
      <c r="R46" s="35" t="str">
        <f t="shared" si="11"/>
        <v xml:space="preserve"> </v>
      </c>
      <c r="S46" s="35" t="str">
        <f t="shared" si="11"/>
        <v xml:space="preserve"> </v>
      </c>
      <c r="T46" s="35" t="str">
        <f t="shared" si="11"/>
        <v xml:space="preserve"> </v>
      </c>
      <c r="U46" s="35" t="str">
        <f t="shared" si="11"/>
        <v xml:space="preserve"> </v>
      </c>
      <c r="V46" s="35" t="str">
        <f t="shared" si="11"/>
        <v xml:space="preserve"> </v>
      </c>
      <c r="W46" s="35">
        <f t="shared" si="11"/>
        <v>0.5</v>
      </c>
      <c r="X46" s="35" t="str">
        <f t="shared" si="11"/>
        <v xml:space="preserve"> </v>
      </c>
      <c r="Y46" s="35">
        <f t="shared" si="10"/>
        <v>0.5</v>
      </c>
    </row>
    <row r="47" spans="2:29">
      <c r="B47" s="37" t="s">
        <v>189</v>
      </c>
      <c r="C47" s="35" t="str">
        <f t="shared" ref="C47:Y47" si="12">IFERROR(C7/C27," ")</f>
        <v xml:space="preserve"> </v>
      </c>
      <c r="D47" s="35" t="str">
        <f t="shared" si="12"/>
        <v xml:space="preserve"> </v>
      </c>
      <c r="E47" s="35" t="str">
        <f t="shared" si="12"/>
        <v xml:space="preserve"> </v>
      </c>
      <c r="F47" s="35" t="str">
        <f t="shared" si="12"/>
        <v xml:space="preserve"> </v>
      </c>
      <c r="G47" s="35">
        <f t="shared" si="12"/>
        <v>0.75</v>
      </c>
      <c r="H47" s="35" t="str">
        <f t="shared" si="12"/>
        <v xml:space="preserve"> </v>
      </c>
      <c r="I47" s="35" t="str">
        <f t="shared" si="12"/>
        <v xml:space="preserve"> </v>
      </c>
      <c r="J47" s="35">
        <f t="shared" si="12"/>
        <v>1</v>
      </c>
      <c r="K47" s="35" t="str">
        <f t="shared" si="12"/>
        <v xml:space="preserve"> </v>
      </c>
      <c r="L47" s="35" t="str">
        <f t="shared" si="12"/>
        <v xml:space="preserve"> </v>
      </c>
      <c r="M47" s="35" t="str">
        <f t="shared" si="12"/>
        <v xml:space="preserve"> </v>
      </c>
      <c r="N47" s="35">
        <f t="shared" si="12"/>
        <v>0.75</v>
      </c>
      <c r="O47" s="35" t="str">
        <f t="shared" si="12"/>
        <v xml:space="preserve"> </v>
      </c>
      <c r="P47" s="35" t="str">
        <f t="shared" si="12"/>
        <v xml:space="preserve"> </v>
      </c>
      <c r="Q47" s="35">
        <f t="shared" ref="Q47:X47" si="13">IFERROR(Q7/Q27," ")</f>
        <v>0.5</v>
      </c>
      <c r="R47" s="35" t="str">
        <f t="shared" si="13"/>
        <v xml:space="preserve"> </v>
      </c>
      <c r="S47" s="35" t="str">
        <f t="shared" si="13"/>
        <v xml:space="preserve"> </v>
      </c>
      <c r="T47" s="35" t="str">
        <f t="shared" si="13"/>
        <v xml:space="preserve"> </v>
      </c>
      <c r="U47" s="35">
        <f t="shared" si="13"/>
        <v>0.25</v>
      </c>
      <c r="V47" s="35" t="str">
        <f t="shared" si="13"/>
        <v xml:space="preserve"> </v>
      </c>
      <c r="W47" s="35" t="str">
        <f t="shared" si="13"/>
        <v xml:space="preserve"> </v>
      </c>
      <c r="X47" s="35" t="str">
        <f t="shared" si="13"/>
        <v xml:space="preserve"> </v>
      </c>
      <c r="Y47" s="35">
        <f t="shared" si="12"/>
        <v>0.65</v>
      </c>
    </row>
    <row r="48" spans="2:29">
      <c r="B48" s="37" t="s">
        <v>310</v>
      </c>
      <c r="C48" s="35" t="str">
        <f t="shared" ref="C48:Y48" si="14">IFERROR(C8/C28," ")</f>
        <v xml:space="preserve"> </v>
      </c>
      <c r="D48" s="35" t="str">
        <f t="shared" si="14"/>
        <v xml:space="preserve"> </v>
      </c>
      <c r="E48" s="35" t="str">
        <f t="shared" si="14"/>
        <v xml:space="preserve"> </v>
      </c>
      <c r="F48" s="35" t="str">
        <f t="shared" si="14"/>
        <v xml:space="preserve"> </v>
      </c>
      <c r="G48" s="35" t="str">
        <f t="shared" si="14"/>
        <v xml:space="preserve"> </v>
      </c>
      <c r="H48" s="35" t="str">
        <f t="shared" si="14"/>
        <v xml:space="preserve"> </v>
      </c>
      <c r="I48" s="35">
        <f t="shared" si="14"/>
        <v>0.75</v>
      </c>
      <c r="J48" s="35" t="str">
        <f t="shared" si="14"/>
        <v xml:space="preserve"> </v>
      </c>
      <c r="K48" s="35" t="str">
        <f t="shared" si="14"/>
        <v xml:space="preserve"> </v>
      </c>
      <c r="L48" s="35">
        <f t="shared" si="14"/>
        <v>0.25</v>
      </c>
      <c r="M48" s="35" t="str">
        <f t="shared" si="14"/>
        <v xml:space="preserve"> </v>
      </c>
      <c r="N48" s="35" t="str">
        <f t="shared" si="14"/>
        <v xml:space="preserve"> </v>
      </c>
      <c r="O48" s="35" t="str">
        <f t="shared" si="14"/>
        <v xml:space="preserve"> </v>
      </c>
      <c r="P48" s="35">
        <f t="shared" si="14"/>
        <v>0</v>
      </c>
      <c r="Q48" s="35" t="str">
        <f t="shared" ref="Q48:X48" si="15">IFERROR(Q8/Q28," ")</f>
        <v xml:space="preserve"> </v>
      </c>
      <c r="R48" s="35" t="str">
        <f t="shared" si="15"/>
        <v xml:space="preserve"> </v>
      </c>
      <c r="S48" s="35">
        <f t="shared" si="15"/>
        <v>1</v>
      </c>
      <c r="T48" s="35" t="str">
        <f t="shared" si="15"/>
        <v xml:space="preserve"> </v>
      </c>
      <c r="U48" s="35" t="str">
        <f t="shared" si="15"/>
        <v xml:space="preserve"> </v>
      </c>
      <c r="V48" s="35" t="str">
        <f t="shared" si="15"/>
        <v xml:space="preserve"> </v>
      </c>
      <c r="W48" s="35" t="str">
        <f t="shared" si="15"/>
        <v xml:space="preserve"> </v>
      </c>
      <c r="X48" s="35">
        <f t="shared" si="15"/>
        <v>0.75</v>
      </c>
      <c r="Y48" s="35">
        <f t="shared" si="14"/>
        <v>0.58823529411764708</v>
      </c>
    </row>
    <row r="49" spans="2:25">
      <c r="B49" s="37" t="s">
        <v>279</v>
      </c>
      <c r="C49" s="35" t="str">
        <f t="shared" ref="C49:Y49" si="16">IFERROR(C9/C29," ")</f>
        <v xml:space="preserve"> </v>
      </c>
      <c r="D49" s="35" t="str">
        <f t="shared" si="16"/>
        <v xml:space="preserve"> </v>
      </c>
      <c r="E49" s="35" t="str">
        <f t="shared" si="16"/>
        <v xml:space="preserve"> </v>
      </c>
      <c r="F49" s="35" t="str">
        <f t="shared" si="16"/>
        <v xml:space="preserve"> </v>
      </c>
      <c r="G49" s="35" t="str">
        <f t="shared" si="16"/>
        <v xml:space="preserve"> </v>
      </c>
      <c r="H49" s="35">
        <f t="shared" si="16"/>
        <v>0.75</v>
      </c>
      <c r="I49" s="35" t="str">
        <f t="shared" si="16"/>
        <v xml:space="preserve"> </v>
      </c>
      <c r="J49" s="35" t="str">
        <f t="shared" si="16"/>
        <v xml:space="preserve"> </v>
      </c>
      <c r="K49" s="35" t="str">
        <f t="shared" si="16"/>
        <v xml:space="preserve"> </v>
      </c>
      <c r="L49" s="35" t="str">
        <f t="shared" si="16"/>
        <v xml:space="preserve"> </v>
      </c>
      <c r="M49" s="35">
        <f t="shared" si="16"/>
        <v>0.75</v>
      </c>
      <c r="N49" s="35" t="str">
        <f t="shared" si="16"/>
        <v xml:space="preserve"> </v>
      </c>
      <c r="O49" s="35" t="str">
        <f t="shared" si="16"/>
        <v xml:space="preserve"> </v>
      </c>
      <c r="P49" s="35" t="str">
        <f t="shared" si="16"/>
        <v xml:space="preserve"> </v>
      </c>
      <c r="Q49" s="35">
        <f t="shared" ref="Q49:X49" si="17">IFERROR(Q9/Q29," ")</f>
        <v>0.25</v>
      </c>
      <c r="R49" s="35" t="str">
        <f t="shared" si="17"/>
        <v xml:space="preserve"> </v>
      </c>
      <c r="S49" s="35">
        <f t="shared" si="17"/>
        <v>0.5</v>
      </c>
      <c r="T49" s="35" t="str">
        <f t="shared" si="17"/>
        <v xml:space="preserve"> </v>
      </c>
      <c r="U49" s="35" t="str">
        <f t="shared" si="17"/>
        <v xml:space="preserve"> </v>
      </c>
      <c r="V49" s="35" t="str">
        <f t="shared" si="17"/>
        <v xml:space="preserve"> </v>
      </c>
      <c r="W49" s="35">
        <f t="shared" si="17"/>
        <v>0.75</v>
      </c>
      <c r="X49" s="35" t="str">
        <f t="shared" si="17"/>
        <v xml:space="preserve"> </v>
      </c>
      <c r="Y49" s="35">
        <f t="shared" si="16"/>
        <v>0.6</v>
      </c>
    </row>
    <row r="50" spans="2:25">
      <c r="B50" s="37" t="s">
        <v>130</v>
      </c>
      <c r="C50" s="35" t="str">
        <f t="shared" ref="C50:Y50" si="18">IFERROR(C10/C30," ")</f>
        <v xml:space="preserve"> </v>
      </c>
      <c r="D50" s="35" t="str">
        <f t="shared" si="18"/>
        <v xml:space="preserve"> </v>
      </c>
      <c r="E50" s="35" t="str">
        <f t="shared" si="18"/>
        <v xml:space="preserve"> </v>
      </c>
      <c r="F50" s="35">
        <f t="shared" si="18"/>
        <v>0.33333333333333331</v>
      </c>
      <c r="G50" s="35" t="str">
        <f t="shared" si="18"/>
        <v xml:space="preserve"> </v>
      </c>
      <c r="H50" s="35" t="str">
        <f t="shared" si="18"/>
        <v xml:space="preserve"> </v>
      </c>
      <c r="I50" s="35" t="str">
        <f t="shared" si="18"/>
        <v xml:space="preserve"> </v>
      </c>
      <c r="J50" s="35" t="str">
        <f t="shared" si="18"/>
        <v xml:space="preserve"> </v>
      </c>
      <c r="K50" s="35">
        <f t="shared" si="18"/>
        <v>0.33333333333333331</v>
      </c>
      <c r="L50" s="35" t="str">
        <f t="shared" si="18"/>
        <v xml:space="preserve"> </v>
      </c>
      <c r="M50" s="35" t="str">
        <f t="shared" si="18"/>
        <v xml:space="preserve"> </v>
      </c>
      <c r="N50" s="35" t="str">
        <f t="shared" si="18"/>
        <v xml:space="preserve"> </v>
      </c>
      <c r="O50" s="35" t="str">
        <f t="shared" si="18"/>
        <v xml:space="preserve"> </v>
      </c>
      <c r="P50" s="35">
        <f t="shared" si="18"/>
        <v>0.75</v>
      </c>
      <c r="Q50" s="35" t="str">
        <f t="shared" ref="Q50:X50" si="19">IFERROR(Q10/Q30," ")</f>
        <v xml:space="preserve"> </v>
      </c>
      <c r="R50" s="35" t="str">
        <f t="shared" si="19"/>
        <v xml:space="preserve"> </v>
      </c>
      <c r="S50" s="35" t="str">
        <f t="shared" si="19"/>
        <v xml:space="preserve"> </v>
      </c>
      <c r="T50" s="35">
        <f t="shared" si="19"/>
        <v>0.25</v>
      </c>
      <c r="U50" s="35" t="str">
        <f t="shared" si="19"/>
        <v xml:space="preserve"> </v>
      </c>
      <c r="V50" s="35" t="str">
        <f t="shared" si="19"/>
        <v xml:space="preserve"> </v>
      </c>
      <c r="W50" s="35" t="str">
        <f t="shared" si="19"/>
        <v xml:space="preserve"> </v>
      </c>
      <c r="X50" s="35">
        <f t="shared" si="19"/>
        <v>1</v>
      </c>
      <c r="Y50" s="35">
        <f t="shared" si="18"/>
        <v>0.52941176470588236</v>
      </c>
    </row>
    <row r="51" spans="2:25">
      <c r="B51" s="37" t="s">
        <v>24</v>
      </c>
      <c r="C51" s="35" t="str">
        <f t="shared" ref="C51:P51" si="20">IFERROR(C11/C31," ")</f>
        <v xml:space="preserve"> </v>
      </c>
      <c r="D51" s="35" t="str">
        <f t="shared" si="20"/>
        <v xml:space="preserve"> </v>
      </c>
      <c r="E51" s="35">
        <f t="shared" si="20"/>
        <v>0</v>
      </c>
      <c r="F51" s="35" t="str">
        <f t="shared" si="20"/>
        <v xml:space="preserve"> </v>
      </c>
      <c r="G51" s="35" t="str">
        <f t="shared" si="20"/>
        <v xml:space="preserve"> </v>
      </c>
      <c r="H51" s="35">
        <f t="shared" si="20"/>
        <v>0.5</v>
      </c>
      <c r="I51" s="35" t="str">
        <f t="shared" si="20"/>
        <v xml:space="preserve"> </v>
      </c>
      <c r="J51" s="35" t="str">
        <f t="shared" si="20"/>
        <v xml:space="preserve"> </v>
      </c>
      <c r="K51" s="35" t="str">
        <f t="shared" si="20"/>
        <v xml:space="preserve"> </v>
      </c>
      <c r="L51" s="35" t="str">
        <f t="shared" si="20"/>
        <v xml:space="preserve"> </v>
      </c>
      <c r="M51" s="35" t="str">
        <f t="shared" si="20"/>
        <v xml:space="preserve"> </v>
      </c>
      <c r="N51" s="35" t="str">
        <f t="shared" si="20"/>
        <v xml:space="preserve"> </v>
      </c>
      <c r="O51" s="35" t="str">
        <f t="shared" si="20"/>
        <v xml:space="preserve"> </v>
      </c>
      <c r="P51" s="35" t="str">
        <f t="shared" si="20"/>
        <v xml:space="preserve"> </v>
      </c>
      <c r="Q51" s="35" t="str">
        <f t="shared" ref="Q51:X51" si="21">IFERROR(Q11/Q31," ")</f>
        <v xml:space="preserve"> </v>
      </c>
      <c r="R51" s="35">
        <f t="shared" si="21"/>
        <v>0</v>
      </c>
      <c r="S51" s="35" t="str">
        <f t="shared" si="21"/>
        <v xml:space="preserve"> </v>
      </c>
      <c r="T51" s="35" t="str">
        <f t="shared" si="21"/>
        <v xml:space="preserve"> </v>
      </c>
      <c r="U51" s="35" t="str">
        <f t="shared" si="21"/>
        <v xml:space="preserve"> </v>
      </c>
      <c r="V51" s="35" t="str">
        <f t="shared" si="21"/>
        <v xml:space="preserve"> </v>
      </c>
      <c r="W51" s="35">
        <f t="shared" si="21"/>
        <v>0.75</v>
      </c>
      <c r="X51" s="35" t="str">
        <f t="shared" si="21"/>
        <v xml:space="preserve"> </v>
      </c>
      <c r="Y51" s="35">
        <f>IFERROR(Y11/Y31," ")</f>
        <v>0.33333333333333331</v>
      </c>
    </row>
    <row r="52" spans="2:25">
      <c r="B52" s="37" t="s">
        <v>393</v>
      </c>
      <c r="C52" s="35" t="str">
        <f t="shared" ref="C52:P52" si="22">IFERROR(C12/C32," ")</f>
        <v xml:space="preserve"> </v>
      </c>
      <c r="D52" s="35" t="str">
        <f t="shared" si="22"/>
        <v xml:space="preserve"> </v>
      </c>
      <c r="E52" s="35" t="str">
        <f t="shared" si="22"/>
        <v xml:space="preserve"> </v>
      </c>
      <c r="F52" s="35" t="str">
        <f t="shared" si="22"/>
        <v xml:space="preserve"> </v>
      </c>
      <c r="G52" s="35" t="str">
        <f t="shared" si="22"/>
        <v xml:space="preserve"> </v>
      </c>
      <c r="H52" s="35" t="str">
        <f t="shared" si="22"/>
        <v xml:space="preserve"> </v>
      </c>
      <c r="I52" s="35" t="str">
        <f t="shared" si="22"/>
        <v xml:space="preserve"> </v>
      </c>
      <c r="J52" s="35" t="str">
        <f t="shared" si="22"/>
        <v xml:space="preserve"> </v>
      </c>
      <c r="K52" s="35">
        <f t="shared" si="22"/>
        <v>0.33333333333333331</v>
      </c>
      <c r="L52" s="35" t="str">
        <f t="shared" si="22"/>
        <v xml:space="preserve"> </v>
      </c>
      <c r="M52" s="35" t="str">
        <f t="shared" si="22"/>
        <v xml:space="preserve"> </v>
      </c>
      <c r="N52" s="35">
        <f t="shared" si="22"/>
        <v>0.5</v>
      </c>
      <c r="O52" s="35" t="str">
        <f t="shared" si="22"/>
        <v xml:space="preserve"> </v>
      </c>
      <c r="P52" s="35" t="str">
        <f t="shared" si="22"/>
        <v xml:space="preserve"> </v>
      </c>
      <c r="Q52" s="35" t="str">
        <f t="shared" ref="Q52:X52" si="23">IFERROR(Q12/Q32," ")</f>
        <v xml:space="preserve"> </v>
      </c>
      <c r="R52" s="35">
        <f t="shared" si="23"/>
        <v>0.5</v>
      </c>
      <c r="S52" s="35" t="str">
        <f t="shared" si="23"/>
        <v xml:space="preserve"> </v>
      </c>
      <c r="T52" s="35">
        <f t="shared" si="23"/>
        <v>0</v>
      </c>
      <c r="U52" s="35" t="str">
        <f t="shared" si="23"/>
        <v xml:space="preserve"> </v>
      </c>
      <c r="V52" s="35">
        <f t="shared" si="23"/>
        <v>0.25</v>
      </c>
      <c r="W52" s="35" t="str">
        <f t="shared" si="23"/>
        <v xml:space="preserve"> </v>
      </c>
      <c r="X52" s="35" t="str">
        <f t="shared" si="23"/>
        <v xml:space="preserve"> </v>
      </c>
      <c r="Y52" s="35">
        <f>IFERROR(Y12/Y32," ")</f>
        <v>0.26666666666666666</v>
      </c>
    </row>
    <row r="53" spans="2:25">
      <c r="B53" s="37" t="s">
        <v>161</v>
      </c>
      <c r="C53" s="35" t="str">
        <f t="shared" ref="C53:P53" si="24">IFERROR(C13/C33," ")</f>
        <v xml:space="preserve"> </v>
      </c>
      <c r="D53" s="35" t="str">
        <f t="shared" si="24"/>
        <v xml:space="preserve"> </v>
      </c>
      <c r="E53" s="35" t="str">
        <f t="shared" si="24"/>
        <v xml:space="preserve"> </v>
      </c>
      <c r="F53" s="35" t="str">
        <f t="shared" si="24"/>
        <v xml:space="preserve"> </v>
      </c>
      <c r="G53" s="35">
        <f t="shared" si="24"/>
        <v>0</v>
      </c>
      <c r="H53" s="35" t="str">
        <f t="shared" si="24"/>
        <v xml:space="preserve"> </v>
      </c>
      <c r="I53" s="35" t="str">
        <f t="shared" si="24"/>
        <v xml:space="preserve"> </v>
      </c>
      <c r="J53" s="35" t="str">
        <f t="shared" si="24"/>
        <v xml:space="preserve"> </v>
      </c>
      <c r="K53" s="35" t="str">
        <f t="shared" si="24"/>
        <v xml:space="preserve"> </v>
      </c>
      <c r="L53" s="35">
        <f t="shared" si="24"/>
        <v>0.5</v>
      </c>
      <c r="M53" s="35" t="str">
        <f t="shared" si="24"/>
        <v xml:space="preserve"> </v>
      </c>
      <c r="N53" s="35" t="str">
        <f t="shared" si="24"/>
        <v xml:space="preserve"> </v>
      </c>
      <c r="O53" s="35">
        <f t="shared" si="24"/>
        <v>0</v>
      </c>
      <c r="P53" s="35" t="str">
        <f t="shared" si="24"/>
        <v xml:space="preserve"> </v>
      </c>
      <c r="Q53" s="35" t="str">
        <f t="shared" ref="Q53:X53" si="25">IFERROR(Q13/Q33," ")</f>
        <v xml:space="preserve"> </v>
      </c>
      <c r="R53" s="35" t="str">
        <f t="shared" si="25"/>
        <v xml:space="preserve"> </v>
      </c>
      <c r="S53" s="35" t="str">
        <f t="shared" si="25"/>
        <v xml:space="preserve"> </v>
      </c>
      <c r="T53" s="35" t="str">
        <f t="shared" si="25"/>
        <v xml:space="preserve"> </v>
      </c>
      <c r="U53" s="35" t="str">
        <f t="shared" si="25"/>
        <v xml:space="preserve"> </v>
      </c>
      <c r="V53" s="35" t="str">
        <f t="shared" si="25"/>
        <v xml:space="preserve"> </v>
      </c>
      <c r="W53" s="35">
        <f t="shared" si="25"/>
        <v>0</v>
      </c>
      <c r="X53" s="35" t="str">
        <f t="shared" si="25"/>
        <v xml:space="preserve"> </v>
      </c>
      <c r="Y53" s="35">
        <f>IFERROR(Y13/Y33," ")</f>
        <v>0.1111111111111111</v>
      </c>
    </row>
    <row r="54" spans="2:25">
      <c r="B54" s="37" t="s">
        <v>34</v>
      </c>
      <c r="C54" s="35" t="str">
        <f t="shared" ref="C54:Y54" si="26">IFERROR(C14/C34," ")</f>
        <v xml:space="preserve"> </v>
      </c>
      <c r="D54" s="35" t="str">
        <f t="shared" si="26"/>
        <v xml:space="preserve"> </v>
      </c>
      <c r="E54" s="35">
        <f t="shared" si="26"/>
        <v>0</v>
      </c>
      <c r="F54" s="35" t="str">
        <f t="shared" si="26"/>
        <v xml:space="preserve"> </v>
      </c>
      <c r="G54" s="35" t="str">
        <f t="shared" si="26"/>
        <v xml:space="preserve"> </v>
      </c>
      <c r="H54" s="35">
        <f t="shared" si="26"/>
        <v>0.75</v>
      </c>
      <c r="I54" s="35" t="str">
        <f t="shared" si="26"/>
        <v xml:space="preserve"> </v>
      </c>
      <c r="J54" s="35" t="str">
        <f t="shared" si="26"/>
        <v xml:space="preserve"> </v>
      </c>
      <c r="K54" s="35" t="str">
        <f t="shared" si="26"/>
        <v xml:space="preserve"> </v>
      </c>
      <c r="L54" s="35" t="str">
        <f t="shared" si="26"/>
        <v xml:space="preserve"> </v>
      </c>
      <c r="M54" s="35" t="str">
        <f t="shared" si="26"/>
        <v xml:space="preserve"> </v>
      </c>
      <c r="N54" s="35">
        <f t="shared" si="26"/>
        <v>0.25</v>
      </c>
      <c r="O54" s="35" t="str">
        <f t="shared" si="26"/>
        <v xml:space="preserve"> </v>
      </c>
      <c r="P54" s="35" t="str">
        <f t="shared" si="26"/>
        <v xml:space="preserve"> </v>
      </c>
      <c r="Q54" s="35" t="str">
        <f t="shared" ref="Q54:X54" si="27">IFERROR(Q14/Q34," ")</f>
        <v xml:space="preserve"> </v>
      </c>
      <c r="R54" s="35" t="str">
        <f t="shared" si="27"/>
        <v xml:space="preserve"> </v>
      </c>
      <c r="S54" s="35" t="str">
        <f t="shared" si="27"/>
        <v xml:space="preserve"> </v>
      </c>
      <c r="T54" s="35" t="str">
        <f t="shared" si="27"/>
        <v xml:space="preserve"> </v>
      </c>
      <c r="U54" s="35">
        <f t="shared" si="27"/>
        <v>0.66666666666666663</v>
      </c>
      <c r="V54" s="35" t="str">
        <f t="shared" si="27"/>
        <v xml:space="preserve"> </v>
      </c>
      <c r="W54" s="35" t="str">
        <f t="shared" si="27"/>
        <v xml:space="preserve"> </v>
      </c>
      <c r="X54" s="35" t="str">
        <f t="shared" si="27"/>
        <v xml:space="preserve"> </v>
      </c>
      <c r="Y54" s="35">
        <f t="shared" si="26"/>
        <v>0.4</v>
      </c>
    </row>
    <row r="55" spans="2:25">
      <c r="B55" s="37" t="s">
        <v>174</v>
      </c>
      <c r="C55" s="35" t="str">
        <f t="shared" ref="C55:Y55" si="28">IFERROR(C15/C35," ")</f>
        <v xml:space="preserve"> </v>
      </c>
      <c r="D55" s="35" t="str">
        <f t="shared" si="28"/>
        <v xml:space="preserve"> </v>
      </c>
      <c r="E55" s="35" t="str">
        <f t="shared" si="28"/>
        <v xml:space="preserve"> </v>
      </c>
      <c r="F55" s="35" t="str">
        <f t="shared" si="28"/>
        <v xml:space="preserve"> </v>
      </c>
      <c r="G55" s="35">
        <f t="shared" si="28"/>
        <v>0.5</v>
      </c>
      <c r="H55" s="35" t="str">
        <f t="shared" si="28"/>
        <v xml:space="preserve"> </v>
      </c>
      <c r="I55" s="35" t="str">
        <f t="shared" si="28"/>
        <v xml:space="preserve"> </v>
      </c>
      <c r="J55" s="35">
        <f t="shared" si="28"/>
        <v>0.75</v>
      </c>
      <c r="K55" s="35" t="str">
        <f t="shared" si="28"/>
        <v xml:space="preserve"> </v>
      </c>
      <c r="L55" s="35" t="str">
        <f t="shared" si="28"/>
        <v xml:space="preserve"> </v>
      </c>
      <c r="M55" s="35">
        <f t="shared" si="28"/>
        <v>0.75</v>
      </c>
      <c r="N55" s="35" t="str">
        <f t="shared" si="28"/>
        <v xml:space="preserve"> </v>
      </c>
      <c r="O55" s="35" t="str">
        <f t="shared" si="28"/>
        <v xml:space="preserve"> </v>
      </c>
      <c r="P55" s="35" t="str">
        <f t="shared" si="28"/>
        <v xml:space="preserve"> </v>
      </c>
      <c r="Q55" s="35">
        <f t="shared" ref="Q55:X55" si="29">IFERROR(Q15/Q35," ")</f>
        <v>0.25</v>
      </c>
      <c r="R55" s="35" t="str">
        <f t="shared" si="29"/>
        <v xml:space="preserve"> </v>
      </c>
      <c r="S55" s="35" t="str">
        <f t="shared" si="29"/>
        <v xml:space="preserve"> </v>
      </c>
      <c r="T55" s="35" t="str">
        <f t="shared" si="29"/>
        <v xml:space="preserve"> </v>
      </c>
      <c r="U55" s="35">
        <f t="shared" si="29"/>
        <v>0.25</v>
      </c>
      <c r="V55" s="35" t="str">
        <f t="shared" si="29"/>
        <v xml:space="preserve"> </v>
      </c>
      <c r="W55" s="35" t="str">
        <f t="shared" si="29"/>
        <v xml:space="preserve"> </v>
      </c>
      <c r="X55" s="35" t="str">
        <f t="shared" si="29"/>
        <v xml:space="preserve"> </v>
      </c>
      <c r="Y55" s="35">
        <f t="shared" si="28"/>
        <v>0.5</v>
      </c>
    </row>
    <row r="56" spans="2:25">
      <c r="B56" s="37" t="s">
        <v>97</v>
      </c>
      <c r="C56" s="35" t="str">
        <f t="shared" ref="C56:Y56" si="30">IFERROR(C16/C36," ")</f>
        <v xml:space="preserve"> </v>
      </c>
      <c r="D56" s="35" t="str">
        <f t="shared" si="30"/>
        <v xml:space="preserve"> </v>
      </c>
      <c r="E56" s="35" t="str">
        <f t="shared" si="30"/>
        <v xml:space="preserve"> </v>
      </c>
      <c r="F56" s="35">
        <f t="shared" si="30"/>
        <v>0</v>
      </c>
      <c r="G56" s="35" t="str">
        <f t="shared" si="30"/>
        <v xml:space="preserve"> </v>
      </c>
      <c r="H56" s="35" t="str">
        <f t="shared" si="30"/>
        <v xml:space="preserve"> </v>
      </c>
      <c r="I56" s="35">
        <f t="shared" si="30"/>
        <v>0.75</v>
      </c>
      <c r="J56" s="35" t="str">
        <f t="shared" si="30"/>
        <v xml:space="preserve"> </v>
      </c>
      <c r="K56" s="35" t="str">
        <f t="shared" si="30"/>
        <v xml:space="preserve"> </v>
      </c>
      <c r="L56" s="35" t="str">
        <f t="shared" si="30"/>
        <v xml:space="preserve"> </v>
      </c>
      <c r="M56" s="35" t="str">
        <f t="shared" si="30"/>
        <v xml:space="preserve"> </v>
      </c>
      <c r="N56" s="35" t="str">
        <f t="shared" si="30"/>
        <v xml:space="preserve"> </v>
      </c>
      <c r="O56" s="35">
        <f t="shared" si="30"/>
        <v>0.5</v>
      </c>
      <c r="P56" s="35" t="str">
        <f t="shared" si="30"/>
        <v xml:space="preserve"> </v>
      </c>
      <c r="Q56" s="35" t="str">
        <f t="shared" ref="Q56:X56" si="31">IFERROR(Q16/Q36," ")</f>
        <v xml:space="preserve"> </v>
      </c>
      <c r="R56" s="35" t="str">
        <f t="shared" si="31"/>
        <v xml:space="preserve"> </v>
      </c>
      <c r="S56" s="35">
        <f t="shared" si="31"/>
        <v>0.25</v>
      </c>
      <c r="T56" s="35" t="str">
        <f t="shared" si="31"/>
        <v xml:space="preserve"> </v>
      </c>
      <c r="U56" s="35" t="str">
        <f t="shared" si="31"/>
        <v xml:space="preserve"> </v>
      </c>
      <c r="V56" s="35">
        <f t="shared" si="31"/>
        <v>0.5</v>
      </c>
      <c r="W56" s="35" t="str">
        <f t="shared" si="31"/>
        <v xml:space="preserve"> </v>
      </c>
      <c r="X56" s="35" t="str">
        <f t="shared" si="31"/>
        <v xml:space="preserve"> </v>
      </c>
      <c r="Y56" s="35">
        <f t="shared" si="30"/>
        <v>0.4</v>
      </c>
    </row>
    <row r="57" spans="2:25">
      <c r="B57" s="37" t="s">
        <v>254</v>
      </c>
      <c r="C57" s="35" t="str">
        <f t="shared" ref="C57:Y57" si="32">IFERROR(C17/C37," ")</f>
        <v xml:space="preserve"> </v>
      </c>
      <c r="D57" s="35" t="str">
        <f t="shared" si="32"/>
        <v xml:space="preserve"> </v>
      </c>
      <c r="E57" s="35" t="str">
        <f t="shared" si="32"/>
        <v xml:space="preserve"> </v>
      </c>
      <c r="F57" s="35" t="str">
        <f t="shared" si="32"/>
        <v xml:space="preserve"> </v>
      </c>
      <c r="G57" s="35" t="str">
        <f t="shared" si="32"/>
        <v xml:space="preserve"> </v>
      </c>
      <c r="H57" s="35">
        <f t="shared" si="32"/>
        <v>0</v>
      </c>
      <c r="I57" s="35" t="str">
        <f t="shared" si="32"/>
        <v xml:space="preserve"> </v>
      </c>
      <c r="J57" s="35" t="str">
        <f t="shared" si="32"/>
        <v xml:space="preserve"> </v>
      </c>
      <c r="K57" s="35" t="str">
        <f t="shared" si="32"/>
        <v xml:space="preserve"> </v>
      </c>
      <c r="L57" s="35" t="str">
        <f t="shared" si="32"/>
        <v xml:space="preserve"> </v>
      </c>
      <c r="M57" s="35" t="str">
        <f t="shared" si="32"/>
        <v xml:space="preserve"> </v>
      </c>
      <c r="N57" s="35" t="str">
        <f t="shared" si="32"/>
        <v xml:space="preserve"> </v>
      </c>
      <c r="O57" s="35">
        <f t="shared" si="32"/>
        <v>0.5</v>
      </c>
      <c r="P57" s="35" t="str">
        <f t="shared" si="32"/>
        <v xml:space="preserve"> </v>
      </c>
      <c r="Q57" s="35">
        <f t="shared" ref="Q57:X57" si="33">IFERROR(Q17/Q37," ")</f>
        <v>1</v>
      </c>
      <c r="R57" s="35" t="str">
        <f t="shared" si="33"/>
        <v xml:space="preserve"> </v>
      </c>
      <c r="S57" s="35" t="str">
        <f t="shared" si="33"/>
        <v xml:space="preserve"> </v>
      </c>
      <c r="T57" s="35" t="str">
        <f t="shared" si="33"/>
        <v xml:space="preserve"> </v>
      </c>
      <c r="U57" s="35">
        <f t="shared" si="33"/>
        <v>0</v>
      </c>
      <c r="V57" s="35" t="str">
        <f t="shared" si="33"/>
        <v xml:space="preserve"> </v>
      </c>
      <c r="W57" s="35" t="str">
        <f t="shared" si="33"/>
        <v xml:space="preserve"> </v>
      </c>
      <c r="X57" s="35" t="str">
        <f t="shared" si="33"/>
        <v xml:space="preserve"> </v>
      </c>
      <c r="Y57" s="35">
        <f t="shared" si="32"/>
        <v>0.33333333333333331</v>
      </c>
    </row>
    <row r="58" spans="2:25">
      <c r="B58" s="37" t="s">
        <v>203</v>
      </c>
      <c r="C58" s="35" t="str">
        <f t="shared" ref="C58:Y58" si="34">IFERROR(C18/C38," ")</f>
        <v xml:space="preserve"> </v>
      </c>
      <c r="D58" s="35" t="str">
        <f t="shared" si="34"/>
        <v xml:space="preserve"> </v>
      </c>
      <c r="E58" s="35" t="str">
        <f t="shared" si="34"/>
        <v xml:space="preserve"> </v>
      </c>
      <c r="F58" s="35" t="str">
        <f t="shared" si="34"/>
        <v xml:space="preserve"> </v>
      </c>
      <c r="G58" s="35">
        <f t="shared" si="34"/>
        <v>0.5</v>
      </c>
      <c r="H58" s="35" t="str">
        <f t="shared" si="34"/>
        <v xml:space="preserve"> </v>
      </c>
      <c r="I58" s="35" t="str">
        <f t="shared" si="34"/>
        <v xml:space="preserve"> </v>
      </c>
      <c r="J58" s="35" t="str">
        <f t="shared" si="34"/>
        <v xml:space="preserve"> </v>
      </c>
      <c r="K58" s="35">
        <f t="shared" si="34"/>
        <v>0.25</v>
      </c>
      <c r="L58" s="35" t="str">
        <f t="shared" si="34"/>
        <v xml:space="preserve"> </v>
      </c>
      <c r="M58" s="35" t="str">
        <f t="shared" si="34"/>
        <v xml:space="preserve"> </v>
      </c>
      <c r="N58" s="35" t="str">
        <f t="shared" si="34"/>
        <v xml:space="preserve"> </v>
      </c>
      <c r="O58" s="35" t="str">
        <f t="shared" si="34"/>
        <v xml:space="preserve"> </v>
      </c>
      <c r="P58" s="35">
        <f t="shared" si="34"/>
        <v>0.66666666666666663</v>
      </c>
      <c r="Q58" s="35" t="str">
        <f t="shared" ref="Q58:X58" si="35">IFERROR(Q18/Q38," ")</f>
        <v xml:space="preserve"> </v>
      </c>
      <c r="R58" s="35" t="str">
        <f t="shared" si="35"/>
        <v xml:space="preserve"> </v>
      </c>
      <c r="S58" s="35" t="str">
        <f t="shared" si="35"/>
        <v xml:space="preserve"> </v>
      </c>
      <c r="T58" s="35">
        <f t="shared" si="35"/>
        <v>1</v>
      </c>
      <c r="U58" s="35" t="str">
        <f t="shared" si="35"/>
        <v xml:space="preserve"> </v>
      </c>
      <c r="V58" s="35" t="str">
        <f t="shared" si="35"/>
        <v xml:space="preserve"> </v>
      </c>
      <c r="W58" s="35" t="str">
        <f t="shared" si="35"/>
        <v xml:space="preserve"> </v>
      </c>
      <c r="X58" s="35">
        <f t="shared" si="35"/>
        <v>1</v>
      </c>
      <c r="Y58" s="35">
        <f t="shared" si="34"/>
        <v>0.5714285714285714</v>
      </c>
    </row>
    <row r="59" spans="2:25">
      <c r="B59" s="37" t="s">
        <v>68</v>
      </c>
      <c r="C59" s="35">
        <f t="shared" ref="C59:P59" si="36">IFERROR(C19/C39," ")</f>
        <v>1</v>
      </c>
      <c r="D59" s="35">
        <f t="shared" si="36"/>
        <v>0.75</v>
      </c>
      <c r="E59" s="35">
        <f t="shared" si="36"/>
        <v>0.75</v>
      </c>
      <c r="F59" s="35" t="str">
        <f t="shared" si="36"/>
        <v xml:space="preserve"> </v>
      </c>
      <c r="G59" s="35" t="str">
        <f t="shared" si="36"/>
        <v xml:space="preserve"> </v>
      </c>
      <c r="H59" s="35" t="str">
        <f t="shared" si="36"/>
        <v xml:space="preserve"> </v>
      </c>
      <c r="I59" s="35">
        <f t="shared" si="36"/>
        <v>1</v>
      </c>
      <c r="J59" s="35" t="str">
        <f t="shared" si="36"/>
        <v xml:space="preserve"> </v>
      </c>
      <c r="K59" s="35" t="str">
        <f t="shared" si="36"/>
        <v xml:space="preserve"> </v>
      </c>
      <c r="L59" s="35" t="str">
        <f t="shared" si="36"/>
        <v xml:space="preserve"> </v>
      </c>
      <c r="M59" s="35">
        <f t="shared" si="36"/>
        <v>1</v>
      </c>
      <c r="N59" s="35" t="str">
        <f t="shared" si="36"/>
        <v xml:space="preserve"> </v>
      </c>
      <c r="O59" s="35" t="str">
        <f t="shared" si="36"/>
        <v xml:space="preserve"> </v>
      </c>
      <c r="P59" s="35" t="str">
        <f t="shared" si="36"/>
        <v xml:space="preserve"> </v>
      </c>
      <c r="Q59" s="35" t="str">
        <f t="shared" ref="Q59:X59" si="37">IFERROR(Q19/Q39," ")</f>
        <v xml:space="preserve"> </v>
      </c>
      <c r="R59" s="35" t="str">
        <f t="shared" si="37"/>
        <v xml:space="preserve"> </v>
      </c>
      <c r="S59" s="35">
        <f t="shared" si="37"/>
        <v>1</v>
      </c>
      <c r="T59" s="35" t="str">
        <f t="shared" si="37"/>
        <v xml:space="preserve"> </v>
      </c>
      <c r="U59" s="35" t="str">
        <f t="shared" si="37"/>
        <v xml:space="preserve"> </v>
      </c>
      <c r="V59" s="35" t="str">
        <f t="shared" si="37"/>
        <v xml:space="preserve"> </v>
      </c>
      <c r="W59" s="35" t="str">
        <f t="shared" si="37"/>
        <v xml:space="preserve"> </v>
      </c>
      <c r="X59" s="35" t="str">
        <f t="shared" si="37"/>
        <v xml:space="preserve"> </v>
      </c>
      <c r="Y59" s="35">
        <f>IFERROR(Y19/Y39," ")</f>
        <v>0.91666666666666663</v>
      </c>
    </row>
    <row r="60" spans="2:25">
      <c r="B60" s="32" t="s">
        <v>500</v>
      </c>
      <c r="C60" s="36">
        <f t="shared" ref="C60:X60" si="38">IFERROR(C20/C40," ")</f>
        <v>1</v>
      </c>
      <c r="D60" s="36">
        <f t="shared" si="38"/>
        <v>0.75</v>
      </c>
      <c r="E60" s="36">
        <f t="shared" si="38"/>
        <v>0.1875</v>
      </c>
      <c r="F60" s="36">
        <f t="shared" si="38"/>
        <v>0.2</v>
      </c>
      <c r="G60" s="36">
        <f t="shared" si="38"/>
        <v>0.47368421052631576</v>
      </c>
      <c r="H60" s="36">
        <f t="shared" si="38"/>
        <v>0.5714285714285714</v>
      </c>
      <c r="I60" s="36">
        <f t="shared" si="38"/>
        <v>0.81818181818181823</v>
      </c>
      <c r="J60" s="36">
        <f t="shared" si="38"/>
        <v>0.90909090909090906</v>
      </c>
      <c r="K60" s="36">
        <f t="shared" si="38"/>
        <v>0.25</v>
      </c>
      <c r="L60" s="36">
        <f t="shared" si="38"/>
        <v>0.5</v>
      </c>
      <c r="M60" s="36">
        <f t="shared" si="38"/>
        <v>0.82352941176470584</v>
      </c>
      <c r="N60" s="36">
        <f t="shared" si="38"/>
        <v>0.5</v>
      </c>
      <c r="O60" s="36">
        <f t="shared" si="38"/>
        <v>0.42857142857142855</v>
      </c>
      <c r="P60" s="36">
        <f t="shared" si="38"/>
        <v>0.55555555555555558</v>
      </c>
      <c r="Q60" s="36">
        <f t="shared" si="38"/>
        <v>0.42857142857142855</v>
      </c>
      <c r="R60" s="36">
        <f t="shared" si="38"/>
        <v>0.33333333333333331</v>
      </c>
      <c r="S60" s="36">
        <f t="shared" si="38"/>
        <v>0.66666666666666663</v>
      </c>
      <c r="T60" s="36">
        <f t="shared" si="38"/>
        <v>0.42857142857142855</v>
      </c>
      <c r="U60" s="36">
        <f t="shared" si="38"/>
        <v>0.26666666666666666</v>
      </c>
      <c r="V60" s="36">
        <f t="shared" si="38"/>
        <v>0.5</v>
      </c>
      <c r="W60" s="36">
        <f t="shared" si="38"/>
        <v>0.61538461538461542</v>
      </c>
      <c r="X60" s="36">
        <f t="shared" si="38"/>
        <v>0.875</v>
      </c>
      <c r="Y60" s="36">
        <f>IFERROR(Y20/Y40," ")</f>
        <v>0.5171102661596958</v>
      </c>
    </row>
  </sheetData>
  <autoFilter ref="AA2:AC44">
    <sortState ref="AA2:AC43">
      <sortCondition descending="1" ref="AC2"/>
    </sortState>
  </autoFilter>
  <sortState ref="AA2:AC43">
    <sortCondition descending="1" ref="AC2"/>
  </sortState>
  <mergeCells count="4">
    <mergeCell ref="Y42:Y43"/>
    <mergeCell ref="Y2:Y3"/>
    <mergeCell ref="Y22:Y23"/>
    <mergeCell ref="B42:F42"/>
  </mergeCells>
  <conditionalFormatting sqref="Y44:Y59">
    <cfRule type="colorScale" priority="1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C44:X5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ignoredErrors>
    <ignoredError sqref="R40:V4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6"/>
  <sheetViews>
    <sheetView zoomScale="80" zoomScaleNormal="80" workbookViewId="0">
      <pane xSplit="1" topLeftCell="B1" activePane="topRight" state="frozen"/>
      <selection pane="topRight" activeCell="B166" sqref="B30:B166"/>
    </sheetView>
  </sheetViews>
  <sheetFormatPr defaultRowHeight="12.75"/>
  <cols>
    <col min="1" max="1" width="14.7109375" customWidth="1"/>
    <col min="2" max="2" width="15.5703125" customWidth="1"/>
    <col min="3" max="3" width="34.85546875" customWidth="1"/>
    <col min="4" max="4" width="16.28515625" bestFit="1" customWidth="1"/>
    <col min="5" max="5" width="41.42578125" customWidth="1"/>
    <col min="6" max="6" width="11.7109375" bestFit="1" customWidth="1"/>
    <col min="7" max="7" width="11.5703125" bestFit="1" customWidth="1"/>
    <col min="8" max="8" width="11.42578125" bestFit="1" customWidth="1"/>
    <col min="9" max="9" width="12.7109375" bestFit="1" customWidth="1"/>
    <col min="10" max="10" width="34.42578125" bestFit="1" customWidth="1"/>
    <col min="11" max="11" width="48.140625" customWidth="1"/>
    <col min="12" max="12" width="33.28515625" customWidth="1"/>
    <col min="13" max="13" width="18.85546875" bestFit="1" customWidth="1"/>
  </cols>
  <sheetData>
    <row r="1" spans="1:14" ht="38.25">
      <c r="A1" s="95" t="s">
        <v>0</v>
      </c>
      <c r="B1" s="95" t="s">
        <v>1</v>
      </c>
      <c r="C1" s="95" t="s">
        <v>2</v>
      </c>
      <c r="D1" s="95" t="s">
        <v>3</v>
      </c>
      <c r="E1" s="95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7" t="s">
        <v>9</v>
      </c>
      <c r="K1" s="47" t="s">
        <v>10</v>
      </c>
      <c r="L1" s="47" t="s">
        <v>44</v>
      </c>
      <c r="M1" s="47" t="s">
        <v>45</v>
      </c>
      <c r="N1" s="87"/>
    </row>
    <row r="2" spans="1:14" ht="14.25" customHeight="1">
      <c r="A2" s="49">
        <v>43191</v>
      </c>
      <c r="B2" s="73" t="s">
        <v>161</v>
      </c>
      <c r="C2" s="109" t="s">
        <v>1000</v>
      </c>
      <c r="D2" s="73" t="s">
        <v>901</v>
      </c>
      <c r="E2" s="73" t="s">
        <v>902</v>
      </c>
      <c r="F2" s="75">
        <v>0.74652777777777779</v>
      </c>
      <c r="G2" s="76" t="s">
        <v>14</v>
      </c>
      <c r="H2" s="76"/>
      <c r="I2" s="76"/>
      <c r="J2" s="71" t="str">
        <f>HYPERLINK("https://yadi.sk/i/GGUeAc_L3TyXvf","https://yadi.sk/i/GGUeAc_L3TyXvf")</f>
        <v>https://yadi.sk/i/GGUeAc_L3TyXvf</v>
      </c>
      <c r="K2" s="96" t="s">
        <v>903</v>
      </c>
      <c r="L2" s="109" t="s">
        <v>998</v>
      </c>
      <c r="M2" s="109">
        <v>89282667744</v>
      </c>
    </row>
    <row r="3" spans="1:14" ht="14.25" customHeight="1">
      <c r="A3" s="49">
        <v>43191</v>
      </c>
      <c r="B3" s="74" t="s">
        <v>161</v>
      </c>
      <c r="C3" s="109" t="s">
        <v>1001</v>
      </c>
      <c r="D3" s="74" t="s">
        <v>904</v>
      </c>
      <c r="E3" s="74" t="s">
        <v>905</v>
      </c>
      <c r="F3" s="77">
        <v>0.74791666666666667</v>
      </c>
      <c r="G3" s="78" t="s">
        <v>14</v>
      </c>
      <c r="H3" s="78"/>
      <c r="I3" s="78"/>
      <c r="J3" s="72" t="str">
        <f>HYPERLINK("https://yadi.sk/i/y0fpkfec3TyXvb","https://yadi.sk/i/y0fpkfec3TyXvb")</f>
        <v>https://yadi.sk/i/y0fpkfec3TyXvb</v>
      </c>
      <c r="K3" s="112" t="s">
        <v>906</v>
      </c>
      <c r="L3" s="109" t="s">
        <v>999</v>
      </c>
      <c r="M3" s="109">
        <v>89192648797</v>
      </c>
    </row>
    <row r="4" spans="1:14" ht="14.25" customHeight="1">
      <c r="A4" s="49">
        <v>43191</v>
      </c>
      <c r="B4" s="74" t="s">
        <v>254</v>
      </c>
      <c r="C4" s="109" t="s">
        <v>571</v>
      </c>
      <c r="D4" s="74" t="s">
        <v>907</v>
      </c>
      <c r="E4" s="74" t="s">
        <v>908</v>
      </c>
      <c r="F4" s="77">
        <v>0.75347222222222221</v>
      </c>
      <c r="G4" s="78" t="s">
        <v>71</v>
      </c>
      <c r="H4" s="78" t="s">
        <v>71</v>
      </c>
      <c r="I4" s="78" t="s">
        <v>71</v>
      </c>
      <c r="J4" s="72" t="str">
        <f>HYPERLINK("https://yadi.sk/d/1fQgMtu-3TyXmF","https://yadi.sk/d/1fQgMtu-3TyXmF")</f>
        <v>https://yadi.sk/d/1fQgMtu-3TyXmF</v>
      </c>
      <c r="K4" s="112"/>
      <c r="L4" s="109" t="s">
        <v>532</v>
      </c>
      <c r="M4" s="109">
        <v>89040044424</v>
      </c>
    </row>
    <row r="5" spans="1:14" ht="14.25" customHeight="1">
      <c r="A5" s="49">
        <v>43191</v>
      </c>
      <c r="B5" s="74" t="s">
        <v>97</v>
      </c>
      <c r="C5" s="145" t="s">
        <v>579</v>
      </c>
      <c r="D5" s="74" t="s">
        <v>909</v>
      </c>
      <c r="E5" s="74" t="s">
        <v>910</v>
      </c>
      <c r="F5" s="77">
        <v>0.69861111111111107</v>
      </c>
      <c r="G5" s="78" t="s">
        <v>71</v>
      </c>
      <c r="H5" s="78" t="s">
        <v>71</v>
      </c>
      <c r="I5" s="78" t="s">
        <v>71</v>
      </c>
      <c r="J5" s="72" t="s">
        <v>911</v>
      </c>
      <c r="K5" s="112"/>
      <c r="L5" s="110" t="s">
        <v>142</v>
      </c>
      <c r="M5" s="109" t="s">
        <v>143</v>
      </c>
    </row>
    <row r="6" spans="1:14" ht="14.25" customHeight="1">
      <c r="A6" s="49">
        <v>43191</v>
      </c>
      <c r="B6" s="74" t="s">
        <v>97</v>
      </c>
      <c r="C6" s="145" t="s">
        <v>1002</v>
      </c>
      <c r="D6" s="74" t="s">
        <v>909</v>
      </c>
      <c r="E6" s="74" t="s">
        <v>912</v>
      </c>
      <c r="F6" s="77">
        <v>0.72013888888888888</v>
      </c>
      <c r="G6" s="78" t="s">
        <v>71</v>
      </c>
      <c r="H6" s="78" t="s">
        <v>71</v>
      </c>
      <c r="I6" s="78" t="s">
        <v>71</v>
      </c>
      <c r="J6" s="72" t="s">
        <v>913</v>
      </c>
      <c r="K6" s="112"/>
      <c r="L6" s="110" t="s">
        <v>142</v>
      </c>
      <c r="M6" s="109" t="s">
        <v>143</v>
      </c>
    </row>
    <row r="7" spans="1:14" ht="14.25" customHeight="1">
      <c r="A7" s="49">
        <v>43191</v>
      </c>
      <c r="B7" s="74" t="s">
        <v>97</v>
      </c>
      <c r="C7" s="109" t="s">
        <v>1003</v>
      </c>
      <c r="D7" s="74" t="s">
        <v>909</v>
      </c>
      <c r="E7" s="74" t="s">
        <v>914</v>
      </c>
      <c r="F7" s="77">
        <v>0.73750000000000004</v>
      </c>
      <c r="G7" s="78" t="s">
        <v>71</v>
      </c>
      <c r="H7" s="78" t="s">
        <v>71</v>
      </c>
      <c r="I7" s="78" t="s">
        <v>14</v>
      </c>
      <c r="J7" s="72" t="s">
        <v>915</v>
      </c>
      <c r="K7" s="112"/>
      <c r="L7" s="110" t="s">
        <v>142</v>
      </c>
      <c r="M7" s="109" t="s">
        <v>143</v>
      </c>
    </row>
    <row r="8" spans="1:14" ht="14.25" customHeight="1">
      <c r="A8" s="22">
        <v>43192</v>
      </c>
      <c r="B8" s="73" t="s">
        <v>130</v>
      </c>
      <c r="C8" s="146" t="s">
        <v>1004</v>
      </c>
      <c r="D8" s="73" t="s">
        <v>383</v>
      </c>
      <c r="E8" s="73" t="s">
        <v>916</v>
      </c>
      <c r="F8" s="75">
        <v>0.78819444444444442</v>
      </c>
      <c r="G8" s="76" t="s">
        <v>71</v>
      </c>
      <c r="H8" s="76" t="s">
        <v>71</v>
      </c>
      <c r="I8" s="76" t="s">
        <v>71</v>
      </c>
      <c r="J8" s="71" t="s">
        <v>917</v>
      </c>
      <c r="K8" s="73"/>
      <c r="L8" s="110" t="s">
        <v>139</v>
      </c>
      <c r="M8" s="109" t="s">
        <v>140</v>
      </c>
    </row>
    <row r="9" spans="1:14" ht="14.25" customHeight="1">
      <c r="A9" s="22">
        <v>43192</v>
      </c>
      <c r="B9" s="74" t="s">
        <v>130</v>
      </c>
      <c r="C9" s="84" t="s">
        <v>1005</v>
      </c>
      <c r="D9" s="74" t="s">
        <v>383</v>
      </c>
      <c r="E9" s="74" t="s">
        <v>918</v>
      </c>
      <c r="F9" s="77">
        <v>0.80555555555555558</v>
      </c>
      <c r="G9" s="78" t="s">
        <v>71</v>
      </c>
      <c r="H9" s="78" t="s">
        <v>71</v>
      </c>
      <c r="I9" s="78" t="s">
        <v>14</v>
      </c>
      <c r="J9" s="72" t="s">
        <v>919</v>
      </c>
      <c r="K9" s="74"/>
      <c r="L9" s="110" t="s">
        <v>139</v>
      </c>
      <c r="M9" s="109" t="s">
        <v>140</v>
      </c>
    </row>
    <row r="10" spans="1:14" ht="14.25" customHeight="1">
      <c r="A10" s="22">
        <v>43192</v>
      </c>
      <c r="B10" s="74" t="s">
        <v>130</v>
      </c>
      <c r="C10" s="84" t="s">
        <v>613</v>
      </c>
      <c r="D10" s="74" t="s">
        <v>383</v>
      </c>
      <c r="E10" s="74" t="s">
        <v>920</v>
      </c>
      <c r="F10" s="77">
        <v>0.81944444444444442</v>
      </c>
      <c r="G10" s="78" t="s">
        <v>14</v>
      </c>
      <c r="H10" s="78"/>
      <c r="I10" s="78"/>
      <c r="J10" s="72" t="s">
        <v>921</v>
      </c>
      <c r="K10" s="74" t="s">
        <v>922</v>
      </c>
      <c r="L10" s="110" t="s">
        <v>139</v>
      </c>
      <c r="M10" s="109" t="s">
        <v>140</v>
      </c>
    </row>
    <row r="11" spans="1:14" ht="14.25" customHeight="1">
      <c r="A11" s="22">
        <v>43192</v>
      </c>
      <c r="B11" s="74" t="s">
        <v>130</v>
      </c>
      <c r="C11" s="84" t="s">
        <v>923</v>
      </c>
      <c r="D11" s="74" t="s">
        <v>383</v>
      </c>
      <c r="E11" s="74" t="s">
        <v>924</v>
      </c>
      <c r="F11" s="77">
        <v>0.82499999999999996</v>
      </c>
      <c r="G11" s="78" t="s">
        <v>14</v>
      </c>
      <c r="H11" s="78"/>
      <c r="I11" s="78"/>
      <c r="J11" s="72" t="s">
        <v>925</v>
      </c>
      <c r="K11" s="74" t="s">
        <v>926</v>
      </c>
      <c r="L11" s="110" t="s">
        <v>139</v>
      </c>
      <c r="M11" s="109" t="s">
        <v>1006</v>
      </c>
    </row>
    <row r="12" spans="1:14" ht="14.25" customHeight="1">
      <c r="A12" s="22">
        <v>43192</v>
      </c>
      <c r="B12" s="73" t="s">
        <v>927</v>
      </c>
      <c r="C12" s="146" t="s">
        <v>928</v>
      </c>
      <c r="D12" s="73" t="s">
        <v>929</v>
      </c>
      <c r="E12" s="73" t="s">
        <v>930</v>
      </c>
      <c r="F12" s="75">
        <v>0.80833333333333335</v>
      </c>
      <c r="G12" s="76" t="s">
        <v>71</v>
      </c>
      <c r="H12" s="76" t="s">
        <v>71</v>
      </c>
      <c r="I12" s="76" t="s">
        <v>71</v>
      </c>
      <c r="J12" s="71" t="str">
        <f>HYPERLINK("https://yadi.sk/d/Yyl1UYzw3U37Vd","https://yadi.sk/d/Yyl1UYzw3U37Vd")</f>
        <v>https://yadi.sk/d/Yyl1UYzw3U37Vd</v>
      </c>
      <c r="K12" s="73"/>
      <c r="L12" s="83" t="s">
        <v>786</v>
      </c>
      <c r="M12" s="109" t="s">
        <v>146</v>
      </c>
    </row>
    <row r="13" spans="1:14" ht="14.25" customHeight="1">
      <c r="A13" s="22">
        <v>43192</v>
      </c>
      <c r="B13" s="74" t="s">
        <v>927</v>
      </c>
      <c r="C13" s="84" t="s">
        <v>931</v>
      </c>
      <c r="D13" s="74" t="s">
        <v>929</v>
      </c>
      <c r="E13" s="74" t="s">
        <v>932</v>
      </c>
      <c r="F13" s="77">
        <v>0.8125</v>
      </c>
      <c r="G13" s="78" t="s">
        <v>71</v>
      </c>
      <c r="H13" s="78" t="s">
        <v>71</v>
      </c>
      <c r="I13" s="78" t="s">
        <v>71</v>
      </c>
      <c r="J13" s="72" t="str">
        <f>HYPERLINK("https://yadi.sk/d/IqIyCrIS3U37bB","https://yadi.sk/d/IqIyCrIS3U37bB")</f>
        <v>https://yadi.sk/d/IqIyCrIS3U37bB</v>
      </c>
      <c r="K13" s="74"/>
      <c r="L13" s="83" t="s">
        <v>786</v>
      </c>
      <c r="M13" s="109" t="s">
        <v>146</v>
      </c>
    </row>
    <row r="14" spans="1:14" ht="14.25" customHeight="1">
      <c r="A14" s="22">
        <v>43192</v>
      </c>
      <c r="B14" s="74" t="s">
        <v>310</v>
      </c>
      <c r="C14" s="84" t="s">
        <v>779</v>
      </c>
      <c r="D14" s="74" t="s">
        <v>885</v>
      </c>
      <c r="E14" s="74" t="s">
        <v>933</v>
      </c>
      <c r="F14" s="77">
        <v>0.7944444444444444</v>
      </c>
      <c r="G14" s="78" t="s">
        <v>71</v>
      </c>
      <c r="H14" s="78" t="s">
        <v>14</v>
      </c>
      <c r="I14" s="78" t="s">
        <v>14</v>
      </c>
      <c r="J14" s="72" t="str">
        <f>HYPERLINK("https://yadi.sk/d/HAfM7Ba13U38KS","https://yadi.sk/d/HAfM7Ba13U38KS")</f>
        <v>https://yadi.sk/d/HAfM7Ba13U38KS</v>
      </c>
      <c r="K14" s="113" t="s">
        <v>934</v>
      </c>
      <c r="L14" s="104" t="s">
        <v>343</v>
      </c>
      <c r="M14" s="104" t="s">
        <v>344</v>
      </c>
    </row>
    <row r="15" spans="1:14" ht="14.25" customHeight="1">
      <c r="A15" s="22">
        <v>43192</v>
      </c>
      <c r="B15" s="74" t="s">
        <v>310</v>
      </c>
      <c r="C15" s="84" t="s">
        <v>316</v>
      </c>
      <c r="D15" s="74" t="s">
        <v>885</v>
      </c>
      <c r="E15" s="74" t="s">
        <v>935</v>
      </c>
      <c r="F15" s="77">
        <v>0.8041666666666667</v>
      </c>
      <c r="G15" s="78" t="s">
        <v>71</v>
      </c>
      <c r="H15" s="78" t="s">
        <v>71</v>
      </c>
      <c r="I15" s="78" t="s">
        <v>71</v>
      </c>
      <c r="J15" s="72" t="str">
        <f>HYPERLINK("https://yadi.sk/d/CHDGV7BZ3U38gy","https://yadi.sk/d/CHDGV7BZ3U38gy")</f>
        <v>https://yadi.sk/d/CHDGV7BZ3U38gy</v>
      </c>
      <c r="K15" s="113"/>
      <c r="L15" s="104" t="s">
        <v>343</v>
      </c>
      <c r="M15" s="104" t="s">
        <v>344</v>
      </c>
    </row>
    <row r="16" spans="1:14" ht="14.25" customHeight="1">
      <c r="A16" s="22">
        <v>43192</v>
      </c>
      <c r="B16" s="74" t="s">
        <v>310</v>
      </c>
      <c r="C16" s="84" t="s">
        <v>482</v>
      </c>
      <c r="D16" s="74" t="s">
        <v>936</v>
      </c>
      <c r="E16" s="74" t="s">
        <v>937</v>
      </c>
      <c r="F16" s="77">
        <v>0.82638888888888884</v>
      </c>
      <c r="G16" s="78" t="s">
        <v>71</v>
      </c>
      <c r="H16" s="78" t="s">
        <v>71</v>
      </c>
      <c r="I16" s="78" t="s">
        <v>71</v>
      </c>
      <c r="J16" s="72" t="str">
        <f>HYPERLINK("https://yadi.sk/d/GPyI65NN3U39Qi","https://yadi.sk/d/GPyI65NN3U39Qi")</f>
        <v>https://yadi.sk/d/GPyI65NN3U39Qi</v>
      </c>
      <c r="K16" s="113" t="s">
        <v>938</v>
      </c>
      <c r="L16" s="104" t="s">
        <v>341</v>
      </c>
      <c r="M16" s="104" t="s">
        <v>342</v>
      </c>
    </row>
    <row r="17" spans="1:13" ht="14.25" customHeight="1">
      <c r="A17" s="22">
        <v>43192</v>
      </c>
      <c r="B17" s="74" t="s">
        <v>310</v>
      </c>
      <c r="C17" s="84" t="s">
        <v>1007</v>
      </c>
      <c r="D17" s="74" t="s">
        <v>936</v>
      </c>
      <c r="E17" s="74" t="s">
        <v>937</v>
      </c>
      <c r="F17" s="77">
        <v>0.83680555555555558</v>
      </c>
      <c r="G17" s="78" t="s">
        <v>71</v>
      </c>
      <c r="H17" s="78" t="s">
        <v>71</v>
      </c>
      <c r="I17" s="78" t="s">
        <v>71</v>
      </c>
      <c r="J17" s="72" t="str">
        <f>HYPERLINK("https://yadi.sk/d/u-U_1izX3U39cM","https://yadi.sk/d/u-U_1izX3U39cM")</f>
        <v>https://yadi.sk/d/u-U_1izX3U39cM</v>
      </c>
      <c r="K17" s="113" t="s">
        <v>939</v>
      </c>
      <c r="L17" s="104" t="s">
        <v>341</v>
      </c>
      <c r="M17" s="104" t="s">
        <v>342</v>
      </c>
    </row>
    <row r="18" spans="1:13" ht="14.25" customHeight="1">
      <c r="A18" s="49">
        <v>43193</v>
      </c>
      <c r="B18" s="73" t="s">
        <v>174</v>
      </c>
      <c r="C18" s="146" t="s">
        <v>178</v>
      </c>
      <c r="D18" s="73" t="s">
        <v>940</v>
      </c>
      <c r="E18" s="73" t="s">
        <v>941</v>
      </c>
      <c r="F18" s="75">
        <v>0.80138888888888893</v>
      </c>
      <c r="G18" s="76" t="s">
        <v>14</v>
      </c>
      <c r="H18" s="76"/>
      <c r="I18" s="76"/>
      <c r="J18" s="71" t="str">
        <f t="shared" ref="J18:J19" si="0">HYPERLINK("https://yadi.sk/i/nkSTShWd3U4ikz","https://yadi.sk/i/nkSTShWd3U4ikz")</f>
        <v>https://yadi.sk/i/nkSTShWd3U4ikz</v>
      </c>
      <c r="K18" s="114" t="s">
        <v>942</v>
      </c>
      <c r="L18" s="104" t="s">
        <v>236</v>
      </c>
      <c r="M18" s="104" t="s">
        <v>237</v>
      </c>
    </row>
    <row r="19" spans="1:13" ht="14.25" customHeight="1">
      <c r="A19" s="49">
        <v>43193</v>
      </c>
      <c r="B19" s="74" t="s">
        <v>174</v>
      </c>
      <c r="C19" s="84" t="s">
        <v>235</v>
      </c>
      <c r="D19" s="74" t="s">
        <v>940</v>
      </c>
      <c r="E19" s="74" t="s">
        <v>943</v>
      </c>
      <c r="F19" s="77">
        <v>0.80347222222222225</v>
      </c>
      <c r="G19" s="78" t="s">
        <v>14</v>
      </c>
      <c r="H19" s="78"/>
      <c r="I19" s="78"/>
      <c r="J19" s="72" t="str">
        <f t="shared" si="0"/>
        <v>https://yadi.sk/i/nkSTShWd3U4ikz</v>
      </c>
      <c r="K19" s="113" t="s">
        <v>944</v>
      </c>
      <c r="L19" s="104" t="s">
        <v>236</v>
      </c>
      <c r="M19" s="104" t="s">
        <v>237</v>
      </c>
    </row>
    <row r="20" spans="1:13" ht="14.25" customHeight="1">
      <c r="A20" s="49">
        <v>43193</v>
      </c>
      <c r="B20" s="74" t="s">
        <v>174</v>
      </c>
      <c r="C20" s="84" t="s">
        <v>460</v>
      </c>
      <c r="D20" s="74" t="s">
        <v>119</v>
      </c>
      <c r="E20" s="74" t="s">
        <v>945</v>
      </c>
      <c r="F20" s="77">
        <v>0.8125</v>
      </c>
      <c r="G20" s="78" t="s">
        <v>14</v>
      </c>
      <c r="H20" s="78"/>
      <c r="I20" s="78"/>
      <c r="J20" s="72" t="str">
        <f>HYPERLINK("https://yadi.sk/i/k_eYVthf3U4imf","https://yadi.sk/i/k_eYVthf3U4imf")</f>
        <v>https://yadi.sk/i/k_eYVthf3U4imf</v>
      </c>
      <c r="K20" s="113" t="s">
        <v>946</v>
      </c>
      <c r="L20" s="111" t="s">
        <v>238</v>
      </c>
      <c r="M20" s="111">
        <v>89043682092</v>
      </c>
    </row>
    <row r="21" spans="1:13" ht="14.25" customHeight="1">
      <c r="A21" s="49">
        <v>43193</v>
      </c>
      <c r="B21" s="74" t="s">
        <v>174</v>
      </c>
      <c r="C21" s="84" t="s">
        <v>240</v>
      </c>
      <c r="D21" s="74" t="s">
        <v>116</v>
      </c>
      <c r="E21" s="74" t="s">
        <v>947</v>
      </c>
      <c r="F21" s="77">
        <v>0.84305555555555556</v>
      </c>
      <c r="G21" s="78" t="s">
        <v>14</v>
      </c>
      <c r="H21" s="78"/>
      <c r="I21" s="78"/>
      <c r="J21" s="72" t="str">
        <f>HYPERLINK("https://yadi.sk/i/DL266Xp83U4imX","https://yadi.sk/i/DL266Xp83U4imX")</f>
        <v>https://yadi.sk/i/DL266Xp83U4imX</v>
      </c>
      <c r="K21" s="113" t="s">
        <v>948</v>
      </c>
      <c r="L21" s="111" t="s">
        <v>238</v>
      </c>
      <c r="M21" s="111">
        <v>89043682092</v>
      </c>
    </row>
    <row r="22" spans="1:13" ht="14.25" customHeight="1">
      <c r="A22" s="49">
        <v>43193</v>
      </c>
      <c r="B22" s="74" t="s">
        <v>279</v>
      </c>
      <c r="C22" s="84" t="s">
        <v>490</v>
      </c>
      <c r="D22" s="74" t="s">
        <v>186</v>
      </c>
      <c r="E22" s="74" t="s">
        <v>949</v>
      </c>
      <c r="F22" s="77">
        <v>0.80208333333333337</v>
      </c>
      <c r="G22" s="78" t="s">
        <v>71</v>
      </c>
      <c r="H22" s="78" t="s">
        <v>14</v>
      </c>
      <c r="I22" s="78" t="s">
        <v>71</v>
      </c>
      <c r="J22" s="72" t="s">
        <v>950</v>
      </c>
      <c r="K22" s="113"/>
      <c r="L22" s="111" t="s">
        <v>492</v>
      </c>
      <c r="M22" s="10">
        <v>89109149497</v>
      </c>
    </row>
    <row r="23" spans="1:13" ht="14.25" customHeight="1">
      <c r="A23" s="49">
        <v>43193</v>
      </c>
      <c r="B23" s="74" t="s">
        <v>279</v>
      </c>
      <c r="C23" s="84" t="s">
        <v>489</v>
      </c>
      <c r="D23" s="74" t="s">
        <v>186</v>
      </c>
      <c r="E23" s="74" t="s">
        <v>951</v>
      </c>
      <c r="F23" s="77">
        <v>0.79861111111111116</v>
      </c>
      <c r="G23" s="78" t="s">
        <v>71</v>
      </c>
      <c r="H23" s="78" t="s">
        <v>71</v>
      </c>
      <c r="I23" s="78" t="s">
        <v>71</v>
      </c>
      <c r="J23" s="72" t="s">
        <v>952</v>
      </c>
      <c r="K23" s="113"/>
      <c r="L23" s="111" t="s">
        <v>492</v>
      </c>
      <c r="M23" s="111">
        <v>89109149497</v>
      </c>
    </row>
    <row r="24" spans="1:13" ht="14.25" customHeight="1">
      <c r="A24" s="49">
        <v>43193</v>
      </c>
      <c r="B24" s="74" t="s">
        <v>279</v>
      </c>
      <c r="C24" s="84" t="s">
        <v>671</v>
      </c>
      <c r="D24" s="74" t="s">
        <v>186</v>
      </c>
      <c r="E24" s="74" t="s">
        <v>953</v>
      </c>
      <c r="F24" s="77">
        <v>0.80902777777777779</v>
      </c>
      <c r="G24" s="78" t="s">
        <v>71</v>
      </c>
      <c r="H24" s="78" t="s">
        <v>71</v>
      </c>
      <c r="I24" s="78" t="s">
        <v>71</v>
      </c>
      <c r="J24" s="72" t="s">
        <v>954</v>
      </c>
      <c r="K24" s="113"/>
      <c r="L24" s="111" t="s">
        <v>492</v>
      </c>
      <c r="M24" s="111">
        <v>89109149497</v>
      </c>
    </row>
    <row r="25" spans="1:13" ht="14.25" customHeight="1">
      <c r="A25" s="49">
        <v>43193</v>
      </c>
      <c r="B25" s="74" t="s">
        <v>279</v>
      </c>
      <c r="C25" s="84" t="s">
        <v>1008</v>
      </c>
      <c r="D25" s="74" t="s">
        <v>186</v>
      </c>
      <c r="E25" s="74" t="s">
        <v>955</v>
      </c>
      <c r="F25" s="77">
        <v>0.8125</v>
      </c>
      <c r="G25" s="78" t="s">
        <v>71</v>
      </c>
      <c r="H25" s="78" t="s">
        <v>71</v>
      </c>
      <c r="I25" s="78" t="s">
        <v>71</v>
      </c>
      <c r="J25" s="72" t="s">
        <v>956</v>
      </c>
      <c r="K25" s="113"/>
      <c r="L25" s="111" t="s">
        <v>492</v>
      </c>
      <c r="M25" s="111">
        <v>89109149497</v>
      </c>
    </row>
    <row r="26" spans="1:13" ht="14.25" customHeight="1">
      <c r="A26" s="49">
        <v>43193</v>
      </c>
      <c r="B26" s="74" t="s">
        <v>189</v>
      </c>
      <c r="C26" s="84" t="s">
        <v>1009</v>
      </c>
      <c r="D26" s="74" t="s">
        <v>186</v>
      </c>
      <c r="E26" s="74" t="s">
        <v>957</v>
      </c>
      <c r="F26" s="77">
        <v>0.82222222222222219</v>
      </c>
      <c r="G26" s="78" t="s">
        <v>71</v>
      </c>
      <c r="H26" s="78" t="s">
        <v>71</v>
      </c>
      <c r="I26" s="78" t="s">
        <v>71</v>
      </c>
      <c r="J26" s="72" t="s">
        <v>958</v>
      </c>
      <c r="K26" s="113"/>
      <c r="L26" s="111" t="s">
        <v>466</v>
      </c>
      <c r="M26" s="111">
        <v>89204191919</v>
      </c>
    </row>
    <row r="27" spans="1:13" ht="14.25" customHeight="1">
      <c r="A27" s="49">
        <v>43193</v>
      </c>
      <c r="B27" s="74" t="s">
        <v>189</v>
      </c>
      <c r="C27" s="84" t="s">
        <v>668</v>
      </c>
      <c r="D27" s="74" t="s">
        <v>186</v>
      </c>
      <c r="E27" s="74" t="s">
        <v>959</v>
      </c>
      <c r="F27" s="77">
        <v>0.81458333333333333</v>
      </c>
      <c r="G27" s="78" t="s">
        <v>14</v>
      </c>
      <c r="H27" s="78"/>
      <c r="I27" s="78"/>
      <c r="J27" s="72" t="s">
        <v>960</v>
      </c>
      <c r="K27" s="113" t="s">
        <v>961</v>
      </c>
      <c r="L27" s="111" t="s">
        <v>250</v>
      </c>
      <c r="M27" s="111">
        <v>89204228666</v>
      </c>
    </row>
    <row r="28" spans="1:13" ht="14.25" customHeight="1">
      <c r="A28" s="49">
        <v>43193</v>
      </c>
      <c r="B28" s="74" t="s">
        <v>189</v>
      </c>
      <c r="C28" s="84" t="s">
        <v>1010</v>
      </c>
      <c r="D28" s="74" t="s">
        <v>186</v>
      </c>
      <c r="E28" s="74" t="s">
        <v>962</v>
      </c>
      <c r="F28" s="77">
        <v>0.83333333333333337</v>
      </c>
      <c r="G28" s="78" t="s">
        <v>71</v>
      </c>
      <c r="H28" s="78" t="s">
        <v>71</v>
      </c>
      <c r="I28" s="78" t="s">
        <v>71</v>
      </c>
      <c r="J28" s="72" t="s">
        <v>963</v>
      </c>
      <c r="K28" s="113"/>
      <c r="L28" s="111" t="s">
        <v>249</v>
      </c>
      <c r="M28" s="111">
        <v>89050497124</v>
      </c>
    </row>
    <row r="29" spans="1:13" ht="14.25" customHeight="1">
      <c r="A29" s="49">
        <v>43193</v>
      </c>
      <c r="B29" s="74" t="s">
        <v>189</v>
      </c>
      <c r="C29" s="84" t="s">
        <v>564</v>
      </c>
      <c r="D29" s="74" t="s">
        <v>186</v>
      </c>
      <c r="E29" s="74" t="s">
        <v>964</v>
      </c>
      <c r="F29" s="77">
        <v>0.80555555555555558</v>
      </c>
      <c r="G29" s="78" t="s">
        <v>71</v>
      </c>
      <c r="H29" s="78" t="s">
        <v>71</v>
      </c>
      <c r="I29" s="78" t="s">
        <v>71</v>
      </c>
      <c r="J29" s="72" t="s">
        <v>965</v>
      </c>
      <c r="K29" s="113"/>
      <c r="L29" s="111" t="s">
        <v>465</v>
      </c>
      <c r="M29" s="111">
        <v>89601228797</v>
      </c>
    </row>
    <row r="30" spans="1:13" ht="14.25" customHeight="1">
      <c r="A30" s="49">
        <v>43193</v>
      </c>
      <c r="B30" s="74" t="s">
        <v>68</v>
      </c>
      <c r="C30" s="84" t="s">
        <v>94</v>
      </c>
      <c r="D30" s="74" t="s">
        <v>107</v>
      </c>
      <c r="E30" s="74" t="s">
        <v>1018</v>
      </c>
      <c r="F30" s="77">
        <v>0.79375000000000007</v>
      </c>
      <c r="G30" s="78" t="s">
        <v>71</v>
      </c>
      <c r="H30" s="78" t="s">
        <v>71</v>
      </c>
      <c r="I30" s="78" t="s">
        <v>71</v>
      </c>
      <c r="J30" s="2" t="s">
        <v>309</v>
      </c>
      <c r="K30" s="113"/>
      <c r="L30" s="10" t="s">
        <v>87</v>
      </c>
      <c r="M30" s="111"/>
    </row>
    <row r="31" spans="1:13" ht="14.25" customHeight="1">
      <c r="A31" s="49">
        <v>43193</v>
      </c>
      <c r="B31" s="74" t="s">
        <v>68</v>
      </c>
      <c r="C31" s="84" t="s">
        <v>1017</v>
      </c>
      <c r="D31" s="74" t="s">
        <v>107</v>
      </c>
      <c r="E31" s="74" t="s">
        <v>1019</v>
      </c>
      <c r="F31" s="77">
        <v>0.79861111111111116</v>
      </c>
      <c r="G31" s="78" t="s">
        <v>71</v>
      </c>
      <c r="H31" s="78" t="s">
        <v>71</v>
      </c>
      <c r="I31" s="78" t="s">
        <v>71</v>
      </c>
      <c r="J31" s="2" t="s">
        <v>309</v>
      </c>
      <c r="K31" s="113"/>
      <c r="L31" s="111" t="s">
        <v>87</v>
      </c>
      <c r="M31" s="111"/>
    </row>
    <row r="32" spans="1:13" ht="14.25" customHeight="1">
      <c r="A32" s="49">
        <v>43193</v>
      </c>
      <c r="B32" s="74" t="s">
        <v>68</v>
      </c>
      <c r="C32" s="84" t="s">
        <v>91</v>
      </c>
      <c r="D32" s="74" t="s">
        <v>107</v>
      </c>
      <c r="E32" s="74" t="s">
        <v>1020</v>
      </c>
      <c r="F32" s="77">
        <v>0.8208333333333333</v>
      </c>
      <c r="G32" s="78" t="s">
        <v>71</v>
      </c>
      <c r="H32" s="78" t="s">
        <v>71</v>
      </c>
      <c r="I32" s="78" t="s">
        <v>71</v>
      </c>
      <c r="J32" s="2" t="s">
        <v>309</v>
      </c>
      <c r="K32" s="113"/>
      <c r="L32" s="111" t="s">
        <v>85</v>
      </c>
      <c r="M32" s="111" t="s">
        <v>1023</v>
      </c>
    </row>
    <row r="33" spans="1:13" ht="14.25" customHeight="1">
      <c r="A33" s="49">
        <v>43193</v>
      </c>
      <c r="B33" s="74" t="s">
        <v>68</v>
      </c>
      <c r="C33" s="84" t="s">
        <v>93</v>
      </c>
      <c r="D33" s="74" t="s">
        <v>107</v>
      </c>
      <c r="E33" s="74" t="s">
        <v>1021</v>
      </c>
      <c r="F33" s="77">
        <v>0.83888888888888891</v>
      </c>
      <c r="G33" s="78" t="s">
        <v>71</v>
      </c>
      <c r="H33" s="78" t="s">
        <v>71</v>
      </c>
      <c r="I33" s="78" t="s">
        <v>71</v>
      </c>
      <c r="J33" s="2" t="s">
        <v>309</v>
      </c>
      <c r="K33" s="113"/>
      <c r="L33" s="111" t="s">
        <v>85</v>
      </c>
      <c r="M33" s="111" t="s">
        <v>1023</v>
      </c>
    </row>
    <row r="34" spans="1:13" ht="14.25" customHeight="1">
      <c r="A34" s="49">
        <v>43193</v>
      </c>
      <c r="B34" s="74" t="s">
        <v>68</v>
      </c>
      <c r="C34" s="84" t="s">
        <v>308</v>
      </c>
      <c r="D34" s="74" t="s">
        <v>107</v>
      </c>
      <c r="E34" s="74" t="s">
        <v>1022</v>
      </c>
      <c r="F34" s="77">
        <v>0.84444444444444444</v>
      </c>
      <c r="G34" s="78" t="s">
        <v>71</v>
      </c>
      <c r="H34" s="78" t="s">
        <v>71</v>
      </c>
      <c r="I34" s="78" t="s">
        <v>71</v>
      </c>
      <c r="J34" s="2" t="s">
        <v>309</v>
      </c>
      <c r="K34" s="113"/>
      <c r="L34" s="111" t="s">
        <v>85</v>
      </c>
      <c r="M34" s="111" t="s">
        <v>1023</v>
      </c>
    </row>
    <row r="35" spans="1:13" ht="14.25" customHeight="1">
      <c r="A35" s="22">
        <v>43194</v>
      </c>
      <c r="B35" s="73" t="s">
        <v>24</v>
      </c>
      <c r="C35" s="146" t="s">
        <v>871</v>
      </c>
      <c r="D35" s="73" t="s">
        <v>966</v>
      </c>
      <c r="E35" s="73" t="s">
        <v>967</v>
      </c>
      <c r="F35" s="75">
        <v>0.79652777777777772</v>
      </c>
      <c r="G35" s="99" t="s">
        <v>14</v>
      </c>
      <c r="H35" s="99"/>
      <c r="I35" s="99"/>
      <c r="J35" s="97"/>
      <c r="K35" s="115" t="s">
        <v>968</v>
      </c>
      <c r="L35" s="111" t="s">
        <v>1011</v>
      </c>
      <c r="M35" s="111">
        <v>89103188508</v>
      </c>
    </row>
    <row r="36" spans="1:13" ht="14.25" customHeight="1">
      <c r="A36" s="22">
        <v>43194</v>
      </c>
      <c r="B36" s="74" t="s">
        <v>24</v>
      </c>
      <c r="C36" s="84" t="s">
        <v>844</v>
      </c>
      <c r="D36" s="74" t="s">
        <v>658</v>
      </c>
      <c r="E36" s="74" t="s">
        <v>967</v>
      </c>
      <c r="F36" s="77">
        <v>0.79791666666666672</v>
      </c>
      <c r="G36" s="78" t="s">
        <v>71</v>
      </c>
      <c r="H36" s="78" t="s">
        <v>71</v>
      </c>
      <c r="I36" s="78" t="s">
        <v>71</v>
      </c>
      <c r="J36" s="72" t="str">
        <f>HYPERLINK("https://yadi.sk/d/e7MO9Bmk3U6gSm","https://yadi.sk/d/e7MO9Bmk3U6gSm")</f>
        <v>https://yadi.sk/d/e7MO9Bmk3U6gSm</v>
      </c>
      <c r="K36" s="116"/>
      <c r="L36" s="111" t="s">
        <v>1011</v>
      </c>
      <c r="M36" s="111">
        <v>89103188508</v>
      </c>
    </row>
    <row r="37" spans="1:13" ht="14.25" customHeight="1">
      <c r="A37" s="22">
        <v>43194</v>
      </c>
      <c r="B37" s="74" t="s">
        <v>24</v>
      </c>
      <c r="C37" s="84" t="s">
        <v>847</v>
      </c>
      <c r="D37" s="74" t="s">
        <v>658</v>
      </c>
      <c r="E37" s="74" t="s">
        <v>967</v>
      </c>
      <c r="F37" s="77">
        <v>0.7993055555555556</v>
      </c>
      <c r="G37" s="78" t="s">
        <v>71</v>
      </c>
      <c r="H37" s="78" t="s">
        <v>71</v>
      </c>
      <c r="I37" s="78" t="s">
        <v>71</v>
      </c>
      <c r="J37" s="72" t="str">
        <f>HYPERLINK("https://yadi.sk/d/xMcgpYh03U6gQp","https://yadi.sk/d/xMcgpYh03U6gQp")</f>
        <v>https://yadi.sk/d/xMcgpYh03U6gQp</v>
      </c>
      <c r="K37" s="116"/>
      <c r="L37" s="111" t="s">
        <v>1011</v>
      </c>
      <c r="M37" s="111">
        <v>89103188508</v>
      </c>
    </row>
    <row r="38" spans="1:13" ht="14.25" customHeight="1">
      <c r="A38" s="22">
        <v>43194</v>
      </c>
      <c r="B38" s="74" t="s">
        <v>24</v>
      </c>
      <c r="C38" s="84" t="s">
        <v>846</v>
      </c>
      <c r="D38" s="74" t="s">
        <v>658</v>
      </c>
      <c r="E38" s="74" t="s">
        <v>967</v>
      </c>
      <c r="F38" s="77">
        <v>0.80208333333333337</v>
      </c>
      <c r="G38" s="78" t="s">
        <v>71</v>
      </c>
      <c r="H38" s="78" t="s">
        <v>71</v>
      </c>
      <c r="I38" s="78" t="s">
        <v>71</v>
      </c>
      <c r="J38" s="72" t="str">
        <f>HYPERLINK("https://yadi.sk/d/M7nLLIAt3U6gU6","https://yadi.sk/d/M7nLLIAt3U6gU6")</f>
        <v>https://yadi.sk/d/M7nLLIAt3U6gU6</v>
      </c>
      <c r="K38" s="116"/>
      <c r="L38" s="111" t="s">
        <v>1011</v>
      </c>
      <c r="M38" s="111">
        <v>89103188508</v>
      </c>
    </row>
    <row r="39" spans="1:13" ht="14.25" customHeight="1">
      <c r="A39" s="22">
        <v>43194</v>
      </c>
      <c r="B39" s="74" t="s">
        <v>34</v>
      </c>
      <c r="C39" s="84" t="s">
        <v>969</v>
      </c>
      <c r="D39" s="94" t="s">
        <v>186</v>
      </c>
      <c r="E39" s="94" t="s">
        <v>970</v>
      </c>
      <c r="F39" s="100">
        <v>0.79513888888888884</v>
      </c>
      <c r="G39" s="101" t="s">
        <v>71</v>
      </c>
      <c r="H39" s="101" t="s">
        <v>71</v>
      </c>
      <c r="I39" s="101" t="s">
        <v>71</v>
      </c>
      <c r="J39" s="98" t="s">
        <v>971</v>
      </c>
      <c r="K39" s="117"/>
      <c r="L39" s="104" t="s">
        <v>65</v>
      </c>
      <c r="M39" s="111">
        <v>89997648473</v>
      </c>
    </row>
    <row r="40" spans="1:13" ht="14.25" customHeight="1">
      <c r="A40" s="22">
        <v>43194</v>
      </c>
      <c r="B40" s="74" t="s">
        <v>34</v>
      </c>
      <c r="C40" s="84" t="s">
        <v>972</v>
      </c>
      <c r="D40" s="94" t="s">
        <v>186</v>
      </c>
      <c r="E40" s="94" t="s">
        <v>973</v>
      </c>
      <c r="F40" s="77">
        <v>0.81666666666666665</v>
      </c>
      <c r="G40" s="78" t="s">
        <v>71</v>
      </c>
      <c r="H40" s="78" t="s">
        <v>71</v>
      </c>
      <c r="I40" s="78" t="s">
        <v>71</v>
      </c>
      <c r="J40" s="72" t="str">
        <f>HYPERLINK("https://yadi.sk/d/UT125J6E3U6j4a","https://yadi.sk/d/UT125J6E3U6j4a")</f>
        <v>https://yadi.sk/d/UT125J6E3U6j4a</v>
      </c>
      <c r="K40" s="116"/>
      <c r="L40" s="104" t="s">
        <v>797</v>
      </c>
      <c r="M40" s="111">
        <v>89206346464</v>
      </c>
    </row>
    <row r="41" spans="1:13" ht="14.25" customHeight="1">
      <c r="A41" s="22">
        <v>43194</v>
      </c>
      <c r="B41" s="74" t="s">
        <v>34</v>
      </c>
      <c r="C41" s="84" t="s">
        <v>974</v>
      </c>
      <c r="D41" s="94" t="s">
        <v>186</v>
      </c>
      <c r="E41" s="94" t="s">
        <v>975</v>
      </c>
      <c r="F41" s="77">
        <v>0.8354166666666667</v>
      </c>
      <c r="G41" s="78" t="s">
        <v>71</v>
      </c>
      <c r="H41" s="78" t="s">
        <v>71</v>
      </c>
      <c r="I41" s="78" t="s">
        <v>71</v>
      </c>
      <c r="J41" s="72" t="str">
        <f>HYPERLINK("https://yadi.sk/d/V5gq6Tta3U6j5s","https://yadi.sk/d/V5gq6Tta3U6j5s")</f>
        <v>https://yadi.sk/d/V5gq6Tta3U6j5s</v>
      </c>
      <c r="K41" s="116"/>
      <c r="L41" s="104" t="s">
        <v>65</v>
      </c>
      <c r="M41" s="111">
        <v>89997648473</v>
      </c>
    </row>
    <row r="42" spans="1:13" ht="14.25" customHeight="1">
      <c r="A42" s="22">
        <v>43194</v>
      </c>
      <c r="B42" s="74" t="s">
        <v>34</v>
      </c>
      <c r="C42" s="84" t="s">
        <v>976</v>
      </c>
      <c r="D42" s="94" t="s">
        <v>186</v>
      </c>
      <c r="E42" s="94" t="s">
        <v>975</v>
      </c>
      <c r="F42" s="77">
        <v>0.83888888888888891</v>
      </c>
      <c r="G42" s="78" t="s">
        <v>71</v>
      </c>
      <c r="H42" s="78" t="s">
        <v>14</v>
      </c>
      <c r="I42" s="78" t="s">
        <v>71</v>
      </c>
      <c r="J42" s="72" t="str">
        <f>HYPERLINK("https://yadi.sk/d/AhBAPBSD3U6iu9","https://yadi.sk/d/AhBAPBSD3U6iu9")</f>
        <v>https://yadi.sk/d/AhBAPBSD3U6iu9</v>
      </c>
      <c r="K42" s="116"/>
      <c r="L42" s="104" t="s">
        <v>65</v>
      </c>
      <c r="M42" s="111">
        <v>89997648473</v>
      </c>
    </row>
    <row r="43" spans="1:13" ht="14.25" customHeight="1">
      <c r="A43" s="22">
        <v>43194</v>
      </c>
      <c r="B43" s="74" t="s">
        <v>393</v>
      </c>
      <c r="C43" s="84" t="s">
        <v>833</v>
      </c>
      <c r="D43" s="94" t="s">
        <v>186</v>
      </c>
      <c r="E43" s="94" t="s">
        <v>977</v>
      </c>
      <c r="F43" s="77">
        <v>0.84097222222222223</v>
      </c>
      <c r="G43" s="78" t="s">
        <v>14</v>
      </c>
      <c r="H43" s="78"/>
      <c r="I43" s="78"/>
      <c r="J43" s="72" t="s">
        <v>978</v>
      </c>
      <c r="K43" s="113" t="s">
        <v>979</v>
      </c>
      <c r="L43" s="104" t="s">
        <v>474</v>
      </c>
      <c r="M43" s="104" t="s">
        <v>475</v>
      </c>
    </row>
    <row r="44" spans="1:13" ht="14.25" customHeight="1">
      <c r="A44" s="22">
        <v>43194</v>
      </c>
      <c r="B44" s="74" t="s">
        <v>393</v>
      </c>
      <c r="C44" s="84" t="s">
        <v>1012</v>
      </c>
      <c r="D44" s="94" t="s">
        <v>980</v>
      </c>
      <c r="E44" s="94" t="s">
        <v>981</v>
      </c>
      <c r="F44" s="77">
        <v>0.82430555555555551</v>
      </c>
      <c r="G44" s="78" t="s">
        <v>71</v>
      </c>
      <c r="H44" s="78" t="s">
        <v>71</v>
      </c>
      <c r="I44" s="78" t="s">
        <v>71</v>
      </c>
      <c r="J44" s="72" t="s">
        <v>982</v>
      </c>
      <c r="K44" s="113" t="s">
        <v>983</v>
      </c>
      <c r="L44" s="104" t="s">
        <v>1015</v>
      </c>
      <c r="M44" s="104" t="s">
        <v>1016</v>
      </c>
    </row>
    <row r="45" spans="1:13" ht="14.25" customHeight="1">
      <c r="A45" s="22">
        <v>43194</v>
      </c>
      <c r="B45" s="74" t="s">
        <v>393</v>
      </c>
      <c r="C45" s="84" t="s">
        <v>1014</v>
      </c>
      <c r="D45" s="94" t="s">
        <v>984</v>
      </c>
      <c r="E45" s="94" t="s">
        <v>985</v>
      </c>
      <c r="F45" s="77">
        <v>0.79861111111111116</v>
      </c>
      <c r="G45" s="78" t="s">
        <v>71</v>
      </c>
      <c r="H45" s="78" t="s">
        <v>71</v>
      </c>
      <c r="I45" s="78" t="s">
        <v>71</v>
      </c>
      <c r="J45" s="72" t="s">
        <v>986</v>
      </c>
      <c r="K45" s="113" t="s">
        <v>987</v>
      </c>
      <c r="L45" s="104" t="s">
        <v>776</v>
      </c>
      <c r="M45" s="104" t="s">
        <v>777</v>
      </c>
    </row>
    <row r="46" spans="1:13" ht="14.25" customHeight="1">
      <c r="A46" s="22">
        <v>43194</v>
      </c>
      <c r="B46" s="74" t="s">
        <v>393</v>
      </c>
      <c r="C46" s="84" t="s">
        <v>1013</v>
      </c>
      <c r="D46" s="94" t="s">
        <v>186</v>
      </c>
      <c r="E46" s="94" t="s">
        <v>988</v>
      </c>
      <c r="F46" s="77">
        <v>0.83333333333333337</v>
      </c>
      <c r="G46" s="78" t="s">
        <v>14</v>
      </c>
      <c r="H46" s="78"/>
      <c r="I46" s="78"/>
      <c r="J46" s="72" t="s">
        <v>989</v>
      </c>
      <c r="K46" s="113" t="s">
        <v>990</v>
      </c>
      <c r="L46" s="104" t="s">
        <v>568</v>
      </c>
      <c r="M46" s="104" t="s">
        <v>569</v>
      </c>
    </row>
    <row r="47" spans="1:13" ht="14.25" customHeight="1">
      <c r="A47" s="22">
        <v>43194</v>
      </c>
      <c r="B47" s="74" t="s">
        <v>218</v>
      </c>
      <c r="C47" s="84" t="s">
        <v>582</v>
      </c>
      <c r="D47" s="94" t="s">
        <v>544</v>
      </c>
      <c r="E47" s="94" t="s">
        <v>991</v>
      </c>
      <c r="F47" s="77">
        <v>0.80902777777777779</v>
      </c>
      <c r="G47" s="78" t="s">
        <v>71</v>
      </c>
      <c r="H47" s="78" t="s">
        <v>71</v>
      </c>
      <c r="I47" s="78" t="s">
        <v>71</v>
      </c>
      <c r="J47" s="72" t="s">
        <v>992</v>
      </c>
      <c r="K47" s="80"/>
      <c r="L47" s="104" t="s">
        <v>487</v>
      </c>
      <c r="M47" s="111">
        <v>89036440803</v>
      </c>
    </row>
    <row r="48" spans="1:13" ht="14.25" customHeight="1">
      <c r="A48" s="22">
        <v>43194</v>
      </c>
      <c r="B48" s="74" t="s">
        <v>218</v>
      </c>
      <c r="C48" s="84" t="s">
        <v>577</v>
      </c>
      <c r="D48" s="94" t="s">
        <v>546</v>
      </c>
      <c r="E48" s="94" t="s">
        <v>993</v>
      </c>
      <c r="F48" s="77">
        <v>0.82638888888888884</v>
      </c>
      <c r="G48" s="78" t="s">
        <v>71</v>
      </c>
      <c r="H48" s="78" t="s">
        <v>71</v>
      </c>
      <c r="I48" s="78" t="s">
        <v>71</v>
      </c>
      <c r="J48" s="72" t="s">
        <v>994</v>
      </c>
      <c r="K48" s="80"/>
      <c r="L48" s="104" t="s">
        <v>487</v>
      </c>
      <c r="M48" s="111">
        <v>89036440803</v>
      </c>
    </row>
    <row r="49" spans="1:13" ht="14.25" customHeight="1">
      <c r="A49" s="22">
        <v>43194</v>
      </c>
      <c r="B49" s="74" t="s">
        <v>218</v>
      </c>
      <c r="C49" s="118" t="s">
        <v>484</v>
      </c>
      <c r="D49" s="94" t="s">
        <v>427</v>
      </c>
      <c r="E49" s="94" t="s">
        <v>995</v>
      </c>
      <c r="F49" s="77">
        <v>0.77847222222222223</v>
      </c>
      <c r="G49" s="78" t="s">
        <v>71</v>
      </c>
      <c r="H49" s="78" t="s">
        <v>71</v>
      </c>
      <c r="I49" s="78" t="s">
        <v>71</v>
      </c>
      <c r="J49" s="72" t="s">
        <v>996</v>
      </c>
      <c r="K49" s="80"/>
      <c r="L49" s="104" t="s">
        <v>488</v>
      </c>
      <c r="M49" s="111">
        <v>89803020082</v>
      </c>
    </row>
    <row r="50" spans="1:13" ht="14.25" customHeight="1">
      <c r="A50" s="22">
        <v>43194</v>
      </c>
      <c r="B50" s="74" t="s">
        <v>218</v>
      </c>
      <c r="C50" s="84" t="s">
        <v>486</v>
      </c>
      <c r="D50" s="94" t="s">
        <v>427</v>
      </c>
      <c r="E50" s="94" t="s">
        <v>995</v>
      </c>
      <c r="F50" s="77">
        <v>0.77708333333333335</v>
      </c>
      <c r="G50" s="78" t="s">
        <v>71</v>
      </c>
      <c r="H50" s="78" t="s">
        <v>71</v>
      </c>
      <c r="I50" s="78" t="s">
        <v>71</v>
      </c>
      <c r="J50" s="72" t="s">
        <v>997</v>
      </c>
      <c r="K50" s="80"/>
      <c r="L50" s="104" t="s">
        <v>488</v>
      </c>
      <c r="M50" s="111">
        <v>89803020082</v>
      </c>
    </row>
    <row r="51" spans="1:13" ht="14.25" customHeight="1">
      <c r="A51" s="49">
        <v>43195</v>
      </c>
      <c r="B51" s="126" t="s">
        <v>161</v>
      </c>
      <c r="C51" s="147" t="s">
        <v>1024</v>
      </c>
      <c r="D51" s="126" t="s">
        <v>1025</v>
      </c>
      <c r="E51" s="126" t="s">
        <v>1026</v>
      </c>
      <c r="F51" s="128">
        <v>0.76388888888888884</v>
      </c>
      <c r="G51" s="129" t="s">
        <v>71</v>
      </c>
      <c r="H51" s="129" t="s">
        <v>71</v>
      </c>
      <c r="I51" s="129" t="s">
        <v>14</v>
      </c>
      <c r="J51" s="124" t="str">
        <f>HYPERLINK("https://yadi.sk/d/7MjSKNSu3U8edj","https://yadi.sk/d/7MjSKNSu3U8edj")</f>
        <v>https://yadi.sk/d/7MjSKNSu3U8edj</v>
      </c>
      <c r="K51" s="132" t="s">
        <v>1027</v>
      </c>
      <c r="L51" s="111" t="s">
        <v>570</v>
      </c>
      <c r="M51" s="111">
        <v>89534771666</v>
      </c>
    </row>
    <row r="52" spans="1:13" ht="14.25" customHeight="1">
      <c r="A52" s="49">
        <v>43195</v>
      </c>
      <c r="B52" s="127" t="s">
        <v>161</v>
      </c>
      <c r="C52" s="148" t="s">
        <v>1028</v>
      </c>
      <c r="D52" s="127" t="s">
        <v>1029</v>
      </c>
      <c r="E52" s="127" t="s">
        <v>1030</v>
      </c>
      <c r="F52" s="130">
        <v>0.77638888888888891</v>
      </c>
      <c r="G52" s="131" t="s">
        <v>71</v>
      </c>
      <c r="H52" s="131" t="s">
        <v>71</v>
      </c>
      <c r="I52" s="131" t="s">
        <v>71</v>
      </c>
      <c r="J52" s="125" t="str">
        <f>HYPERLINK("https://yadi.sk/d/6CRhInLv3U8ec5","https://yadi.sk/d/6CRhInLv3U8ec5")</f>
        <v>https://yadi.sk/d/6CRhInLv3U8ec5</v>
      </c>
      <c r="K52" s="133"/>
      <c r="L52" s="111" t="s">
        <v>998</v>
      </c>
      <c r="M52" s="111">
        <v>89282667744</v>
      </c>
    </row>
    <row r="53" spans="1:13" ht="14.25" customHeight="1">
      <c r="A53" s="49">
        <v>43195</v>
      </c>
      <c r="B53" s="127" t="s">
        <v>254</v>
      </c>
      <c r="C53" s="148" t="s">
        <v>1041</v>
      </c>
      <c r="D53" s="127" t="s">
        <v>119</v>
      </c>
      <c r="E53" s="127" t="s">
        <v>1031</v>
      </c>
      <c r="F53" s="130">
        <v>0.77500000000000002</v>
      </c>
      <c r="G53" s="131" t="s">
        <v>71</v>
      </c>
      <c r="H53" s="131" t="s">
        <v>14</v>
      </c>
      <c r="I53" s="131" t="s">
        <v>71</v>
      </c>
      <c r="J53" s="125" t="str">
        <f>HYPERLINK("https://yadi.sk/d/eECCDDLi3U8f6n","https://yadi.sk/d/eECCDDLi3U8f6n")</f>
        <v>https://yadi.sk/d/eECCDDLi3U8f6n</v>
      </c>
      <c r="K53" s="133"/>
      <c r="L53" s="111" t="s">
        <v>292</v>
      </c>
      <c r="M53" s="111" t="s">
        <v>771</v>
      </c>
    </row>
    <row r="54" spans="1:13" ht="14.25" customHeight="1">
      <c r="A54" s="49">
        <v>43195</v>
      </c>
      <c r="B54" s="127" t="s">
        <v>254</v>
      </c>
      <c r="C54" s="148" t="s">
        <v>768</v>
      </c>
      <c r="D54" s="127" t="s">
        <v>119</v>
      </c>
      <c r="E54" s="127" t="s">
        <v>1032</v>
      </c>
      <c r="F54" s="130">
        <v>0.79236111111111107</v>
      </c>
      <c r="G54" s="131" t="s">
        <v>14</v>
      </c>
      <c r="H54" s="131"/>
      <c r="I54" s="131"/>
      <c r="J54" s="125" t="str">
        <f>HYPERLINK("https://yadi.sk/i/JZXx4Xqi3U8hvb","https://yadi.sk/i/JZXx4Xqi3U8hvb")</f>
        <v>https://yadi.sk/i/JZXx4Xqi3U8hvb</v>
      </c>
      <c r="K54" s="133" t="s">
        <v>1033</v>
      </c>
      <c r="L54" s="111" t="s">
        <v>532</v>
      </c>
      <c r="M54" s="111">
        <v>89040044424</v>
      </c>
    </row>
    <row r="55" spans="1:13" ht="14.25" customHeight="1">
      <c r="A55" s="49">
        <v>43195</v>
      </c>
      <c r="B55" s="127" t="s">
        <v>254</v>
      </c>
      <c r="C55" s="148" t="s">
        <v>571</v>
      </c>
      <c r="D55" s="127" t="s">
        <v>119</v>
      </c>
      <c r="E55" s="127" t="s">
        <v>1034</v>
      </c>
      <c r="F55" s="130">
        <v>0.80069444444444449</v>
      </c>
      <c r="G55" s="131" t="s">
        <v>14</v>
      </c>
      <c r="H55" s="131"/>
      <c r="I55" s="131"/>
      <c r="J55" s="125" t="str">
        <f>HYPERLINK("https://yadi.sk/i/mOXf74bi3U8hvi","https://yadi.sk/i/mOXf74bi3U8hvi")</f>
        <v>https://yadi.sk/i/mOXf74bi3U8hvi</v>
      </c>
      <c r="K55" s="133" t="s">
        <v>1035</v>
      </c>
      <c r="L55" s="111" t="s">
        <v>532</v>
      </c>
      <c r="M55" s="111">
        <v>89040044424</v>
      </c>
    </row>
    <row r="56" spans="1:13" ht="14.25" customHeight="1">
      <c r="A56" s="49">
        <v>43195</v>
      </c>
      <c r="B56" s="127" t="s">
        <v>121</v>
      </c>
      <c r="C56" s="148" t="s">
        <v>1042</v>
      </c>
      <c r="D56" s="127" t="s">
        <v>857</v>
      </c>
      <c r="E56" s="127" t="s">
        <v>1036</v>
      </c>
      <c r="F56" s="130">
        <v>0.77430555555555558</v>
      </c>
      <c r="G56" s="131" t="s">
        <v>14</v>
      </c>
      <c r="H56" s="131"/>
      <c r="I56" s="131"/>
      <c r="J56" s="125" t="str">
        <f>HYPERLINK("https://yadi.sk/i/QlU8X5D23U8k6P","https://yadi.sk/i/QlU8X5D23U8k6P")</f>
        <v>https://yadi.sk/i/QlU8X5D23U8k6P</v>
      </c>
      <c r="K56" s="133" t="s">
        <v>1037</v>
      </c>
      <c r="L56" s="104" t="s">
        <v>1044</v>
      </c>
      <c r="M56" s="111">
        <v>84922531643</v>
      </c>
    </row>
    <row r="57" spans="1:13" ht="14.25" customHeight="1">
      <c r="A57" s="49">
        <v>43195</v>
      </c>
      <c r="B57" s="127" t="s">
        <v>121</v>
      </c>
      <c r="C57" s="148" t="s">
        <v>1043</v>
      </c>
      <c r="D57" s="127" t="s">
        <v>857</v>
      </c>
      <c r="E57" s="127" t="s">
        <v>1038</v>
      </c>
      <c r="F57" s="130">
        <v>0.7895833333333333</v>
      </c>
      <c r="G57" s="131" t="s">
        <v>14</v>
      </c>
      <c r="H57" s="131"/>
      <c r="I57" s="131"/>
      <c r="J57" s="125" t="str">
        <f>HYPERLINK("https://yadi.sk/i/Tdd9K2sT3U8k6V","https://yadi.sk/i/Tdd9K2sT3U8k6V")</f>
        <v>https://yadi.sk/i/Tdd9K2sT3U8k6V</v>
      </c>
      <c r="K57" s="133" t="s">
        <v>1039</v>
      </c>
      <c r="L57" s="104" t="s">
        <v>1044</v>
      </c>
      <c r="M57" s="111">
        <v>84922531643</v>
      </c>
    </row>
    <row r="58" spans="1:13" ht="14.25" customHeight="1">
      <c r="A58" s="49">
        <v>43195</v>
      </c>
      <c r="B58" s="127" t="s">
        <v>121</v>
      </c>
      <c r="C58" s="148" t="s">
        <v>476</v>
      </c>
      <c r="D58" s="127" t="s">
        <v>857</v>
      </c>
      <c r="E58" s="127" t="s">
        <v>1040</v>
      </c>
      <c r="F58" s="130">
        <v>0.80208333333333337</v>
      </c>
      <c r="G58" s="131" t="s">
        <v>71</v>
      </c>
      <c r="H58" s="131" t="s">
        <v>71</v>
      </c>
      <c r="I58" s="131" t="s">
        <v>71</v>
      </c>
      <c r="J58" s="125" t="str">
        <f>HYPERLINK("https://yadi.sk/d/4oEhqwMp3U8kC2","https://yadi.sk/d/4oEhqwMp3U8kC2")</f>
        <v>https://yadi.sk/d/4oEhqwMp3U8kC2</v>
      </c>
      <c r="K58" s="133"/>
      <c r="L58" s="104" t="s">
        <v>1044</v>
      </c>
      <c r="M58" s="111">
        <v>84922531643</v>
      </c>
    </row>
    <row r="59" spans="1:13" ht="14.25" customHeight="1">
      <c r="A59" s="22">
        <v>43196</v>
      </c>
      <c r="B59" s="73" t="s">
        <v>97</v>
      </c>
      <c r="C59" s="146" t="s">
        <v>1082</v>
      </c>
      <c r="D59" s="73" t="s">
        <v>1046</v>
      </c>
      <c r="E59" s="73" t="s">
        <v>1047</v>
      </c>
      <c r="F59" s="75">
        <v>0.75</v>
      </c>
      <c r="G59" s="76" t="s">
        <v>71</v>
      </c>
      <c r="H59" s="76" t="s">
        <v>71</v>
      </c>
      <c r="I59" s="76" t="s">
        <v>71</v>
      </c>
      <c r="J59" s="71" t="str">
        <f>HYPERLINK("https://yadi.sk/d/qMFsKXL_3UAxV7","https://yadi.sk/d/qMFsKXL_3UAxV7")</f>
        <v>https://yadi.sk/d/qMFsKXL_3UAxV7</v>
      </c>
      <c r="K59" s="82"/>
      <c r="L59" s="104" t="s">
        <v>1084</v>
      </c>
      <c r="M59" s="104" t="s">
        <v>1085</v>
      </c>
    </row>
    <row r="60" spans="1:13" ht="14.25" customHeight="1">
      <c r="A60" s="22">
        <v>43196</v>
      </c>
      <c r="B60" s="74" t="s">
        <v>97</v>
      </c>
      <c r="C60" s="84" t="s">
        <v>580</v>
      </c>
      <c r="D60" s="74" t="s">
        <v>1046</v>
      </c>
      <c r="E60" s="74" t="s">
        <v>1048</v>
      </c>
      <c r="F60" s="77">
        <v>0.75138888888888888</v>
      </c>
      <c r="G60" s="78" t="s">
        <v>71</v>
      </c>
      <c r="H60" s="78" t="s">
        <v>71</v>
      </c>
      <c r="I60" s="78" t="s">
        <v>71</v>
      </c>
      <c r="J60" s="72" t="str">
        <f>HYPERLINK("https://yadi.sk/d/K6jsHZLI3UAxbZ","https://yadi.sk/d/K6jsHZLI3UAxbZ")</f>
        <v>https://yadi.sk/d/K6jsHZLI3UAxbZ</v>
      </c>
      <c r="K60" s="81"/>
      <c r="L60" s="104" t="s">
        <v>142</v>
      </c>
      <c r="M60" s="104" t="s">
        <v>143</v>
      </c>
    </row>
    <row r="61" spans="1:13" ht="14.25" customHeight="1">
      <c r="A61" s="22">
        <v>43196</v>
      </c>
      <c r="B61" s="74" t="s">
        <v>97</v>
      </c>
      <c r="C61" s="84" t="s">
        <v>1002</v>
      </c>
      <c r="D61" s="74" t="s">
        <v>1046</v>
      </c>
      <c r="E61" s="74" t="s">
        <v>1049</v>
      </c>
      <c r="F61" s="77">
        <v>0.78888888888888886</v>
      </c>
      <c r="G61" s="78" t="s">
        <v>71</v>
      </c>
      <c r="H61" s="78" t="s">
        <v>71</v>
      </c>
      <c r="I61" s="78" t="s">
        <v>71</v>
      </c>
      <c r="J61" s="72" t="str">
        <f>HYPERLINK("https://yadi.sk/d/kWF9kjsL3UAxfQ","https://yadi.sk/d/kWF9kjsL3UAxfQ")</f>
        <v>https://yadi.sk/d/kWF9kjsL3UAxfQ</v>
      </c>
      <c r="K61" s="81"/>
      <c r="L61" s="104" t="s">
        <v>142</v>
      </c>
      <c r="M61" s="104" t="s">
        <v>143</v>
      </c>
    </row>
    <row r="62" spans="1:13" ht="14.25" customHeight="1">
      <c r="A62" s="22">
        <v>43196</v>
      </c>
      <c r="B62" s="74" t="s">
        <v>97</v>
      </c>
      <c r="C62" s="84" t="s">
        <v>1083</v>
      </c>
      <c r="D62" s="74" t="s">
        <v>1046</v>
      </c>
      <c r="E62" s="74" t="s">
        <v>1050</v>
      </c>
      <c r="F62" s="77">
        <v>0.77083333333333337</v>
      </c>
      <c r="G62" s="78" t="s">
        <v>71</v>
      </c>
      <c r="H62" s="78" t="s">
        <v>71</v>
      </c>
      <c r="I62" s="78" t="s">
        <v>71</v>
      </c>
      <c r="J62" s="72" t="str">
        <f>HYPERLINK("https://yadi.sk/d/S78HAUQ43UAxjk","https://yadi.sk/d/S78HAUQ43UAxjk")</f>
        <v>https://yadi.sk/d/S78HAUQ43UAxjk</v>
      </c>
      <c r="K62" s="81"/>
      <c r="L62" s="104" t="s">
        <v>1084</v>
      </c>
      <c r="M62" s="104" t="s">
        <v>1085</v>
      </c>
    </row>
    <row r="63" spans="1:13" ht="14.25" customHeight="1">
      <c r="A63" s="22">
        <v>43196</v>
      </c>
      <c r="B63" s="74" t="s">
        <v>927</v>
      </c>
      <c r="C63" s="84" t="s">
        <v>1086</v>
      </c>
      <c r="D63" s="74" t="s">
        <v>1051</v>
      </c>
      <c r="E63" s="74" t="s">
        <v>1052</v>
      </c>
      <c r="F63" s="77">
        <v>0.72916666666666663</v>
      </c>
      <c r="G63" s="78" t="s">
        <v>14</v>
      </c>
      <c r="H63" s="78"/>
      <c r="I63" s="78"/>
      <c r="J63" s="72" t="str">
        <f>HYPERLINK("https://yadi.sk/i/Ta-GPoZV3UAxE5","https://yadi.sk/i/Ta-GPoZV3UAxE5")</f>
        <v>https://yadi.sk/i/Ta-GPoZV3UAxE5</v>
      </c>
      <c r="K63" s="81" t="s">
        <v>1053</v>
      </c>
      <c r="L63" s="104" t="s">
        <v>147</v>
      </c>
      <c r="M63" s="104" t="s">
        <v>788</v>
      </c>
    </row>
    <row r="64" spans="1:13" ht="14.25" customHeight="1">
      <c r="A64" s="22">
        <v>43196</v>
      </c>
      <c r="B64" s="74" t="s">
        <v>927</v>
      </c>
      <c r="C64" s="84" t="s">
        <v>1087</v>
      </c>
      <c r="D64" s="74" t="s">
        <v>929</v>
      </c>
      <c r="E64" s="74" t="s">
        <v>1054</v>
      </c>
      <c r="F64" s="77">
        <v>0.80763888888888891</v>
      </c>
      <c r="G64" s="78" t="s">
        <v>14</v>
      </c>
      <c r="H64" s="78"/>
      <c r="I64" s="78"/>
      <c r="J64" s="72" t="str">
        <f>HYPERLINK("https://yadi.sk/i/BwKm2zVs3UAxE6","https://yadi.sk/i/BwKm2zVs3UAxE6")</f>
        <v>https://yadi.sk/i/BwKm2zVs3UAxE6</v>
      </c>
      <c r="K64" s="81" t="s">
        <v>1055</v>
      </c>
      <c r="L64" s="104" t="s">
        <v>786</v>
      </c>
      <c r="M64" s="104" t="s">
        <v>146</v>
      </c>
    </row>
    <row r="65" spans="1:13" ht="14.25" customHeight="1">
      <c r="A65" s="22">
        <v>43196</v>
      </c>
      <c r="B65" s="74" t="s">
        <v>927</v>
      </c>
      <c r="C65" s="84" t="s">
        <v>706</v>
      </c>
      <c r="D65" s="74" t="s">
        <v>929</v>
      </c>
      <c r="E65" s="74" t="s">
        <v>1056</v>
      </c>
      <c r="F65" s="77">
        <v>0.81597222222222221</v>
      </c>
      <c r="G65" s="78" t="s">
        <v>14</v>
      </c>
      <c r="H65" s="78"/>
      <c r="I65" s="78"/>
      <c r="J65" s="72" t="str">
        <f>HYPERLINK("https://yadi.sk/d/MBYLf7XG3UAz6q","https://yadi.sk/d/MBYLf7XG3UAz6q")</f>
        <v>https://yadi.sk/d/MBYLf7XG3UAz6q</v>
      </c>
      <c r="K65" s="81" t="s">
        <v>1057</v>
      </c>
      <c r="L65" s="104" t="s">
        <v>147</v>
      </c>
      <c r="M65" s="104" t="s">
        <v>788</v>
      </c>
    </row>
    <row r="66" spans="1:13" ht="14.25" customHeight="1">
      <c r="A66" s="49">
        <v>43197</v>
      </c>
      <c r="B66" s="74" t="s">
        <v>130</v>
      </c>
      <c r="C66" s="84" t="s">
        <v>613</v>
      </c>
      <c r="D66" s="74" t="s">
        <v>383</v>
      </c>
      <c r="E66" s="74" t="s">
        <v>1058</v>
      </c>
      <c r="F66" s="77">
        <v>0.80277777777777781</v>
      </c>
      <c r="G66" s="78" t="s">
        <v>71</v>
      </c>
      <c r="H66" s="78" t="s">
        <v>71</v>
      </c>
      <c r="I66" s="78" t="s">
        <v>71</v>
      </c>
      <c r="J66" s="72" t="s">
        <v>1059</v>
      </c>
      <c r="K66" s="81" t="s">
        <v>1060</v>
      </c>
      <c r="L66" s="104" t="s">
        <v>139</v>
      </c>
      <c r="M66" s="104" t="s">
        <v>140</v>
      </c>
    </row>
    <row r="67" spans="1:13" ht="14.25" customHeight="1">
      <c r="A67" s="49">
        <v>43197</v>
      </c>
      <c r="B67" s="74" t="s">
        <v>130</v>
      </c>
      <c r="C67" s="84" t="s">
        <v>1004</v>
      </c>
      <c r="D67" s="74" t="s">
        <v>383</v>
      </c>
      <c r="E67" s="74" t="s">
        <v>1061</v>
      </c>
      <c r="F67" s="77">
        <v>0.80277777777777781</v>
      </c>
      <c r="G67" s="78" t="s">
        <v>14</v>
      </c>
      <c r="H67" s="78"/>
      <c r="I67" s="78"/>
      <c r="J67" s="91"/>
      <c r="K67" s="81" t="s">
        <v>1064</v>
      </c>
      <c r="L67" s="104" t="s">
        <v>139</v>
      </c>
      <c r="M67" s="104" t="s">
        <v>140</v>
      </c>
    </row>
    <row r="68" spans="1:13" ht="14.25" customHeight="1">
      <c r="A68" s="49">
        <v>43197</v>
      </c>
      <c r="B68" s="74" t="s">
        <v>130</v>
      </c>
      <c r="C68" s="84" t="s">
        <v>131</v>
      </c>
      <c r="D68" s="74" t="s">
        <v>383</v>
      </c>
      <c r="E68" s="74" t="s">
        <v>1062</v>
      </c>
      <c r="F68" s="77">
        <v>0.82638888888888884</v>
      </c>
      <c r="G68" s="78" t="s">
        <v>71</v>
      </c>
      <c r="H68" s="78" t="s">
        <v>71</v>
      </c>
      <c r="I68" s="78" t="s">
        <v>71</v>
      </c>
      <c r="J68" s="72" t="s">
        <v>1063</v>
      </c>
      <c r="K68" s="81"/>
      <c r="L68" s="104" t="s">
        <v>139</v>
      </c>
      <c r="M68" s="104" t="s">
        <v>140</v>
      </c>
    </row>
    <row r="69" spans="1:13" ht="14.25" customHeight="1">
      <c r="A69" s="22">
        <v>43199</v>
      </c>
      <c r="B69" s="136" t="s">
        <v>189</v>
      </c>
      <c r="C69" s="149" t="s">
        <v>668</v>
      </c>
      <c r="D69" s="136" t="s">
        <v>186</v>
      </c>
      <c r="E69" s="136" t="s">
        <v>1065</v>
      </c>
      <c r="F69" s="138">
        <v>0.80208333333333337</v>
      </c>
      <c r="G69" s="139" t="s">
        <v>14</v>
      </c>
      <c r="H69" s="139"/>
      <c r="I69" s="139"/>
      <c r="J69" s="134" t="s">
        <v>1066</v>
      </c>
      <c r="K69" s="142" t="s">
        <v>1067</v>
      </c>
      <c r="L69" s="104" t="s">
        <v>250</v>
      </c>
      <c r="M69" s="111">
        <v>89204228666</v>
      </c>
    </row>
    <row r="70" spans="1:13" ht="14.25" customHeight="1">
      <c r="A70" s="22">
        <v>43199</v>
      </c>
      <c r="B70" s="137" t="s">
        <v>189</v>
      </c>
      <c r="C70" s="150" t="s">
        <v>667</v>
      </c>
      <c r="D70" s="137" t="s">
        <v>186</v>
      </c>
      <c r="E70" s="137" t="s">
        <v>1065</v>
      </c>
      <c r="F70" s="140">
        <v>0.80208333333333337</v>
      </c>
      <c r="G70" s="141" t="s">
        <v>14</v>
      </c>
      <c r="H70" s="141"/>
      <c r="I70" s="141"/>
      <c r="J70" s="135" t="s">
        <v>1066</v>
      </c>
      <c r="K70" s="143" t="s">
        <v>1068</v>
      </c>
      <c r="L70" s="104" t="s">
        <v>250</v>
      </c>
      <c r="M70" s="111">
        <v>89204228666</v>
      </c>
    </row>
    <row r="71" spans="1:13" ht="14.25" customHeight="1">
      <c r="A71" s="22">
        <v>43199</v>
      </c>
      <c r="B71" s="137" t="s">
        <v>189</v>
      </c>
      <c r="C71" s="150" t="s">
        <v>1069</v>
      </c>
      <c r="D71" s="137" t="s">
        <v>186</v>
      </c>
      <c r="E71" s="137" t="s">
        <v>1070</v>
      </c>
      <c r="F71" s="140">
        <v>0.8305555555555556</v>
      </c>
      <c r="G71" s="141" t="s">
        <v>71</v>
      </c>
      <c r="H71" s="141" t="s">
        <v>71</v>
      </c>
      <c r="I71" s="141" t="s">
        <v>71</v>
      </c>
      <c r="J71" s="135" t="s">
        <v>1071</v>
      </c>
      <c r="K71" s="143"/>
      <c r="L71" s="104" t="s">
        <v>465</v>
      </c>
      <c r="M71" s="111">
        <v>89601228797</v>
      </c>
    </row>
    <row r="72" spans="1:13" ht="14.25" customHeight="1">
      <c r="A72" s="22">
        <v>43199</v>
      </c>
      <c r="B72" s="137" t="s">
        <v>189</v>
      </c>
      <c r="C72" s="150" t="s">
        <v>1072</v>
      </c>
      <c r="D72" s="137" t="s">
        <v>186</v>
      </c>
      <c r="E72" s="137" t="s">
        <v>1070</v>
      </c>
      <c r="F72" s="140">
        <v>0.83333333333333337</v>
      </c>
      <c r="G72" s="141" t="s">
        <v>71</v>
      </c>
      <c r="H72" s="141" t="s">
        <v>71</v>
      </c>
      <c r="I72" s="141" t="s">
        <v>71</v>
      </c>
      <c r="J72" s="135" t="s">
        <v>1073</v>
      </c>
      <c r="K72" s="143"/>
      <c r="L72" s="104" t="s">
        <v>465</v>
      </c>
      <c r="M72" s="111">
        <v>89601228797</v>
      </c>
    </row>
    <row r="73" spans="1:13" ht="14.25" customHeight="1">
      <c r="A73" s="22">
        <v>43199</v>
      </c>
      <c r="B73" s="137" t="s">
        <v>203</v>
      </c>
      <c r="C73" s="150" t="s">
        <v>1088</v>
      </c>
      <c r="D73" s="137" t="s">
        <v>119</v>
      </c>
      <c r="E73" s="137" t="s">
        <v>1074</v>
      </c>
      <c r="F73" s="140">
        <v>0.78125</v>
      </c>
      <c r="G73" s="141" t="s">
        <v>71</v>
      </c>
      <c r="H73" s="141" t="s">
        <v>71</v>
      </c>
      <c r="I73" s="141" t="s">
        <v>14</v>
      </c>
      <c r="J73" s="135" t="s">
        <v>1075</v>
      </c>
      <c r="K73" s="143"/>
      <c r="L73" s="104" t="s">
        <v>245</v>
      </c>
      <c r="M73" s="104" t="s">
        <v>246</v>
      </c>
    </row>
    <row r="74" spans="1:13" ht="14.25" customHeight="1">
      <c r="A74" s="22">
        <v>43199</v>
      </c>
      <c r="B74" s="137" t="s">
        <v>203</v>
      </c>
      <c r="C74" s="150" t="s">
        <v>1089</v>
      </c>
      <c r="D74" s="137" t="s">
        <v>119</v>
      </c>
      <c r="E74" s="137" t="s">
        <v>1076</v>
      </c>
      <c r="F74" s="140">
        <v>0.8125</v>
      </c>
      <c r="G74" s="141" t="s">
        <v>14</v>
      </c>
      <c r="H74" s="141"/>
      <c r="I74" s="141"/>
      <c r="J74" s="135" t="s">
        <v>1077</v>
      </c>
      <c r="K74" s="143" t="s">
        <v>1078</v>
      </c>
      <c r="L74" s="104" t="s">
        <v>245</v>
      </c>
      <c r="M74" s="104" t="s">
        <v>246</v>
      </c>
    </row>
    <row r="75" spans="1:13" ht="14.25" customHeight="1">
      <c r="A75" s="22">
        <v>43199</v>
      </c>
      <c r="B75" s="137" t="s">
        <v>174</v>
      </c>
      <c r="C75" s="150" t="s">
        <v>1090</v>
      </c>
      <c r="D75" s="137" t="s">
        <v>116</v>
      </c>
      <c r="E75" s="137" t="s">
        <v>1079</v>
      </c>
      <c r="F75" s="140">
        <v>0.82916666666666672</v>
      </c>
      <c r="G75" s="141" t="s">
        <v>71</v>
      </c>
      <c r="H75" s="141" t="s">
        <v>71</v>
      </c>
      <c r="I75" s="141" t="s">
        <v>71</v>
      </c>
      <c r="J75" s="135" t="str">
        <f>HYPERLINK("https://yadi.sk/d/Bzl9PYTm3UGjbQ","https://yadi.sk/d/Bzl9PYTm3UGjbQ")</f>
        <v>https://yadi.sk/d/Bzl9PYTm3UGjbQ</v>
      </c>
      <c r="K75" s="143" t="s">
        <v>1080</v>
      </c>
      <c r="L75" s="104" t="s">
        <v>238</v>
      </c>
      <c r="M75" s="111">
        <v>89043682092</v>
      </c>
    </row>
    <row r="76" spans="1:13" ht="14.25" customHeight="1">
      <c r="A76" s="22">
        <v>43199</v>
      </c>
      <c r="B76" s="137" t="s">
        <v>174</v>
      </c>
      <c r="C76" s="150" t="s">
        <v>460</v>
      </c>
      <c r="D76" s="137" t="s">
        <v>116</v>
      </c>
      <c r="E76" s="137" t="s">
        <v>1081</v>
      </c>
      <c r="F76" s="140">
        <v>0.84513888888888888</v>
      </c>
      <c r="G76" s="141" t="s">
        <v>71</v>
      </c>
      <c r="H76" s="141" t="s">
        <v>71</v>
      </c>
      <c r="I76" s="141" t="s">
        <v>71</v>
      </c>
      <c r="J76" s="135" t="str">
        <f>HYPERLINK("https://yadi.sk/d/-RS439LB3UGkAU","https://yadi.sk/d/-RS439LB3UGkAU")</f>
        <v>https://yadi.sk/d/-RS439LB3UGkAU</v>
      </c>
      <c r="K76" s="143"/>
      <c r="L76" s="104" t="s">
        <v>238</v>
      </c>
      <c r="M76" s="111">
        <v>89043682092</v>
      </c>
    </row>
    <row r="77" spans="1:13" ht="14.25" customHeight="1">
      <c r="A77" s="22">
        <v>43199</v>
      </c>
      <c r="B77" s="137" t="s">
        <v>174</v>
      </c>
      <c r="C77" s="150" t="s">
        <v>240</v>
      </c>
      <c r="D77" s="137" t="s">
        <v>116</v>
      </c>
      <c r="E77" s="137" t="s">
        <v>1081</v>
      </c>
      <c r="F77" s="140">
        <v>0.84513888888888888</v>
      </c>
      <c r="G77" s="141" t="s">
        <v>71</v>
      </c>
      <c r="H77" s="141" t="s">
        <v>71</v>
      </c>
      <c r="I77" s="141" t="s">
        <v>71</v>
      </c>
      <c r="J77" s="135" t="str">
        <f>HYPERLINK("https://yadi.sk/d/egJmRKfa3UGkDZ","https://yadi.sk/d/egJmRKfa3UGkDZ")</f>
        <v>https://yadi.sk/d/egJmRKfa3UGkDZ</v>
      </c>
      <c r="K77" s="143"/>
      <c r="L77" s="104" t="s">
        <v>238</v>
      </c>
      <c r="M77" s="111">
        <v>89043682092</v>
      </c>
    </row>
    <row r="78" spans="1:13" ht="14.25" customHeight="1">
      <c r="A78" s="49">
        <v>43200</v>
      </c>
      <c r="B78" s="73" t="s">
        <v>34</v>
      </c>
      <c r="C78" s="146" t="s">
        <v>559</v>
      </c>
      <c r="D78" s="73" t="s">
        <v>186</v>
      </c>
      <c r="E78" s="73" t="s">
        <v>1091</v>
      </c>
      <c r="F78" s="75">
        <v>0.80277777777777781</v>
      </c>
      <c r="G78" s="76" t="s">
        <v>71</v>
      </c>
      <c r="H78" s="76" t="s">
        <v>71</v>
      </c>
      <c r="I78" s="76" t="s">
        <v>71</v>
      </c>
      <c r="J78" s="71" t="str">
        <f>HYPERLINK("https://yadi.sk/d/53rmQeYf3UJh3a","https://yadi.sk/d/53rmQeYf3UJh3a")</f>
        <v>https://yadi.sk/d/53rmQeYf3UJh3a</v>
      </c>
      <c r="K78" s="82"/>
      <c r="L78" s="104" t="s">
        <v>65</v>
      </c>
      <c r="M78" s="111">
        <v>89997648473</v>
      </c>
    </row>
    <row r="79" spans="1:13" ht="14.25" customHeight="1">
      <c r="A79" s="49">
        <v>43200</v>
      </c>
      <c r="B79" s="74" t="s">
        <v>34</v>
      </c>
      <c r="C79" s="84" t="s">
        <v>1134</v>
      </c>
      <c r="D79" s="74" t="s">
        <v>186</v>
      </c>
      <c r="E79" s="74" t="s">
        <v>1092</v>
      </c>
      <c r="F79" s="77">
        <v>0.83888888888888891</v>
      </c>
      <c r="G79" s="78" t="s">
        <v>14</v>
      </c>
      <c r="H79" s="78"/>
      <c r="I79" s="78"/>
      <c r="J79" s="72" t="str">
        <f>HYPERLINK("https://yadi.sk/d/rZ8qczxC3UJgtg","https://yadi.sk/d/rZ8qczxC3UJgtg")</f>
        <v>https://yadi.sk/d/rZ8qczxC3UJgtg</v>
      </c>
      <c r="K79" s="81" t="s">
        <v>1093</v>
      </c>
      <c r="L79" s="104" t="s">
        <v>1135</v>
      </c>
      <c r="M79" s="111">
        <v>89056920537</v>
      </c>
    </row>
    <row r="80" spans="1:13" ht="14.25" customHeight="1">
      <c r="A80" s="49">
        <v>43200</v>
      </c>
      <c r="B80" s="74" t="s">
        <v>34</v>
      </c>
      <c r="C80" s="84" t="s">
        <v>561</v>
      </c>
      <c r="D80" s="74" t="s">
        <v>186</v>
      </c>
      <c r="E80" s="74" t="s">
        <v>1094</v>
      </c>
      <c r="F80" s="77">
        <v>0.85763888888888884</v>
      </c>
      <c r="G80" s="78" t="s">
        <v>71</v>
      </c>
      <c r="H80" s="78" t="s">
        <v>71</v>
      </c>
      <c r="I80" s="78" t="s">
        <v>71</v>
      </c>
      <c r="J80" s="72" t="str">
        <f>HYPERLINK("https://yadi.sk/d/aIbSbb9m3UJgoK","https://yadi.sk/d/aIbSbb9m3UJgoK")</f>
        <v>https://yadi.sk/d/aIbSbb9m3UJgoK</v>
      </c>
      <c r="K80" s="81"/>
      <c r="L80" s="104" t="s">
        <v>797</v>
      </c>
      <c r="M80" s="111">
        <v>89206346464</v>
      </c>
    </row>
    <row r="81" spans="1:13" ht="14.25" customHeight="1">
      <c r="A81" s="49">
        <v>43200</v>
      </c>
      <c r="B81" s="74" t="s">
        <v>97</v>
      </c>
      <c r="C81" s="84" t="s">
        <v>1136</v>
      </c>
      <c r="D81" s="74" t="s">
        <v>1046</v>
      </c>
      <c r="E81" s="74" t="s">
        <v>1095</v>
      </c>
      <c r="F81" s="77">
        <v>0.77430555555555558</v>
      </c>
      <c r="G81" s="78" t="s">
        <v>71</v>
      </c>
      <c r="H81" s="78" t="s">
        <v>71</v>
      </c>
      <c r="I81" s="78" t="s">
        <v>14</v>
      </c>
      <c r="J81" s="72" t="s">
        <v>1096</v>
      </c>
      <c r="K81" s="81" t="s">
        <v>1097</v>
      </c>
      <c r="L81" s="104" t="s">
        <v>1084</v>
      </c>
      <c r="M81" s="111" t="s">
        <v>1085</v>
      </c>
    </row>
    <row r="82" spans="1:13" ht="14.25" customHeight="1">
      <c r="A82" s="49">
        <v>43200</v>
      </c>
      <c r="B82" s="74" t="s">
        <v>97</v>
      </c>
      <c r="C82" s="84" t="s">
        <v>579</v>
      </c>
      <c r="D82" s="74" t="s">
        <v>1046</v>
      </c>
      <c r="E82" s="74" t="s">
        <v>1098</v>
      </c>
      <c r="F82" s="77">
        <v>0.75</v>
      </c>
      <c r="G82" s="78" t="s">
        <v>71</v>
      </c>
      <c r="H82" s="78" t="s">
        <v>71</v>
      </c>
      <c r="I82" s="78" t="s">
        <v>71</v>
      </c>
      <c r="J82" s="72" t="s">
        <v>1099</v>
      </c>
      <c r="K82" s="81"/>
      <c r="L82" s="104" t="s">
        <v>142</v>
      </c>
      <c r="M82" s="111" t="s">
        <v>143</v>
      </c>
    </row>
    <row r="83" spans="1:13" ht="14.25" customHeight="1">
      <c r="A83" s="49">
        <v>43200</v>
      </c>
      <c r="B83" s="74" t="s">
        <v>97</v>
      </c>
      <c r="C83" s="84" t="s">
        <v>1003</v>
      </c>
      <c r="D83" s="74" t="s">
        <v>1100</v>
      </c>
      <c r="E83" s="74" t="s">
        <v>1101</v>
      </c>
      <c r="F83" s="77">
        <v>0.75</v>
      </c>
      <c r="G83" s="78" t="s">
        <v>71</v>
      </c>
      <c r="H83" s="78" t="s">
        <v>71</v>
      </c>
      <c r="I83" s="78" t="s">
        <v>14</v>
      </c>
      <c r="J83" s="72" t="s">
        <v>1102</v>
      </c>
      <c r="K83" s="81" t="s">
        <v>1103</v>
      </c>
      <c r="L83" s="104" t="s">
        <v>142</v>
      </c>
      <c r="M83" s="111" t="s">
        <v>143</v>
      </c>
    </row>
    <row r="84" spans="1:13" ht="14.25" customHeight="1">
      <c r="A84" s="49">
        <v>43200</v>
      </c>
      <c r="B84" s="74" t="s">
        <v>97</v>
      </c>
      <c r="C84" s="84" t="s">
        <v>1002</v>
      </c>
      <c r="D84" s="74" t="s">
        <v>1046</v>
      </c>
      <c r="E84" s="74" t="s">
        <v>1104</v>
      </c>
      <c r="F84" s="77">
        <v>0.78611111111111109</v>
      </c>
      <c r="G84" s="78" t="s">
        <v>71</v>
      </c>
      <c r="H84" s="78" t="s">
        <v>71</v>
      </c>
      <c r="I84" s="78" t="s">
        <v>71</v>
      </c>
      <c r="J84" s="72" t="s">
        <v>1105</v>
      </c>
      <c r="K84" s="81"/>
      <c r="L84" s="104" t="s">
        <v>142</v>
      </c>
      <c r="M84" s="111" t="s">
        <v>143</v>
      </c>
    </row>
    <row r="85" spans="1:13" ht="14.25" customHeight="1">
      <c r="A85" s="49">
        <v>43200</v>
      </c>
      <c r="B85" s="74" t="s">
        <v>1106</v>
      </c>
      <c r="C85" s="84" t="s">
        <v>484</v>
      </c>
      <c r="D85" s="74" t="s">
        <v>427</v>
      </c>
      <c r="E85" s="74" t="s">
        <v>1107</v>
      </c>
      <c r="F85" s="77">
        <v>0.77777777777777779</v>
      </c>
      <c r="G85" s="78" t="s">
        <v>71</v>
      </c>
      <c r="H85" s="78" t="s">
        <v>71</v>
      </c>
      <c r="I85" s="78" t="s">
        <v>71</v>
      </c>
      <c r="J85" s="72" t="s">
        <v>1108</v>
      </c>
      <c r="K85" s="81"/>
      <c r="L85" s="104" t="s">
        <v>488</v>
      </c>
      <c r="M85" s="111">
        <v>89803020082</v>
      </c>
    </row>
    <row r="86" spans="1:13" ht="14.25" customHeight="1">
      <c r="A86" s="49">
        <v>43200</v>
      </c>
      <c r="B86" s="74" t="s">
        <v>1106</v>
      </c>
      <c r="C86" s="84" t="s">
        <v>486</v>
      </c>
      <c r="D86" s="74" t="s">
        <v>427</v>
      </c>
      <c r="E86" s="74" t="s">
        <v>1107</v>
      </c>
      <c r="F86" s="77">
        <v>0.78472222222222221</v>
      </c>
      <c r="G86" s="78" t="s">
        <v>71</v>
      </c>
      <c r="H86" s="78" t="s">
        <v>71</v>
      </c>
      <c r="I86" s="78" t="s">
        <v>71</v>
      </c>
      <c r="J86" s="72" t="s">
        <v>1109</v>
      </c>
      <c r="K86" s="81"/>
      <c r="L86" s="104" t="s">
        <v>488</v>
      </c>
      <c r="M86" s="111">
        <v>89803020082</v>
      </c>
    </row>
    <row r="87" spans="1:13" ht="14.25" customHeight="1">
      <c r="A87" s="49">
        <v>43200</v>
      </c>
      <c r="B87" s="74" t="s">
        <v>1106</v>
      </c>
      <c r="C87" s="84" t="s">
        <v>1137</v>
      </c>
      <c r="D87" s="74" t="s">
        <v>427</v>
      </c>
      <c r="E87" s="74" t="s">
        <v>1110</v>
      </c>
      <c r="F87" s="77">
        <v>0.80208333333333337</v>
      </c>
      <c r="G87" s="78" t="s">
        <v>71</v>
      </c>
      <c r="H87" s="78" t="s">
        <v>71</v>
      </c>
      <c r="I87" s="78" t="s">
        <v>71</v>
      </c>
      <c r="J87" s="72" t="s">
        <v>1111</v>
      </c>
      <c r="K87" s="81"/>
      <c r="L87" s="104" t="s">
        <v>488</v>
      </c>
      <c r="M87" s="111">
        <v>89803020082</v>
      </c>
    </row>
    <row r="88" spans="1:13" ht="14.25" customHeight="1">
      <c r="A88" s="22">
        <v>43201</v>
      </c>
      <c r="B88" s="73" t="s">
        <v>121</v>
      </c>
      <c r="C88" s="146" t="s">
        <v>476</v>
      </c>
      <c r="D88" s="73" t="s">
        <v>857</v>
      </c>
      <c r="E88" s="73" t="s">
        <v>1112</v>
      </c>
      <c r="F88" s="75">
        <v>0.77777777777777779</v>
      </c>
      <c r="G88" s="76" t="s">
        <v>71</v>
      </c>
      <c r="H88" s="76" t="s">
        <v>71</v>
      </c>
      <c r="I88" s="76" t="s">
        <v>71</v>
      </c>
      <c r="J88" s="71" t="str">
        <f>HYPERLINK("https://yadi.sk/d/UpZl_Pus3ULoHV","https://yadi.sk/d/UpZl_Pus3ULoHV")</f>
        <v>https://yadi.sk/d/UpZl_Pus3ULoHV</v>
      </c>
      <c r="K88" s="82"/>
      <c r="L88" s="111" t="s">
        <v>1044</v>
      </c>
      <c r="M88" s="111">
        <v>84922531643</v>
      </c>
    </row>
    <row r="89" spans="1:13" ht="14.25" customHeight="1">
      <c r="A89" s="22">
        <v>43201</v>
      </c>
      <c r="B89" s="74" t="s">
        <v>121</v>
      </c>
      <c r="C89" s="84" t="s">
        <v>1138</v>
      </c>
      <c r="D89" s="74" t="s">
        <v>904</v>
      </c>
      <c r="E89" s="74" t="s">
        <v>1113</v>
      </c>
      <c r="F89" s="77">
        <v>0.79166666666666663</v>
      </c>
      <c r="G89" s="78" t="s">
        <v>71</v>
      </c>
      <c r="H89" s="78" t="s">
        <v>71</v>
      </c>
      <c r="I89" s="78" t="s">
        <v>71</v>
      </c>
      <c r="J89" s="72" t="str">
        <f>HYPERLINK("https://yadi.sk/d/JGpKQd6_3ULoLy","https://yadi.sk/d/JGpKQd6_3ULoLy")</f>
        <v>https://yadi.sk/d/JGpKQd6_3ULoLy</v>
      </c>
      <c r="K89" s="81"/>
      <c r="L89" s="111" t="s">
        <v>151</v>
      </c>
      <c r="M89" s="111">
        <v>89588618343</v>
      </c>
    </row>
    <row r="90" spans="1:13" ht="14.25" customHeight="1">
      <c r="A90" s="22">
        <v>43201</v>
      </c>
      <c r="B90" s="74" t="s">
        <v>121</v>
      </c>
      <c r="C90" s="84" t="s">
        <v>152</v>
      </c>
      <c r="D90" s="74" t="s">
        <v>857</v>
      </c>
      <c r="E90" s="74" t="s">
        <v>1114</v>
      </c>
      <c r="F90" s="77">
        <v>0.80902777777777779</v>
      </c>
      <c r="G90" s="78" t="s">
        <v>71</v>
      </c>
      <c r="H90" s="78" t="s">
        <v>71</v>
      </c>
      <c r="I90" s="78" t="s">
        <v>71</v>
      </c>
      <c r="J90" s="72" t="str">
        <f>HYPERLINK("https://yadi.sk/d/5rR_4lnR3ULoPg","https://yadi.sk/d/5rR_4lnR3ULoPg")</f>
        <v>https://yadi.sk/d/5rR_4lnR3ULoPg</v>
      </c>
      <c r="K90" s="81" t="s">
        <v>1115</v>
      </c>
      <c r="L90" s="111" t="s">
        <v>151</v>
      </c>
      <c r="M90" s="111">
        <v>89588618343</v>
      </c>
    </row>
    <row r="91" spans="1:13" ht="14.25" customHeight="1">
      <c r="A91" s="22">
        <v>43201</v>
      </c>
      <c r="B91" s="74" t="s">
        <v>121</v>
      </c>
      <c r="C91" s="84" t="s">
        <v>1042</v>
      </c>
      <c r="D91" s="74" t="s">
        <v>940</v>
      </c>
      <c r="E91" s="144" t="s">
        <v>1116</v>
      </c>
      <c r="F91" s="77">
        <v>0.83333333333333337</v>
      </c>
      <c r="G91" s="78" t="s">
        <v>71</v>
      </c>
      <c r="H91" s="78" t="s">
        <v>14</v>
      </c>
      <c r="I91" s="78" t="s">
        <v>71</v>
      </c>
      <c r="J91" s="72" t="str">
        <f>HYPERLINK("https://yadi.sk/d/bFob6ajt3ULod2","https://yadi.sk/d/bFob6ajt3ULod2")</f>
        <v>https://yadi.sk/d/bFob6ajt3ULod2</v>
      </c>
      <c r="K91" s="81" t="s">
        <v>1117</v>
      </c>
      <c r="L91" s="111" t="s">
        <v>1044</v>
      </c>
      <c r="M91" s="111">
        <v>84922531643</v>
      </c>
    </row>
    <row r="92" spans="1:13" ht="14.25" customHeight="1">
      <c r="A92" s="22">
        <v>43201</v>
      </c>
      <c r="B92" s="74" t="s">
        <v>927</v>
      </c>
      <c r="C92" s="84" t="s">
        <v>1086</v>
      </c>
      <c r="D92" s="74" t="s">
        <v>1118</v>
      </c>
      <c r="E92" s="74" t="s">
        <v>1119</v>
      </c>
      <c r="F92" s="77">
        <v>0.67708333333333337</v>
      </c>
      <c r="G92" s="78" t="s">
        <v>71</v>
      </c>
      <c r="H92" s="78" t="s">
        <v>71</v>
      </c>
      <c r="I92" s="78" t="s">
        <v>71</v>
      </c>
      <c r="J92" s="72" t="str">
        <f>HYPERLINK("https://yadi.sk/d/6R2Nsn_z3ULoqs","https://yadi.sk/d/6R2Nsn_z3ULoqs")</f>
        <v>https://yadi.sk/d/6R2Nsn_z3ULoqs</v>
      </c>
      <c r="K92" s="81"/>
      <c r="L92" s="104" t="s">
        <v>147</v>
      </c>
      <c r="M92" s="104" t="s">
        <v>788</v>
      </c>
    </row>
    <row r="93" spans="1:13" ht="14.25" customHeight="1">
      <c r="A93" s="22">
        <v>43201</v>
      </c>
      <c r="B93" s="74" t="s">
        <v>927</v>
      </c>
      <c r="C93" s="84" t="s">
        <v>1139</v>
      </c>
      <c r="D93" s="74" t="s">
        <v>929</v>
      </c>
      <c r="E93" s="74" t="s">
        <v>1120</v>
      </c>
      <c r="F93" s="77">
        <v>0.80277777777777781</v>
      </c>
      <c r="G93" s="78" t="s">
        <v>71</v>
      </c>
      <c r="H93" s="78" t="s">
        <v>71</v>
      </c>
      <c r="I93" s="78" t="s">
        <v>71</v>
      </c>
      <c r="J93" s="72" t="str">
        <f>HYPERLINK("https://yadi.sk/d/NZiBjigk3ULoyu","https://yadi.sk/d/NZiBjigk3ULoyu")</f>
        <v>https://yadi.sk/d/NZiBjigk3ULoyu</v>
      </c>
      <c r="K93" s="81"/>
      <c r="L93" s="104" t="s">
        <v>147</v>
      </c>
      <c r="M93" s="104" t="s">
        <v>788</v>
      </c>
    </row>
    <row r="94" spans="1:13" ht="14.25" customHeight="1">
      <c r="A94" s="22">
        <v>43201</v>
      </c>
      <c r="B94" s="74" t="s">
        <v>927</v>
      </c>
      <c r="C94" s="84" t="s">
        <v>1140</v>
      </c>
      <c r="D94" s="74" t="s">
        <v>929</v>
      </c>
      <c r="E94" s="74" t="s">
        <v>1121</v>
      </c>
      <c r="F94" s="77">
        <v>0.81805555555555554</v>
      </c>
      <c r="G94" s="78" t="s">
        <v>71</v>
      </c>
      <c r="H94" s="78" t="s">
        <v>71</v>
      </c>
      <c r="I94" s="78" t="s">
        <v>71</v>
      </c>
      <c r="J94" s="72" t="str">
        <f>HYPERLINK("https://yadi.sk/d/SjtBgiIr3ULpL6","https://yadi.sk/d/SjtBgiIr3ULpL6")</f>
        <v>https://yadi.sk/d/SjtBgiIr3ULpL6</v>
      </c>
      <c r="K94" s="81"/>
      <c r="L94" s="104" t="s">
        <v>786</v>
      </c>
      <c r="M94" s="104" t="s">
        <v>146</v>
      </c>
    </row>
    <row r="95" spans="1:13" ht="14.25" customHeight="1">
      <c r="A95" s="22">
        <v>43201</v>
      </c>
      <c r="B95" s="74" t="s">
        <v>161</v>
      </c>
      <c r="C95" s="84" t="s">
        <v>1001</v>
      </c>
      <c r="D95" s="74" t="s">
        <v>1122</v>
      </c>
      <c r="E95" s="74" t="s">
        <v>1123</v>
      </c>
      <c r="F95" s="77">
        <v>0.77083333333333337</v>
      </c>
      <c r="G95" s="78" t="s">
        <v>71</v>
      </c>
      <c r="H95" s="78" t="s">
        <v>71</v>
      </c>
      <c r="I95" s="78" t="s">
        <v>71</v>
      </c>
      <c r="J95" s="72" t="str">
        <f>HYPERLINK("https://yadi.sk/d/xrQ9R2oP3ULpYo","https://yadi.sk/d/xrQ9R2oP3ULpYo")</f>
        <v>https://yadi.sk/d/xrQ9R2oP3ULpYo</v>
      </c>
      <c r="K95" s="81"/>
      <c r="L95" s="104" t="s">
        <v>999</v>
      </c>
      <c r="M95" s="111">
        <v>89192648797</v>
      </c>
    </row>
    <row r="96" spans="1:13" ht="14.25" customHeight="1">
      <c r="A96" s="22">
        <v>43201</v>
      </c>
      <c r="B96" s="74" t="s">
        <v>161</v>
      </c>
      <c r="C96" s="84" t="s">
        <v>1028</v>
      </c>
      <c r="D96" s="74" t="s">
        <v>1029</v>
      </c>
      <c r="E96" s="74" t="s">
        <v>1124</v>
      </c>
      <c r="F96" s="77">
        <v>0.78194444444444444</v>
      </c>
      <c r="G96" s="78" t="s">
        <v>71</v>
      </c>
      <c r="H96" s="78" t="s">
        <v>71</v>
      </c>
      <c r="I96" s="78" t="s">
        <v>71</v>
      </c>
      <c r="J96" s="72" t="str">
        <f>HYPERLINK("https://yadi.sk/d/14CYgCpm3ULpnp","https://yadi.sk/d/14CYgCpm3ULpnp")</f>
        <v>https://yadi.sk/d/14CYgCpm3ULpnp</v>
      </c>
      <c r="K96" s="81"/>
      <c r="L96" s="104" t="s">
        <v>998</v>
      </c>
      <c r="M96" s="111">
        <v>89282667744</v>
      </c>
    </row>
    <row r="97" spans="1:13" ht="14.25" customHeight="1">
      <c r="A97" s="22">
        <v>43201</v>
      </c>
      <c r="B97" s="74" t="s">
        <v>279</v>
      </c>
      <c r="C97" s="84" t="s">
        <v>1141</v>
      </c>
      <c r="D97" s="74" t="s">
        <v>186</v>
      </c>
      <c r="E97" s="74" t="s">
        <v>1125</v>
      </c>
      <c r="F97" s="77">
        <v>0.7944444444444444</v>
      </c>
      <c r="G97" s="78" t="s">
        <v>71</v>
      </c>
      <c r="H97" s="78" t="s">
        <v>71</v>
      </c>
      <c r="I97" s="78" t="s">
        <v>71</v>
      </c>
      <c r="J97" s="72" t="s">
        <v>1126</v>
      </c>
      <c r="K97" s="81"/>
      <c r="L97" s="104" t="s">
        <v>492</v>
      </c>
      <c r="M97" s="111">
        <v>89109149497</v>
      </c>
    </row>
    <row r="98" spans="1:13" ht="14.25" customHeight="1">
      <c r="A98" s="22">
        <v>43201</v>
      </c>
      <c r="B98" s="74" t="s">
        <v>279</v>
      </c>
      <c r="C98" s="84" t="s">
        <v>1142</v>
      </c>
      <c r="D98" s="74" t="s">
        <v>186</v>
      </c>
      <c r="E98" s="74" t="s">
        <v>1127</v>
      </c>
      <c r="F98" s="77">
        <v>0.84097222222222223</v>
      </c>
      <c r="G98" s="78" t="s">
        <v>71</v>
      </c>
      <c r="H98" s="78" t="s">
        <v>71</v>
      </c>
      <c r="I98" s="78" t="s">
        <v>71</v>
      </c>
      <c r="J98" s="72" t="s">
        <v>1128</v>
      </c>
      <c r="K98" s="81" t="s">
        <v>1129</v>
      </c>
      <c r="L98" s="104" t="s">
        <v>492</v>
      </c>
      <c r="M98" s="111">
        <v>89109149497</v>
      </c>
    </row>
    <row r="99" spans="1:13" ht="14.25" customHeight="1">
      <c r="A99" s="22">
        <v>43201</v>
      </c>
      <c r="B99" s="74" t="s">
        <v>279</v>
      </c>
      <c r="C99" s="84" t="s">
        <v>490</v>
      </c>
      <c r="D99" s="74" t="s">
        <v>186</v>
      </c>
      <c r="E99" s="74" t="s">
        <v>1130</v>
      </c>
      <c r="F99" s="77">
        <v>0.80208333333333337</v>
      </c>
      <c r="G99" s="78" t="s">
        <v>71</v>
      </c>
      <c r="H99" s="78" t="s">
        <v>71</v>
      </c>
      <c r="I99" s="78" t="s">
        <v>71</v>
      </c>
      <c r="J99" s="72" t="s">
        <v>1131</v>
      </c>
      <c r="K99" s="81"/>
      <c r="L99" s="104" t="s">
        <v>492</v>
      </c>
      <c r="M99" s="111">
        <v>89109149497</v>
      </c>
    </row>
    <row r="100" spans="1:13" ht="14.25" customHeight="1">
      <c r="A100" s="22">
        <v>43201</v>
      </c>
      <c r="B100" s="74" t="s">
        <v>279</v>
      </c>
      <c r="C100" s="84" t="s">
        <v>489</v>
      </c>
      <c r="D100" s="74" t="s">
        <v>186</v>
      </c>
      <c r="E100" s="74" t="s">
        <v>1132</v>
      </c>
      <c r="F100" s="77">
        <v>0.81944444444444442</v>
      </c>
      <c r="G100" s="78" t="s">
        <v>71</v>
      </c>
      <c r="H100" s="78" t="s">
        <v>71</v>
      </c>
      <c r="I100" s="78" t="s">
        <v>71</v>
      </c>
      <c r="J100" s="72" t="s">
        <v>1133</v>
      </c>
      <c r="K100" s="81"/>
      <c r="L100" s="104" t="s">
        <v>492</v>
      </c>
      <c r="M100" s="111">
        <v>89109149497</v>
      </c>
    </row>
    <row r="101" spans="1:13" ht="12.75" customHeight="1">
      <c r="A101" s="49">
        <v>43202</v>
      </c>
      <c r="B101" s="74" t="s">
        <v>68</v>
      </c>
      <c r="C101" s="84" t="s">
        <v>1146</v>
      </c>
      <c r="D101" s="74" t="s">
        <v>107</v>
      </c>
      <c r="E101" s="74" t="s">
        <v>1143</v>
      </c>
      <c r="F101" s="77">
        <v>0.79236111111111107</v>
      </c>
      <c r="G101" s="78" t="s">
        <v>14</v>
      </c>
      <c r="H101" s="78"/>
      <c r="I101" s="78"/>
      <c r="J101" s="2" t="s">
        <v>309</v>
      </c>
      <c r="K101" s="113"/>
      <c r="L101" s="10" t="s">
        <v>1149</v>
      </c>
      <c r="M101" s="111"/>
    </row>
    <row r="102" spans="1:13" ht="12.75" customHeight="1">
      <c r="A102" s="49">
        <v>43202</v>
      </c>
      <c r="B102" s="74" t="s">
        <v>68</v>
      </c>
      <c r="C102" s="84" t="s">
        <v>1147</v>
      </c>
      <c r="D102" s="74" t="s">
        <v>107</v>
      </c>
      <c r="E102" s="74" t="s">
        <v>1144</v>
      </c>
      <c r="F102" s="77">
        <v>0.81666666666666676</v>
      </c>
      <c r="G102" s="78" t="s">
        <v>14</v>
      </c>
      <c r="H102" s="78"/>
      <c r="I102" s="78"/>
      <c r="J102" s="2" t="s">
        <v>309</v>
      </c>
      <c r="K102" s="113"/>
      <c r="L102" s="111" t="s">
        <v>1149</v>
      </c>
      <c r="M102" s="111"/>
    </row>
    <row r="103" spans="1:13" ht="12.75" customHeight="1">
      <c r="A103" s="49">
        <v>43202</v>
      </c>
      <c r="B103" s="74" t="s">
        <v>68</v>
      </c>
      <c r="C103" s="84" t="s">
        <v>1148</v>
      </c>
      <c r="D103" s="74" t="s">
        <v>107</v>
      </c>
      <c r="E103" s="74" t="s">
        <v>1145</v>
      </c>
      <c r="F103" s="77">
        <v>0.8222222222222223</v>
      </c>
      <c r="G103" s="78" t="s">
        <v>14</v>
      </c>
      <c r="H103" s="78"/>
      <c r="I103" s="78"/>
      <c r="J103" s="2" t="s">
        <v>309</v>
      </c>
      <c r="K103" s="113"/>
      <c r="L103" s="111" t="s">
        <v>1149</v>
      </c>
      <c r="M103" s="111"/>
    </row>
    <row r="104" spans="1:13" ht="13.5" customHeight="1">
      <c r="A104" s="49">
        <v>43202</v>
      </c>
      <c r="B104" s="74" t="s">
        <v>203</v>
      </c>
      <c r="C104" s="84" t="s">
        <v>1167</v>
      </c>
      <c r="D104" s="74" t="s">
        <v>119</v>
      </c>
      <c r="E104" s="74" t="s">
        <v>1150</v>
      </c>
      <c r="F104" s="77">
        <v>0.79166666666666663</v>
      </c>
      <c r="G104" s="78" t="s">
        <v>14</v>
      </c>
      <c r="H104" s="78"/>
      <c r="I104" s="78"/>
      <c r="J104" s="72" t="s">
        <v>1151</v>
      </c>
      <c r="K104" s="113" t="s">
        <v>1152</v>
      </c>
      <c r="L104" s="111" t="s">
        <v>611</v>
      </c>
      <c r="M104" s="111" t="s">
        <v>242</v>
      </c>
    </row>
    <row r="105" spans="1:13" ht="13.5" customHeight="1">
      <c r="A105" s="49">
        <v>43202</v>
      </c>
      <c r="B105" s="74" t="s">
        <v>203</v>
      </c>
      <c r="C105" s="84" t="s">
        <v>1168</v>
      </c>
      <c r="D105" s="74" t="s">
        <v>119</v>
      </c>
      <c r="E105" s="74" t="s">
        <v>1153</v>
      </c>
      <c r="F105" s="77">
        <v>0.77777777777777779</v>
      </c>
      <c r="G105" s="78" t="s">
        <v>71</v>
      </c>
      <c r="H105" s="78" t="s">
        <v>71</v>
      </c>
      <c r="I105" s="78" t="s">
        <v>71</v>
      </c>
      <c r="J105" s="72" t="s">
        <v>1154</v>
      </c>
      <c r="K105" s="113"/>
      <c r="L105" s="111" t="s">
        <v>611</v>
      </c>
      <c r="M105" s="111" t="s">
        <v>242</v>
      </c>
    </row>
    <row r="106" spans="1:13" ht="13.5" customHeight="1">
      <c r="A106" s="49">
        <v>43202</v>
      </c>
      <c r="B106" s="74" t="s">
        <v>203</v>
      </c>
      <c r="C106" s="84" t="s">
        <v>1169</v>
      </c>
      <c r="D106" s="74" t="s">
        <v>119</v>
      </c>
      <c r="E106" s="74" t="s">
        <v>1155</v>
      </c>
      <c r="F106" s="77">
        <v>0.77083333333333337</v>
      </c>
      <c r="G106" s="78" t="s">
        <v>71</v>
      </c>
      <c r="H106" s="78" t="s">
        <v>71</v>
      </c>
      <c r="I106" s="78" t="s">
        <v>71</v>
      </c>
      <c r="J106" s="72" t="s">
        <v>1156</v>
      </c>
      <c r="K106" s="113"/>
      <c r="L106" s="111" t="s">
        <v>611</v>
      </c>
      <c r="M106" s="111">
        <v>89585707077</v>
      </c>
    </row>
    <row r="107" spans="1:13" ht="13.5" customHeight="1">
      <c r="A107" s="49">
        <v>43202</v>
      </c>
      <c r="B107" s="74" t="s">
        <v>130</v>
      </c>
      <c r="C107" s="84" t="s">
        <v>613</v>
      </c>
      <c r="D107" s="74" t="s">
        <v>383</v>
      </c>
      <c r="E107" s="74" t="s">
        <v>1157</v>
      </c>
      <c r="F107" s="77">
        <v>0.79861111111111116</v>
      </c>
      <c r="G107" s="78" t="s">
        <v>71</v>
      </c>
      <c r="H107" s="78" t="s">
        <v>71</v>
      </c>
      <c r="I107" s="78" t="s">
        <v>71</v>
      </c>
      <c r="J107" s="72" t="s">
        <v>1158</v>
      </c>
      <c r="K107" s="113"/>
      <c r="L107" s="111" t="s">
        <v>139</v>
      </c>
      <c r="M107" s="111" t="s">
        <v>140</v>
      </c>
    </row>
    <row r="108" spans="1:13" ht="13.5" customHeight="1">
      <c r="A108" s="49">
        <v>43202</v>
      </c>
      <c r="B108" s="74" t="s">
        <v>130</v>
      </c>
      <c r="C108" s="84" t="s">
        <v>1159</v>
      </c>
      <c r="D108" s="74" t="s">
        <v>383</v>
      </c>
      <c r="E108" s="74" t="s">
        <v>1160</v>
      </c>
      <c r="F108" s="77">
        <v>0.81944444444444442</v>
      </c>
      <c r="G108" s="78" t="s">
        <v>14</v>
      </c>
      <c r="H108" s="78"/>
      <c r="I108" s="78"/>
      <c r="J108" s="72" t="s">
        <v>1161</v>
      </c>
      <c r="K108" s="113" t="s">
        <v>1162</v>
      </c>
      <c r="L108" s="111" t="s">
        <v>139</v>
      </c>
      <c r="M108" s="111" t="s">
        <v>140</v>
      </c>
    </row>
    <row r="109" spans="1:13" ht="13.5" customHeight="1">
      <c r="A109" s="49">
        <v>43202</v>
      </c>
      <c r="B109" s="74" t="s">
        <v>130</v>
      </c>
      <c r="C109" s="84" t="s">
        <v>131</v>
      </c>
      <c r="D109" s="74" t="s">
        <v>383</v>
      </c>
      <c r="E109" s="74" t="s">
        <v>1163</v>
      </c>
      <c r="F109" s="77">
        <v>0.82986111111111116</v>
      </c>
      <c r="G109" s="78" t="s">
        <v>71</v>
      </c>
      <c r="H109" s="78" t="s">
        <v>71</v>
      </c>
      <c r="I109" s="78" t="s">
        <v>71</v>
      </c>
      <c r="J109" s="72" t="s">
        <v>1164</v>
      </c>
      <c r="K109" s="113"/>
      <c r="L109" s="111" t="s">
        <v>139</v>
      </c>
      <c r="M109" s="111" t="s">
        <v>140</v>
      </c>
    </row>
    <row r="110" spans="1:13" ht="13.5" customHeight="1">
      <c r="A110" s="49">
        <v>43202</v>
      </c>
      <c r="B110" s="74" t="s">
        <v>130</v>
      </c>
      <c r="C110" s="84" t="s">
        <v>134</v>
      </c>
      <c r="D110" s="74" t="s">
        <v>383</v>
      </c>
      <c r="E110" s="74" t="s">
        <v>1165</v>
      </c>
      <c r="F110" s="77">
        <v>0.80555555555555558</v>
      </c>
      <c r="G110" s="78" t="s">
        <v>71</v>
      </c>
      <c r="H110" s="78" t="s">
        <v>71</v>
      </c>
      <c r="I110" s="78" t="s">
        <v>71</v>
      </c>
      <c r="J110" s="72" t="s">
        <v>1166</v>
      </c>
      <c r="K110" s="113"/>
      <c r="L110" s="111" t="s">
        <v>139</v>
      </c>
      <c r="M110" s="111" t="s">
        <v>140</v>
      </c>
    </row>
    <row r="111" spans="1:13" ht="12" customHeight="1">
      <c r="A111" s="22">
        <v>43203</v>
      </c>
      <c r="B111" s="154" t="s">
        <v>174</v>
      </c>
      <c r="C111" s="154" t="s">
        <v>240</v>
      </c>
      <c r="D111" s="154" t="s">
        <v>271</v>
      </c>
      <c r="E111" s="154" t="s">
        <v>1170</v>
      </c>
      <c r="F111" s="156">
        <v>0.80208333333333337</v>
      </c>
      <c r="G111" s="157" t="s">
        <v>71</v>
      </c>
      <c r="H111" s="157" t="s">
        <v>14</v>
      </c>
      <c r="I111" s="157" t="s">
        <v>71</v>
      </c>
      <c r="J111" s="152" t="str">
        <f>HYPERLINK("https://yadi.sk/d/bJak5ztS3UPmAT","https://yadi.sk/d/bJak5ztS3UPmAT")</f>
        <v>https://yadi.sk/d/bJak5ztS3UPmAT</v>
      </c>
      <c r="K111" s="160"/>
      <c r="L111" s="162" t="s">
        <v>240</v>
      </c>
      <c r="M111" s="163">
        <v>89043682092</v>
      </c>
    </row>
    <row r="112" spans="1:13" ht="12" customHeight="1">
      <c r="A112" s="22">
        <v>43203</v>
      </c>
      <c r="B112" s="155" t="s">
        <v>174</v>
      </c>
      <c r="C112" s="155" t="s">
        <v>1171</v>
      </c>
      <c r="D112" s="155" t="s">
        <v>119</v>
      </c>
      <c r="E112" s="155" t="s">
        <v>1172</v>
      </c>
      <c r="F112" s="158">
        <v>0.8125</v>
      </c>
      <c r="G112" s="159" t="s">
        <v>71</v>
      </c>
      <c r="H112" s="159" t="s">
        <v>14</v>
      </c>
      <c r="I112" s="159" t="s">
        <v>71</v>
      </c>
      <c r="J112" s="153" t="str">
        <f>HYPERLINK("https://yadi.sk/d/fXWMMEH_3UPmfS","https://yadi.sk/d/fXWMMEH_3UPmfS")</f>
        <v>https://yadi.sk/d/fXWMMEH_3UPmfS</v>
      </c>
      <c r="K112" s="161" t="s">
        <v>1173</v>
      </c>
      <c r="L112" s="162" t="s">
        <v>1090</v>
      </c>
      <c r="M112" s="163">
        <v>89043682092</v>
      </c>
    </row>
    <row r="113" spans="1:13" ht="12" customHeight="1">
      <c r="A113" s="22">
        <v>43203</v>
      </c>
      <c r="B113" s="155" t="s">
        <v>174</v>
      </c>
      <c r="C113" s="155" t="s">
        <v>458</v>
      </c>
      <c r="D113" s="155" t="s">
        <v>116</v>
      </c>
      <c r="E113" s="155" t="s">
        <v>1174</v>
      </c>
      <c r="F113" s="158">
        <v>0.83472222222222225</v>
      </c>
      <c r="G113" s="159" t="s">
        <v>71</v>
      </c>
      <c r="H113" s="159" t="s">
        <v>71</v>
      </c>
      <c r="I113" s="159" t="s">
        <v>71</v>
      </c>
      <c r="J113" s="153" t="str">
        <f>HYPERLINK("https://yadi.sk/d/gKmRFPjr3UPn3j","https://yadi.sk/d/gKmRFPjr3UPn3j")</f>
        <v>https://yadi.sk/d/gKmRFPjr3UPn3j</v>
      </c>
      <c r="K113" s="161"/>
      <c r="L113" s="162" t="s">
        <v>458</v>
      </c>
      <c r="M113" s="163">
        <v>89043682092</v>
      </c>
    </row>
    <row r="114" spans="1:13" ht="12" customHeight="1">
      <c r="A114" s="22">
        <v>43203</v>
      </c>
      <c r="B114" s="155" t="s">
        <v>174</v>
      </c>
      <c r="C114" s="155" t="s">
        <v>1175</v>
      </c>
      <c r="D114" s="155" t="s">
        <v>635</v>
      </c>
      <c r="E114" s="155" t="s">
        <v>1176</v>
      </c>
      <c r="F114" s="158">
        <v>0.81527777777777777</v>
      </c>
      <c r="G114" s="159" t="s">
        <v>14</v>
      </c>
      <c r="H114" s="159"/>
      <c r="I114" s="159"/>
      <c r="J114" s="153" t="str">
        <f>HYPERLINK("https://yadi.sk/i/8kgnvA9F3UPnPQ","https://yadi.sk/i/8kgnvA9F3UPnPQ")</f>
        <v>https://yadi.sk/i/8kgnvA9F3UPnPQ</v>
      </c>
      <c r="K114" s="161" t="s">
        <v>1177</v>
      </c>
      <c r="L114" s="162" t="s">
        <v>1239</v>
      </c>
      <c r="M114" s="163">
        <v>89585696061</v>
      </c>
    </row>
    <row r="115" spans="1:13" ht="12" customHeight="1">
      <c r="A115" s="22">
        <v>43203</v>
      </c>
      <c r="B115" s="155" t="s">
        <v>393</v>
      </c>
      <c r="C115" s="155" t="s">
        <v>472</v>
      </c>
      <c r="D115" s="155" t="s">
        <v>186</v>
      </c>
      <c r="E115" s="155" t="s">
        <v>1178</v>
      </c>
      <c r="F115" s="158"/>
      <c r="G115" s="159" t="s">
        <v>71</v>
      </c>
      <c r="H115" s="159" t="s">
        <v>71</v>
      </c>
      <c r="I115" s="159" t="s">
        <v>71</v>
      </c>
      <c r="J115" s="153" t="s">
        <v>1179</v>
      </c>
      <c r="K115" s="161" t="s">
        <v>1180</v>
      </c>
      <c r="L115" s="162" t="s">
        <v>474</v>
      </c>
      <c r="M115" s="162" t="s">
        <v>475</v>
      </c>
    </row>
    <row r="116" spans="1:13" ht="12" customHeight="1">
      <c r="A116" s="22">
        <v>43203</v>
      </c>
      <c r="B116" s="155" t="s">
        <v>393</v>
      </c>
      <c r="C116" s="155" t="s">
        <v>833</v>
      </c>
      <c r="D116" s="155" t="s">
        <v>186</v>
      </c>
      <c r="E116" s="155" t="s">
        <v>1181</v>
      </c>
      <c r="F116" s="158">
        <v>0.79166666666666663</v>
      </c>
      <c r="G116" s="159" t="s">
        <v>14</v>
      </c>
      <c r="H116" s="159"/>
      <c r="I116" s="159"/>
      <c r="J116" s="153" t="s">
        <v>1182</v>
      </c>
      <c r="K116" s="161" t="s">
        <v>1183</v>
      </c>
      <c r="L116" s="162" t="s">
        <v>474</v>
      </c>
      <c r="M116" s="162" t="s">
        <v>475</v>
      </c>
    </row>
    <row r="117" spans="1:13" ht="12" customHeight="1">
      <c r="A117" s="22">
        <v>43203</v>
      </c>
      <c r="B117" s="155" t="s">
        <v>393</v>
      </c>
      <c r="C117" s="155" t="s">
        <v>566</v>
      </c>
      <c r="D117" s="155" t="s">
        <v>186</v>
      </c>
      <c r="E117" s="155" t="s">
        <v>1184</v>
      </c>
      <c r="F117" s="158"/>
      <c r="G117" s="159" t="s">
        <v>71</v>
      </c>
      <c r="H117" s="159" t="s">
        <v>71</v>
      </c>
      <c r="I117" s="159" t="s">
        <v>71</v>
      </c>
      <c r="J117" s="153" t="s">
        <v>1185</v>
      </c>
      <c r="K117" s="161"/>
      <c r="L117" s="162" t="s">
        <v>568</v>
      </c>
      <c r="M117" s="162" t="s">
        <v>569</v>
      </c>
    </row>
    <row r="118" spans="1:13" ht="12" customHeight="1">
      <c r="A118" s="22">
        <v>43203</v>
      </c>
      <c r="B118" s="155" t="s">
        <v>393</v>
      </c>
      <c r="C118" s="155" t="s">
        <v>1240</v>
      </c>
      <c r="D118" s="155" t="s">
        <v>186</v>
      </c>
      <c r="E118" s="155" t="s">
        <v>1186</v>
      </c>
      <c r="F118" s="158"/>
      <c r="G118" s="159" t="s">
        <v>71</v>
      </c>
      <c r="H118" s="159" t="s">
        <v>71</v>
      </c>
      <c r="I118" s="159" t="s">
        <v>71</v>
      </c>
      <c r="J118" s="153" t="s">
        <v>1187</v>
      </c>
      <c r="K118" s="161"/>
      <c r="L118" s="162" t="s">
        <v>568</v>
      </c>
      <c r="M118" s="162" t="s">
        <v>569</v>
      </c>
    </row>
    <row r="119" spans="1:13" ht="12" customHeight="1">
      <c r="A119" s="49">
        <v>43204</v>
      </c>
      <c r="B119" s="154" t="s">
        <v>34</v>
      </c>
      <c r="C119" s="154" t="s">
        <v>1188</v>
      </c>
      <c r="D119" s="154" t="s">
        <v>186</v>
      </c>
      <c r="E119" s="154" t="s">
        <v>1189</v>
      </c>
      <c r="F119" s="156">
        <v>0.84166666666666667</v>
      </c>
      <c r="G119" s="157" t="s">
        <v>71</v>
      </c>
      <c r="H119" s="157" t="s">
        <v>71</v>
      </c>
      <c r="I119" s="157" t="s">
        <v>71</v>
      </c>
      <c r="J119" s="152" t="str">
        <f>HYPERLINK("https://yadi.sk/d/N4uiaq2B3UREbj","https://yadi.sk/d/N4uiaq2B3UREbj")</f>
        <v>https://yadi.sk/d/N4uiaq2B3UREbj</v>
      </c>
      <c r="K119" s="160"/>
      <c r="L119" s="162" t="s">
        <v>65</v>
      </c>
      <c r="M119" s="163">
        <v>89997648473</v>
      </c>
    </row>
    <row r="120" spans="1:13" ht="12" customHeight="1">
      <c r="A120" s="49">
        <v>43204</v>
      </c>
      <c r="B120" s="155" t="s">
        <v>189</v>
      </c>
      <c r="C120" s="155" t="s">
        <v>1241</v>
      </c>
      <c r="D120" s="155" t="s">
        <v>186</v>
      </c>
      <c r="E120" s="155" t="s">
        <v>1190</v>
      </c>
      <c r="F120" s="158">
        <v>0.82638888888888884</v>
      </c>
      <c r="G120" s="159" t="s">
        <v>71</v>
      </c>
      <c r="H120" s="159" t="s">
        <v>14</v>
      </c>
      <c r="I120" s="159" t="s">
        <v>71</v>
      </c>
      <c r="J120" s="153" t="s">
        <v>1191</v>
      </c>
      <c r="K120" s="161"/>
      <c r="L120" s="163" t="s">
        <v>799</v>
      </c>
      <c r="M120" s="163">
        <v>89204077318</v>
      </c>
    </row>
    <row r="121" spans="1:13" ht="12" customHeight="1">
      <c r="A121" s="49">
        <v>43204</v>
      </c>
      <c r="B121" s="155" t="s">
        <v>189</v>
      </c>
      <c r="C121" s="155" t="s">
        <v>462</v>
      </c>
      <c r="D121" s="155" t="s">
        <v>186</v>
      </c>
      <c r="E121" s="155" t="s">
        <v>1192</v>
      </c>
      <c r="F121" s="158">
        <v>0.81944444444444442</v>
      </c>
      <c r="G121" s="159" t="s">
        <v>14</v>
      </c>
      <c r="H121" s="159"/>
      <c r="I121" s="159"/>
      <c r="J121" s="153" t="s">
        <v>1193</v>
      </c>
      <c r="K121" s="161" t="s">
        <v>1194</v>
      </c>
      <c r="L121" s="163" t="s">
        <v>249</v>
      </c>
      <c r="M121" s="163">
        <v>89050497124</v>
      </c>
    </row>
    <row r="122" spans="1:13" ht="12" customHeight="1">
      <c r="A122" s="49">
        <v>43204</v>
      </c>
      <c r="B122" s="155" t="s">
        <v>189</v>
      </c>
      <c r="C122" s="155" t="s">
        <v>1195</v>
      </c>
      <c r="D122" s="155" t="s">
        <v>1196</v>
      </c>
      <c r="E122" s="155" t="s">
        <v>1197</v>
      </c>
      <c r="F122" s="158">
        <v>0.76388888888888884</v>
      </c>
      <c r="G122" s="159" t="s">
        <v>71</v>
      </c>
      <c r="H122" s="159" t="s">
        <v>71</v>
      </c>
      <c r="I122" s="159" t="s">
        <v>71</v>
      </c>
      <c r="J122" s="153" t="s">
        <v>1198</v>
      </c>
      <c r="K122" s="161" t="s">
        <v>1199</v>
      </c>
      <c r="L122" s="163" t="s">
        <v>1242</v>
      </c>
      <c r="M122" s="163" t="s">
        <v>565</v>
      </c>
    </row>
    <row r="123" spans="1:13" ht="12" customHeight="1">
      <c r="A123" s="49">
        <v>43204</v>
      </c>
      <c r="B123" s="155" t="s">
        <v>189</v>
      </c>
      <c r="C123" s="155" t="s">
        <v>1200</v>
      </c>
      <c r="D123" s="155" t="s">
        <v>1196</v>
      </c>
      <c r="E123" s="155" t="s">
        <v>1201</v>
      </c>
      <c r="F123" s="158">
        <v>0.78333333333333333</v>
      </c>
      <c r="G123" s="159" t="s">
        <v>71</v>
      </c>
      <c r="H123" s="159" t="s">
        <v>71</v>
      </c>
      <c r="I123" s="159" t="s">
        <v>71</v>
      </c>
      <c r="J123" s="153" t="s">
        <v>1202</v>
      </c>
      <c r="K123" s="161"/>
      <c r="L123" s="163" t="s">
        <v>1242</v>
      </c>
      <c r="M123" s="163" t="s">
        <v>565</v>
      </c>
    </row>
    <row r="124" spans="1:13" ht="12" customHeight="1">
      <c r="A124" s="22">
        <v>43206</v>
      </c>
      <c r="B124" s="154" t="s">
        <v>130</v>
      </c>
      <c r="C124" s="154" t="s">
        <v>1243</v>
      </c>
      <c r="D124" s="154" t="s">
        <v>383</v>
      </c>
      <c r="E124" s="154" t="s">
        <v>1203</v>
      </c>
      <c r="F124" s="156">
        <v>0.80208333333333337</v>
      </c>
      <c r="G124" s="157" t="s">
        <v>14</v>
      </c>
      <c r="H124" s="157"/>
      <c r="I124" s="157"/>
      <c r="J124" s="152" t="s">
        <v>1204</v>
      </c>
      <c r="K124" s="160" t="s">
        <v>1205</v>
      </c>
      <c r="L124" s="162" t="s">
        <v>139</v>
      </c>
      <c r="M124" s="162" t="s">
        <v>140</v>
      </c>
    </row>
    <row r="125" spans="1:13" ht="12" customHeight="1">
      <c r="A125" s="22">
        <v>43206</v>
      </c>
      <c r="B125" s="155" t="s">
        <v>130</v>
      </c>
      <c r="C125" s="155" t="s">
        <v>1244</v>
      </c>
      <c r="D125" s="155" t="s">
        <v>383</v>
      </c>
      <c r="E125" s="155" t="s">
        <v>1206</v>
      </c>
      <c r="F125" s="158">
        <v>0.7993055555555556</v>
      </c>
      <c r="G125" s="159" t="s">
        <v>71</v>
      </c>
      <c r="H125" s="159" t="s">
        <v>71</v>
      </c>
      <c r="I125" s="159" t="s">
        <v>14</v>
      </c>
      <c r="J125" s="153" t="s">
        <v>1207</v>
      </c>
      <c r="K125" s="161"/>
      <c r="L125" s="162" t="s">
        <v>139</v>
      </c>
      <c r="M125" s="162" t="s">
        <v>140</v>
      </c>
    </row>
    <row r="126" spans="1:13" ht="12" customHeight="1">
      <c r="A126" s="22">
        <v>43206</v>
      </c>
      <c r="B126" s="155" t="s">
        <v>130</v>
      </c>
      <c r="C126" s="155" t="s">
        <v>1245</v>
      </c>
      <c r="D126" s="155" t="s">
        <v>383</v>
      </c>
      <c r="E126" s="155" t="s">
        <v>1208</v>
      </c>
      <c r="F126" s="158">
        <v>0.80625000000000002</v>
      </c>
      <c r="G126" s="159" t="s">
        <v>71</v>
      </c>
      <c r="H126" s="159" t="s">
        <v>71</v>
      </c>
      <c r="I126" s="159" t="s">
        <v>71</v>
      </c>
      <c r="J126" s="153" t="s">
        <v>1209</v>
      </c>
      <c r="K126" s="161"/>
      <c r="L126" s="162" t="s">
        <v>139</v>
      </c>
      <c r="M126" s="162" t="s">
        <v>140</v>
      </c>
    </row>
    <row r="127" spans="1:13" ht="12" customHeight="1">
      <c r="A127" s="22">
        <v>43206</v>
      </c>
      <c r="B127" s="155" t="s">
        <v>130</v>
      </c>
      <c r="C127" s="155" t="s">
        <v>131</v>
      </c>
      <c r="D127" s="155" t="s">
        <v>383</v>
      </c>
      <c r="E127" s="155" t="s">
        <v>1210</v>
      </c>
      <c r="F127" s="158">
        <v>0.81944444444444442</v>
      </c>
      <c r="G127" s="159" t="s">
        <v>71</v>
      </c>
      <c r="H127" s="159" t="s">
        <v>71</v>
      </c>
      <c r="I127" s="159" t="s">
        <v>71</v>
      </c>
      <c r="J127" s="153" t="s">
        <v>1211</v>
      </c>
      <c r="K127" s="161"/>
      <c r="L127" s="162" t="s">
        <v>139</v>
      </c>
      <c r="M127" s="162" t="s">
        <v>140</v>
      </c>
    </row>
    <row r="128" spans="1:13" ht="12" customHeight="1">
      <c r="A128" s="22">
        <v>43206</v>
      </c>
      <c r="B128" s="155" t="s">
        <v>97</v>
      </c>
      <c r="C128" s="155" t="s">
        <v>1246</v>
      </c>
      <c r="D128" s="155" t="s">
        <v>1046</v>
      </c>
      <c r="E128" s="155" t="s">
        <v>1212</v>
      </c>
      <c r="F128" s="158">
        <v>0.75277777777777777</v>
      </c>
      <c r="G128" s="159" t="s">
        <v>14</v>
      </c>
      <c r="H128" s="159"/>
      <c r="I128" s="159"/>
      <c r="J128" s="153" t="s">
        <v>1213</v>
      </c>
      <c r="K128" s="161" t="s">
        <v>1214</v>
      </c>
      <c r="L128" s="162" t="s">
        <v>1084</v>
      </c>
      <c r="M128" s="162" t="s">
        <v>1085</v>
      </c>
    </row>
    <row r="129" spans="1:13" ht="12" customHeight="1">
      <c r="A129" s="22">
        <v>43206</v>
      </c>
      <c r="B129" s="155" t="s">
        <v>97</v>
      </c>
      <c r="C129" s="155" t="s">
        <v>1247</v>
      </c>
      <c r="D129" s="155" t="s">
        <v>1046</v>
      </c>
      <c r="E129" s="155" t="s">
        <v>1215</v>
      </c>
      <c r="F129" s="158">
        <v>0.77777777777777779</v>
      </c>
      <c r="G129" s="159" t="s">
        <v>14</v>
      </c>
      <c r="H129" s="159"/>
      <c r="I129" s="159"/>
      <c r="J129" s="153" t="s">
        <v>1216</v>
      </c>
      <c r="K129" s="161" t="s">
        <v>1217</v>
      </c>
      <c r="L129" s="162" t="s">
        <v>1084</v>
      </c>
      <c r="M129" s="162" t="s">
        <v>1085</v>
      </c>
    </row>
    <row r="130" spans="1:13" ht="12" customHeight="1">
      <c r="A130" s="22">
        <v>43206</v>
      </c>
      <c r="B130" s="155" t="s">
        <v>97</v>
      </c>
      <c r="C130" s="155" t="s">
        <v>1002</v>
      </c>
      <c r="D130" s="155" t="s">
        <v>1046</v>
      </c>
      <c r="E130" s="155" t="s">
        <v>1218</v>
      </c>
      <c r="F130" s="158">
        <v>0.7729166666666667</v>
      </c>
      <c r="G130" s="159" t="s">
        <v>71</v>
      </c>
      <c r="H130" s="159" t="s">
        <v>71</v>
      </c>
      <c r="I130" s="159" t="s">
        <v>71</v>
      </c>
      <c r="J130" s="153" t="s">
        <v>1219</v>
      </c>
      <c r="K130" s="161"/>
      <c r="L130" s="162" t="s">
        <v>142</v>
      </c>
      <c r="M130" s="162" t="s">
        <v>143</v>
      </c>
    </row>
    <row r="131" spans="1:13" ht="12" customHeight="1">
      <c r="A131" s="22">
        <v>43206</v>
      </c>
      <c r="B131" s="155" t="s">
        <v>97</v>
      </c>
      <c r="C131" s="155" t="s">
        <v>1003</v>
      </c>
      <c r="D131" s="155" t="s">
        <v>1046</v>
      </c>
      <c r="E131" s="155" t="s">
        <v>1220</v>
      </c>
      <c r="F131" s="158">
        <v>0.76875000000000004</v>
      </c>
      <c r="G131" s="159" t="s">
        <v>71</v>
      </c>
      <c r="H131" s="159" t="s">
        <v>71</v>
      </c>
      <c r="I131" s="159" t="s">
        <v>71</v>
      </c>
      <c r="J131" s="153" t="s">
        <v>1221</v>
      </c>
      <c r="K131" s="161"/>
      <c r="L131" s="162" t="s">
        <v>142</v>
      </c>
      <c r="M131" s="162" t="s">
        <v>143</v>
      </c>
    </row>
    <row r="132" spans="1:13" ht="12" customHeight="1">
      <c r="A132" s="22">
        <v>43206</v>
      </c>
      <c r="B132" s="155" t="s">
        <v>218</v>
      </c>
      <c r="C132" s="155" t="s">
        <v>1248</v>
      </c>
      <c r="D132" s="155" t="s">
        <v>427</v>
      </c>
      <c r="E132" s="155" t="s">
        <v>1222</v>
      </c>
      <c r="F132" s="158">
        <v>0.7993055555555556</v>
      </c>
      <c r="G132" s="159" t="s">
        <v>71</v>
      </c>
      <c r="H132" s="159" t="s">
        <v>71</v>
      </c>
      <c r="I132" s="159" t="s">
        <v>71</v>
      </c>
      <c r="J132" s="153" t="s">
        <v>1223</v>
      </c>
      <c r="K132" s="161"/>
      <c r="L132" s="163" t="s">
        <v>1250</v>
      </c>
      <c r="M132" s="163">
        <v>89191920292</v>
      </c>
    </row>
    <row r="133" spans="1:13" ht="12" customHeight="1">
      <c r="A133" s="22">
        <v>43206</v>
      </c>
      <c r="B133" s="155" t="s">
        <v>218</v>
      </c>
      <c r="C133" s="155" t="s">
        <v>1249</v>
      </c>
      <c r="D133" s="155" t="s">
        <v>427</v>
      </c>
      <c r="E133" s="155" t="s">
        <v>1224</v>
      </c>
      <c r="F133" s="158">
        <v>0.82847222222222228</v>
      </c>
      <c r="G133" s="159" t="s">
        <v>71</v>
      </c>
      <c r="H133" s="159" t="s">
        <v>71</v>
      </c>
      <c r="I133" s="159" t="s">
        <v>71</v>
      </c>
      <c r="J133" s="153" t="s">
        <v>1225</v>
      </c>
      <c r="K133" s="161"/>
      <c r="L133" s="163" t="s">
        <v>1250</v>
      </c>
      <c r="M133" s="163">
        <v>89191920292</v>
      </c>
    </row>
    <row r="134" spans="1:13" ht="12" customHeight="1">
      <c r="A134" s="22">
        <v>43206</v>
      </c>
      <c r="B134" s="155" t="s">
        <v>218</v>
      </c>
      <c r="C134" s="155" t="s">
        <v>484</v>
      </c>
      <c r="D134" s="155" t="s">
        <v>427</v>
      </c>
      <c r="E134" s="155" t="s">
        <v>1226</v>
      </c>
      <c r="F134" s="158">
        <v>0.82916666666666672</v>
      </c>
      <c r="G134" s="159" t="s">
        <v>71</v>
      </c>
      <c r="H134" s="159" t="s">
        <v>71</v>
      </c>
      <c r="I134" s="159" t="s">
        <v>71</v>
      </c>
      <c r="J134" s="153" t="s">
        <v>1227</v>
      </c>
      <c r="K134" s="161"/>
      <c r="L134" s="163" t="s">
        <v>488</v>
      </c>
      <c r="M134" s="163">
        <v>89803020082</v>
      </c>
    </row>
    <row r="135" spans="1:13" ht="12" customHeight="1">
      <c r="A135" s="22">
        <v>43206</v>
      </c>
      <c r="B135" s="155" t="s">
        <v>218</v>
      </c>
      <c r="C135" s="155" t="s">
        <v>486</v>
      </c>
      <c r="D135" s="155" t="s">
        <v>427</v>
      </c>
      <c r="E135" s="155" t="s">
        <v>1228</v>
      </c>
      <c r="F135" s="158">
        <v>0.81944444444444442</v>
      </c>
      <c r="G135" s="159" t="s">
        <v>71</v>
      </c>
      <c r="H135" s="159" t="s">
        <v>71</v>
      </c>
      <c r="I135" s="159" t="s">
        <v>71</v>
      </c>
      <c r="J135" s="153" t="s">
        <v>1229</v>
      </c>
      <c r="K135" s="161"/>
      <c r="L135" s="163" t="s">
        <v>488</v>
      </c>
      <c r="M135" s="163">
        <v>89803020082</v>
      </c>
    </row>
    <row r="136" spans="1:13" ht="12" customHeight="1">
      <c r="A136" s="22">
        <v>43206</v>
      </c>
      <c r="B136" s="155" t="s">
        <v>161</v>
      </c>
      <c r="C136" s="155" t="s">
        <v>1001</v>
      </c>
      <c r="D136" s="155" t="s">
        <v>1029</v>
      </c>
      <c r="E136" s="155" t="s">
        <v>1230</v>
      </c>
      <c r="F136" s="158">
        <v>0.78472222222222221</v>
      </c>
      <c r="G136" s="159" t="s">
        <v>71</v>
      </c>
      <c r="H136" s="159" t="s">
        <v>71</v>
      </c>
      <c r="I136" s="159" t="s">
        <v>71</v>
      </c>
      <c r="J136" s="153" t="str">
        <f>HYPERLINK("https://yadi.sk/d/7ed12cju3UUa6z","https://yadi.sk/d/7ed12cju3UUa6z")</f>
        <v>https://yadi.sk/d/7ed12cju3UUa6z</v>
      </c>
      <c r="K136" s="161"/>
      <c r="L136" s="163" t="s">
        <v>999</v>
      </c>
      <c r="M136" s="163">
        <v>89192648797</v>
      </c>
    </row>
    <row r="137" spans="1:13" ht="12" customHeight="1">
      <c r="A137" s="22">
        <v>43206</v>
      </c>
      <c r="B137" s="155" t="s">
        <v>254</v>
      </c>
      <c r="C137" s="155" t="s">
        <v>573</v>
      </c>
      <c r="D137" s="155" t="s">
        <v>113</v>
      </c>
      <c r="E137" s="155" t="s">
        <v>1231</v>
      </c>
      <c r="F137" s="158">
        <v>0.7583333333333333</v>
      </c>
      <c r="G137" s="159" t="s">
        <v>71</v>
      </c>
      <c r="H137" s="159" t="s">
        <v>71</v>
      </c>
      <c r="I137" s="159" t="s">
        <v>14</v>
      </c>
      <c r="J137" s="153" t="str">
        <f>HYPERLINK("https://yadi.sk/i/fcapl6aL3UUbCS","https://yadi.sk/i/fcapl6aL3UUbCS")</f>
        <v>https://yadi.sk/i/fcapl6aL3UUbCS</v>
      </c>
      <c r="K137" s="161"/>
      <c r="L137" s="162" t="s">
        <v>575</v>
      </c>
      <c r="M137" s="162" t="s">
        <v>576</v>
      </c>
    </row>
    <row r="138" spans="1:13" ht="12" customHeight="1">
      <c r="A138" s="22">
        <v>43206</v>
      </c>
      <c r="B138" s="155" t="s">
        <v>254</v>
      </c>
      <c r="C138" s="155" t="s">
        <v>1251</v>
      </c>
      <c r="D138" s="155" t="s">
        <v>119</v>
      </c>
      <c r="E138" s="155" t="s">
        <v>1232</v>
      </c>
      <c r="F138" s="158">
        <v>0.78680555555555554</v>
      </c>
      <c r="G138" s="159" t="s">
        <v>71</v>
      </c>
      <c r="H138" s="159" t="s">
        <v>71</v>
      </c>
      <c r="I138" s="159" t="s">
        <v>71</v>
      </c>
      <c r="J138" s="153" t="str">
        <f>HYPERLINK("https://yadi.sk/d/kqnS480S3UUbsP","https://yadi.sk/d/kqnS480S3UUbsP")</f>
        <v>https://yadi.sk/d/kqnS480S3UUbsP</v>
      </c>
      <c r="K138" s="161"/>
      <c r="L138" s="162" t="s">
        <v>292</v>
      </c>
      <c r="M138" s="162" t="s">
        <v>771</v>
      </c>
    </row>
    <row r="139" spans="1:13" ht="12" customHeight="1">
      <c r="A139" s="22">
        <v>43206</v>
      </c>
      <c r="B139" s="155" t="s">
        <v>254</v>
      </c>
      <c r="C139" s="155" t="s">
        <v>1252</v>
      </c>
      <c r="D139" s="155" t="s">
        <v>1233</v>
      </c>
      <c r="E139" s="155" t="s">
        <v>1234</v>
      </c>
      <c r="F139" s="158">
        <v>0.79166666666666663</v>
      </c>
      <c r="G139" s="159" t="s">
        <v>71</v>
      </c>
      <c r="H139" s="159"/>
      <c r="I139" s="159"/>
      <c r="J139" s="153" t="str">
        <f>HYPERLINK("https://yadi.sk/i/m6K-lMb03UUbfJ","https://yadi.sk/i/m6K-lMb03UUbfJ")</f>
        <v>https://yadi.sk/i/m6K-lMb03UUbfJ</v>
      </c>
      <c r="K139" s="161" t="s">
        <v>1235</v>
      </c>
      <c r="L139" s="162" t="s">
        <v>769</v>
      </c>
      <c r="M139" s="162" t="s">
        <v>770</v>
      </c>
    </row>
    <row r="140" spans="1:13" ht="12" customHeight="1">
      <c r="A140" s="22">
        <v>43206</v>
      </c>
      <c r="B140" s="155" t="s">
        <v>254</v>
      </c>
      <c r="C140" s="155" t="s">
        <v>1253</v>
      </c>
      <c r="D140" s="155" t="s">
        <v>1236</v>
      </c>
      <c r="E140" s="155" t="s">
        <v>1237</v>
      </c>
      <c r="F140" s="158">
        <v>0.81944444444444442</v>
      </c>
      <c r="G140" s="159" t="s">
        <v>14</v>
      </c>
      <c r="H140" s="159"/>
      <c r="I140" s="159"/>
      <c r="J140" s="153" t="str">
        <f>HYPERLINK("https://yadi.sk/i/JGW7qRGs3UUbbA","https://yadi.sk/i/JGW7qRGs3UUbbA")</f>
        <v>https://yadi.sk/i/JGW7qRGs3UUbbA</v>
      </c>
      <c r="K140" s="161" t="s">
        <v>1238</v>
      </c>
      <c r="L140" s="162" t="s">
        <v>1254</v>
      </c>
      <c r="M140" s="162" t="s">
        <v>1255</v>
      </c>
    </row>
    <row r="141" spans="1:13" ht="12.75" customHeight="1">
      <c r="A141" s="49">
        <v>43207</v>
      </c>
      <c r="B141" s="154" t="s">
        <v>121</v>
      </c>
      <c r="C141" s="154" t="s">
        <v>128</v>
      </c>
      <c r="D141" s="154" t="s">
        <v>857</v>
      </c>
      <c r="E141" s="166" t="s">
        <v>1256</v>
      </c>
      <c r="F141" s="156">
        <v>0.77777777777777779</v>
      </c>
      <c r="G141" s="157" t="s">
        <v>71</v>
      </c>
      <c r="H141" s="157" t="s">
        <v>71</v>
      </c>
      <c r="I141" s="157" t="s">
        <v>71</v>
      </c>
      <c r="J141" s="152" t="str">
        <f>HYPERLINK("https://yadi.sk/d/7o2O-lUv3UWBhP","https://yadi.sk/d/7o2O-lUv3UWBhP")</f>
        <v>https://yadi.sk/d/7o2O-lUv3UWBhP</v>
      </c>
      <c r="K141" s="160"/>
      <c r="L141" s="111" t="s">
        <v>1044</v>
      </c>
      <c r="M141" s="111">
        <v>84922531643</v>
      </c>
    </row>
    <row r="142" spans="1:13" ht="12" customHeight="1">
      <c r="A142" s="49">
        <v>43207</v>
      </c>
      <c r="B142" s="155" t="s">
        <v>121</v>
      </c>
      <c r="C142" s="155" t="s">
        <v>126</v>
      </c>
      <c r="D142" s="155" t="s">
        <v>940</v>
      </c>
      <c r="E142" s="155" t="s">
        <v>1257</v>
      </c>
      <c r="F142" s="158">
        <v>0.80902777777777779</v>
      </c>
      <c r="G142" s="159" t="s">
        <v>71</v>
      </c>
      <c r="H142" s="159" t="s">
        <v>71</v>
      </c>
      <c r="I142" s="159" t="s">
        <v>71</v>
      </c>
      <c r="J142" s="153" t="str">
        <f>HYPERLINK("https://yadi.sk/d/AyJ6w_iU3UWBjZ","https://yadi.sk/d/AyJ6w_iU3UWBjZ")</f>
        <v>https://yadi.sk/d/AyJ6w_iU3UWBjZ</v>
      </c>
      <c r="K142" s="161"/>
      <c r="L142" s="111" t="s">
        <v>1044</v>
      </c>
      <c r="M142" s="111">
        <v>84922531643</v>
      </c>
    </row>
    <row r="143" spans="1:13" ht="12" customHeight="1">
      <c r="A143" s="49">
        <v>43207</v>
      </c>
      <c r="B143" s="155" t="s">
        <v>927</v>
      </c>
      <c r="C143" s="155" t="s">
        <v>1292</v>
      </c>
      <c r="D143" s="155" t="s">
        <v>1258</v>
      </c>
      <c r="E143" s="155" t="s">
        <v>1259</v>
      </c>
      <c r="F143" s="158">
        <v>0.77777777777777779</v>
      </c>
      <c r="G143" s="159" t="s">
        <v>71</v>
      </c>
      <c r="H143" s="159" t="s">
        <v>71</v>
      </c>
      <c r="I143" s="159" t="s">
        <v>71</v>
      </c>
      <c r="J143" s="153" t="str">
        <f>HYPERLINK("https://yadi.sk/d/LNaMLvEV3UWD5h","https://yadi.sk/d/LNaMLvEV3UWD5h")</f>
        <v>https://yadi.sk/d/LNaMLvEV3UWD5h</v>
      </c>
      <c r="K143" s="161"/>
      <c r="L143" s="83" t="s">
        <v>1293</v>
      </c>
      <c r="M143" s="83" t="s">
        <v>434</v>
      </c>
    </row>
    <row r="144" spans="1:13" ht="12" customHeight="1">
      <c r="A144" s="49">
        <v>43207</v>
      </c>
      <c r="B144" s="155" t="s">
        <v>927</v>
      </c>
      <c r="C144" s="155" t="s">
        <v>1087</v>
      </c>
      <c r="D144" s="155" t="s">
        <v>929</v>
      </c>
      <c r="E144" s="155" t="s">
        <v>1260</v>
      </c>
      <c r="F144" s="158">
        <v>0.81597222222222221</v>
      </c>
      <c r="G144" s="159" t="s">
        <v>71</v>
      </c>
      <c r="H144" s="159" t="s">
        <v>71</v>
      </c>
      <c r="I144" s="159" t="s">
        <v>71</v>
      </c>
      <c r="J144" s="153" t="str">
        <f>HYPERLINK("https://yadi.sk/d/DANP7aAb3UWD6a","https://yadi.sk/d/DANP7aAb3UWD6a")</f>
        <v>https://yadi.sk/d/DANP7aAb3UWD6a</v>
      </c>
      <c r="K144" s="164" t="s">
        <v>1261</v>
      </c>
      <c r="L144" s="167" t="s">
        <v>786</v>
      </c>
      <c r="M144" s="167" t="s">
        <v>146</v>
      </c>
    </row>
    <row r="145" spans="1:13" ht="12" customHeight="1">
      <c r="A145" s="49">
        <v>43207</v>
      </c>
      <c r="B145" s="155" t="s">
        <v>927</v>
      </c>
      <c r="C145" s="155" t="s">
        <v>160</v>
      </c>
      <c r="D145" s="155" t="s">
        <v>929</v>
      </c>
      <c r="E145" s="155" t="s">
        <v>1262</v>
      </c>
      <c r="F145" s="158">
        <v>0.8125</v>
      </c>
      <c r="G145" s="159" t="s">
        <v>14</v>
      </c>
      <c r="H145" s="159"/>
      <c r="I145" s="159"/>
      <c r="J145" s="153" t="str">
        <f>HYPERLINK("https://yadi.sk/i/OecHuL-Y3UWCXJ","https://yadi.sk/i/OecHuL-Y3UWCXJ")</f>
        <v>https://yadi.sk/i/OecHuL-Y3UWCXJ</v>
      </c>
      <c r="K145" s="164" t="s">
        <v>1263</v>
      </c>
      <c r="L145" s="83" t="s">
        <v>147</v>
      </c>
      <c r="M145" s="83" t="s">
        <v>788</v>
      </c>
    </row>
    <row r="146" spans="1:13" ht="12" customHeight="1">
      <c r="A146" s="49">
        <v>43207</v>
      </c>
      <c r="B146" s="155" t="s">
        <v>189</v>
      </c>
      <c r="C146" s="155" t="s">
        <v>1264</v>
      </c>
      <c r="D146" s="155" t="s">
        <v>186</v>
      </c>
      <c r="E146" s="155" t="s">
        <v>1265</v>
      </c>
      <c r="F146" s="158">
        <v>0.8256944444444444</v>
      </c>
      <c r="G146" s="159" t="s">
        <v>14</v>
      </c>
      <c r="H146" s="159"/>
      <c r="I146" s="159"/>
      <c r="J146" s="153" t="s">
        <v>1266</v>
      </c>
      <c r="K146" s="161" t="s">
        <v>1267</v>
      </c>
      <c r="L146" s="111" t="s">
        <v>1295</v>
      </c>
      <c r="M146" s="111">
        <v>89518531479</v>
      </c>
    </row>
    <row r="147" spans="1:13" ht="12" customHeight="1">
      <c r="A147" s="49">
        <v>43207</v>
      </c>
      <c r="B147" s="155" t="s">
        <v>189</v>
      </c>
      <c r="C147" s="155" t="s">
        <v>1294</v>
      </c>
      <c r="D147" s="155" t="s">
        <v>186</v>
      </c>
      <c r="E147" s="155" t="s">
        <v>1268</v>
      </c>
      <c r="F147" s="158">
        <v>0.84166666666666667</v>
      </c>
      <c r="G147" s="159" t="s">
        <v>71</v>
      </c>
      <c r="H147" s="159" t="s">
        <v>71</v>
      </c>
      <c r="I147" s="159" t="s">
        <v>71</v>
      </c>
      <c r="J147" s="153" t="s">
        <v>1269</v>
      </c>
      <c r="K147" s="161"/>
      <c r="L147" s="111" t="s">
        <v>251</v>
      </c>
      <c r="M147" s="111" t="s">
        <v>669</v>
      </c>
    </row>
    <row r="148" spans="1:13" ht="12" customHeight="1">
      <c r="A148" s="49">
        <v>43207</v>
      </c>
      <c r="B148" s="155" t="s">
        <v>189</v>
      </c>
      <c r="C148" s="155" t="s">
        <v>1270</v>
      </c>
      <c r="D148" s="155" t="s">
        <v>186</v>
      </c>
      <c r="E148" s="155" t="s">
        <v>1271</v>
      </c>
      <c r="F148" s="158">
        <v>0.80972222222222223</v>
      </c>
      <c r="G148" s="159" t="s">
        <v>71</v>
      </c>
      <c r="H148" s="159" t="s">
        <v>71</v>
      </c>
      <c r="I148" s="159" t="s">
        <v>71</v>
      </c>
      <c r="J148" s="153" t="s">
        <v>1272</v>
      </c>
      <c r="K148" s="161"/>
      <c r="L148" s="111" t="s">
        <v>1242</v>
      </c>
      <c r="M148" s="111" t="s">
        <v>565</v>
      </c>
    </row>
    <row r="149" spans="1:13" ht="12" customHeight="1">
      <c r="A149" s="49">
        <v>43207</v>
      </c>
      <c r="B149" s="155" t="s">
        <v>189</v>
      </c>
      <c r="C149" s="155" t="s">
        <v>801</v>
      </c>
      <c r="D149" s="155" t="s">
        <v>186</v>
      </c>
      <c r="E149" s="155" t="s">
        <v>1273</v>
      </c>
      <c r="F149" s="158">
        <v>0.83333333333333337</v>
      </c>
      <c r="G149" s="159" t="s">
        <v>71</v>
      </c>
      <c r="H149" s="159" t="s">
        <v>71</v>
      </c>
      <c r="I149" s="159" t="s">
        <v>71</v>
      </c>
      <c r="J149" s="153" t="s">
        <v>1274</v>
      </c>
      <c r="K149" s="161"/>
      <c r="L149" s="111" t="s">
        <v>466</v>
      </c>
      <c r="M149" s="111">
        <v>89204191919</v>
      </c>
    </row>
    <row r="150" spans="1:13" ht="12" customHeight="1">
      <c r="A150" s="22">
        <v>43208</v>
      </c>
      <c r="B150" s="154" t="s">
        <v>174</v>
      </c>
      <c r="C150" s="154" t="s">
        <v>1296</v>
      </c>
      <c r="D150" s="154" t="s">
        <v>119</v>
      </c>
      <c r="E150" s="154" t="s">
        <v>1275</v>
      </c>
      <c r="F150" s="156">
        <v>0.77430555555555558</v>
      </c>
      <c r="G150" s="157" t="s">
        <v>71</v>
      </c>
      <c r="H150" s="157" t="s">
        <v>71</v>
      </c>
      <c r="I150" s="157" t="s">
        <v>71</v>
      </c>
      <c r="J150" s="152" t="str">
        <f>HYPERLINK("https://yadi.sk/d/bfn1RY7P3UYbEj","https://yadi.sk/d/bfn1RY7P3UYbEj")</f>
        <v>https://yadi.sk/d/bfn1RY7P3UYbEj</v>
      </c>
      <c r="K150" s="169"/>
      <c r="L150" s="111" t="s">
        <v>238</v>
      </c>
      <c r="M150" s="111">
        <v>89043682092</v>
      </c>
    </row>
    <row r="151" spans="1:13" ht="12" customHeight="1">
      <c r="A151" s="22">
        <v>43208</v>
      </c>
      <c r="B151" s="155" t="s">
        <v>174</v>
      </c>
      <c r="C151" s="155" t="s">
        <v>235</v>
      </c>
      <c r="D151" s="155" t="s">
        <v>857</v>
      </c>
      <c r="E151" s="155" t="s">
        <v>1276</v>
      </c>
      <c r="F151" s="158">
        <v>0.79166666666666663</v>
      </c>
      <c r="G151" s="159" t="s">
        <v>71</v>
      </c>
      <c r="H151" s="159" t="s">
        <v>71</v>
      </c>
      <c r="I151" s="159" t="s">
        <v>71</v>
      </c>
      <c r="J151" s="153" t="str">
        <f>HYPERLINK("https://yadi.sk/d/nIKJIFNB3UYbEK","https://yadi.sk/d/nIKJIFNB3UYbEK")</f>
        <v>https://yadi.sk/d/nIKJIFNB3UYbEK</v>
      </c>
      <c r="K151" s="170"/>
      <c r="L151" s="111" t="s">
        <v>236</v>
      </c>
      <c r="M151" s="111" t="s">
        <v>237</v>
      </c>
    </row>
    <row r="152" spans="1:13" ht="12" customHeight="1">
      <c r="A152" s="22">
        <v>43208</v>
      </c>
      <c r="B152" s="155" t="s">
        <v>174</v>
      </c>
      <c r="C152" s="155" t="s">
        <v>1277</v>
      </c>
      <c r="D152" s="155" t="s">
        <v>635</v>
      </c>
      <c r="E152" s="155" t="s">
        <v>1278</v>
      </c>
      <c r="F152" s="158">
        <v>0.79513888888888884</v>
      </c>
      <c r="G152" s="159" t="s">
        <v>71</v>
      </c>
      <c r="H152" s="159" t="s">
        <v>71</v>
      </c>
      <c r="I152" s="159" t="s">
        <v>71</v>
      </c>
      <c r="J152" s="153" t="str">
        <f>HYPERLINK("https://yadi.sk/d/1g6tONro3UYbEy","https://yadi.sk/d/1g6tONro3UYbEy")</f>
        <v>https://yadi.sk/d/1g6tONro3UYbEy</v>
      </c>
      <c r="K152" s="170"/>
      <c r="L152" s="111" t="s">
        <v>796</v>
      </c>
      <c r="M152" s="111">
        <v>89585696061</v>
      </c>
    </row>
    <row r="153" spans="1:13" ht="12" customHeight="1">
      <c r="A153" s="22">
        <v>43208</v>
      </c>
      <c r="B153" s="155" t="s">
        <v>174</v>
      </c>
      <c r="C153" s="155" t="s">
        <v>1297</v>
      </c>
      <c r="D153" s="155" t="s">
        <v>857</v>
      </c>
      <c r="E153" s="155" t="s">
        <v>1279</v>
      </c>
      <c r="F153" s="158">
        <v>0.80347222222222225</v>
      </c>
      <c r="G153" s="159" t="s">
        <v>71</v>
      </c>
      <c r="H153" s="159" t="s">
        <v>71</v>
      </c>
      <c r="I153" s="159" t="s">
        <v>71</v>
      </c>
      <c r="J153" s="153" t="str">
        <f>HYPERLINK("https://yadi.sk/d/7ptUHLqD3UYbFC","https://yadi.sk/d/7ptUHLqD3UYbFC")</f>
        <v>https://yadi.sk/d/7ptUHLqD3UYbFC</v>
      </c>
      <c r="K153" s="170"/>
      <c r="L153" s="111" t="s">
        <v>236</v>
      </c>
      <c r="M153" s="111" t="s">
        <v>237</v>
      </c>
    </row>
    <row r="154" spans="1:13" ht="12" customHeight="1">
      <c r="A154" s="22">
        <v>43208</v>
      </c>
      <c r="B154" s="155" t="s">
        <v>34</v>
      </c>
      <c r="C154" s="155" t="s">
        <v>1188</v>
      </c>
      <c r="D154" s="155" t="s">
        <v>186</v>
      </c>
      <c r="E154" s="155" t="s">
        <v>1280</v>
      </c>
      <c r="F154" s="158">
        <v>0.83333333333333337</v>
      </c>
      <c r="G154" s="159" t="s">
        <v>71</v>
      </c>
      <c r="H154" s="159" t="s">
        <v>71</v>
      </c>
      <c r="I154" s="159" t="s">
        <v>71</v>
      </c>
      <c r="J154" s="153" t="str">
        <f>HYPERLINK("https://yadi.sk/d/LPNom9qh3UYbM2","https://yadi.sk/d/LPNom9qh3UYbM2")</f>
        <v>https://yadi.sk/d/LPNom9qh3UYbM2</v>
      </c>
      <c r="K154" s="168" t="s">
        <v>1281</v>
      </c>
      <c r="L154" s="111" t="s">
        <v>65</v>
      </c>
      <c r="M154" s="111">
        <v>89997648473</v>
      </c>
    </row>
    <row r="155" spans="1:13" ht="12" customHeight="1">
      <c r="A155" s="22">
        <v>43208</v>
      </c>
      <c r="B155" s="155" t="s">
        <v>203</v>
      </c>
      <c r="C155" s="155" t="s">
        <v>1088</v>
      </c>
      <c r="D155" s="155" t="s">
        <v>107</v>
      </c>
      <c r="E155" s="155" t="s">
        <v>1282</v>
      </c>
      <c r="F155" s="158">
        <v>0.81597222222222221</v>
      </c>
      <c r="G155" s="159" t="s">
        <v>71</v>
      </c>
      <c r="H155" s="159" t="s">
        <v>14</v>
      </c>
      <c r="I155" s="159" t="s">
        <v>71</v>
      </c>
      <c r="J155" s="153" t="s">
        <v>1283</v>
      </c>
      <c r="K155" s="168"/>
      <c r="L155" s="111" t="s">
        <v>245</v>
      </c>
      <c r="M155" s="111" t="s">
        <v>246</v>
      </c>
    </row>
    <row r="156" spans="1:13" ht="12" customHeight="1">
      <c r="A156" s="22">
        <v>43208</v>
      </c>
      <c r="B156" s="155" t="s">
        <v>203</v>
      </c>
      <c r="C156" s="155" t="s">
        <v>874</v>
      </c>
      <c r="D156" s="155" t="s">
        <v>107</v>
      </c>
      <c r="E156" s="155" t="s">
        <v>1284</v>
      </c>
      <c r="F156" s="158">
        <v>0.82638888888888884</v>
      </c>
      <c r="G156" s="159" t="s">
        <v>14</v>
      </c>
      <c r="H156" s="159"/>
      <c r="I156" s="159"/>
      <c r="J156" s="153" t="s">
        <v>1285</v>
      </c>
      <c r="K156" s="168" t="s">
        <v>1286</v>
      </c>
      <c r="L156" s="83" t="s">
        <v>245</v>
      </c>
      <c r="M156" s="83" t="s">
        <v>246</v>
      </c>
    </row>
    <row r="157" spans="1:13" ht="12" customHeight="1">
      <c r="A157" s="22">
        <v>43208</v>
      </c>
      <c r="B157" s="155" t="s">
        <v>203</v>
      </c>
      <c r="C157" s="155" t="s">
        <v>467</v>
      </c>
      <c r="D157" s="155" t="s">
        <v>119</v>
      </c>
      <c r="E157" s="155" t="s">
        <v>1287</v>
      </c>
      <c r="F157" s="158">
        <v>0.78472222222222221</v>
      </c>
      <c r="G157" s="159" t="s">
        <v>71</v>
      </c>
      <c r="H157" s="159" t="s">
        <v>71</v>
      </c>
      <c r="I157" s="159" t="s">
        <v>71</v>
      </c>
      <c r="J157" s="153" t="s">
        <v>1288</v>
      </c>
      <c r="K157" s="165"/>
      <c r="L157" s="83" t="s">
        <v>245</v>
      </c>
      <c r="M157" s="83" t="s">
        <v>246</v>
      </c>
    </row>
    <row r="158" spans="1:13" ht="12" customHeight="1">
      <c r="A158" s="22">
        <v>43208</v>
      </c>
      <c r="B158" s="155" t="s">
        <v>203</v>
      </c>
      <c r="C158" s="155" t="s">
        <v>1298</v>
      </c>
      <c r="D158" s="155" t="s">
        <v>119</v>
      </c>
      <c r="E158" s="155" t="s">
        <v>1289</v>
      </c>
      <c r="F158" s="158">
        <v>0.79861111111111116</v>
      </c>
      <c r="G158" s="159" t="s">
        <v>14</v>
      </c>
      <c r="H158" s="159"/>
      <c r="I158" s="159"/>
      <c r="J158" s="153" t="s">
        <v>1290</v>
      </c>
      <c r="K158" s="165" t="s">
        <v>1291</v>
      </c>
      <c r="L158" s="83" t="s">
        <v>245</v>
      </c>
      <c r="M158" s="83" t="s">
        <v>246</v>
      </c>
    </row>
    <row r="159" spans="1:13" ht="13.5" customHeight="1">
      <c r="A159" s="49">
        <v>43209</v>
      </c>
      <c r="B159" s="73" t="s">
        <v>310</v>
      </c>
      <c r="C159" s="73" t="s">
        <v>482</v>
      </c>
      <c r="D159" s="73" t="s">
        <v>936</v>
      </c>
      <c r="E159" s="73" t="s">
        <v>1299</v>
      </c>
      <c r="F159" s="75">
        <v>0.77777777777777779</v>
      </c>
      <c r="G159" s="76" t="s">
        <v>71</v>
      </c>
      <c r="H159" s="76" t="s">
        <v>14</v>
      </c>
      <c r="I159" s="76" t="s">
        <v>71</v>
      </c>
      <c r="J159" s="71" t="str">
        <f>HYPERLINK("https://yadi.sk/d/YQbwDKxK3UatHE","https://yadi.sk/d/YQbwDKxK3UatHE")</f>
        <v>https://yadi.sk/d/YQbwDKxK3UatHE</v>
      </c>
      <c r="K159" s="82" t="s">
        <v>1300</v>
      </c>
      <c r="L159" s="104" t="s">
        <v>341</v>
      </c>
      <c r="M159" s="111" t="s">
        <v>342</v>
      </c>
    </row>
    <row r="160" spans="1:13" ht="13.5" customHeight="1">
      <c r="A160" s="49">
        <v>43209</v>
      </c>
      <c r="B160" s="74" t="s">
        <v>310</v>
      </c>
      <c r="C160" s="74" t="s">
        <v>1596</v>
      </c>
      <c r="D160" s="74" t="s">
        <v>936</v>
      </c>
      <c r="E160" s="74" t="s">
        <v>1301</v>
      </c>
      <c r="F160" s="77">
        <v>0.78611111111111109</v>
      </c>
      <c r="G160" s="78" t="s">
        <v>71</v>
      </c>
      <c r="H160" s="78" t="s">
        <v>14</v>
      </c>
      <c r="I160" s="78" t="s">
        <v>71</v>
      </c>
      <c r="J160" s="72" t="str">
        <f>HYPERLINK("https://yadi.sk/d/vY-NMfVw3UatHg","https://yadi.sk/d/vY-NMfVw3UatHg")</f>
        <v>https://yadi.sk/d/vY-NMfVw3UatHg</v>
      </c>
      <c r="K160" s="81"/>
      <c r="L160" s="104" t="s">
        <v>341</v>
      </c>
      <c r="M160" s="111" t="s">
        <v>342</v>
      </c>
    </row>
    <row r="161" spans="1:13" ht="13.5" customHeight="1">
      <c r="A161" s="49">
        <v>43209</v>
      </c>
      <c r="B161" s="74" t="s">
        <v>310</v>
      </c>
      <c r="C161" s="74" t="s">
        <v>1007</v>
      </c>
      <c r="D161" s="74" t="s">
        <v>936</v>
      </c>
      <c r="E161" s="74" t="s">
        <v>1301</v>
      </c>
      <c r="F161" s="77">
        <v>0.78819444444444442</v>
      </c>
      <c r="G161" s="78" t="s">
        <v>71</v>
      </c>
      <c r="H161" s="78" t="s">
        <v>14</v>
      </c>
      <c r="I161" s="78" t="s">
        <v>71</v>
      </c>
      <c r="J161" s="72" t="str">
        <f>HYPERLINK("https://yadi.sk/d/q2Kgh0ry3UatHz","https://yadi.sk/d/q2Kgh0ry3UatHz")</f>
        <v>https://yadi.sk/d/q2Kgh0ry3UatHz</v>
      </c>
      <c r="K161" s="81"/>
      <c r="L161" s="104" t="s">
        <v>341</v>
      </c>
      <c r="M161" s="111" t="s">
        <v>342</v>
      </c>
    </row>
    <row r="162" spans="1:13" ht="13.5" customHeight="1">
      <c r="A162" s="49">
        <v>43209</v>
      </c>
      <c r="B162" s="74" t="s">
        <v>310</v>
      </c>
      <c r="C162" s="74" t="s">
        <v>1604</v>
      </c>
      <c r="D162" s="74" t="s">
        <v>936</v>
      </c>
      <c r="E162" s="74" t="s">
        <v>1302</v>
      </c>
      <c r="F162" s="77">
        <v>0.79374999999999996</v>
      </c>
      <c r="G162" s="78" t="s">
        <v>71</v>
      </c>
      <c r="H162" s="78" t="s">
        <v>14</v>
      </c>
      <c r="I162" s="78" t="s">
        <v>14</v>
      </c>
      <c r="J162" s="72" t="str">
        <f>HYPERLINK("https://yadi.sk/d/Za1nf2vr3UatKc","https://yadi.sk/d/Za1nf2vr3UatKc")</f>
        <v>https://yadi.sk/d/Za1nf2vr3UatKc</v>
      </c>
      <c r="K162" s="81"/>
      <c r="L162" s="104" t="s">
        <v>341</v>
      </c>
      <c r="M162" s="111" t="s">
        <v>342</v>
      </c>
    </row>
    <row r="163" spans="1:13" ht="13.5" customHeight="1">
      <c r="A163" s="49">
        <v>43209</v>
      </c>
      <c r="B163" s="74" t="s">
        <v>68</v>
      </c>
      <c r="C163" s="74" t="s">
        <v>91</v>
      </c>
      <c r="D163" s="155" t="s">
        <v>186</v>
      </c>
      <c r="E163" s="74" t="s">
        <v>1365</v>
      </c>
      <c r="F163" s="77">
        <v>0.77083333333333337</v>
      </c>
      <c r="G163" s="78" t="s">
        <v>71</v>
      </c>
      <c r="H163" s="78" t="s">
        <v>71</v>
      </c>
      <c r="I163" s="78" t="s">
        <v>71</v>
      </c>
      <c r="J163" s="2" t="s">
        <v>309</v>
      </c>
      <c r="K163" s="81"/>
      <c r="L163" s="104" t="s">
        <v>85</v>
      </c>
      <c r="M163" s="111"/>
    </row>
    <row r="164" spans="1:13" ht="13.5" customHeight="1">
      <c r="A164" s="49">
        <v>43209</v>
      </c>
      <c r="B164" s="74" t="s">
        <v>68</v>
      </c>
      <c r="C164" s="74" t="s">
        <v>1639</v>
      </c>
      <c r="D164" s="155" t="s">
        <v>186</v>
      </c>
      <c r="E164" s="74" t="s">
        <v>1366</v>
      </c>
      <c r="F164" s="77">
        <v>0.79375000000000007</v>
      </c>
      <c r="G164" s="78" t="s">
        <v>71</v>
      </c>
      <c r="H164" s="78" t="s">
        <v>71</v>
      </c>
      <c r="I164" s="78" t="s">
        <v>71</v>
      </c>
      <c r="J164" s="2" t="s">
        <v>309</v>
      </c>
      <c r="K164" s="81"/>
      <c r="L164" s="104" t="s">
        <v>85</v>
      </c>
      <c r="M164" s="111"/>
    </row>
    <row r="165" spans="1:13" ht="13.5" customHeight="1">
      <c r="A165" s="49">
        <v>43209</v>
      </c>
      <c r="B165" s="74" t="s">
        <v>68</v>
      </c>
      <c r="C165" s="74" t="s">
        <v>308</v>
      </c>
      <c r="D165" s="155" t="s">
        <v>186</v>
      </c>
      <c r="E165" s="74" t="s">
        <v>1367</v>
      </c>
      <c r="F165" s="77">
        <v>0.81041666666666667</v>
      </c>
      <c r="G165" s="78" t="s">
        <v>71</v>
      </c>
      <c r="H165" s="78" t="s">
        <v>71</v>
      </c>
      <c r="I165" s="78" t="s">
        <v>71</v>
      </c>
      <c r="J165" s="2" t="s">
        <v>309</v>
      </c>
      <c r="K165" s="81"/>
      <c r="L165" s="104" t="s">
        <v>85</v>
      </c>
      <c r="M165" s="111"/>
    </row>
    <row r="166" spans="1:13" ht="13.5" customHeight="1">
      <c r="A166" s="49">
        <v>43209</v>
      </c>
      <c r="B166" s="74" t="s">
        <v>68</v>
      </c>
      <c r="C166" s="74" t="s">
        <v>1640</v>
      </c>
      <c r="D166" s="155" t="s">
        <v>186</v>
      </c>
      <c r="E166" s="74" t="s">
        <v>1368</v>
      </c>
      <c r="F166" s="77">
        <v>0.81666666666666676</v>
      </c>
      <c r="G166" s="78" t="s">
        <v>71</v>
      </c>
      <c r="H166" s="78" t="s">
        <v>71</v>
      </c>
      <c r="I166" s="78" t="s">
        <v>71</v>
      </c>
      <c r="J166" s="2" t="s">
        <v>309</v>
      </c>
      <c r="K166" s="81"/>
      <c r="L166" s="104" t="s">
        <v>85</v>
      </c>
      <c r="M166" s="111"/>
    </row>
    <row r="167" spans="1:13" ht="13.5" customHeight="1">
      <c r="A167" s="22">
        <v>43210</v>
      </c>
      <c r="B167" s="74" t="s">
        <v>121</v>
      </c>
      <c r="C167" s="74" t="s">
        <v>1042</v>
      </c>
      <c r="D167" s="74" t="s">
        <v>1304</v>
      </c>
      <c r="E167" s="74" t="s">
        <v>1305</v>
      </c>
      <c r="F167" s="77">
        <v>0.73055555555555551</v>
      </c>
      <c r="G167" s="78" t="s">
        <v>14</v>
      </c>
      <c r="H167" s="78"/>
      <c r="I167" s="78"/>
      <c r="J167" s="72" t="str">
        <f>HYPERLINK("https://yadi.sk/i/DbhJGFUm3Ucr5F","https://yadi.sk/i/DbhJGFUm3Ucr5F")</f>
        <v>https://yadi.sk/i/DbhJGFUm3Ucr5F</v>
      </c>
      <c r="K167" s="81" t="s">
        <v>1306</v>
      </c>
      <c r="L167" s="111" t="s">
        <v>1044</v>
      </c>
      <c r="M167" s="111">
        <v>84922531643</v>
      </c>
    </row>
    <row r="168" spans="1:13" ht="13.5" customHeight="1">
      <c r="A168" s="22">
        <v>43210</v>
      </c>
      <c r="B168" s="74" t="s">
        <v>121</v>
      </c>
      <c r="C168" s="74" t="s">
        <v>152</v>
      </c>
      <c r="D168" s="74" t="s">
        <v>904</v>
      </c>
      <c r="E168" s="74" t="s">
        <v>1307</v>
      </c>
      <c r="F168" s="77">
        <v>0.73958333333333337</v>
      </c>
      <c r="G168" s="78" t="s">
        <v>14</v>
      </c>
      <c r="H168" s="78"/>
      <c r="I168" s="78"/>
      <c r="J168" s="72" t="str">
        <f>HYPERLINK("https://yadi.sk/i/od08DBIG3Ucr5D","https://yadi.sk/i/od08DBIG3Ucr5D")</f>
        <v>https://yadi.sk/i/od08DBIG3Ucr5D</v>
      </c>
      <c r="K168" s="81" t="s">
        <v>1308</v>
      </c>
      <c r="L168" s="111" t="s">
        <v>151</v>
      </c>
      <c r="M168" s="111">
        <v>89588618343</v>
      </c>
    </row>
    <row r="169" spans="1:13" ht="13.5" customHeight="1">
      <c r="A169" s="22">
        <v>43210</v>
      </c>
      <c r="B169" s="74" t="s">
        <v>121</v>
      </c>
      <c r="C169" s="74" t="s">
        <v>1610</v>
      </c>
      <c r="D169" s="74" t="s">
        <v>857</v>
      </c>
      <c r="E169" s="74" t="s">
        <v>1309</v>
      </c>
      <c r="F169" s="77">
        <v>0.78472222222222221</v>
      </c>
      <c r="G169" s="78" t="s">
        <v>71</v>
      </c>
      <c r="H169" s="78" t="s">
        <v>71</v>
      </c>
      <c r="I169" s="78" t="s">
        <v>71</v>
      </c>
      <c r="J169" s="72" t="str">
        <f>HYPERLINK("https://yadi.sk/d/KfWzTr9K3Ucr8z","https://yadi.sk/d/KfWzTr9K3Ucr8z")</f>
        <v>https://yadi.sk/d/KfWzTr9K3Ucr8z</v>
      </c>
      <c r="K169" s="81"/>
      <c r="L169" s="111" t="s">
        <v>151</v>
      </c>
      <c r="M169" s="111">
        <v>89588618343</v>
      </c>
    </row>
    <row r="170" spans="1:13" ht="13.5" customHeight="1">
      <c r="A170" s="22">
        <v>43210</v>
      </c>
      <c r="B170" s="74" t="s">
        <v>121</v>
      </c>
      <c r="C170" s="74" t="s">
        <v>476</v>
      </c>
      <c r="D170" s="74" t="s">
        <v>857</v>
      </c>
      <c r="E170" s="74" t="s">
        <v>1310</v>
      </c>
      <c r="F170" s="77">
        <v>0.80902777777777779</v>
      </c>
      <c r="G170" s="78" t="s">
        <v>71</v>
      </c>
      <c r="H170" s="78" t="s">
        <v>71</v>
      </c>
      <c r="I170" s="78" t="s">
        <v>71</v>
      </c>
      <c r="J170" s="72" t="str">
        <f>HYPERLINK("https://yadi.sk/d/TEiwOOri3Ucr9A","https://yadi.sk/d/TEiwOOri3Ucr9A")</f>
        <v>https://yadi.sk/d/TEiwOOri3Ucr9A</v>
      </c>
      <c r="K170" s="81"/>
      <c r="L170" s="111" t="s">
        <v>1044</v>
      </c>
      <c r="M170" s="111">
        <v>84922531643</v>
      </c>
    </row>
    <row r="171" spans="1:13" ht="13.5" customHeight="1">
      <c r="A171" s="49">
        <v>43211</v>
      </c>
      <c r="B171" s="74" t="s">
        <v>254</v>
      </c>
      <c r="C171" s="74" t="s">
        <v>1633</v>
      </c>
      <c r="D171" s="74" t="s">
        <v>113</v>
      </c>
      <c r="E171" s="74" t="s">
        <v>1311</v>
      </c>
      <c r="F171" s="77">
        <v>0.73958333333333337</v>
      </c>
      <c r="G171" s="78" t="s">
        <v>14</v>
      </c>
      <c r="H171" s="78"/>
      <c r="I171" s="78"/>
      <c r="J171" s="72" t="str">
        <f>HYPERLINK("https://yadi.sk/i/FRaoVvky3Udg8N","https://yadi.sk/i/FRaoVvky3Udg8N")</f>
        <v>https://yadi.sk/i/FRaoVvky3Udg8N</v>
      </c>
      <c r="K171" s="81" t="s">
        <v>1312</v>
      </c>
      <c r="L171" s="104" t="s">
        <v>769</v>
      </c>
      <c r="M171" s="111" t="s">
        <v>770</v>
      </c>
    </row>
    <row r="172" spans="1:13" ht="13.5" customHeight="1">
      <c r="A172" s="49">
        <v>43211</v>
      </c>
      <c r="B172" s="74" t="s">
        <v>254</v>
      </c>
      <c r="C172" s="74" t="s">
        <v>572</v>
      </c>
      <c r="D172" s="74" t="s">
        <v>113</v>
      </c>
      <c r="E172" s="74" t="s">
        <v>1313</v>
      </c>
      <c r="F172" s="77">
        <v>0.74722222222222223</v>
      </c>
      <c r="G172" s="78" t="s">
        <v>14</v>
      </c>
      <c r="H172" s="78"/>
      <c r="I172" s="78"/>
      <c r="J172" s="72" t="str">
        <f>HYPERLINK("https://yadi.sk/i/lKxP54XV3UdgNB","https://yadi.sk/i/lKxP54XV3UdgNB")</f>
        <v>https://yadi.sk/i/lKxP54XV3UdgNB</v>
      </c>
      <c r="K172" s="81" t="s">
        <v>1314</v>
      </c>
      <c r="L172" s="104" t="s">
        <v>1632</v>
      </c>
      <c r="M172" s="111" t="s">
        <v>576</v>
      </c>
    </row>
    <row r="173" spans="1:13" ht="13.5" customHeight="1">
      <c r="A173" s="49">
        <v>43211</v>
      </c>
      <c r="B173" s="74" t="s">
        <v>254</v>
      </c>
      <c r="C173" s="74" t="s">
        <v>1253</v>
      </c>
      <c r="D173" s="74" t="s">
        <v>1236</v>
      </c>
      <c r="E173" s="74" t="s">
        <v>1315</v>
      </c>
      <c r="F173" s="77">
        <v>0.77986111111111112</v>
      </c>
      <c r="G173" s="78" t="s">
        <v>14</v>
      </c>
      <c r="H173" s="78"/>
      <c r="I173" s="78"/>
      <c r="J173" s="72" t="str">
        <f>HYPERLINK("https://yadi.sk/i/w-q4XbiH3UdgmM","https://yadi.sk/i/w-q4XbiH3UdgmM")</f>
        <v>https://yadi.sk/i/w-q4XbiH3UdgmM</v>
      </c>
      <c r="K173" s="81" t="s">
        <v>1316</v>
      </c>
      <c r="L173" s="104" t="s">
        <v>1254</v>
      </c>
      <c r="M173" s="111" t="s">
        <v>1255</v>
      </c>
    </row>
    <row r="174" spans="1:13" ht="13.5" customHeight="1">
      <c r="A174" s="49">
        <v>43211</v>
      </c>
      <c r="B174" s="74" t="s">
        <v>254</v>
      </c>
      <c r="C174" s="74" t="s">
        <v>1251</v>
      </c>
      <c r="D174" s="74" t="s">
        <v>119</v>
      </c>
      <c r="E174" s="74" t="s">
        <v>1317</v>
      </c>
      <c r="F174" s="77">
        <v>0.78888888888888886</v>
      </c>
      <c r="G174" s="78" t="s">
        <v>14</v>
      </c>
      <c r="H174" s="78"/>
      <c r="I174" s="78"/>
      <c r="J174" s="72" t="str">
        <f>HYPERLINK("https://yadi.sk/i/q2SYIfC93Udh3u","https://yadi.sk/i/q2SYIfC93Udh3u")</f>
        <v>https://yadi.sk/i/q2SYIfC93Udh3u</v>
      </c>
      <c r="K174" s="81" t="s">
        <v>1318</v>
      </c>
      <c r="L174" s="104" t="s">
        <v>292</v>
      </c>
      <c r="M174" s="111" t="s">
        <v>771</v>
      </c>
    </row>
    <row r="175" spans="1:13" ht="13.5" customHeight="1">
      <c r="A175" s="49">
        <v>43211</v>
      </c>
      <c r="B175" s="74" t="s">
        <v>161</v>
      </c>
      <c r="C175" s="74" t="s">
        <v>1628</v>
      </c>
      <c r="D175" s="74" t="s">
        <v>1319</v>
      </c>
      <c r="E175" s="74" t="s">
        <v>1320</v>
      </c>
      <c r="F175" s="77">
        <v>0.73611111111111116</v>
      </c>
      <c r="G175" s="78" t="s">
        <v>71</v>
      </c>
      <c r="H175" s="78" t="s">
        <v>71</v>
      </c>
      <c r="I175" s="78" t="s">
        <v>71</v>
      </c>
      <c r="J175" s="72" t="str">
        <f>HYPERLINK("https://yadi.sk/d/mfXV7d9F3UdhfR","https://yadi.sk/d/mfXV7d9F3UdhfR")</f>
        <v>https://yadi.sk/d/mfXV7d9F3UdhfR</v>
      </c>
      <c r="K175" s="81"/>
      <c r="L175" s="104" t="s">
        <v>570</v>
      </c>
      <c r="M175" s="111">
        <v>89534771666</v>
      </c>
    </row>
    <row r="176" spans="1:13" ht="13.5" customHeight="1">
      <c r="A176" s="49">
        <v>43211</v>
      </c>
      <c r="B176" s="74" t="s">
        <v>393</v>
      </c>
      <c r="C176" s="74" t="s">
        <v>1622</v>
      </c>
      <c r="D176" s="74" t="s">
        <v>1321</v>
      </c>
      <c r="E176" s="74" t="s">
        <v>1322</v>
      </c>
      <c r="F176" s="77">
        <v>0.81597222222222221</v>
      </c>
      <c r="G176" s="78" t="s">
        <v>14</v>
      </c>
      <c r="H176" s="78"/>
      <c r="I176" s="78"/>
      <c r="J176" s="72" t="s">
        <v>1323</v>
      </c>
      <c r="K176" s="81" t="s">
        <v>718</v>
      </c>
      <c r="L176" s="104" t="s">
        <v>776</v>
      </c>
      <c r="M176" s="111" t="s">
        <v>777</v>
      </c>
    </row>
    <row r="177" spans="1:13" ht="13.5" customHeight="1">
      <c r="A177" s="49">
        <v>43211</v>
      </c>
      <c r="B177" s="74" t="s">
        <v>393</v>
      </c>
      <c r="C177" s="74" t="s">
        <v>772</v>
      </c>
      <c r="D177" s="74" t="s">
        <v>1321</v>
      </c>
      <c r="E177" s="74" t="s">
        <v>1324</v>
      </c>
      <c r="F177" s="77">
        <v>0.83333333333333337</v>
      </c>
      <c r="G177" s="78" t="s">
        <v>14</v>
      </c>
      <c r="H177" s="78"/>
      <c r="I177" s="78"/>
      <c r="J177" s="72" t="s">
        <v>1325</v>
      </c>
      <c r="K177" s="81" t="s">
        <v>1326</v>
      </c>
      <c r="L177" s="104" t="s">
        <v>776</v>
      </c>
      <c r="M177" s="111" t="s">
        <v>777</v>
      </c>
    </row>
    <row r="178" spans="1:13" ht="13.5" customHeight="1">
      <c r="A178" s="49">
        <v>43211</v>
      </c>
      <c r="B178" s="74" t="s">
        <v>393</v>
      </c>
      <c r="C178" s="74" t="s">
        <v>833</v>
      </c>
      <c r="D178" s="74" t="s">
        <v>186</v>
      </c>
      <c r="E178" s="74" t="s">
        <v>1327</v>
      </c>
      <c r="F178" s="77">
        <v>0.7993055555555556</v>
      </c>
      <c r="G178" s="78" t="s">
        <v>71</v>
      </c>
      <c r="H178" s="78" t="s">
        <v>71</v>
      </c>
      <c r="I178" s="78" t="s">
        <v>71</v>
      </c>
      <c r="J178" s="72" t="s">
        <v>1328</v>
      </c>
      <c r="K178" s="81" t="s">
        <v>1329</v>
      </c>
      <c r="L178" s="104" t="s">
        <v>474</v>
      </c>
      <c r="M178" s="111" t="s">
        <v>475</v>
      </c>
    </row>
    <row r="179" spans="1:13" ht="13.5" customHeight="1">
      <c r="A179" s="49">
        <v>43211</v>
      </c>
      <c r="B179" s="74" t="s">
        <v>97</v>
      </c>
      <c r="C179" s="74" t="s">
        <v>1003</v>
      </c>
      <c r="D179" s="74" t="s">
        <v>1046</v>
      </c>
      <c r="E179" s="74" t="s">
        <v>1330</v>
      </c>
      <c r="F179" s="77">
        <v>0.78888888888888886</v>
      </c>
      <c r="G179" s="78" t="s">
        <v>71</v>
      </c>
      <c r="H179" s="78" t="s">
        <v>71</v>
      </c>
      <c r="I179" s="78" t="s">
        <v>71</v>
      </c>
      <c r="J179" s="72" t="s">
        <v>1331</v>
      </c>
      <c r="K179" s="81"/>
      <c r="L179" s="104" t="s">
        <v>142</v>
      </c>
      <c r="M179" s="111" t="s">
        <v>143</v>
      </c>
    </row>
    <row r="180" spans="1:13" ht="13.5" customHeight="1">
      <c r="A180" s="49">
        <v>43211</v>
      </c>
      <c r="B180" s="74" t="s">
        <v>97</v>
      </c>
      <c r="C180" s="74" t="s">
        <v>579</v>
      </c>
      <c r="D180" s="74" t="s">
        <v>1046</v>
      </c>
      <c r="E180" s="74" t="s">
        <v>1332</v>
      </c>
      <c r="F180" s="77">
        <v>0.76041666666666663</v>
      </c>
      <c r="G180" s="78" t="s">
        <v>71</v>
      </c>
      <c r="H180" s="78" t="s">
        <v>71</v>
      </c>
      <c r="I180" s="78" t="s">
        <v>71</v>
      </c>
      <c r="J180" s="72" t="s">
        <v>1333</v>
      </c>
      <c r="K180" s="81"/>
      <c r="L180" s="104" t="s">
        <v>142</v>
      </c>
      <c r="M180" s="111" t="s">
        <v>143</v>
      </c>
    </row>
    <row r="181" spans="1:13" ht="13.5" customHeight="1">
      <c r="A181" s="49">
        <v>43211</v>
      </c>
      <c r="B181" s="74" t="s">
        <v>97</v>
      </c>
      <c r="C181" s="74" t="s">
        <v>1136</v>
      </c>
      <c r="D181" s="74" t="s">
        <v>1046</v>
      </c>
      <c r="E181" s="74" t="s">
        <v>1334</v>
      </c>
      <c r="F181" s="77">
        <v>0.75694444444444442</v>
      </c>
      <c r="G181" s="78" t="s">
        <v>14</v>
      </c>
      <c r="H181" s="78"/>
      <c r="I181" s="78"/>
      <c r="J181" s="72" t="s">
        <v>1335</v>
      </c>
      <c r="K181" s="81" t="s">
        <v>1336</v>
      </c>
      <c r="L181" s="104" t="s">
        <v>1084</v>
      </c>
      <c r="M181" s="111" t="s">
        <v>1085</v>
      </c>
    </row>
    <row r="182" spans="1:13" ht="13.5" customHeight="1">
      <c r="A182" s="49">
        <v>43211</v>
      </c>
      <c r="B182" s="74" t="s">
        <v>97</v>
      </c>
      <c r="C182" s="74" t="s">
        <v>1630</v>
      </c>
      <c r="D182" s="74" t="s">
        <v>1046</v>
      </c>
      <c r="E182" s="74" t="s">
        <v>1337</v>
      </c>
      <c r="F182" s="77">
        <v>0.77083333333333337</v>
      </c>
      <c r="G182" s="78" t="s">
        <v>14</v>
      </c>
      <c r="H182" s="78"/>
      <c r="I182" s="78"/>
      <c r="J182" s="72" t="s">
        <v>1338</v>
      </c>
      <c r="K182" s="81" t="s">
        <v>1339</v>
      </c>
      <c r="L182" s="104" t="s">
        <v>1084</v>
      </c>
      <c r="M182" s="111" t="s">
        <v>1085</v>
      </c>
    </row>
    <row r="183" spans="1:13" ht="13.5" customHeight="1">
      <c r="A183" s="176">
        <v>43212</v>
      </c>
      <c r="B183" s="73" t="s">
        <v>189</v>
      </c>
      <c r="C183" s="73" t="s">
        <v>1611</v>
      </c>
      <c r="D183" s="73" t="s">
        <v>22</v>
      </c>
      <c r="E183" s="73" t="s">
        <v>1065</v>
      </c>
      <c r="F183" s="75">
        <v>0.75694444444444442</v>
      </c>
      <c r="G183" s="76" t="s">
        <v>14</v>
      </c>
      <c r="H183" s="76"/>
      <c r="I183" s="76"/>
      <c r="J183" s="71" t="s">
        <v>1340</v>
      </c>
      <c r="K183" s="82" t="s">
        <v>1341</v>
      </c>
      <c r="L183" s="111" t="s">
        <v>250</v>
      </c>
      <c r="M183" s="111">
        <v>89204228666</v>
      </c>
    </row>
    <row r="184" spans="1:13" ht="13.5" customHeight="1">
      <c r="A184" s="176">
        <v>43212</v>
      </c>
      <c r="B184" s="74" t="s">
        <v>189</v>
      </c>
      <c r="C184" s="74" t="s">
        <v>1241</v>
      </c>
      <c r="D184" s="74" t="s">
        <v>107</v>
      </c>
      <c r="E184" s="74" t="s">
        <v>1342</v>
      </c>
      <c r="F184" s="77">
        <v>0.80208333333333337</v>
      </c>
      <c r="G184" s="78" t="s">
        <v>14</v>
      </c>
      <c r="H184" s="78"/>
      <c r="I184" s="78"/>
      <c r="J184" s="72" t="s">
        <v>1343</v>
      </c>
      <c r="K184" s="81" t="s">
        <v>1344</v>
      </c>
      <c r="L184" s="111" t="s">
        <v>799</v>
      </c>
      <c r="M184" s="111">
        <v>89204077318</v>
      </c>
    </row>
    <row r="185" spans="1:13" ht="13.5" customHeight="1">
      <c r="A185" s="176">
        <v>43212</v>
      </c>
      <c r="B185" s="74" t="s">
        <v>189</v>
      </c>
      <c r="C185" s="74" t="s">
        <v>1195</v>
      </c>
      <c r="D185" s="74" t="s">
        <v>107</v>
      </c>
      <c r="E185" s="74" t="s">
        <v>1345</v>
      </c>
      <c r="F185" s="77">
        <v>0.8354166666666667</v>
      </c>
      <c r="G185" s="78" t="s">
        <v>71</v>
      </c>
      <c r="H185" s="78" t="s">
        <v>71</v>
      </c>
      <c r="I185" s="78" t="s">
        <v>71</v>
      </c>
      <c r="J185" s="72" t="s">
        <v>1346</v>
      </c>
      <c r="K185" s="81"/>
      <c r="L185" s="111" t="s">
        <v>1242</v>
      </c>
      <c r="M185" s="111" t="s">
        <v>565</v>
      </c>
    </row>
    <row r="186" spans="1:13" ht="13.5" customHeight="1">
      <c r="A186" s="206">
        <v>43212</v>
      </c>
      <c r="B186" s="205" t="s">
        <v>174</v>
      </c>
      <c r="C186" s="205" t="s">
        <v>1629</v>
      </c>
      <c r="D186" s="171" t="s">
        <v>1347</v>
      </c>
      <c r="E186" s="74" t="s">
        <v>1348</v>
      </c>
      <c r="F186" s="77">
        <v>0.55902777777777779</v>
      </c>
      <c r="G186" s="78" t="s">
        <v>14</v>
      </c>
      <c r="H186" s="78"/>
      <c r="I186" s="78"/>
      <c r="J186" s="72" t="str">
        <f>HYPERLINK("https://yadi.sk/i/wGflujPJ3UfYF6","https://yadi.sk/i/wGflujPJ3UfYF6")</f>
        <v>https://yadi.sk/i/wGflujPJ3UfYF6</v>
      </c>
      <c r="K186" s="81" t="s">
        <v>1349</v>
      </c>
      <c r="L186" s="104" t="s">
        <v>238</v>
      </c>
      <c r="M186" s="111">
        <v>89043682092</v>
      </c>
    </row>
    <row r="187" spans="1:13" ht="13.5" customHeight="1">
      <c r="A187" s="206">
        <v>43212</v>
      </c>
      <c r="B187" s="205" t="s">
        <v>174</v>
      </c>
      <c r="C187" s="205" t="s">
        <v>1350</v>
      </c>
      <c r="D187" s="74" t="s">
        <v>1351</v>
      </c>
      <c r="E187" s="74" t="s">
        <v>1352</v>
      </c>
      <c r="F187" s="77">
        <v>0.6875</v>
      </c>
      <c r="G187" s="78" t="s">
        <v>71</v>
      </c>
      <c r="H187" s="78" t="s">
        <v>71</v>
      </c>
      <c r="I187" s="78" t="s">
        <v>71</v>
      </c>
      <c r="J187" s="72" t="str">
        <f>HYPERLINK("https://yadi.sk/d/tqqppNo53UfYiE","https://yadi.sk/d/tqqppNo53UfYiE")</f>
        <v>https://yadi.sk/d/tqqppNo53UfYiE</v>
      </c>
      <c r="K187" s="81"/>
      <c r="L187" s="104" t="s">
        <v>796</v>
      </c>
      <c r="M187" s="111">
        <v>89585696061</v>
      </c>
    </row>
    <row r="188" spans="1:13" ht="13.5" customHeight="1">
      <c r="A188" s="206">
        <v>43212</v>
      </c>
      <c r="B188" s="205" t="s">
        <v>174</v>
      </c>
      <c r="C188" s="205" t="s">
        <v>1353</v>
      </c>
      <c r="D188" s="74" t="s">
        <v>1354</v>
      </c>
      <c r="E188" s="172">
        <v>42638</v>
      </c>
      <c r="F188" s="77">
        <v>0.82777777777777772</v>
      </c>
      <c r="G188" s="78" t="s">
        <v>71</v>
      </c>
      <c r="H188" s="78" t="s">
        <v>71</v>
      </c>
      <c r="I188" s="78" t="s">
        <v>71</v>
      </c>
      <c r="J188" s="72" t="str">
        <f>HYPERLINK("https://yadi.sk/d/VeBB0rBj3UfYjg","https://yadi.sk/d/VeBB0rBj3UfYjg")</f>
        <v>https://yadi.sk/d/VeBB0rBj3UfYjg</v>
      </c>
      <c r="K188" s="81"/>
      <c r="L188" s="104" t="s">
        <v>236</v>
      </c>
      <c r="M188" s="111" t="s">
        <v>237</v>
      </c>
    </row>
    <row r="189" spans="1:13" ht="13.5" customHeight="1">
      <c r="A189" s="206">
        <v>43212</v>
      </c>
      <c r="B189" s="205" t="s">
        <v>174</v>
      </c>
      <c r="C189" s="205" t="s">
        <v>1355</v>
      </c>
      <c r="D189" s="74" t="s">
        <v>1354</v>
      </c>
      <c r="E189" s="173">
        <v>43368</v>
      </c>
      <c r="F189" s="77">
        <v>0.75</v>
      </c>
      <c r="G189" s="78" t="s">
        <v>71</v>
      </c>
      <c r="H189" s="78" t="s">
        <v>71</v>
      </c>
      <c r="I189" s="78" t="s">
        <v>71</v>
      </c>
      <c r="J189" s="72" t="str">
        <f>HYPERLINK("https://yadi.sk/d/DAbMGK143UfYkq","https://yadi.sk/d/DAbMGK143UfYkq")</f>
        <v>https://yadi.sk/d/DAbMGK143UfYkq</v>
      </c>
      <c r="K189" s="81"/>
      <c r="L189" s="104" t="s">
        <v>236</v>
      </c>
      <c r="M189" s="111" t="s">
        <v>237</v>
      </c>
    </row>
    <row r="190" spans="1:13" ht="13.5" customHeight="1">
      <c r="A190" s="176">
        <v>43212</v>
      </c>
      <c r="B190" s="74" t="s">
        <v>24</v>
      </c>
      <c r="C190" s="74" t="s">
        <v>848</v>
      </c>
      <c r="D190" s="74" t="s">
        <v>1303</v>
      </c>
      <c r="E190" s="74" t="s">
        <v>1356</v>
      </c>
      <c r="F190" s="77">
        <v>0.79166666666666663</v>
      </c>
      <c r="G190" s="78" t="s">
        <v>14</v>
      </c>
      <c r="H190" s="78"/>
      <c r="I190" s="78"/>
      <c r="J190" s="72" t="str">
        <f>HYPERLINK("https://yadi.sk/i/pqleEteF3UfZAS","https://yadi.sk/i/pqleEteF3UfZAS")</f>
        <v>https://yadi.sk/i/pqleEteF3UfZAS</v>
      </c>
      <c r="K190" s="81" t="s">
        <v>1357</v>
      </c>
      <c r="L190" s="104" t="s">
        <v>1620</v>
      </c>
      <c r="M190" s="111">
        <v>89081211555</v>
      </c>
    </row>
    <row r="191" spans="1:13" ht="13.5" customHeight="1">
      <c r="A191" s="176">
        <v>43212</v>
      </c>
      <c r="B191" s="74" t="s">
        <v>927</v>
      </c>
      <c r="C191" s="74" t="s">
        <v>121</v>
      </c>
      <c r="D191" s="74" t="s">
        <v>1358</v>
      </c>
      <c r="E191" s="74" t="s">
        <v>1359</v>
      </c>
      <c r="F191" s="77">
        <v>0.64652777777777781</v>
      </c>
      <c r="G191" s="78" t="s">
        <v>14</v>
      </c>
      <c r="H191" s="78"/>
      <c r="I191" s="78"/>
      <c r="J191" s="72" t="str">
        <f t="shared" ref="J191:J192" si="1">HYPERLINK("https://yadi.sk/i/0cIZ1g4t3UfZyz","https://yadi.sk/i/0cIZ1g4t3UfZyz")</f>
        <v>https://yadi.sk/i/0cIZ1g4t3UfZyz</v>
      </c>
      <c r="K191" s="81" t="s">
        <v>1360</v>
      </c>
      <c r="L191" s="104"/>
      <c r="M191" s="111"/>
    </row>
    <row r="192" spans="1:13" ht="13.5" customHeight="1">
      <c r="A192" s="176">
        <v>43212</v>
      </c>
      <c r="B192" s="74" t="s">
        <v>927</v>
      </c>
      <c r="C192" s="74" t="s">
        <v>884</v>
      </c>
      <c r="D192" s="74" t="s">
        <v>1358</v>
      </c>
      <c r="E192" s="74" t="s">
        <v>1359</v>
      </c>
      <c r="F192" s="77">
        <v>0.64652777777777781</v>
      </c>
      <c r="G192" s="78" t="s">
        <v>14</v>
      </c>
      <c r="H192" s="78"/>
      <c r="I192" s="78"/>
      <c r="J192" s="72" t="str">
        <f t="shared" si="1"/>
        <v>https://yadi.sk/i/0cIZ1g4t3UfZyz</v>
      </c>
      <c r="K192" s="81" t="s">
        <v>1361</v>
      </c>
      <c r="L192" s="104"/>
      <c r="M192" s="111"/>
    </row>
    <row r="193" spans="1:13" ht="13.5" customHeight="1">
      <c r="A193" s="176">
        <v>43212</v>
      </c>
      <c r="B193" s="74" t="s">
        <v>927</v>
      </c>
      <c r="C193" s="74" t="s">
        <v>657</v>
      </c>
      <c r="D193" s="74" t="s">
        <v>1362</v>
      </c>
      <c r="E193" s="74" t="s">
        <v>1363</v>
      </c>
      <c r="F193" s="77">
        <v>0.67500000000000004</v>
      </c>
      <c r="G193" s="78" t="s">
        <v>14</v>
      </c>
      <c r="H193" s="78"/>
      <c r="I193" s="78"/>
      <c r="J193" s="72" t="str">
        <f>HYPERLINK("https://yadi.sk/i/o2hAqdEZ3UfZz5","https://yadi.sk/i/o2hAqdEZ3UfZz5")</f>
        <v>https://yadi.sk/i/o2hAqdEZ3UfZz5</v>
      </c>
      <c r="K193" s="81" t="s">
        <v>1364</v>
      </c>
      <c r="L193" s="104"/>
      <c r="M193" s="111"/>
    </row>
    <row r="194" spans="1:13" ht="14.25" customHeight="1">
      <c r="A194" s="49">
        <v>43213</v>
      </c>
      <c r="B194" s="180" t="s">
        <v>97</v>
      </c>
      <c r="C194" s="180" t="s">
        <v>156</v>
      </c>
      <c r="D194" s="180" t="s">
        <v>1046</v>
      </c>
      <c r="E194" s="180" t="s">
        <v>1369</v>
      </c>
      <c r="F194" s="182">
        <v>0.76388888888888884</v>
      </c>
      <c r="G194" s="183" t="s">
        <v>14</v>
      </c>
      <c r="H194" s="183"/>
      <c r="I194" s="183"/>
      <c r="J194" s="178" t="s">
        <v>1370</v>
      </c>
      <c r="K194" s="207" t="s">
        <v>1371</v>
      </c>
      <c r="L194" s="104" t="s">
        <v>142</v>
      </c>
      <c r="M194" s="111" t="s">
        <v>143</v>
      </c>
    </row>
    <row r="195" spans="1:13" ht="14.25" customHeight="1">
      <c r="A195" s="49">
        <v>43213</v>
      </c>
      <c r="B195" s="181" t="s">
        <v>97</v>
      </c>
      <c r="C195" s="181" t="s">
        <v>1002</v>
      </c>
      <c r="D195" s="181" t="s">
        <v>1046</v>
      </c>
      <c r="E195" s="181" t="s">
        <v>1372</v>
      </c>
      <c r="F195" s="184">
        <v>0.78125</v>
      </c>
      <c r="G195" s="185" t="s">
        <v>71</v>
      </c>
      <c r="H195" s="185" t="s">
        <v>71</v>
      </c>
      <c r="I195" s="185" t="s">
        <v>71</v>
      </c>
      <c r="J195" s="179" t="s">
        <v>1373</v>
      </c>
      <c r="K195" s="208"/>
      <c r="L195" s="104" t="s">
        <v>142</v>
      </c>
      <c r="M195" s="111" t="s">
        <v>143</v>
      </c>
    </row>
    <row r="196" spans="1:13" ht="14.25" customHeight="1">
      <c r="A196" s="49">
        <v>43213</v>
      </c>
      <c r="B196" s="181" t="s">
        <v>97</v>
      </c>
      <c r="C196" s="181" t="s">
        <v>1083</v>
      </c>
      <c r="D196" s="181" t="s">
        <v>1046</v>
      </c>
      <c r="E196" s="181" t="s">
        <v>1374</v>
      </c>
      <c r="F196" s="184">
        <v>0.76736111111111116</v>
      </c>
      <c r="G196" s="185" t="s">
        <v>14</v>
      </c>
      <c r="H196" s="185"/>
      <c r="I196" s="185"/>
      <c r="J196" s="179" t="s">
        <v>1375</v>
      </c>
      <c r="K196" s="208" t="s">
        <v>1376</v>
      </c>
      <c r="L196" s="104" t="s">
        <v>1084</v>
      </c>
      <c r="M196" s="111" t="s">
        <v>1085</v>
      </c>
    </row>
    <row r="197" spans="1:13" ht="14.25" customHeight="1">
      <c r="A197" s="49">
        <v>43213</v>
      </c>
      <c r="B197" s="181" t="s">
        <v>97</v>
      </c>
      <c r="C197" s="181" t="s">
        <v>1630</v>
      </c>
      <c r="D197" s="181" t="s">
        <v>1046</v>
      </c>
      <c r="E197" s="181" t="s">
        <v>1377</v>
      </c>
      <c r="F197" s="184">
        <v>0.75486111111111109</v>
      </c>
      <c r="G197" s="185" t="s">
        <v>14</v>
      </c>
      <c r="H197" s="185"/>
      <c r="I197" s="185"/>
      <c r="J197" s="179" t="s">
        <v>1378</v>
      </c>
      <c r="K197" s="208" t="s">
        <v>1379</v>
      </c>
      <c r="L197" s="104" t="s">
        <v>1084</v>
      </c>
      <c r="M197" s="111" t="s">
        <v>1085</v>
      </c>
    </row>
    <row r="198" spans="1:13" ht="14.25" customHeight="1">
      <c r="A198" s="49">
        <v>43213</v>
      </c>
      <c r="B198" s="181" t="s">
        <v>393</v>
      </c>
      <c r="C198" s="181" t="s">
        <v>1623</v>
      </c>
      <c r="D198" s="181" t="s">
        <v>186</v>
      </c>
      <c r="E198" s="181" t="s">
        <v>1380</v>
      </c>
      <c r="F198" s="184">
        <v>0.81944444444444442</v>
      </c>
      <c r="G198" s="185" t="s">
        <v>71</v>
      </c>
      <c r="H198" s="185" t="s">
        <v>71</v>
      </c>
      <c r="I198" s="185" t="s">
        <v>71</v>
      </c>
      <c r="J198" s="179" t="s">
        <v>1381</v>
      </c>
      <c r="K198" s="208"/>
      <c r="L198" s="104" t="s">
        <v>1015</v>
      </c>
      <c r="M198" s="111" t="s">
        <v>1016</v>
      </c>
    </row>
    <row r="199" spans="1:13" ht="14.25" customHeight="1">
      <c r="A199" s="49">
        <v>43213</v>
      </c>
      <c r="B199" s="181" t="s">
        <v>393</v>
      </c>
      <c r="C199" s="181" t="s">
        <v>1624</v>
      </c>
      <c r="D199" s="181" t="s">
        <v>186</v>
      </c>
      <c r="E199" s="181" t="s">
        <v>1382</v>
      </c>
      <c r="F199" s="184">
        <v>0.82638888888888884</v>
      </c>
      <c r="G199" s="185" t="s">
        <v>71</v>
      </c>
      <c r="H199" s="185" t="s">
        <v>71</v>
      </c>
      <c r="I199" s="185" t="s">
        <v>71</v>
      </c>
      <c r="J199" s="179" t="s">
        <v>1383</v>
      </c>
      <c r="K199" s="208"/>
      <c r="L199" s="104" t="s">
        <v>1015</v>
      </c>
      <c r="M199" s="111" t="s">
        <v>1016</v>
      </c>
    </row>
    <row r="200" spans="1:13" ht="14.25" customHeight="1">
      <c r="A200" s="49">
        <v>43213</v>
      </c>
      <c r="B200" s="181" t="s">
        <v>393</v>
      </c>
      <c r="C200" s="181" t="s">
        <v>1625</v>
      </c>
      <c r="D200" s="181" t="s">
        <v>186</v>
      </c>
      <c r="E200" s="181" t="s">
        <v>1384</v>
      </c>
      <c r="F200" s="184">
        <v>0.81597222222222221</v>
      </c>
      <c r="G200" s="185" t="s">
        <v>71</v>
      </c>
      <c r="H200" s="185" t="s">
        <v>71</v>
      </c>
      <c r="I200" s="185" t="s">
        <v>71</v>
      </c>
      <c r="J200" s="179" t="s">
        <v>1385</v>
      </c>
      <c r="K200" s="208"/>
      <c r="L200" s="104" t="s">
        <v>1015</v>
      </c>
      <c r="M200" s="111" t="s">
        <v>1016</v>
      </c>
    </row>
    <row r="201" spans="1:13" ht="14.25" customHeight="1">
      <c r="A201" s="49">
        <v>43213</v>
      </c>
      <c r="B201" s="181" t="s">
        <v>393</v>
      </c>
      <c r="C201" s="181" t="s">
        <v>1626</v>
      </c>
      <c r="D201" s="181" t="s">
        <v>186</v>
      </c>
      <c r="E201" s="181" t="s">
        <v>1386</v>
      </c>
      <c r="F201" s="184">
        <v>0.79652777777777772</v>
      </c>
      <c r="G201" s="185" t="s">
        <v>14</v>
      </c>
      <c r="H201" s="185"/>
      <c r="I201" s="185"/>
      <c r="J201" s="179" t="s">
        <v>1387</v>
      </c>
      <c r="K201" s="208" t="s">
        <v>1388</v>
      </c>
      <c r="L201" s="104" t="s">
        <v>1015</v>
      </c>
      <c r="M201" s="111" t="s">
        <v>1016</v>
      </c>
    </row>
    <row r="202" spans="1:13" ht="14.25" customHeight="1">
      <c r="A202" s="49">
        <v>43213</v>
      </c>
      <c r="B202" s="181" t="s">
        <v>218</v>
      </c>
      <c r="C202" s="181" t="s">
        <v>1249</v>
      </c>
      <c r="D202" s="181" t="s">
        <v>427</v>
      </c>
      <c r="E202" s="181" t="s">
        <v>1389</v>
      </c>
      <c r="F202" s="184">
        <v>0.79374999999999996</v>
      </c>
      <c r="G202" s="185" t="s">
        <v>71</v>
      </c>
      <c r="H202" s="185" t="s">
        <v>71</v>
      </c>
      <c r="I202" s="185" t="s">
        <v>71</v>
      </c>
      <c r="J202" s="179" t="s">
        <v>1390</v>
      </c>
      <c r="K202" s="208"/>
      <c r="L202" s="104" t="s">
        <v>1250</v>
      </c>
      <c r="M202" s="111">
        <v>89191920292</v>
      </c>
    </row>
    <row r="203" spans="1:13" ht="14.25" customHeight="1">
      <c r="A203" s="49">
        <v>43213</v>
      </c>
      <c r="B203" s="181" t="s">
        <v>218</v>
      </c>
      <c r="C203" s="181" t="s">
        <v>1588</v>
      </c>
      <c r="D203" s="181" t="s">
        <v>427</v>
      </c>
      <c r="E203" s="181" t="s">
        <v>1391</v>
      </c>
      <c r="F203" s="184">
        <v>0.79722222222222228</v>
      </c>
      <c r="G203" s="185" t="s">
        <v>71</v>
      </c>
      <c r="H203" s="185" t="s">
        <v>14</v>
      </c>
      <c r="I203" s="185" t="s">
        <v>71</v>
      </c>
      <c r="J203" s="179" t="s">
        <v>1392</v>
      </c>
      <c r="K203" s="208"/>
      <c r="L203" s="104" t="s">
        <v>1250</v>
      </c>
      <c r="M203" s="111">
        <v>89191920292</v>
      </c>
    </row>
    <row r="204" spans="1:13" ht="14.25" customHeight="1">
      <c r="A204" s="49">
        <v>43213</v>
      </c>
      <c r="B204" s="181" t="s">
        <v>218</v>
      </c>
      <c r="C204" s="181" t="s">
        <v>1587</v>
      </c>
      <c r="D204" s="181" t="s">
        <v>427</v>
      </c>
      <c r="E204" s="181" t="s">
        <v>1393</v>
      </c>
      <c r="F204" s="184">
        <v>0.81944444444444442</v>
      </c>
      <c r="G204" s="185" t="s">
        <v>71</v>
      </c>
      <c r="H204" s="185" t="s">
        <v>14</v>
      </c>
      <c r="I204" s="185" t="s">
        <v>71</v>
      </c>
      <c r="J204" s="179" t="s">
        <v>1394</v>
      </c>
      <c r="K204" s="208"/>
      <c r="L204" s="104" t="s">
        <v>488</v>
      </c>
      <c r="M204" s="111">
        <v>89803020082</v>
      </c>
    </row>
    <row r="205" spans="1:13" ht="14.25" customHeight="1">
      <c r="A205" s="49">
        <v>43213</v>
      </c>
      <c r="B205" s="181" t="s">
        <v>218</v>
      </c>
      <c r="C205" s="181" t="s">
        <v>660</v>
      </c>
      <c r="D205" s="181" t="s">
        <v>544</v>
      </c>
      <c r="E205" s="181" t="s">
        <v>1395</v>
      </c>
      <c r="F205" s="184">
        <v>0.80555555555555558</v>
      </c>
      <c r="G205" s="185" t="s">
        <v>71</v>
      </c>
      <c r="H205" s="185" t="s">
        <v>71</v>
      </c>
      <c r="I205" s="185" t="s">
        <v>71</v>
      </c>
      <c r="J205" s="179" t="s">
        <v>1396</v>
      </c>
      <c r="K205" s="208"/>
      <c r="L205" s="104" t="s">
        <v>488</v>
      </c>
      <c r="M205" s="111">
        <v>89803020082</v>
      </c>
    </row>
    <row r="206" spans="1:13" ht="14.25" customHeight="1">
      <c r="A206" s="49">
        <v>43213</v>
      </c>
      <c r="B206" s="181" t="s">
        <v>130</v>
      </c>
      <c r="C206" s="181" t="s">
        <v>612</v>
      </c>
      <c r="D206" s="181" t="s">
        <v>383</v>
      </c>
      <c r="E206" s="181" t="s">
        <v>1397</v>
      </c>
      <c r="F206" s="184">
        <v>0.79374999999999996</v>
      </c>
      <c r="G206" s="185" t="s">
        <v>71</v>
      </c>
      <c r="H206" s="185" t="s">
        <v>14</v>
      </c>
      <c r="I206" s="185" t="s">
        <v>71</v>
      </c>
      <c r="J206" s="179" t="s">
        <v>1398</v>
      </c>
      <c r="K206" s="208"/>
      <c r="L206" s="104" t="s">
        <v>139</v>
      </c>
      <c r="M206" s="111" t="s">
        <v>1618</v>
      </c>
    </row>
    <row r="207" spans="1:13" ht="14.25" customHeight="1">
      <c r="A207" s="49">
        <v>43213</v>
      </c>
      <c r="B207" s="181" t="s">
        <v>130</v>
      </c>
      <c r="C207" s="181" t="s">
        <v>1243</v>
      </c>
      <c r="D207" s="181" t="s">
        <v>383</v>
      </c>
      <c r="E207" s="181" t="s">
        <v>1399</v>
      </c>
      <c r="F207" s="184">
        <v>0.8125</v>
      </c>
      <c r="G207" s="185" t="s">
        <v>71</v>
      </c>
      <c r="H207" s="185" t="s">
        <v>71</v>
      </c>
      <c r="I207" s="185" t="s">
        <v>71</v>
      </c>
      <c r="J207" s="179" t="s">
        <v>1400</v>
      </c>
      <c r="K207" s="208"/>
      <c r="L207" s="104" t="s">
        <v>139</v>
      </c>
      <c r="M207" s="111" t="s">
        <v>1618</v>
      </c>
    </row>
    <row r="208" spans="1:13" ht="14.25" customHeight="1">
      <c r="A208" s="49">
        <v>43213</v>
      </c>
      <c r="B208" s="181" t="s">
        <v>130</v>
      </c>
      <c r="C208" s="181" t="s">
        <v>613</v>
      </c>
      <c r="D208" s="181" t="s">
        <v>383</v>
      </c>
      <c r="E208" s="181" t="s">
        <v>1401</v>
      </c>
      <c r="F208" s="184">
        <v>0.83333333333333337</v>
      </c>
      <c r="G208" s="185" t="s">
        <v>71</v>
      </c>
      <c r="H208" s="185" t="s">
        <v>71</v>
      </c>
      <c r="I208" s="185" t="s">
        <v>71</v>
      </c>
      <c r="J208" s="179" t="s">
        <v>1402</v>
      </c>
      <c r="K208" s="208"/>
      <c r="L208" s="104" t="s">
        <v>139</v>
      </c>
      <c r="M208" s="111" t="s">
        <v>1618</v>
      </c>
    </row>
    <row r="209" spans="1:13" ht="14.25" customHeight="1">
      <c r="A209" s="49">
        <v>43213</v>
      </c>
      <c r="B209" s="181" t="s">
        <v>130</v>
      </c>
      <c r="C209" s="181" t="s">
        <v>1004</v>
      </c>
      <c r="D209" s="181" t="s">
        <v>383</v>
      </c>
      <c r="E209" s="181" t="s">
        <v>1403</v>
      </c>
      <c r="F209" s="184">
        <v>0.81597222222222221</v>
      </c>
      <c r="G209" s="185" t="s">
        <v>71</v>
      </c>
      <c r="H209" s="185" t="s">
        <v>71</v>
      </c>
      <c r="I209" s="185" t="s">
        <v>71</v>
      </c>
      <c r="J209" s="179" t="s">
        <v>1404</v>
      </c>
      <c r="K209" s="208"/>
      <c r="L209" s="104" t="s">
        <v>139</v>
      </c>
      <c r="M209" s="111" t="s">
        <v>1618</v>
      </c>
    </row>
    <row r="210" spans="1:13" ht="14.25" customHeight="1">
      <c r="A210" s="49">
        <v>43213</v>
      </c>
      <c r="B210" s="181" t="s">
        <v>279</v>
      </c>
      <c r="C210" s="181" t="s">
        <v>1615</v>
      </c>
      <c r="D210" s="181" t="s">
        <v>186</v>
      </c>
      <c r="E210" s="181" t="s">
        <v>1405</v>
      </c>
      <c r="F210" s="184">
        <v>0.82361111111111107</v>
      </c>
      <c r="G210" s="185" t="s">
        <v>71</v>
      </c>
      <c r="H210" s="185" t="s">
        <v>71</v>
      </c>
      <c r="I210" s="185" t="s">
        <v>71</v>
      </c>
      <c r="J210" s="179" t="s">
        <v>1406</v>
      </c>
      <c r="K210" s="208" t="s">
        <v>1407</v>
      </c>
      <c r="L210" s="104" t="s">
        <v>1614</v>
      </c>
      <c r="M210" s="111">
        <v>89105140404</v>
      </c>
    </row>
    <row r="211" spans="1:13" ht="14.25" customHeight="1">
      <c r="A211" s="49">
        <v>43213</v>
      </c>
      <c r="B211" s="181" t="s">
        <v>279</v>
      </c>
      <c r="C211" s="181" t="s">
        <v>1616</v>
      </c>
      <c r="D211" s="181" t="s">
        <v>186</v>
      </c>
      <c r="E211" s="181" t="s">
        <v>1408</v>
      </c>
      <c r="F211" s="184">
        <v>0.8305555555555556</v>
      </c>
      <c r="G211" s="185" t="s">
        <v>71</v>
      </c>
      <c r="H211" s="185" t="s">
        <v>71</v>
      </c>
      <c r="I211" s="185" t="s">
        <v>71</v>
      </c>
      <c r="J211" s="179" t="s">
        <v>1409</v>
      </c>
      <c r="K211" s="208"/>
      <c r="L211" s="104" t="s">
        <v>1614</v>
      </c>
      <c r="M211" s="111">
        <v>89105140404</v>
      </c>
    </row>
    <row r="212" spans="1:13" ht="14.25" customHeight="1">
      <c r="A212" s="49">
        <v>43213</v>
      </c>
      <c r="B212" s="181" t="s">
        <v>279</v>
      </c>
      <c r="C212" s="181" t="s">
        <v>1614</v>
      </c>
      <c r="D212" s="181" t="s">
        <v>186</v>
      </c>
      <c r="E212" s="181" t="s">
        <v>1410</v>
      </c>
      <c r="F212" s="184">
        <v>0.83611111111111114</v>
      </c>
      <c r="G212" s="185" t="s">
        <v>71</v>
      </c>
      <c r="H212" s="185" t="s">
        <v>71</v>
      </c>
      <c r="I212" s="185" t="s">
        <v>71</v>
      </c>
      <c r="J212" s="179" t="s">
        <v>1411</v>
      </c>
      <c r="K212" s="208"/>
      <c r="L212" s="104" t="s">
        <v>1614</v>
      </c>
      <c r="M212" s="111">
        <v>89105140404</v>
      </c>
    </row>
    <row r="213" spans="1:13" ht="14.25" customHeight="1">
      <c r="A213" s="49">
        <v>43213</v>
      </c>
      <c r="B213" s="181" t="s">
        <v>279</v>
      </c>
      <c r="C213" s="181" t="s">
        <v>1617</v>
      </c>
      <c r="D213" s="181" t="s">
        <v>186</v>
      </c>
      <c r="E213" s="181" t="s">
        <v>1412</v>
      </c>
      <c r="F213" s="184">
        <v>0.81944444444444442</v>
      </c>
      <c r="G213" s="185" t="s">
        <v>71</v>
      </c>
      <c r="H213" s="185" t="s">
        <v>14</v>
      </c>
      <c r="I213" s="185" t="s">
        <v>71</v>
      </c>
      <c r="J213" s="179" t="s">
        <v>1413</v>
      </c>
      <c r="K213" s="208" t="s">
        <v>1414</v>
      </c>
      <c r="L213" s="104" t="s">
        <v>1614</v>
      </c>
      <c r="M213" s="111">
        <v>89105140404</v>
      </c>
    </row>
    <row r="214" spans="1:13" ht="14.25" customHeight="1">
      <c r="A214" s="49">
        <v>43213</v>
      </c>
      <c r="B214" s="181" t="s">
        <v>254</v>
      </c>
      <c r="C214" s="181" t="s">
        <v>1634</v>
      </c>
      <c r="D214" s="181" t="s">
        <v>113</v>
      </c>
      <c r="E214" s="181" t="s">
        <v>1415</v>
      </c>
      <c r="F214" s="184">
        <v>0.73263888888888884</v>
      </c>
      <c r="G214" s="185" t="s">
        <v>71</v>
      </c>
      <c r="H214" s="185" t="s">
        <v>71</v>
      </c>
      <c r="I214" s="185" t="s">
        <v>71</v>
      </c>
      <c r="J214" s="179" t="str">
        <f>HYPERLINK("https://yadi.sk/d/8L3sTlXk3UhxHu","https://yadi.sk/d/8L3sTlXk3UhxHu")</f>
        <v>https://yadi.sk/d/8L3sTlXk3UhxHu</v>
      </c>
      <c r="K214" s="208"/>
      <c r="L214" s="104" t="s">
        <v>1632</v>
      </c>
      <c r="M214" s="111" t="s">
        <v>576</v>
      </c>
    </row>
    <row r="215" spans="1:13" ht="14.25" customHeight="1">
      <c r="A215" s="49">
        <v>43213</v>
      </c>
      <c r="B215" s="181" t="s">
        <v>254</v>
      </c>
      <c r="C215" s="181" t="s">
        <v>573</v>
      </c>
      <c r="D215" s="181" t="s">
        <v>1233</v>
      </c>
      <c r="E215" s="181" t="s">
        <v>1416</v>
      </c>
      <c r="F215" s="184">
        <v>0.77430555555555558</v>
      </c>
      <c r="G215" s="185" t="s">
        <v>71</v>
      </c>
      <c r="H215" s="185" t="s">
        <v>14</v>
      </c>
      <c r="I215" s="185" t="s">
        <v>71</v>
      </c>
      <c r="J215" s="179" t="str">
        <f>HYPERLINK("https://yadi.sk/d/UJmBWBjx3UhxGc","https://yadi.sk/d/UJmBWBjx3UhxGc")</f>
        <v>https://yadi.sk/d/UJmBWBjx3UhxGc</v>
      </c>
      <c r="K215" s="208" t="s">
        <v>1417</v>
      </c>
      <c r="L215" s="104" t="s">
        <v>1632</v>
      </c>
      <c r="M215" s="111" t="s">
        <v>576</v>
      </c>
    </row>
    <row r="216" spans="1:13" ht="14.25" customHeight="1">
      <c r="A216" s="49">
        <v>43213</v>
      </c>
      <c r="B216" s="181" t="s">
        <v>254</v>
      </c>
      <c r="C216" s="181" t="s">
        <v>1251</v>
      </c>
      <c r="D216" s="181" t="s">
        <v>119</v>
      </c>
      <c r="E216" s="181" t="s">
        <v>1418</v>
      </c>
      <c r="F216" s="184">
        <v>0.79166666666666663</v>
      </c>
      <c r="G216" s="185" t="s">
        <v>71</v>
      </c>
      <c r="H216" s="185" t="s">
        <v>14</v>
      </c>
      <c r="I216" s="185" t="s">
        <v>71</v>
      </c>
      <c r="J216" s="179" t="str">
        <f>HYPERLINK("https://yadi.sk/d/exoUERed3UhxF9","https://yadi.sk/d/exoUERed3UhxF9")</f>
        <v>https://yadi.sk/d/exoUERed3UhxF9</v>
      </c>
      <c r="K216" s="208"/>
      <c r="L216" s="104" t="s">
        <v>292</v>
      </c>
      <c r="M216" s="111" t="s">
        <v>771</v>
      </c>
    </row>
    <row r="217" spans="1:13" ht="14.25" customHeight="1">
      <c r="A217" s="49">
        <v>43213</v>
      </c>
      <c r="B217" s="181" t="s">
        <v>254</v>
      </c>
      <c r="C217" s="181" t="s">
        <v>1253</v>
      </c>
      <c r="D217" s="181" t="s">
        <v>1419</v>
      </c>
      <c r="E217" s="181" t="s">
        <v>1420</v>
      </c>
      <c r="F217" s="184">
        <v>0.81805555555555554</v>
      </c>
      <c r="G217" s="185" t="s">
        <v>14</v>
      </c>
      <c r="H217" s="185"/>
      <c r="I217" s="185"/>
      <c r="J217" s="179" t="str">
        <f>HYPERLINK("https://yadi.sk/i/ODW12EWG3UhwzF","https://yadi.sk/i/ODW12EWG3UhwzF")</f>
        <v>https://yadi.sk/i/ODW12EWG3UhwzF</v>
      </c>
      <c r="K217" s="208" t="s">
        <v>1421</v>
      </c>
      <c r="L217" s="104" t="s">
        <v>1254</v>
      </c>
      <c r="M217" s="111" t="s">
        <v>1255</v>
      </c>
    </row>
    <row r="218" spans="1:13" ht="14.25" customHeight="1">
      <c r="A218" s="49">
        <v>43213</v>
      </c>
      <c r="B218" s="181" t="s">
        <v>161</v>
      </c>
      <c r="C218" s="83" t="s">
        <v>1627</v>
      </c>
      <c r="D218" s="181" t="s">
        <v>1122</v>
      </c>
      <c r="E218" s="181" t="s">
        <v>1422</v>
      </c>
      <c r="F218" s="184">
        <v>0.76875000000000004</v>
      </c>
      <c r="G218" s="185" t="s">
        <v>71</v>
      </c>
      <c r="H218" s="185" t="s">
        <v>14</v>
      </c>
      <c r="I218" s="185" t="s">
        <v>71</v>
      </c>
      <c r="J218" s="179" t="str">
        <f>HYPERLINK("https://yadi.sk/d/iJ2WDqB23Uhwtr","https://yadi.sk/d/iJ2WDqB23Uhwtr")</f>
        <v>https://yadi.sk/d/iJ2WDqB23Uhwtr</v>
      </c>
      <c r="K218" s="208"/>
      <c r="L218" s="104" t="s">
        <v>570</v>
      </c>
      <c r="M218" s="111">
        <v>89534771666</v>
      </c>
    </row>
    <row r="219" spans="1:13" ht="14.25" customHeight="1">
      <c r="A219" s="49">
        <v>43213</v>
      </c>
      <c r="B219" s="181" t="s">
        <v>24</v>
      </c>
      <c r="C219" s="181" t="s">
        <v>846</v>
      </c>
      <c r="D219" s="181" t="s">
        <v>658</v>
      </c>
      <c r="E219" s="181" t="s">
        <v>1423</v>
      </c>
      <c r="F219" s="184">
        <v>0.80277777777777781</v>
      </c>
      <c r="G219" s="185" t="s">
        <v>71</v>
      </c>
      <c r="H219" s="185" t="s">
        <v>71</v>
      </c>
      <c r="I219" s="185" t="s">
        <v>71</v>
      </c>
      <c r="J219" s="179" t="str">
        <f>HYPERLINK("https://yadi.sk/d/cByTkZb13UhwWc","https://yadi.sk/d/cByTkZb13UhwWc")</f>
        <v>https://yadi.sk/d/cByTkZb13UhwWc</v>
      </c>
      <c r="K219" s="208"/>
      <c r="L219" s="104" t="s">
        <v>1011</v>
      </c>
      <c r="M219" s="111">
        <v>89103188508</v>
      </c>
    </row>
    <row r="220" spans="1:13" ht="14.25" customHeight="1">
      <c r="A220" s="49">
        <v>43213</v>
      </c>
      <c r="B220" s="181" t="s">
        <v>24</v>
      </c>
      <c r="C220" s="181" t="s">
        <v>847</v>
      </c>
      <c r="D220" s="181" t="s">
        <v>658</v>
      </c>
      <c r="E220" s="181" t="s">
        <v>1423</v>
      </c>
      <c r="F220" s="184">
        <v>0.80625000000000002</v>
      </c>
      <c r="G220" s="185" t="s">
        <v>71</v>
      </c>
      <c r="H220" s="185" t="s">
        <v>71</v>
      </c>
      <c r="I220" s="185" t="s">
        <v>71</v>
      </c>
      <c r="J220" s="179" t="str">
        <f>HYPERLINK("https://yadi.sk/d/AUKLHhrU3UhwcC","https://yadi.sk/d/AUKLHhrU3UhwcC")</f>
        <v>https://yadi.sk/d/AUKLHhrU3UhwcC</v>
      </c>
      <c r="K220" s="208"/>
      <c r="L220" s="104" t="s">
        <v>1011</v>
      </c>
      <c r="M220" s="111">
        <v>89103188508</v>
      </c>
    </row>
    <row r="221" spans="1:13" ht="14.25" customHeight="1">
      <c r="A221" s="49">
        <v>43213</v>
      </c>
      <c r="B221" s="181" t="s">
        <v>24</v>
      </c>
      <c r="C221" s="181" t="s">
        <v>844</v>
      </c>
      <c r="D221" s="181" t="s">
        <v>658</v>
      </c>
      <c r="E221" s="181" t="s">
        <v>1423</v>
      </c>
      <c r="F221" s="184">
        <v>0.80902777777777779</v>
      </c>
      <c r="G221" s="185" t="s">
        <v>71</v>
      </c>
      <c r="H221" s="185" t="s">
        <v>71</v>
      </c>
      <c r="I221" s="185" t="s">
        <v>71</v>
      </c>
      <c r="J221" s="179" t="str">
        <f>HYPERLINK("https://yadi.sk/d/YgGpQiAk3Uhwk7","https://yadi.sk/d/YgGpQiAk3Uhwk7")</f>
        <v>https://yadi.sk/d/YgGpQiAk3Uhwk7</v>
      </c>
      <c r="K221" s="208"/>
      <c r="L221" s="104" t="s">
        <v>1011</v>
      </c>
      <c r="M221" s="111">
        <v>89103188508</v>
      </c>
    </row>
    <row r="222" spans="1:13" ht="12.75" customHeight="1">
      <c r="A222" s="52">
        <v>43215</v>
      </c>
      <c r="B222" s="73" t="s">
        <v>24</v>
      </c>
      <c r="C222" s="73" t="s">
        <v>846</v>
      </c>
      <c r="D222" s="73" t="s">
        <v>658</v>
      </c>
      <c r="E222" s="73" t="s">
        <v>1424</v>
      </c>
      <c r="F222" s="75">
        <v>0.79166666666666663</v>
      </c>
      <c r="G222" s="76" t="s">
        <v>71</v>
      </c>
      <c r="H222" s="76" t="s">
        <v>71</v>
      </c>
      <c r="I222" s="76" t="s">
        <v>71</v>
      </c>
      <c r="J222" s="71" t="str">
        <f>HYPERLINK("https://yadi.sk/d/YL5NB4GJ3Unupi","https://yadi.sk/d/YL5NB4GJ3Unupi")</f>
        <v>https://yadi.sk/d/YL5NB4GJ3Unupi</v>
      </c>
      <c r="K222" s="82"/>
      <c r="L222" s="104" t="s">
        <v>1011</v>
      </c>
      <c r="M222" s="111">
        <v>89103188508</v>
      </c>
    </row>
    <row r="223" spans="1:13" ht="12.75" customHeight="1">
      <c r="A223" s="52">
        <v>43215</v>
      </c>
      <c r="B223" s="74" t="s">
        <v>24</v>
      </c>
      <c r="C223" s="74" t="s">
        <v>844</v>
      </c>
      <c r="D223" s="74" t="s">
        <v>658</v>
      </c>
      <c r="E223" s="74" t="s">
        <v>1424</v>
      </c>
      <c r="F223" s="77">
        <v>0.79513888888888884</v>
      </c>
      <c r="G223" s="78" t="s">
        <v>71</v>
      </c>
      <c r="H223" s="78" t="s">
        <v>71</v>
      </c>
      <c r="I223" s="78" t="s">
        <v>71</v>
      </c>
      <c r="J223" s="72" t="str">
        <f>HYPERLINK("https://yadi.sk/d/F3rfim0R3Unvk7","https://yadi.sk/d/F3rfim0R3Unvk7")</f>
        <v>https://yadi.sk/d/F3rfim0R3Unvk7</v>
      </c>
      <c r="K223" s="81"/>
      <c r="L223" s="104" t="s">
        <v>1011</v>
      </c>
      <c r="M223" s="111">
        <v>89103188508</v>
      </c>
    </row>
    <row r="224" spans="1:13" ht="12.75" customHeight="1">
      <c r="A224" s="52">
        <v>43215</v>
      </c>
      <c r="B224" s="74" t="s">
        <v>24</v>
      </c>
      <c r="C224" s="144" t="s">
        <v>1621</v>
      </c>
      <c r="D224" s="74" t="s">
        <v>658</v>
      </c>
      <c r="E224" s="74" t="s">
        <v>1424</v>
      </c>
      <c r="F224" s="77">
        <v>0.79861111111111116</v>
      </c>
      <c r="G224" s="78" t="s">
        <v>71</v>
      </c>
      <c r="H224" s="78" t="s">
        <v>71</v>
      </c>
      <c r="I224" s="78" t="s">
        <v>71</v>
      </c>
      <c r="J224" s="72" t="str">
        <f>HYPERLINK("https://yadi.sk/d/M8r6tyHj3UnvxB","https://yadi.sk/d/M8r6tyHj3UnvxB")</f>
        <v>https://yadi.sk/d/M8r6tyHj3UnvxB</v>
      </c>
      <c r="K224" s="81"/>
      <c r="L224" s="104" t="s">
        <v>1011</v>
      </c>
      <c r="M224" s="111">
        <v>89103188508</v>
      </c>
    </row>
    <row r="225" spans="1:13" ht="12.75" customHeight="1">
      <c r="A225" s="52">
        <v>43215</v>
      </c>
      <c r="B225" s="74" t="s">
        <v>24</v>
      </c>
      <c r="C225" s="74" t="s">
        <v>847</v>
      </c>
      <c r="D225" s="74" t="s">
        <v>658</v>
      </c>
      <c r="E225" s="74" t="s">
        <v>1424</v>
      </c>
      <c r="F225" s="77">
        <v>0.80069444444444449</v>
      </c>
      <c r="G225" s="78" t="s">
        <v>71</v>
      </c>
      <c r="H225" s="78" t="s">
        <v>71</v>
      </c>
      <c r="I225" s="78" t="s">
        <v>71</v>
      </c>
      <c r="J225" s="72" t="str">
        <f>HYPERLINK("https://yadi.sk/d/9l_u7-hk3Unw8t","https://yadi.sk/d/9l_u7-hk3Unw8t")</f>
        <v>https://yadi.sk/d/9l_u7-hk3Unw8t</v>
      </c>
      <c r="K225" s="81" t="s">
        <v>1425</v>
      </c>
      <c r="L225" s="104" t="s">
        <v>1011</v>
      </c>
      <c r="M225" s="111">
        <v>89103188508</v>
      </c>
    </row>
    <row r="226" spans="1:13" ht="12.75" customHeight="1">
      <c r="A226" s="52">
        <v>43215</v>
      </c>
      <c r="B226" s="74" t="s">
        <v>34</v>
      </c>
      <c r="C226" s="74" t="s">
        <v>976</v>
      </c>
      <c r="D226" s="74" t="s">
        <v>186</v>
      </c>
      <c r="E226" s="74" t="s">
        <v>1426</v>
      </c>
      <c r="F226" s="77">
        <v>0.79861111111111116</v>
      </c>
      <c r="G226" s="78" t="s">
        <v>71</v>
      </c>
      <c r="H226" s="78" t="s">
        <v>71</v>
      </c>
      <c r="I226" s="78" t="s">
        <v>71</v>
      </c>
      <c r="J226" s="72" t="str">
        <f>HYPERLINK("https://yadi.sk/d/BOPSTtOE3Unwok","https://yadi.sk/d/BOPSTtOE3Unwok")</f>
        <v>https://yadi.sk/d/BOPSTtOE3Unwok</v>
      </c>
      <c r="K226" s="81" t="s">
        <v>1427</v>
      </c>
      <c r="L226" s="104" t="s">
        <v>65</v>
      </c>
      <c r="M226" s="111">
        <v>89997648473</v>
      </c>
    </row>
    <row r="227" spans="1:13" ht="12.75" customHeight="1">
      <c r="A227" s="52">
        <v>43215</v>
      </c>
      <c r="B227" s="74" t="s">
        <v>34</v>
      </c>
      <c r="C227" s="74" t="s">
        <v>1428</v>
      </c>
      <c r="D227" s="74" t="s">
        <v>186</v>
      </c>
      <c r="E227" s="74" t="s">
        <v>1426</v>
      </c>
      <c r="F227" s="77">
        <v>0.80208333333333337</v>
      </c>
      <c r="G227" s="78" t="s">
        <v>71</v>
      </c>
      <c r="H227" s="78" t="s">
        <v>71</v>
      </c>
      <c r="I227" s="78" t="s">
        <v>71</v>
      </c>
      <c r="J227" s="72" t="str">
        <f>HYPERLINK("https://yadi.sk/d/mQvdhMDf3UnwwR","https://yadi.sk/d/mQvdhMDf3UnwwR")</f>
        <v>https://yadi.sk/d/mQvdhMDf3UnwwR</v>
      </c>
      <c r="K227" s="81"/>
      <c r="L227" s="104" t="s">
        <v>797</v>
      </c>
      <c r="M227" s="111">
        <v>89206346464</v>
      </c>
    </row>
    <row r="228" spans="1:13" ht="12.75" customHeight="1">
      <c r="A228" s="52">
        <v>43215</v>
      </c>
      <c r="B228" s="74" t="s">
        <v>34</v>
      </c>
      <c r="C228" s="74" t="s">
        <v>1429</v>
      </c>
      <c r="D228" s="74" t="s">
        <v>186</v>
      </c>
      <c r="E228" s="74" t="s">
        <v>1430</v>
      </c>
      <c r="F228" s="77">
        <v>0.80694444444444446</v>
      </c>
      <c r="G228" s="78" t="s">
        <v>71</v>
      </c>
      <c r="H228" s="78" t="s">
        <v>71</v>
      </c>
      <c r="I228" s="78" t="s">
        <v>71</v>
      </c>
      <c r="J228" s="72" t="str">
        <f>HYPERLINK("https://yadi.sk/d/p_YnP5uy3UnxLP","https://yadi.sk/d/p_YnP5uy3UnxLP")</f>
        <v>https://yadi.sk/d/p_YnP5uy3UnxLP</v>
      </c>
      <c r="K228" s="81"/>
      <c r="L228" s="104" t="s">
        <v>1135</v>
      </c>
      <c r="M228" s="111">
        <v>89056920537</v>
      </c>
    </row>
    <row r="229" spans="1:13" ht="12.75" customHeight="1">
      <c r="A229" s="52">
        <v>43215</v>
      </c>
      <c r="B229" s="74" t="s">
        <v>34</v>
      </c>
      <c r="C229" s="74" t="s">
        <v>1431</v>
      </c>
      <c r="D229" s="74" t="s">
        <v>186</v>
      </c>
      <c r="E229" s="74" t="s">
        <v>1432</v>
      </c>
      <c r="F229" s="77">
        <v>0.83333333333333337</v>
      </c>
      <c r="G229" s="78" t="s">
        <v>71</v>
      </c>
      <c r="H229" s="78" t="s">
        <v>71</v>
      </c>
      <c r="I229" s="78" t="s">
        <v>71</v>
      </c>
      <c r="J229" s="72" t="str">
        <f>HYPERLINK("https://yadi.sk/d/reCOalBF3UnxgH","https://yadi.sk/d/reCOalBF3UnxgH")</f>
        <v>https://yadi.sk/d/reCOalBF3UnxgH</v>
      </c>
      <c r="K229" s="81"/>
      <c r="L229" s="104" t="s">
        <v>65</v>
      </c>
      <c r="M229" s="111">
        <v>89997648473</v>
      </c>
    </row>
    <row r="230" spans="1:13" ht="12.75" customHeight="1">
      <c r="A230" s="52">
        <v>43215</v>
      </c>
      <c r="B230" s="74" t="s">
        <v>121</v>
      </c>
      <c r="C230" s="74" t="s">
        <v>476</v>
      </c>
      <c r="D230" s="74" t="s">
        <v>857</v>
      </c>
      <c r="E230" s="74" t="s">
        <v>1433</v>
      </c>
      <c r="F230" s="77">
        <v>0.78819444444444442</v>
      </c>
      <c r="G230" s="78" t="s">
        <v>71</v>
      </c>
      <c r="H230" s="78" t="s">
        <v>71</v>
      </c>
      <c r="I230" s="78" t="s">
        <v>71</v>
      </c>
      <c r="J230" s="72" t="str">
        <f>HYPERLINK("https://yadi.sk/d/rLF8kHam3UnxpV","https://yadi.sk/d/rLF8kHam3UnxpV")</f>
        <v>https://yadi.sk/d/rLF8kHam3UnxpV</v>
      </c>
      <c r="K230" s="81" t="s">
        <v>1434</v>
      </c>
      <c r="L230" s="111" t="s">
        <v>1044</v>
      </c>
      <c r="M230" s="111">
        <v>89005844050</v>
      </c>
    </row>
    <row r="231" spans="1:13" ht="12.75" customHeight="1">
      <c r="A231" s="52">
        <v>43215</v>
      </c>
      <c r="B231" s="74" t="s">
        <v>121</v>
      </c>
      <c r="C231" s="94" t="s">
        <v>1603</v>
      </c>
      <c r="D231" s="74" t="s">
        <v>1435</v>
      </c>
      <c r="E231" s="74" t="s">
        <v>1436</v>
      </c>
      <c r="F231" s="193">
        <v>0.8125</v>
      </c>
      <c r="G231" s="78" t="s">
        <v>71</v>
      </c>
      <c r="H231" s="78" t="s">
        <v>71</v>
      </c>
      <c r="I231" s="78" t="s">
        <v>71</v>
      </c>
      <c r="J231" s="72" t="str">
        <f>HYPERLINK("https://yadi.sk/d/1zyLs4FQ3UnyQL","https://yadi.sk/d/1zyLs4FQ3UnyQL")</f>
        <v>https://yadi.sk/d/1zyLs4FQ3UnyQL</v>
      </c>
      <c r="K231" s="80"/>
      <c r="L231" s="111" t="s">
        <v>151</v>
      </c>
      <c r="M231" s="111">
        <v>89588618343</v>
      </c>
    </row>
    <row r="232" spans="1:13" ht="12.75" customHeight="1">
      <c r="A232" s="52">
        <v>43215</v>
      </c>
      <c r="B232" s="74" t="s">
        <v>121</v>
      </c>
      <c r="C232" s="74" t="s">
        <v>152</v>
      </c>
      <c r="D232" s="74" t="s">
        <v>1435</v>
      </c>
      <c r="E232" s="74" t="s">
        <v>1436</v>
      </c>
      <c r="F232" s="77">
        <v>0.81597222222222221</v>
      </c>
      <c r="G232" s="78" t="s">
        <v>71</v>
      </c>
      <c r="H232" s="78" t="s">
        <v>71</v>
      </c>
      <c r="I232" s="78" t="s">
        <v>71</v>
      </c>
      <c r="J232" s="72" t="str">
        <f>HYPERLINK("https://yadi.sk/d/CdKtM6Wy3UnySE","https://yadi.sk/d/CdKtM6Wy3UnySE")</f>
        <v>https://yadi.sk/d/CdKtM6Wy3UnySE</v>
      </c>
      <c r="K232" s="81"/>
      <c r="L232" s="111" t="s">
        <v>151</v>
      </c>
      <c r="M232" s="111">
        <v>89588618343</v>
      </c>
    </row>
    <row r="233" spans="1:13" ht="12.75" customHeight="1">
      <c r="A233" s="52">
        <v>43215</v>
      </c>
      <c r="B233" s="74" t="s">
        <v>121</v>
      </c>
      <c r="C233" s="74" t="s">
        <v>1042</v>
      </c>
      <c r="D233" s="74" t="s">
        <v>940</v>
      </c>
      <c r="E233" s="74" t="s">
        <v>1437</v>
      </c>
      <c r="F233" s="77">
        <v>0.84305555555555556</v>
      </c>
      <c r="G233" s="78" t="s">
        <v>14</v>
      </c>
      <c r="H233" s="78"/>
      <c r="I233" s="78"/>
      <c r="J233" s="72" t="str">
        <f>HYPERLINK("https://yadi.sk/i/qbReNEiT3UnynW","https://yadi.sk/i/qbReNEiT3UnynW")</f>
        <v>https://yadi.sk/i/qbReNEiT3UnynW</v>
      </c>
      <c r="K233" s="81" t="s">
        <v>1438</v>
      </c>
      <c r="L233" s="111" t="s">
        <v>1044</v>
      </c>
      <c r="M233" s="111">
        <v>89005844050</v>
      </c>
    </row>
    <row r="234" spans="1:13" ht="12.75" customHeight="1">
      <c r="A234" s="52">
        <v>43215</v>
      </c>
      <c r="B234" s="74" t="s">
        <v>203</v>
      </c>
      <c r="C234" s="74" t="s">
        <v>1636</v>
      </c>
      <c r="D234" s="74" t="s">
        <v>119</v>
      </c>
      <c r="E234" s="74" t="s">
        <v>1439</v>
      </c>
      <c r="F234" s="77">
        <v>0.8125</v>
      </c>
      <c r="G234" s="78" t="s">
        <v>14</v>
      </c>
      <c r="H234" s="78"/>
      <c r="I234" s="78"/>
      <c r="J234" s="72" t="s">
        <v>1440</v>
      </c>
      <c r="K234" s="81" t="s">
        <v>1441</v>
      </c>
      <c r="L234" s="111" t="s">
        <v>245</v>
      </c>
      <c r="M234" s="111" t="s">
        <v>246</v>
      </c>
    </row>
    <row r="235" spans="1:13" ht="12.75" customHeight="1">
      <c r="A235" s="52">
        <v>43215</v>
      </c>
      <c r="B235" s="74" t="s">
        <v>203</v>
      </c>
      <c r="C235" s="74" t="s">
        <v>1637</v>
      </c>
      <c r="D235" s="74" t="s">
        <v>116</v>
      </c>
      <c r="E235" s="74" t="s">
        <v>1442</v>
      </c>
      <c r="F235" s="77">
        <v>0.84375</v>
      </c>
      <c r="G235" s="78" t="s">
        <v>71</v>
      </c>
      <c r="H235" s="78" t="s">
        <v>71</v>
      </c>
      <c r="I235" s="78" t="s">
        <v>71</v>
      </c>
      <c r="J235" s="72" t="s">
        <v>1443</v>
      </c>
      <c r="K235" s="81"/>
      <c r="L235" s="111" t="s">
        <v>1638</v>
      </c>
      <c r="M235" s="111">
        <v>89109484749</v>
      </c>
    </row>
    <row r="236" spans="1:13" ht="12.75" customHeight="1">
      <c r="A236" s="52">
        <v>43215</v>
      </c>
      <c r="B236" s="74" t="s">
        <v>203</v>
      </c>
      <c r="C236" s="74" t="s">
        <v>889</v>
      </c>
      <c r="D236" s="74" t="s">
        <v>119</v>
      </c>
      <c r="E236" s="74" t="s">
        <v>1444</v>
      </c>
      <c r="F236" s="77">
        <v>0.78194444444444444</v>
      </c>
      <c r="G236" s="78" t="s">
        <v>71</v>
      </c>
      <c r="H236" s="78" t="s">
        <v>71</v>
      </c>
      <c r="I236" s="78" t="s">
        <v>71</v>
      </c>
      <c r="J236" s="72" t="s">
        <v>1445</v>
      </c>
      <c r="K236" s="81"/>
      <c r="L236" s="111" t="s">
        <v>470</v>
      </c>
      <c r="M236" s="111">
        <v>89109484749</v>
      </c>
    </row>
    <row r="237" spans="1:13" ht="12.75" customHeight="1">
      <c r="A237" s="52">
        <v>43215</v>
      </c>
      <c r="B237" s="74" t="s">
        <v>203</v>
      </c>
      <c r="C237" s="74" t="s">
        <v>1583</v>
      </c>
      <c r="D237" s="74" t="s">
        <v>119</v>
      </c>
      <c r="E237" s="74" t="s">
        <v>1446</v>
      </c>
      <c r="F237" s="77">
        <v>0.79166666666666663</v>
      </c>
      <c r="G237" s="78" t="s">
        <v>14</v>
      </c>
      <c r="H237" s="78"/>
      <c r="I237" s="78"/>
      <c r="J237" s="72" t="s">
        <v>1447</v>
      </c>
      <c r="K237" s="81" t="s">
        <v>1448</v>
      </c>
      <c r="L237" s="111" t="s">
        <v>611</v>
      </c>
      <c r="M237" s="111">
        <v>89585707077</v>
      </c>
    </row>
    <row r="238" spans="1:13" ht="12.75" customHeight="1">
      <c r="A238" s="49">
        <v>43216</v>
      </c>
      <c r="B238" s="74" t="s">
        <v>189</v>
      </c>
      <c r="C238" s="74" t="s">
        <v>463</v>
      </c>
      <c r="D238" s="74" t="s">
        <v>186</v>
      </c>
      <c r="E238" s="74" t="s">
        <v>1449</v>
      </c>
      <c r="F238" s="77">
        <v>0.83333333333333337</v>
      </c>
      <c r="G238" s="78" t="s">
        <v>14</v>
      </c>
      <c r="H238" s="78"/>
      <c r="I238" s="78"/>
      <c r="J238" s="72" t="s">
        <v>1450</v>
      </c>
      <c r="K238" s="81" t="s">
        <v>1451</v>
      </c>
      <c r="L238" s="111" t="s">
        <v>466</v>
      </c>
      <c r="M238" s="111">
        <v>89204191919</v>
      </c>
    </row>
    <row r="239" spans="1:13" ht="12.75" customHeight="1">
      <c r="A239" s="49">
        <v>43216</v>
      </c>
      <c r="B239" s="74" t="s">
        <v>189</v>
      </c>
      <c r="C239" s="74" t="s">
        <v>1270</v>
      </c>
      <c r="D239" s="74" t="s">
        <v>186</v>
      </c>
      <c r="E239" s="74" t="s">
        <v>1452</v>
      </c>
      <c r="F239" s="77">
        <v>0.81944444444444442</v>
      </c>
      <c r="G239" s="78" t="s">
        <v>71</v>
      </c>
      <c r="H239" s="78" t="s">
        <v>14</v>
      </c>
      <c r="I239" s="78" t="s">
        <v>71</v>
      </c>
      <c r="J239" s="72" t="s">
        <v>1453</v>
      </c>
      <c r="K239" s="81"/>
      <c r="L239" s="111" t="s">
        <v>1242</v>
      </c>
      <c r="M239" s="111" t="s">
        <v>565</v>
      </c>
    </row>
    <row r="240" spans="1:13" ht="12.75" customHeight="1">
      <c r="A240" s="49">
        <v>43216</v>
      </c>
      <c r="B240" s="74" t="s">
        <v>189</v>
      </c>
      <c r="C240" s="74" t="s">
        <v>1454</v>
      </c>
      <c r="D240" s="74" t="s">
        <v>186</v>
      </c>
      <c r="E240" s="74" t="s">
        <v>1455</v>
      </c>
      <c r="F240" s="77">
        <v>0.8125</v>
      </c>
      <c r="G240" s="78" t="s">
        <v>71</v>
      </c>
      <c r="H240" s="78" t="s">
        <v>71</v>
      </c>
      <c r="I240" s="78" t="s">
        <v>71</v>
      </c>
      <c r="J240" s="72" t="s">
        <v>1456</v>
      </c>
      <c r="K240" s="81"/>
      <c r="L240" s="111" t="s">
        <v>1242</v>
      </c>
      <c r="M240" s="111" t="s">
        <v>565</v>
      </c>
    </row>
    <row r="241" spans="1:13" ht="12.75" customHeight="1">
      <c r="A241" s="49">
        <v>43216</v>
      </c>
      <c r="B241" s="74" t="s">
        <v>189</v>
      </c>
      <c r="C241" s="74" t="s">
        <v>1612</v>
      </c>
      <c r="D241" s="74" t="s">
        <v>186</v>
      </c>
      <c r="E241" s="74" t="s">
        <v>957</v>
      </c>
      <c r="F241" s="77">
        <v>0.82916666666666672</v>
      </c>
      <c r="G241" s="78" t="s">
        <v>71</v>
      </c>
      <c r="H241" s="78" t="s">
        <v>71</v>
      </c>
      <c r="I241" s="78" t="s">
        <v>71</v>
      </c>
      <c r="J241" s="72" t="s">
        <v>1457</v>
      </c>
      <c r="K241" s="81"/>
      <c r="L241" s="111" t="s">
        <v>249</v>
      </c>
      <c r="M241" s="111">
        <v>89050497124</v>
      </c>
    </row>
    <row r="242" spans="1:13" ht="12.75" customHeight="1">
      <c r="A242" s="49">
        <v>43216</v>
      </c>
      <c r="B242" s="74" t="s">
        <v>218</v>
      </c>
      <c r="C242" s="74" t="s">
        <v>1587</v>
      </c>
      <c r="D242" s="74" t="s">
        <v>427</v>
      </c>
      <c r="E242" s="74" t="s">
        <v>1458</v>
      </c>
      <c r="F242" s="77">
        <v>0.80972222222222223</v>
      </c>
      <c r="G242" s="78" t="s">
        <v>71</v>
      </c>
      <c r="H242" s="78" t="s">
        <v>14</v>
      </c>
      <c r="I242" s="78" t="s">
        <v>71</v>
      </c>
      <c r="J242" s="72" t="s">
        <v>1459</v>
      </c>
      <c r="K242" s="81"/>
      <c r="L242" s="104" t="s">
        <v>488</v>
      </c>
      <c r="M242" s="111">
        <v>89803020082</v>
      </c>
    </row>
    <row r="243" spans="1:13" ht="12.75" customHeight="1">
      <c r="A243" s="49">
        <v>43216</v>
      </c>
      <c r="B243" s="74" t="s">
        <v>218</v>
      </c>
      <c r="C243" s="74" t="s">
        <v>1608</v>
      </c>
      <c r="D243" s="74" t="s">
        <v>427</v>
      </c>
      <c r="E243" s="74" t="s">
        <v>1460</v>
      </c>
      <c r="F243" s="77">
        <v>0.82777777777777772</v>
      </c>
      <c r="G243" s="78" t="s">
        <v>71</v>
      </c>
      <c r="H243" s="78" t="s">
        <v>14</v>
      </c>
      <c r="I243" s="78" t="s">
        <v>71</v>
      </c>
      <c r="J243" s="72" t="s">
        <v>1461</v>
      </c>
      <c r="K243" s="81" t="s">
        <v>1462</v>
      </c>
      <c r="L243" s="104" t="s">
        <v>1250</v>
      </c>
      <c r="M243" s="111">
        <v>89191920292</v>
      </c>
    </row>
    <row r="244" spans="1:13" ht="12.75" customHeight="1">
      <c r="A244" s="49">
        <v>43216</v>
      </c>
      <c r="B244" s="74" t="s">
        <v>218</v>
      </c>
      <c r="C244" s="74" t="s">
        <v>1588</v>
      </c>
      <c r="D244" s="74" t="s">
        <v>427</v>
      </c>
      <c r="E244" s="74" t="s">
        <v>1463</v>
      </c>
      <c r="F244" s="77">
        <v>0.78263888888888888</v>
      </c>
      <c r="G244" s="78" t="s">
        <v>71</v>
      </c>
      <c r="H244" s="78" t="s">
        <v>71</v>
      </c>
      <c r="I244" s="78" t="s">
        <v>71</v>
      </c>
      <c r="J244" s="72" t="s">
        <v>1464</v>
      </c>
      <c r="K244" s="81"/>
      <c r="L244" s="104" t="s">
        <v>1250</v>
      </c>
      <c r="M244" s="111">
        <v>89191920292</v>
      </c>
    </row>
    <row r="245" spans="1:13" ht="12.75" customHeight="1">
      <c r="A245" s="49">
        <v>43216</v>
      </c>
      <c r="B245" s="74" t="s">
        <v>218</v>
      </c>
      <c r="C245" s="74" t="s">
        <v>1609</v>
      </c>
      <c r="D245" s="74" t="s">
        <v>427</v>
      </c>
      <c r="E245" s="74" t="s">
        <v>1465</v>
      </c>
      <c r="F245" s="77">
        <v>0.83611111111111114</v>
      </c>
      <c r="G245" s="78" t="s">
        <v>71</v>
      </c>
      <c r="H245" s="78" t="s">
        <v>71</v>
      </c>
      <c r="I245" s="78" t="s">
        <v>71</v>
      </c>
      <c r="J245" s="72" t="s">
        <v>1466</v>
      </c>
      <c r="K245" s="81"/>
      <c r="L245" s="104" t="s">
        <v>1250</v>
      </c>
      <c r="M245" s="111">
        <v>89191920292</v>
      </c>
    </row>
    <row r="246" spans="1:13" ht="12.75" customHeight="1">
      <c r="A246" s="49">
        <v>43216</v>
      </c>
      <c r="B246" s="205" t="s">
        <v>174</v>
      </c>
      <c r="C246" s="205" t="s">
        <v>460</v>
      </c>
      <c r="D246" s="74" t="s">
        <v>271</v>
      </c>
      <c r="E246" s="74" t="s">
        <v>1467</v>
      </c>
      <c r="F246" s="77">
        <v>0.77361111111111114</v>
      </c>
      <c r="G246" s="78" t="s">
        <v>71</v>
      </c>
      <c r="H246" s="78" t="s">
        <v>71</v>
      </c>
      <c r="I246" s="78" t="s">
        <v>71</v>
      </c>
      <c r="J246" s="72" t="str">
        <f>HYPERLINK("https://yadi.sk/d/n3bdHaQ53UqHcw","https://yadi.sk/d/n3bdHaQ53UqHcw")</f>
        <v>https://yadi.sk/d/n3bdHaQ53UqHcw</v>
      </c>
      <c r="K246" s="81"/>
      <c r="L246" s="111" t="s">
        <v>238</v>
      </c>
      <c r="M246" s="111">
        <v>89043682092</v>
      </c>
    </row>
    <row r="247" spans="1:13" ht="12.75" customHeight="1">
      <c r="A247" s="49">
        <v>43216</v>
      </c>
      <c r="B247" s="205" t="s">
        <v>174</v>
      </c>
      <c r="C247" s="205" t="s">
        <v>240</v>
      </c>
      <c r="D247" s="74" t="s">
        <v>271</v>
      </c>
      <c r="E247" s="74" t="s">
        <v>1468</v>
      </c>
      <c r="F247" s="77">
        <v>0.78125</v>
      </c>
      <c r="G247" s="78" t="s">
        <v>71</v>
      </c>
      <c r="H247" s="78" t="s">
        <v>71</v>
      </c>
      <c r="I247" s="78" t="s">
        <v>71</v>
      </c>
      <c r="J247" s="72" t="str">
        <f>HYPERLINK("https://yadi.sk/d/gopY3vXh3UqHnm","https://yadi.sk/d/gopY3vXh3UqHnm")</f>
        <v>https://yadi.sk/d/gopY3vXh3UqHnm</v>
      </c>
      <c r="K247" s="81" t="s">
        <v>1469</v>
      </c>
      <c r="L247" s="111" t="s">
        <v>238</v>
      </c>
      <c r="M247" s="111">
        <v>89043682092</v>
      </c>
    </row>
    <row r="248" spans="1:13" ht="12.75" customHeight="1">
      <c r="A248" s="49">
        <v>43216</v>
      </c>
      <c r="B248" s="205" t="s">
        <v>174</v>
      </c>
      <c r="C248" s="205" t="s">
        <v>1239</v>
      </c>
      <c r="D248" s="74" t="s">
        <v>635</v>
      </c>
      <c r="E248" s="192" t="s">
        <v>1470</v>
      </c>
      <c r="F248" s="77">
        <v>0.80208333333333337</v>
      </c>
      <c r="G248" s="78" t="s">
        <v>71</v>
      </c>
      <c r="H248" s="78" t="s">
        <v>71</v>
      </c>
      <c r="I248" s="78" t="s">
        <v>71</v>
      </c>
      <c r="J248" s="72" t="str">
        <f>HYPERLINK("https://yadi.sk/d/_2VZuAtV3UqHwk","https://yadi.sk/d/_2VZuAtV3UqHwk")</f>
        <v>https://yadi.sk/d/_2VZuAtV3UqHwk</v>
      </c>
      <c r="K248" s="81"/>
      <c r="L248" s="111" t="s">
        <v>796</v>
      </c>
      <c r="M248" s="111">
        <v>89585696061</v>
      </c>
    </row>
    <row r="249" spans="1:13" ht="12.75" customHeight="1">
      <c r="A249" s="49">
        <v>43216</v>
      </c>
      <c r="B249" s="205" t="s">
        <v>174</v>
      </c>
      <c r="C249" s="205" t="s">
        <v>1471</v>
      </c>
      <c r="D249" s="74" t="s">
        <v>635</v>
      </c>
      <c r="E249" s="74" t="s">
        <v>1472</v>
      </c>
      <c r="F249" s="77">
        <v>0.80486111111111114</v>
      </c>
      <c r="G249" s="78" t="s">
        <v>71</v>
      </c>
      <c r="H249" s="78" t="s">
        <v>71</v>
      </c>
      <c r="I249" s="78" t="s">
        <v>71</v>
      </c>
      <c r="J249" s="72" t="str">
        <f>HYPERLINK("https://yadi.sk/d/iToK0zaU3UqJ8W","https://yadi.sk/d/iToK0zaU3UqJ8W")</f>
        <v>https://yadi.sk/d/iToK0zaU3UqJ8W</v>
      </c>
      <c r="K249" s="81"/>
      <c r="L249" s="111" t="s">
        <v>796</v>
      </c>
      <c r="M249" s="111">
        <v>89585696061</v>
      </c>
    </row>
    <row r="250" spans="1:13" ht="12.75" customHeight="1">
      <c r="A250" s="49">
        <v>43216</v>
      </c>
      <c r="B250" s="74" t="s">
        <v>310</v>
      </c>
      <c r="C250" s="74" t="s">
        <v>779</v>
      </c>
      <c r="D250" s="74" t="s">
        <v>885</v>
      </c>
      <c r="E250" s="74" t="s">
        <v>1473</v>
      </c>
      <c r="F250" s="77">
        <v>0.79652777777777772</v>
      </c>
      <c r="G250" s="78" t="s">
        <v>71</v>
      </c>
      <c r="H250" s="78" t="s">
        <v>71</v>
      </c>
      <c r="I250" s="78" t="s">
        <v>14</v>
      </c>
      <c r="J250" s="72" t="str">
        <f>HYPERLINK("https://yadi.sk/d/d5bvV-kt3UqJN8","https://yadi.sk/d/d5bvV-kt3UqJN8")</f>
        <v>https://yadi.sk/d/d5bvV-kt3UqJN8</v>
      </c>
      <c r="K250" s="81" t="s">
        <v>1474</v>
      </c>
      <c r="L250" s="104" t="s">
        <v>343</v>
      </c>
      <c r="M250" s="111" t="s">
        <v>344</v>
      </c>
    </row>
    <row r="251" spans="1:13" ht="12.75" customHeight="1">
      <c r="A251" s="49">
        <v>43216</v>
      </c>
      <c r="B251" s="74" t="s">
        <v>310</v>
      </c>
      <c r="C251" s="74" t="s">
        <v>336</v>
      </c>
      <c r="D251" s="74" t="s">
        <v>885</v>
      </c>
      <c r="E251" s="74" t="s">
        <v>1475</v>
      </c>
      <c r="F251" s="77">
        <v>0.79861111111111116</v>
      </c>
      <c r="G251" s="78" t="s">
        <v>14</v>
      </c>
      <c r="H251" s="78"/>
      <c r="I251" s="78"/>
      <c r="J251" s="72" t="str">
        <f>HYPERLINK("https://yadi.sk/d/VXpQsLOt3UqJYR","https://yadi.sk/d/VXpQsLOt3UqJYR")</f>
        <v>https://yadi.sk/d/VXpQsLOt3UqJYR</v>
      </c>
      <c r="K251" s="81" t="s">
        <v>1476</v>
      </c>
      <c r="L251" s="104" t="s">
        <v>343</v>
      </c>
      <c r="M251" s="111" t="s">
        <v>344</v>
      </c>
    </row>
    <row r="252" spans="1:13" ht="12.75" customHeight="1">
      <c r="A252" s="49">
        <v>43216</v>
      </c>
      <c r="B252" s="74" t="s">
        <v>310</v>
      </c>
      <c r="C252" s="94" t="s">
        <v>1007</v>
      </c>
      <c r="D252" s="74" t="s">
        <v>885</v>
      </c>
      <c r="E252" s="74" t="s">
        <v>1477</v>
      </c>
      <c r="F252" s="193">
        <v>0.81666666666666665</v>
      </c>
      <c r="G252" s="78" t="s">
        <v>71</v>
      </c>
      <c r="H252" s="78" t="s">
        <v>71</v>
      </c>
      <c r="I252" s="78" t="s">
        <v>71</v>
      </c>
      <c r="J252" s="72" t="str">
        <f>HYPERLINK("https://yadi.sk/d/IR7w3phN3UqJiC","https://yadi.sk/d/IR7w3phN3UqJiC")</f>
        <v>https://yadi.sk/d/IR7w3phN3UqJiC</v>
      </c>
      <c r="K252" s="80"/>
      <c r="L252" s="104" t="s">
        <v>341</v>
      </c>
      <c r="M252" s="111" t="s">
        <v>342</v>
      </c>
    </row>
    <row r="253" spans="1:13" ht="12.75" customHeight="1">
      <c r="A253" s="49">
        <v>43216</v>
      </c>
      <c r="B253" s="74" t="s">
        <v>310</v>
      </c>
      <c r="C253" s="74" t="s">
        <v>481</v>
      </c>
      <c r="D253" s="74" t="s">
        <v>885</v>
      </c>
      <c r="E253" s="74" t="s">
        <v>1478</v>
      </c>
      <c r="F253" s="77">
        <v>0.82430555555555551</v>
      </c>
      <c r="G253" s="78" t="s">
        <v>71</v>
      </c>
      <c r="H253" s="78" t="s">
        <v>71</v>
      </c>
      <c r="I253" s="78" t="s">
        <v>71</v>
      </c>
      <c r="J253" s="72" t="str">
        <f>HYPERLINK("https://yadi.sk/d/vgsz2cVy3UqJqL","https://yadi.sk/d/vgsz2cVy3UqJqL")</f>
        <v>https://yadi.sk/d/vgsz2cVy3UqJqL</v>
      </c>
      <c r="K253" s="81"/>
      <c r="L253" s="104" t="s">
        <v>341</v>
      </c>
      <c r="M253" s="111" t="s">
        <v>342</v>
      </c>
    </row>
    <row r="254" spans="1:13" ht="12.75" customHeight="1">
      <c r="A254" s="49">
        <v>43216</v>
      </c>
      <c r="B254" s="74" t="s">
        <v>254</v>
      </c>
      <c r="C254" s="74" t="s">
        <v>1251</v>
      </c>
      <c r="D254" s="74" t="s">
        <v>119</v>
      </c>
      <c r="E254" s="74" t="s">
        <v>1479</v>
      </c>
      <c r="F254" s="77">
        <v>0.78125</v>
      </c>
      <c r="G254" s="78" t="s">
        <v>14</v>
      </c>
      <c r="H254" s="78"/>
      <c r="I254" s="78"/>
      <c r="J254" s="72" t="str">
        <f>HYPERLINK("https://yadi.sk/d/xbHrS6dJ3UqKEb","https://yadi.sk/d/xbHrS6dJ3UqKEb")</f>
        <v>https://yadi.sk/d/xbHrS6dJ3UqKEb</v>
      </c>
      <c r="K254" s="81" t="s">
        <v>1480</v>
      </c>
      <c r="L254" s="104" t="s">
        <v>292</v>
      </c>
      <c r="M254" s="111" t="s">
        <v>771</v>
      </c>
    </row>
    <row r="255" spans="1:13" ht="12.75" customHeight="1">
      <c r="A255" s="49">
        <v>43216</v>
      </c>
      <c r="B255" s="74" t="s">
        <v>254</v>
      </c>
      <c r="C255" s="74" t="s">
        <v>1633</v>
      </c>
      <c r="D255" s="74" t="s">
        <v>1233</v>
      </c>
      <c r="E255" s="74" t="s">
        <v>1481</v>
      </c>
      <c r="F255" s="77">
        <v>0.78611111111111109</v>
      </c>
      <c r="G255" s="78" t="s">
        <v>71</v>
      </c>
      <c r="H255" s="78" t="s">
        <v>14</v>
      </c>
      <c r="I255" s="78" t="s">
        <v>71</v>
      </c>
      <c r="J255" s="72" t="str">
        <f>HYPERLINK("https://yadi.sk/d/pUHaYtDB3UqKTL","https://yadi.sk/d/pUHaYtDB3UqKTL")</f>
        <v>https://yadi.sk/d/pUHaYtDB3UqKTL</v>
      </c>
      <c r="K255" s="81"/>
      <c r="L255" s="104" t="s">
        <v>769</v>
      </c>
      <c r="M255" s="111" t="s">
        <v>770</v>
      </c>
    </row>
    <row r="256" spans="1:13" ht="12.75" customHeight="1">
      <c r="A256" s="49">
        <v>43216</v>
      </c>
      <c r="B256" s="74" t="s">
        <v>254</v>
      </c>
      <c r="C256" s="74" t="s">
        <v>1252</v>
      </c>
      <c r="D256" s="74" t="s">
        <v>1233</v>
      </c>
      <c r="E256" s="74" t="s">
        <v>1481</v>
      </c>
      <c r="F256" s="77">
        <v>0.78819444444444442</v>
      </c>
      <c r="G256" s="78" t="s">
        <v>71</v>
      </c>
      <c r="H256" s="78" t="s">
        <v>14</v>
      </c>
      <c r="I256" s="78" t="s">
        <v>71</v>
      </c>
      <c r="J256" s="72" t="str">
        <f>HYPERLINK("https://yadi.sk/d/hYKpo9sy3UqKb4","https://yadi.sk/d/hYKpo9sy3UqKb4")</f>
        <v>https://yadi.sk/d/hYKpo9sy3UqKb4</v>
      </c>
      <c r="K256" s="81"/>
      <c r="L256" s="104" t="s">
        <v>769</v>
      </c>
      <c r="M256" s="111" t="s">
        <v>770</v>
      </c>
    </row>
    <row r="257" spans="1:13" ht="12.75" customHeight="1">
      <c r="A257" s="49">
        <v>43216</v>
      </c>
      <c r="B257" s="74" t="s">
        <v>254</v>
      </c>
      <c r="C257" s="74" t="s">
        <v>1635</v>
      </c>
      <c r="D257" s="74" t="s">
        <v>1233</v>
      </c>
      <c r="E257" s="74" t="s">
        <v>1482</v>
      </c>
      <c r="F257" s="77">
        <v>0.79861111111111116</v>
      </c>
      <c r="G257" s="78" t="s">
        <v>71</v>
      </c>
      <c r="H257" s="78" t="s">
        <v>14</v>
      </c>
      <c r="I257" s="78" t="s">
        <v>71</v>
      </c>
      <c r="J257" s="72" t="str">
        <f>HYPERLINK("https://yadi.sk/d/pVKT8qbJ3UqKqa","https://yadi.sk/d/pVKT8qbJ3UqKqa")</f>
        <v>https://yadi.sk/d/pVKT8qbJ3UqKqa</v>
      </c>
      <c r="K257" s="81"/>
      <c r="L257" s="104" t="s">
        <v>769</v>
      </c>
      <c r="M257" s="111" t="s">
        <v>770</v>
      </c>
    </row>
    <row r="258" spans="1:13" ht="12.75" customHeight="1">
      <c r="A258" s="52">
        <v>43218</v>
      </c>
      <c r="B258" s="73" t="s">
        <v>279</v>
      </c>
      <c r="C258" s="73" t="s">
        <v>1613</v>
      </c>
      <c r="D258" s="73" t="s">
        <v>186</v>
      </c>
      <c r="E258" s="73" t="s">
        <v>1483</v>
      </c>
      <c r="F258" s="75">
        <v>0.80972222222222223</v>
      </c>
      <c r="G258" s="76" t="s">
        <v>14</v>
      </c>
      <c r="H258" s="76"/>
      <c r="I258" s="76"/>
      <c r="J258" s="71" t="s">
        <v>1484</v>
      </c>
      <c r="K258" s="82" t="s">
        <v>1485</v>
      </c>
      <c r="L258" s="104" t="s">
        <v>1614</v>
      </c>
      <c r="M258" s="111">
        <v>89105140404</v>
      </c>
    </row>
    <row r="259" spans="1:13" ht="12.75" customHeight="1">
      <c r="A259" s="52">
        <v>43218</v>
      </c>
      <c r="B259" s="74" t="s">
        <v>130</v>
      </c>
      <c r="C259" s="74" t="s">
        <v>1004</v>
      </c>
      <c r="D259" s="74" t="s">
        <v>383</v>
      </c>
      <c r="E259" s="74" t="s">
        <v>1486</v>
      </c>
      <c r="F259" s="77">
        <v>0.80555555555555558</v>
      </c>
      <c r="G259" s="78" t="s">
        <v>71</v>
      </c>
      <c r="H259" s="78" t="s">
        <v>71</v>
      </c>
      <c r="I259" s="78" t="s">
        <v>71</v>
      </c>
      <c r="J259" s="72" t="s">
        <v>1487</v>
      </c>
      <c r="K259" s="81"/>
      <c r="L259" s="104" t="s">
        <v>139</v>
      </c>
      <c r="M259" s="111" t="s">
        <v>1618</v>
      </c>
    </row>
    <row r="260" spans="1:13" ht="12.75" customHeight="1">
      <c r="A260" s="52">
        <v>43218</v>
      </c>
      <c r="B260" s="74" t="s">
        <v>130</v>
      </c>
      <c r="C260" s="74" t="s">
        <v>613</v>
      </c>
      <c r="D260" s="74" t="s">
        <v>383</v>
      </c>
      <c r="E260" s="74" t="s">
        <v>1488</v>
      </c>
      <c r="F260" s="77">
        <v>0.78819444444444442</v>
      </c>
      <c r="G260" s="78" t="s">
        <v>71</v>
      </c>
      <c r="H260" s="78" t="s">
        <v>71</v>
      </c>
      <c r="I260" s="78" t="s">
        <v>71</v>
      </c>
      <c r="J260" s="72" t="s">
        <v>1489</v>
      </c>
      <c r="K260" s="81"/>
      <c r="L260" s="104" t="s">
        <v>139</v>
      </c>
      <c r="M260" s="111" t="s">
        <v>1618</v>
      </c>
    </row>
    <row r="261" spans="1:13" ht="12.75" customHeight="1">
      <c r="A261" s="52">
        <v>43218</v>
      </c>
      <c r="B261" s="74" t="s">
        <v>130</v>
      </c>
      <c r="C261" s="74" t="s">
        <v>1243</v>
      </c>
      <c r="D261" s="74" t="s">
        <v>383</v>
      </c>
      <c r="E261" s="74" t="s">
        <v>1490</v>
      </c>
      <c r="F261" s="77">
        <v>0.81944444444444442</v>
      </c>
      <c r="G261" s="78" t="s">
        <v>14</v>
      </c>
      <c r="H261" s="78"/>
      <c r="I261" s="78"/>
      <c r="J261" s="72" t="s">
        <v>1491</v>
      </c>
      <c r="K261" s="81" t="s">
        <v>1492</v>
      </c>
      <c r="L261" s="104" t="s">
        <v>139</v>
      </c>
      <c r="M261" s="111" t="s">
        <v>1618</v>
      </c>
    </row>
    <row r="262" spans="1:13" ht="12.75" customHeight="1">
      <c r="A262" s="52">
        <v>43218</v>
      </c>
      <c r="B262" s="74" t="s">
        <v>130</v>
      </c>
      <c r="C262" s="74" t="s">
        <v>1619</v>
      </c>
      <c r="D262" s="74" t="s">
        <v>383</v>
      </c>
      <c r="E262" s="74" t="s">
        <v>1493</v>
      </c>
      <c r="F262" s="77">
        <v>0.79652777777777772</v>
      </c>
      <c r="G262" s="78" t="s">
        <v>71</v>
      </c>
      <c r="H262" s="78" t="s">
        <v>71</v>
      </c>
      <c r="I262" s="78" t="s">
        <v>71</v>
      </c>
      <c r="J262" s="72" t="s">
        <v>1494</v>
      </c>
      <c r="K262" s="81"/>
      <c r="L262" s="104" t="s">
        <v>139</v>
      </c>
      <c r="M262" s="111" t="s">
        <v>1618</v>
      </c>
    </row>
    <row r="263" spans="1:13" ht="12.75" customHeight="1">
      <c r="A263" s="52">
        <v>43218</v>
      </c>
      <c r="B263" s="74" t="s">
        <v>97</v>
      </c>
      <c r="C263" s="74" t="s">
        <v>156</v>
      </c>
      <c r="D263" s="74" t="s">
        <v>113</v>
      </c>
      <c r="E263" s="74" t="s">
        <v>1495</v>
      </c>
      <c r="F263" s="77">
        <v>0.73611111111111116</v>
      </c>
      <c r="G263" s="78" t="s">
        <v>71</v>
      </c>
      <c r="H263" s="78" t="s">
        <v>14</v>
      </c>
      <c r="I263" s="78" t="s">
        <v>71</v>
      </c>
      <c r="J263" s="72" t="s">
        <v>1496</v>
      </c>
      <c r="K263" s="81" t="s">
        <v>1497</v>
      </c>
      <c r="L263" s="104" t="s">
        <v>142</v>
      </c>
      <c r="M263" s="111" t="s">
        <v>143</v>
      </c>
    </row>
    <row r="264" spans="1:13" ht="12.75" customHeight="1">
      <c r="A264" s="52">
        <v>43218</v>
      </c>
      <c r="B264" s="74" t="s">
        <v>97</v>
      </c>
      <c r="C264" s="74" t="s">
        <v>1631</v>
      </c>
      <c r="D264" s="74" t="s">
        <v>1046</v>
      </c>
      <c r="E264" s="74" t="s">
        <v>1498</v>
      </c>
      <c r="F264" s="77">
        <v>0.76388888888888884</v>
      </c>
      <c r="G264" s="78" t="s">
        <v>71</v>
      </c>
      <c r="H264" s="78" t="s">
        <v>14</v>
      </c>
      <c r="I264" s="78" t="s">
        <v>71</v>
      </c>
      <c r="J264" s="72" t="s">
        <v>1499</v>
      </c>
      <c r="K264" s="81"/>
      <c r="L264" s="104" t="s">
        <v>142</v>
      </c>
      <c r="M264" s="111" t="s">
        <v>143</v>
      </c>
    </row>
    <row r="265" spans="1:13" ht="12.75" customHeight="1">
      <c r="A265" s="52">
        <v>43218</v>
      </c>
      <c r="B265" s="74" t="s">
        <v>97</v>
      </c>
      <c r="C265" s="74" t="s">
        <v>1136</v>
      </c>
      <c r="D265" s="74" t="s">
        <v>1046</v>
      </c>
      <c r="E265" s="74" t="s">
        <v>1500</v>
      </c>
      <c r="F265" s="77">
        <v>0.75</v>
      </c>
      <c r="G265" s="78" t="s">
        <v>71</v>
      </c>
      <c r="H265" s="78" t="s">
        <v>71</v>
      </c>
      <c r="I265" s="78" t="s">
        <v>71</v>
      </c>
      <c r="J265" s="72" t="s">
        <v>1501</v>
      </c>
      <c r="K265" s="81"/>
      <c r="L265" s="104" t="s">
        <v>1084</v>
      </c>
      <c r="M265" s="111" t="s">
        <v>1085</v>
      </c>
    </row>
    <row r="266" spans="1:13" ht="12.75" customHeight="1">
      <c r="A266" s="52">
        <v>43218</v>
      </c>
      <c r="B266" s="74" t="s">
        <v>97</v>
      </c>
      <c r="C266" s="74" t="s">
        <v>1002</v>
      </c>
      <c r="D266" s="74" t="s">
        <v>1046</v>
      </c>
      <c r="E266" s="74" t="s">
        <v>1502</v>
      </c>
      <c r="F266" s="77">
        <v>0.77083333333333337</v>
      </c>
      <c r="G266" s="78" t="s">
        <v>14</v>
      </c>
      <c r="H266" s="78"/>
      <c r="I266" s="78"/>
      <c r="J266" s="72" t="s">
        <v>1503</v>
      </c>
      <c r="K266" s="81" t="s">
        <v>1504</v>
      </c>
      <c r="L266" s="104" t="s">
        <v>142</v>
      </c>
      <c r="M266" s="111" t="s">
        <v>143</v>
      </c>
    </row>
    <row r="267" spans="1:13" ht="12.75" customHeight="1">
      <c r="A267" s="52">
        <v>43218</v>
      </c>
      <c r="B267" s="74" t="s">
        <v>393</v>
      </c>
      <c r="C267" s="74" t="s">
        <v>1622</v>
      </c>
      <c r="D267" s="74" t="s">
        <v>984</v>
      </c>
      <c r="E267" s="74" t="s">
        <v>1505</v>
      </c>
      <c r="F267" s="77">
        <v>0.81527777777777777</v>
      </c>
      <c r="G267" s="78" t="s">
        <v>14</v>
      </c>
      <c r="H267" s="78"/>
      <c r="I267" s="78"/>
      <c r="J267" s="72" t="s">
        <v>1506</v>
      </c>
      <c r="K267" s="81" t="s">
        <v>1507</v>
      </c>
      <c r="L267" s="104" t="s">
        <v>776</v>
      </c>
      <c r="M267" s="111" t="s">
        <v>777</v>
      </c>
    </row>
    <row r="268" spans="1:13" ht="12.75" customHeight="1">
      <c r="A268" s="52">
        <v>43218</v>
      </c>
      <c r="B268" s="74" t="s">
        <v>161</v>
      </c>
      <c r="C268" s="74" t="s">
        <v>229</v>
      </c>
      <c r="D268" s="74" t="s">
        <v>1029</v>
      </c>
      <c r="E268" s="74" t="s">
        <v>1508</v>
      </c>
      <c r="F268" s="77">
        <v>0.80277777777777781</v>
      </c>
      <c r="G268" s="78" t="s">
        <v>71</v>
      </c>
      <c r="H268" s="78" t="s">
        <v>71</v>
      </c>
      <c r="I268" s="78" t="s">
        <v>71</v>
      </c>
      <c r="J268" s="72" t="str">
        <f>HYPERLINK("https://yadi.sk/d/xVpaQ2l43UvkHm","https://yadi.sk/d/xVpaQ2l43UvkHm")</f>
        <v>https://yadi.sk/d/xVpaQ2l43UvkHm</v>
      </c>
      <c r="K268" s="81" t="s">
        <v>1509</v>
      </c>
      <c r="L268" s="104" t="s">
        <v>999</v>
      </c>
      <c r="M268" s="111">
        <v>89192648797</v>
      </c>
    </row>
    <row r="269" spans="1:13" ht="12.75" customHeight="1">
      <c r="A269" s="52">
        <v>43218</v>
      </c>
      <c r="B269" s="74" t="s">
        <v>927</v>
      </c>
      <c r="C269" s="74" t="s">
        <v>1605</v>
      </c>
      <c r="D269" s="74" t="s">
        <v>1510</v>
      </c>
      <c r="E269" s="74" t="s">
        <v>1511</v>
      </c>
      <c r="F269" s="77">
        <v>0.74652777777777779</v>
      </c>
      <c r="G269" s="78" t="s">
        <v>71</v>
      </c>
      <c r="H269" s="78" t="s">
        <v>14</v>
      </c>
      <c r="I269" s="78" t="s">
        <v>71</v>
      </c>
      <c r="J269" s="72" t="str">
        <f>HYPERLINK("https://yadi.sk/d/INM7-0oa3UvmH2","https://yadi.sk/d/INM7-0oa3UvmH2")</f>
        <v>https://yadi.sk/d/INM7-0oa3UvmH2</v>
      </c>
      <c r="K269" s="81"/>
      <c r="L269" s="104" t="s">
        <v>786</v>
      </c>
      <c r="M269" s="111" t="s">
        <v>146</v>
      </c>
    </row>
    <row r="270" spans="1:13" ht="12.75" customHeight="1">
      <c r="A270" s="52">
        <v>43218</v>
      </c>
      <c r="B270" s="74" t="s">
        <v>927</v>
      </c>
      <c r="C270" s="74" t="s">
        <v>1606</v>
      </c>
      <c r="D270" s="74" t="s">
        <v>1512</v>
      </c>
      <c r="E270" s="74" t="s">
        <v>1513</v>
      </c>
      <c r="F270" s="77">
        <v>0.79374999999999996</v>
      </c>
      <c r="G270" s="78" t="s">
        <v>71</v>
      </c>
      <c r="H270" s="78" t="s">
        <v>71</v>
      </c>
      <c r="I270" s="78" t="s">
        <v>71</v>
      </c>
      <c r="J270" s="72" t="str">
        <f>HYPERLINK("https://yadi.sk/d/1C5XUz8J3Uvmbe","https://yadi.sk/d/1C5XUz8J3Uvmbe")</f>
        <v>https://yadi.sk/d/1C5XUz8J3Uvmbe</v>
      </c>
      <c r="K270" s="81"/>
      <c r="L270" s="104" t="s">
        <v>1293</v>
      </c>
      <c r="M270" s="111" t="s">
        <v>434</v>
      </c>
    </row>
    <row r="271" spans="1:13" ht="12.75" customHeight="1">
      <c r="A271" s="52">
        <v>43218</v>
      </c>
      <c r="B271" s="74" t="s">
        <v>927</v>
      </c>
      <c r="C271" s="94" t="s">
        <v>1607</v>
      </c>
      <c r="D271" s="74" t="s">
        <v>1514</v>
      </c>
      <c r="E271" s="74" t="s">
        <v>1515</v>
      </c>
      <c r="F271" s="193">
        <v>0.80555555555555558</v>
      </c>
      <c r="G271" s="78" t="s">
        <v>14</v>
      </c>
      <c r="H271" s="78"/>
      <c r="I271" s="78"/>
      <c r="J271" s="72" t="str">
        <f>HYPERLINK("https://yadi.sk/i/FWiK5WJQ3UvmrG","https://yadi.sk/i/FWiK5WJQ3UvmrG")</f>
        <v>https://yadi.sk/i/FWiK5WJQ3UvmrG</v>
      </c>
      <c r="K271" s="81" t="s">
        <v>1516</v>
      </c>
      <c r="L271" s="104" t="s">
        <v>147</v>
      </c>
      <c r="M271" s="111" t="s">
        <v>788</v>
      </c>
    </row>
    <row r="272" spans="1:13" ht="12.75" customHeight="1">
      <c r="A272" s="52">
        <v>43218</v>
      </c>
      <c r="B272" s="74" t="s">
        <v>927</v>
      </c>
      <c r="C272" s="74" t="s">
        <v>1139</v>
      </c>
      <c r="D272" s="74" t="s">
        <v>1514</v>
      </c>
      <c r="E272" s="74" t="s">
        <v>1515</v>
      </c>
      <c r="F272" s="77">
        <v>0.81041666666666667</v>
      </c>
      <c r="G272" s="78" t="s">
        <v>71</v>
      </c>
      <c r="H272" s="78" t="s">
        <v>71</v>
      </c>
      <c r="I272" s="78" t="s">
        <v>71</v>
      </c>
      <c r="J272" s="72" t="str">
        <f>HYPERLINK("https://yadi.sk/d/oiwkQnjE3Uvn7W","https://yadi.sk/d/oiwkQnjE3Uvn7W")</f>
        <v>https://yadi.sk/d/oiwkQnjE3Uvn7W</v>
      </c>
      <c r="K272" s="81"/>
      <c r="L272" s="104" t="s">
        <v>147</v>
      </c>
      <c r="M272" s="111" t="s">
        <v>788</v>
      </c>
    </row>
    <row r="273" spans="12:13">
      <c r="L273" s="24"/>
      <c r="M273" s="24"/>
    </row>
    <row r="274" spans="12:13">
      <c r="L274" s="24"/>
      <c r="M274" s="24"/>
    </row>
    <row r="275" spans="12:13">
      <c r="L275" s="24"/>
      <c r="M275" s="24"/>
    </row>
    <row r="276" spans="12:13">
      <c r="L276" s="24"/>
      <c r="M276" s="24"/>
    </row>
  </sheetData>
  <autoFilter ref="A1:M272"/>
  <dataValidations count="1">
    <dataValidation type="list" allowBlank="1" sqref="G2:I272">
      <formula1>"ДА,НЕТ"</formula1>
    </dataValidation>
  </dataValidations>
  <hyperlinks>
    <hyperlink ref="J5" r:id="rId1"/>
    <hyperlink ref="J6" r:id="rId2"/>
    <hyperlink ref="J7" r:id="rId3"/>
    <hyperlink ref="J8" r:id="rId4"/>
    <hyperlink ref="J9" r:id="rId5"/>
    <hyperlink ref="J10" r:id="rId6"/>
    <hyperlink ref="J11" r:id="rId7"/>
    <hyperlink ref="J22" r:id="rId8"/>
    <hyperlink ref="J23" r:id="rId9"/>
    <hyperlink ref="J24" r:id="rId10"/>
    <hyperlink ref="J25" r:id="rId11"/>
    <hyperlink ref="J26" r:id="rId12"/>
    <hyperlink ref="J27" r:id="rId13"/>
    <hyperlink ref="J28" r:id="rId14"/>
    <hyperlink ref="J29" r:id="rId15"/>
    <hyperlink ref="J39" r:id="rId16"/>
    <hyperlink ref="J43" r:id="rId17"/>
    <hyperlink ref="J44" r:id="rId18"/>
    <hyperlink ref="J45" r:id="rId19"/>
    <hyperlink ref="J46" r:id="rId20"/>
    <hyperlink ref="J47" r:id="rId21"/>
    <hyperlink ref="J48" r:id="rId22"/>
    <hyperlink ref="J49" r:id="rId23"/>
    <hyperlink ref="J50" r:id="rId24"/>
    <hyperlink ref="J66" r:id="rId25"/>
    <hyperlink ref="J68" r:id="rId26"/>
    <hyperlink ref="J69" r:id="rId27"/>
    <hyperlink ref="J70" r:id="rId28"/>
    <hyperlink ref="J71" r:id="rId29"/>
    <hyperlink ref="J72" r:id="rId30"/>
    <hyperlink ref="J73" r:id="rId31"/>
    <hyperlink ref="J74" r:id="rId32"/>
    <hyperlink ref="J81" r:id="rId33"/>
    <hyperlink ref="J82" r:id="rId34"/>
    <hyperlink ref="J83" r:id="rId35"/>
    <hyperlink ref="J84" r:id="rId36"/>
    <hyperlink ref="J85" r:id="rId37"/>
    <hyperlink ref="J86" r:id="rId38"/>
    <hyperlink ref="J87" r:id="rId39"/>
    <hyperlink ref="J97" r:id="rId40"/>
    <hyperlink ref="J98" r:id="rId41"/>
    <hyperlink ref="J99" r:id="rId42"/>
    <hyperlink ref="J100" r:id="rId43"/>
    <hyperlink ref="J104" r:id="rId44"/>
    <hyperlink ref="J105" r:id="rId45"/>
    <hyperlink ref="J106" r:id="rId46"/>
    <hyperlink ref="J107" r:id="rId47"/>
    <hyperlink ref="J108" r:id="rId48"/>
    <hyperlink ref="J109" r:id="rId49"/>
    <hyperlink ref="J110" r:id="rId50"/>
    <hyperlink ref="J115" r:id="rId51"/>
    <hyperlink ref="J116" r:id="rId52"/>
    <hyperlink ref="J117" r:id="rId53"/>
    <hyperlink ref="J118" r:id="rId54"/>
    <hyperlink ref="J120" r:id="rId55"/>
    <hyperlink ref="J121" r:id="rId56"/>
    <hyperlink ref="J122" r:id="rId57"/>
    <hyperlink ref="J123" r:id="rId58"/>
    <hyperlink ref="J124" r:id="rId59"/>
    <hyperlink ref="J125" r:id="rId60"/>
    <hyperlink ref="J126" r:id="rId61"/>
    <hyperlink ref="J127" r:id="rId62"/>
    <hyperlink ref="J128" r:id="rId63"/>
    <hyperlink ref="J129" r:id="rId64"/>
    <hyperlink ref="J130" r:id="rId65"/>
    <hyperlink ref="J131" r:id="rId66"/>
    <hyperlink ref="J132" r:id="rId67"/>
    <hyperlink ref="J133" r:id="rId68"/>
    <hyperlink ref="J134" r:id="rId69"/>
    <hyperlink ref="J135" r:id="rId70"/>
    <hyperlink ref="J146" r:id="rId71"/>
    <hyperlink ref="J147" r:id="rId72"/>
    <hyperlink ref="J148" r:id="rId73"/>
    <hyperlink ref="J149" r:id="rId74"/>
    <hyperlink ref="J155" r:id="rId75"/>
    <hyperlink ref="J156" r:id="rId76"/>
    <hyperlink ref="J157" r:id="rId77"/>
    <hyperlink ref="J158" r:id="rId78"/>
    <hyperlink ref="J176" r:id="rId79"/>
    <hyperlink ref="J177" r:id="rId80"/>
    <hyperlink ref="J178" r:id="rId81"/>
    <hyperlink ref="J179" r:id="rId82"/>
    <hyperlink ref="J180" r:id="rId83"/>
    <hyperlink ref="J181" r:id="rId84"/>
    <hyperlink ref="J182" r:id="rId85"/>
    <hyperlink ref="J183" r:id="rId86"/>
    <hyperlink ref="J184" r:id="rId87"/>
    <hyperlink ref="J185" r:id="rId88"/>
    <hyperlink ref="J194" r:id="rId89"/>
    <hyperlink ref="J195" r:id="rId90"/>
    <hyperlink ref="J196" r:id="rId91"/>
    <hyperlink ref="J197" r:id="rId92"/>
    <hyperlink ref="J198" r:id="rId93"/>
    <hyperlink ref="J199" r:id="rId94"/>
    <hyperlink ref="J200" r:id="rId95"/>
    <hyperlink ref="J201" r:id="rId96"/>
    <hyperlink ref="J202" r:id="rId97"/>
    <hyperlink ref="J203" r:id="rId98"/>
    <hyperlink ref="J204" r:id="rId99"/>
    <hyperlink ref="J205" r:id="rId100"/>
    <hyperlink ref="J206" r:id="rId101"/>
    <hyperlink ref="J207" r:id="rId102"/>
    <hyperlink ref="J208" r:id="rId103"/>
    <hyperlink ref="J209" r:id="rId104"/>
    <hyperlink ref="J210" r:id="rId105"/>
    <hyperlink ref="J211" r:id="rId106"/>
    <hyperlink ref="J212" r:id="rId107"/>
    <hyperlink ref="J213" r:id="rId108"/>
    <hyperlink ref="J234" r:id="rId109"/>
    <hyperlink ref="J235" r:id="rId110"/>
    <hyperlink ref="J236" r:id="rId111"/>
    <hyperlink ref="J237" r:id="rId112"/>
    <hyperlink ref="J238" r:id="rId113"/>
    <hyperlink ref="J239" r:id="rId114"/>
    <hyperlink ref="J240" r:id="rId115"/>
    <hyperlink ref="J241" r:id="rId116"/>
    <hyperlink ref="J242" r:id="rId117"/>
    <hyperlink ref="J243" r:id="rId118"/>
    <hyperlink ref="J244" r:id="rId119"/>
    <hyperlink ref="J245" r:id="rId120"/>
    <hyperlink ref="J258" r:id="rId121"/>
    <hyperlink ref="J259" r:id="rId122"/>
    <hyperlink ref="J260" r:id="rId123"/>
    <hyperlink ref="J261" r:id="rId124"/>
    <hyperlink ref="J262" r:id="rId125"/>
    <hyperlink ref="J263" r:id="rId126"/>
    <hyperlink ref="J264" r:id="rId127"/>
    <hyperlink ref="J265" r:id="rId128"/>
    <hyperlink ref="J266" r:id="rId129"/>
    <hyperlink ref="J267" r:id="rId13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0"/>
  <sheetViews>
    <sheetView topLeftCell="A16" zoomScale="90" zoomScaleNormal="90" workbookViewId="0">
      <selection activeCell="AA44" sqref="AA44"/>
    </sheetView>
  </sheetViews>
  <sheetFormatPr defaultRowHeight="12.75"/>
  <cols>
    <col min="1" max="1" width="2.85546875" customWidth="1"/>
    <col min="2" max="2" width="24.42578125" customWidth="1"/>
    <col min="3" max="5" width="7" customWidth="1"/>
    <col min="6" max="26" width="7.5703125" customWidth="1"/>
    <col min="27" max="27" width="18.28515625" customWidth="1"/>
    <col min="28" max="28" width="2.5703125" customWidth="1"/>
    <col min="29" max="29" width="12" customWidth="1"/>
    <col min="30" max="30" width="34.7109375" customWidth="1"/>
    <col min="31" max="31" width="9" style="87" customWidth="1"/>
    <col min="33" max="33" width="13.85546875" customWidth="1"/>
    <col min="34" max="34" width="12.140625" customWidth="1"/>
    <col min="35" max="35" width="35" customWidth="1"/>
  </cols>
  <sheetData>
    <row r="1" spans="2:31" ht="14.25" customHeight="1" thickBot="1"/>
    <row r="2" spans="2:31" ht="15.75" customHeight="1">
      <c r="B2" s="30" t="s">
        <v>6</v>
      </c>
      <c r="C2" s="28" t="s">
        <v>503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421" t="s">
        <v>1045</v>
      </c>
      <c r="AC2" s="424" t="s">
        <v>1642</v>
      </c>
      <c r="AD2" s="425"/>
      <c r="AE2" s="426"/>
    </row>
    <row r="3" spans="2:31" ht="15.75" customHeight="1">
      <c r="B3" s="29" t="s">
        <v>502</v>
      </c>
      <c r="C3" s="33">
        <v>43191</v>
      </c>
      <c r="D3" s="33">
        <v>43192</v>
      </c>
      <c r="E3" s="33">
        <v>43193</v>
      </c>
      <c r="F3" s="33">
        <v>43194</v>
      </c>
      <c r="G3" s="33">
        <v>43195</v>
      </c>
      <c r="H3" s="33">
        <v>43196</v>
      </c>
      <c r="I3" s="33">
        <v>43197</v>
      </c>
      <c r="J3" s="33">
        <v>43199</v>
      </c>
      <c r="K3" s="33">
        <v>43200</v>
      </c>
      <c r="L3" s="33">
        <v>43201</v>
      </c>
      <c r="M3" s="33">
        <v>43202</v>
      </c>
      <c r="N3" s="33">
        <v>43203</v>
      </c>
      <c r="O3" s="33">
        <v>43204</v>
      </c>
      <c r="P3" s="33">
        <v>43206</v>
      </c>
      <c r="Q3" s="33">
        <v>43207</v>
      </c>
      <c r="R3" s="33">
        <v>43208</v>
      </c>
      <c r="S3" s="33">
        <v>43209</v>
      </c>
      <c r="T3" s="33">
        <v>43210</v>
      </c>
      <c r="U3" s="33">
        <v>43211</v>
      </c>
      <c r="V3" s="33">
        <v>43212</v>
      </c>
      <c r="W3" s="33">
        <v>43213</v>
      </c>
      <c r="X3" s="33">
        <v>43215</v>
      </c>
      <c r="Y3" s="33">
        <v>43216</v>
      </c>
      <c r="Z3" s="33">
        <v>43218</v>
      </c>
      <c r="AA3" s="422"/>
      <c r="AC3" s="427"/>
      <c r="AD3" s="428"/>
      <c r="AE3" s="429"/>
    </row>
    <row r="4" spans="2:31" ht="15" customHeight="1" thickBot="1">
      <c r="B4" s="24" t="s">
        <v>11</v>
      </c>
      <c r="C4" s="189"/>
      <c r="D4" s="189">
        <v>2</v>
      </c>
      <c r="E4" s="189"/>
      <c r="F4" s="189"/>
      <c r="G4" s="189"/>
      <c r="H4" s="189"/>
      <c r="I4" s="189"/>
      <c r="J4" s="189"/>
      <c r="K4" s="189"/>
      <c r="L4" s="189">
        <v>3</v>
      </c>
      <c r="M4" s="189"/>
      <c r="N4" s="189"/>
      <c r="O4" s="189"/>
      <c r="P4" s="189"/>
      <c r="Q4" s="26">
        <v>2</v>
      </c>
      <c r="R4" s="26"/>
      <c r="S4" s="26"/>
      <c r="T4" s="26"/>
      <c r="U4" s="26"/>
      <c r="V4" s="26">
        <v>0</v>
      </c>
      <c r="W4" s="186"/>
      <c r="X4" s="26"/>
      <c r="Y4" s="26"/>
      <c r="Z4" s="26">
        <v>3</v>
      </c>
      <c r="AA4" s="87">
        <f t="shared" ref="AA4:AA20" si="0">SUM(C4:Z4)</f>
        <v>10</v>
      </c>
      <c r="AC4" s="211" t="s">
        <v>502</v>
      </c>
      <c r="AD4" s="212" t="s">
        <v>1641</v>
      </c>
      <c r="AE4" s="213" t="s">
        <v>665</v>
      </c>
    </row>
    <row r="5" spans="2:31">
      <c r="B5" s="24" t="s">
        <v>218</v>
      </c>
      <c r="C5" s="189"/>
      <c r="D5" s="189"/>
      <c r="E5" s="189"/>
      <c r="F5" s="189">
        <v>4</v>
      </c>
      <c r="G5" s="189"/>
      <c r="H5" s="189"/>
      <c r="I5" s="189"/>
      <c r="J5" s="189"/>
      <c r="K5" s="189">
        <v>3</v>
      </c>
      <c r="L5" s="189"/>
      <c r="M5" s="189"/>
      <c r="N5" s="189"/>
      <c r="O5" s="189"/>
      <c r="P5" s="189">
        <v>4</v>
      </c>
      <c r="Q5" s="26"/>
      <c r="R5" s="26"/>
      <c r="S5" s="26"/>
      <c r="T5" s="26"/>
      <c r="U5" s="174"/>
      <c r="V5" s="26"/>
      <c r="W5" s="186">
        <v>4</v>
      </c>
      <c r="X5" s="26"/>
      <c r="Y5" s="26">
        <v>4</v>
      </c>
      <c r="Z5" s="26"/>
      <c r="AA5" s="87">
        <f t="shared" si="0"/>
        <v>19</v>
      </c>
      <c r="AC5" s="107" t="s">
        <v>130</v>
      </c>
      <c r="AD5" s="107" t="s">
        <v>139</v>
      </c>
      <c r="AE5" s="108">
        <v>5</v>
      </c>
    </row>
    <row r="6" spans="2:31">
      <c r="B6" s="24" t="s">
        <v>121</v>
      </c>
      <c r="C6" s="189"/>
      <c r="D6" s="189"/>
      <c r="E6" s="189"/>
      <c r="F6" s="189"/>
      <c r="G6" s="189">
        <v>1</v>
      </c>
      <c r="H6" s="189"/>
      <c r="I6" s="189"/>
      <c r="J6" s="189"/>
      <c r="K6" s="189"/>
      <c r="L6" s="189">
        <v>4</v>
      </c>
      <c r="M6" s="189"/>
      <c r="N6" s="188"/>
      <c r="O6" s="188"/>
      <c r="P6" s="188"/>
      <c r="Q6">
        <v>2</v>
      </c>
      <c r="T6">
        <v>2</v>
      </c>
      <c r="W6" s="187"/>
      <c r="X6">
        <v>3</v>
      </c>
      <c r="AA6" s="87">
        <f t="shared" si="0"/>
        <v>12</v>
      </c>
      <c r="AC6" s="102" t="s">
        <v>927</v>
      </c>
      <c r="AD6" s="102" t="s">
        <v>147</v>
      </c>
      <c r="AE6" s="103">
        <v>3</v>
      </c>
    </row>
    <row r="7" spans="2:31">
      <c r="B7" s="24" t="s">
        <v>189</v>
      </c>
      <c r="C7" s="189"/>
      <c r="D7" s="189"/>
      <c r="E7" s="189">
        <v>3</v>
      </c>
      <c r="F7" s="189"/>
      <c r="G7" s="189"/>
      <c r="H7" s="189"/>
      <c r="I7" s="189"/>
      <c r="J7" s="189">
        <v>2</v>
      </c>
      <c r="K7" s="189"/>
      <c r="L7" s="189"/>
      <c r="M7" s="189"/>
      <c r="N7" s="189"/>
      <c r="O7" s="189">
        <v>3</v>
      </c>
      <c r="P7" s="189"/>
      <c r="Q7" s="26">
        <v>3</v>
      </c>
      <c r="R7" s="26"/>
      <c r="S7" s="26"/>
      <c r="T7" s="26"/>
      <c r="U7" s="26"/>
      <c r="V7" s="26">
        <v>1</v>
      </c>
      <c r="W7" s="186"/>
      <c r="X7" s="26"/>
      <c r="Y7" s="26">
        <v>3</v>
      </c>
      <c r="Z7" s="26"/>
      <c r="AA7" s="87">
        <f t="shared" si="0"/>
        <v>15</v>
      </c>
      <c r="AC7" s="102" t="s">
        <v>121</v>
      </c>
      <c r="AD7" s="104" t="s">
        <v>1044</v>
      </c>
      <c r="AE7" s="103">
        <v>3</v>
      </c>
    </row>
    <row r="8" spans="2:31">
      <c r="B8" s="24" t="s">
        <v>310</v>
      </c>
      <c r="C8" s="189"/>
      <c r="D8" s="189">
        <v>4</v>
      </c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26"/>
      <c r="R8" s="26"/>
      <c r="S8" s="26">
        <v>4</v>
      </c>
      <c r="T8" s="26"/>
      <c r="U8" s="26"/>
      <c r="V8" s="174"/>
      <c r="W8" s="186"/>
      <c r="X8" s="26"/>
      <c r="Y8" s="26">
        <v>3</v>
      </c>
      <c r="Z8" s="26"/>
      <c r="AA8" s="87">
        <f t="shared" si="0"/>
        <v>11</v>
      </c>
      <c r="AC8" s="102" t="s">
        <v>189</v>
      </c>
      <c r="AD8" s="104" t="s">
        <v>250</v>
      </c>
      <c r="AE8" s="103">
        <v>3</v>
      </c>
    </row>
    <row r="9" spans="2:31">
      <c r="B9" s="24" t="s">
        <v>279</v>
      </c>
      <c r="C9" s="189"/>
      <c r="D9" s="189"/>
      <c r="E9" s="189">
        <v>4</v>
      </c>
      <c r="F9" s="189"/>
      <c r="G9" s="189"/>
      <c r="H9" s="189"/>
      <c r="I9" s="189"/>
      <c r="J9" s="189"/>
      <c r="K9" s="189"/>
      <c r="L9" s="189">
        <v>4</v>
      </c>
      <c r="M9" s="189"/>
      <c r="N9" s="189"/>
      <c r="O9" s="189"/>
      <c r="P9" s="189"/>
      <c r="Q9" s="26"/>
      <c r="R9" s="26"/>
      <c r="S9" s="26"/>
      <c r="T9" s="26"/>
      <c r="U9" s="26"/>
      <c r="V9" s="26"/>
      <c r="W9" s="186">
        <v>4</v>
      </c>
      <c r="X9" s="26"/>
      <c r="Y9" s="26"/>
      <c r="Z9" s="26"/>
      <c r="AA9" s="87">
        <f t="shared" si="0"/>
        <v>12</v>
      </c>
      <c r="AC9" s="102" t="s">
        <v>97</v>
      </c>
      <c r="AD9" s="102" t="s">
        <v>1084</v>
      </c>
      <c r="AE9" s="103">
        <v>3</v>
      </c>
    </row>
    <row r="10" spans="2:31">
      <c r="B10" s="24" t="s">
        <v>130</v>
      </c>
      <c r="C10" s="189"/>
      <c r="D10" s="189">
        <v>2</v>
      </c>
      <c r="E10" s="189"/>
      <c r="F10" s="189"/>
      <c r="G10" s="189"/>
      <c r="H10" s="189"/>
      <c r="I10" s="189">
        <v>2</v>
      </c>
      <c r="J10" s="189"/>
      <c r="K10" s="189"/>
      <c r="L10" s="189"/>
      <c r="M10" s="189">
        <v>3</v>
      </c>
      <c r="N10" s="189"/>
      <c r="O10" s="189"/>
      <c r="P10" s="189">
        <v>3</v>
      </c>
      <c r="Q10" s="26"/>
      <c r="R10" s="26"/>
      <c r="S10" s="26"/>
      <c r="T10" s="26"/>
      <c r="U10" s="174"/>
      <c r="V10" s="26"/>
      <c r="W10" s="186">
        <v>4</v>
      </c>
      <c r="X10" s="26"/>
      <c r="Y10" s="26"/>
      <c r="Z10" s="26">
        <v>3</v>
      </c>
      <c r="AA10" s="87">
        <f t="shared" si="0"/>
        <v>17</v>
      </c>
      <c r="AC10" s="102" t="s">
        <v>254</v>
      </c>
      <c r="AD10" s="102" t="s">
        <v>1254</v>
      </c>
      <c r="AE10" s="103">
        <v>3</v>
      </c>
    </row>
    <row r="11" spans="2:31">
      <c r="B11" s="24" t="s">
        <v>24</v>
      </c>
      <c r="C11" s="189"/>
      <c r="D11" s="189"/>
      <c r="E11" s="189"/>
      <c r="F11" s="189">
        <v>3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26"/>
      <c r="R11" s="26"/>
      <c r="S11" s="26"/>
      <c r="T11" s="26"/>
      <c r="U11" s="26"/>
      <c r="V11" s="26">
        <v>0</v>
      </c>
      <c r="W11" s="186">
        <v>3</v>
      </c>
      <c r="X11" s="26">
        <v>4</v>
      </c>
      <c r="Y11" s="26"/>
      <c r="Z11" s="26"/>
      <c r="AA11" s="87">
        <f t="shared" si="0"/>
        <v>10</v>
      </c>
      <c r="AC11" s="102" t="s">
        <v>203</v>
      </c>
      <c r="AD11" s="102" t="s">
        <v>245</v>
      </c>
      <c r="AE11" s="103">
        <v>3</v>
      </c>
    </row>
    <row r="12" spans="2:31">
      <c r="B12" s="24" t="s">
        <v>393</v>
      </c>
      <c r="C12" s="189"/>
      <c r="D12" s="189"/>
      <c r="E12" s="189"/>
      <c r="F12" s="189">
        <v>2</v>
      </c>
      <c r="G12" s="189"/>
      <c r="H12" s="189"/>
      <c r="I12" s="189"/>
      <c r="J12" s="189"/>
      <c r="K12" s="189"/>
      <c r="L12" s="189"/>
      <c r="M12" s="189"/>
      <c r="N12" s="189">
        <v>3</v>
      </c>
      <c r="O12" s="189"/>
      <c r="P12" s="189"/>
      <c r="Q12" s="26"/>
      <c r="R12" s="26"/>
      <c r="S12" s="26"/>
      <c r="T12" s="26"/>
      <c r="U12" s="26">
        <v>1</v>
      </c>
      <c r="V12" s="26"/>
      <c r="W12" s="186">
        <v>3</v>
      </c>
      <c r="X12" s="26"/>
      <c r="Y12" s="26"/>
      <c r="Z12" s="26"/>
      <c r="AA12" s="87">
        <f t="shared" si="0"/>
        <v>9</v>
      </c>
      <c r="AC12" s="102" t="s">
        <v>393</v>
      </c>
      <c r="AD12" s="102" t="s">
        <v>474</v>
      </c>
      <c r="AE12" s="103">
        <v>2</v>
      </c>
    </row>
    <row r="13" spans="2:31">
      <c r="B13" s="24" t="s">
        <v>161</v>
      </c>
      <c r="C13" s="189">
        <v>0</v>
      </c>
      <c r="D13" s="189"/>
      <c r="E13" s="189"/>
      <c r="F13" s="189"/>
      <c r="G13" s="189">
        <v>2</v>
      </c>
      <c r="H13" s="189"/>
      <c r="I13" s="189"/>
      <c r="J13" s="189"/>
      <c r="K13" s="189"/>
      <c r="L13" s="189">
        <v>2</v>
      </c>
      <c r="M13" s="189"/>
      <c r="N13" s="189"/>
      <c r="O13" s="189"/>
      <c r="P13" s="189">
        <v>1</v>
      </c>
      <c r="Q13" s="26"/>
      <c r="R13" s="26"/>
      <c r="S13" s="26"/>
      <c r="T13" s="26"/>
      <c r="U13" s="26">
        <v>1</v>
      </c>
      <c r="V13" s="26"/>
      <c r="W13" s="186">
        <v>1</v>
      </c>
      <c r="X13" s="26"/>
      <c r="Y13" s="26"/>
      <c r="Z13" s="26">
        <v>1</v>
      </c>
      <c r="AA13" s="87">
        <f t="shared" si="0"/>
        <v>8</v>
      </c>
      <c r="AC13" s="102" t="s">
        <v>393</v>
      </c>
      <c r="AD13" s="102" t="s">
        <v>776</v>
      </c>
      <c r="AE13" s="103">
        <v>2</v>
      </c>
    </row>
    <row r="14" spans="2:31">
      <c r="B14" s="24" t="s">
        <v>34</v>
      </c>
      <c r="C14" s="189"/>
      <c r="D14" s="189"/>
      <c r="E14" s="189"/>
      <c r="F14" s="189">
        <v>4</v>
      </c>
      <c r="G14" s="189"/>
      <c r="H14" s="189"/>
      <c r="I14" s="189"/>
      <c r="J14" s="189"/>
      <c r="K14" s="189">
        <v>2</v>
      </c>
      <c r="L14" s="189"/>
      <c r="M14" s="189"/>
      <c r="N14" s="189"/>
      <c r="O14" s="189">
        <v>1</v>
      </c>
      <c r="P14" s="189"/>
      <c r="Q14" s="26"/>
      <c r="R14" s="26">
        <v>1</v>
      </c>
      <c r="S14" s="26"/>
      <c r="T14" s="26"/>
      <c r="U14" s="174"/>
      <c r="V14" s="26"/>
      <c r="W14" s="186"/>
      <c r="X14" s="26">
        <v>4</v>
      </c>
      <c r="Y14" s="26"/>
      <c r="Z14" s="26"/>
      <c r="AA14" s="87">
        <f t="shared" si="0"/>
        <v>12</v>
      </c>
      <c r="AC14" s="106" t="s">
        <v>174</v>
      </c>
      <c r="AD14" s="104" t="s">
        <v>238</v>
      </c>
      <c r="AE14" s="105">
        <v>2</v>
      </c>
    </row>
    <row r="15" spans="2:31">
      <c r="B15" s="24" t="s">
        <v>174</v>
      </c>
      <c r="C15" s="189"/>
      <c r="D15" s="189"/>
      <c r="E15" s="189">
        <v>0</v>
      </c>
      <c r="F15" s="189"/>
      <c r="G15" s="189"/>
      <c r="H15" s="189"/>
      <c r="I15" s="189"/>
      <c r="J15" s="189">
        <v>3</v>
      </c>
      <c r="K15" s="189"/>
      <c r="L15" s="189"/>
      <c r="M15" s="189"/>
      <c r="N15" s="189">
        <v>3</v>
      </c>
      <c r="O15" s="189"/>
      <c r="P15" s="189"/>
      <c r="Q15" s="26"/>
      <c r="R15" s="26">
        <v>4</v>
      </c>
      <c r="S15" s="26"/>
      <c r="T15" s="26"/>
      <c r="U15" s="26"/>
      <c r="V15" s="26">
        <v>3</v>
      </c>
      <c r="W15" s="186"/>
      <c r="X15" s="26"/>
      <c r="Y15" s="26">
        <v>4</v>
      </c>
      <c r="Z15" s="26"/>
      <c r="AA15" s="87">
        <f t="shared" si="0"/>
        <v>17</v>
      </c>
      <c r="AC15" s="102" t="s">
        <v>97</v>
      </c>
      <c r="AD15" s="102" t="s">
        <v>142</v>
      </c>
      <c r="AE15" s="103">
        <v>2</v>
      </c>
    </row>
    <row r="16" spans="2:31">
      <c r="B16" s="24" t="s">
        <v>97</v>
      </c>
      <c r="C16" s="189">
        <v>3</v>
      </c>
      <c r="D16" s="189"/>
      <c r="E16" s="189"/>
      <c r="F16" s="189"/>
      <c r="G16" s="189"/>
      <c r="H16" s="189">
        <v>4</v>
      </c>
      <c r="I16" s="189"/>
      <c r="J16" s="189"/>
      <c r="K16" s="189">
        <v>4</v>
      </c>
      <c r="L16" s="189"/>
      <c r="M16" s="189"/>
      <c r="N16" s="189"/>
      <c r="O16" s="189"/>
      <c r="P16" s="189">
        <v>2</v>
      </c>
      <c r="Q16" s="26"/>
      <c r="R16" s="26"/>
      <c r="S16" s="26"/>
      <c r="T16" s="26"/>
      <c r="U16" s="26">
        <v>2</v>
      </c>
      <c r="V16" s="26"/>
      <c r="W16" s="186">
        <v>1</v>
      </c>
      <c r="X16" s="26"/>
      <c r="Y16" s="26"/>
      <c r="Z16" s="26">
        <v>3</v>
      </c>
      <c r="AA16" s="87">
        <f t="shared" si="0"/>
        <v>19</v>
      </c>
      <c r="AC16" s="102" t="s">
        <v>254</v>
      </c>
      <c r="AD16" s="102" t="s">
        <v>292</v>
      </c>
      <c r="AE16" s="103">
        <v>2</v>
      </c>
    </row>
    <row r="17" spans="2:31">
      <c r="B17" s="24" t="s">
        <v>254</v>
      </c>
      <c r="C17" s="188">
        <v>1</v>
      </c>
      <c r="D17" s="188"/>
      <c r="E17" s="188"/>
      <c r="F17" s="188"/>
      <c r="G17" s="188">
        <v>1</v>
      </c>
      <c r="H17" s="188"/>
      <c r="I17" s="188"/>
      <c r="J17" s="188"/>
      <c r="K17" s="188"/>
      <c r="L17" s="188"/>
      <c r="M17" s="188"/>
      <c r="N17" s="188"/>
      <c r="O17" s="188"/>
      <c r="P17" s="188">
        <v>3</v>
      </c>
      <c r="U17">
        <v>0</v>
      </c>
      <c r="W17" s="187">
        <v>3</v>
      </c>
      <c r="Y17">
        <v>3</v>
      </c>
      <c r="AA17" s="87">
        <f t="shared" si="0"/>
        <v>11</v>
      </c>
      <c r="AC17" s="102" t="s">
        <v>203</v>
      </c>
      <c r="AD17" s="102" t="s">
        <v>611</v>
      </c>
      <c r="AE17" s="103">
        <v>2</v>
      </c>
    </row>
    <row r="18" spans="2:31">
      <c r="B18" s="24" t="s">
        <v>203</v>
      </c>
      <c r="C18" s="189"/>
      <c r="D18" s="189"/>
      <c r="E18" s="189"/>
      <c r="F18" s="189"/>
      <c r="G18" s="189"/>
      <c r="H18" s="189"/>
      <c r="I18" s="189"/>
      <c r="J18" s="189">
        <v>1</v>
      </c>
      <c r="K18" s="189"/>
      <c r="L18" s="189"/>
      <c r="M18" s="189">
        <v>2</v>
      </c>
      <c r="N18" s="189"/>
      <c r="O18" s="189"/>
      <c r="P18" s="189"/>
      <c r="Q18" s="26"/>
      <c r="R18" s="26">
        <v>2</v>
      </c>
      <c r="S18" s="26"/>
      <c r="T18" s="26"/>
      <c r="U18" s="26"/>
      <c r="V18" s="174"/>
      <c r="W18" s="186"/>
      <c r="X18" s="26">
        <v>2</v>
      </c>
      <c r="Y18" s="26"/>
      <c r="Z18" s="26"/>
      <c r="AA18" s="87">
        <f t="shared" si="0"/>
        <v>7</v>
      </c>
      <c r="AC18" s="102" t="s">
        <v>927</v>
      </c>
      <c r="AD18" s="102" t="s">
        <v>786</v>
      </c>
      <c r="AE18" s="103">
        <v>1</v>
      </c>
    </row>
    <row r="19" spans="2:31">
      <c r="B19" s="24" t="s">
        <v>68</v>
      </c>
      <c r="C19" s="189"/>
      <c r="D19" s="189"/>
      <c r="E19" s="189">
        <v>5</v>
      </c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26"/>
      <c r="R19" s="26"/>
      <c r="S19" s="26">
        <v>4</v>
      </c>
      <c r="T19" s="26"/>
      <c r="U19" s="26"/>
      <c r="V19" s="26"/>
      <c r="W19" s="186"/>
      <c r="X19" s="26"/>
      <c r="Y19" s="26"/>
      <c r="Z19" s="26"/>
      <c r="AA19" s="87">
        <f t="shared" si="0"/>
        <v>9</v>
      </c>
      <c r="AC19" s="102" t="s">
        <v>121</v>
      </c>
      <c r="AD19" s="102" t="s">
        <v>151</v>
      </c>
      <c r="AE19" s="103">
        <v>1</v>
      </c>
    </row>
    <row r="20" spans="2:31">
      <c r="B20" s="25" t="s">
        <v>500</v>
      </c>
      <c r="C20" s="27">
        <f>SUM(C4:C19)</f>
        <v>4</v>
      </c>
      <c r="D20" s="27">
        <f t="shared" ref="D20:Z20" si="1">SUM(D4:D19)</f>
        <v>8</v>
      </c>
      <c r="E20" s="27">
        <f t="shared" si="1"/>
        <v>12</v>
      </c>
      <c r="F20" s="27">
        <f t="shared" si="1"/>
        <v>13</v>
      </c>
      <c r="G20" s="27">
        <f>SUM(G4:G19)</f>
        <v>4</v>
      </c>
      <c r="H20" s="27">
        <f t="shared" si="1"/>
        <v>4</v>
      </c>
      <c r="I20" s="27">
        <f t="shared" si="1"/>
        <v>2</v>
      </c>
      <c r="J20" s="27">
        <f t="shared" si="1"/>
        <v>6</v>
      </c>
      <c r="K20" s="27">
        <f t="shared" si="1"/>
        <v>9</v>
      </c>
      <c r="L20" s="27">
        <f t="shared" si="1"/>
        <v>13</v>
      </c>
      <c r="M20" s="27">
        <f t="shared" si="1"/>
        <v>5</v>
      </c>
      <c r="N20" s="27">
        <f t="shared" si="1"/>
        <v>6</v>
      </c>
      <c r="O20" s="27">
        <f t="shared" si="1"/>
        <v>4</v>
      </c>
      <c r="P20" s="27">
        <f t="shared" si="1"/>
        <v>13</v>
      </c>
      <c r="Q20" s="27">
        <f t="shared" si="1"/>
        <v>7</v>
      </c>
      <c r="R20" s="27">
        <f t="shared" si="1"/>
        <v>7</v>
      </c>
      <c r="S20" s="27">
        <f t="shared" si="1"/>
        <v>8</v>
      </c>
      <c r="T20" s="27">
        <f t="shared" si="1"/>
        <v>2</v>
      </c>
      <c r="U20" s="27">
        <f t="shared" si="1"/>
        <v>4</v>
      </c>
      <c r="V20" s="27">
        <f t="shared" si="1"/>
        <v>4</v>
      </c>
      <c r="W20" s="27">
        <f t="shared" si="1"/>
        <v>23</v>
      </c>
      <c r="X20" s="27">
        <f t="shared" si="1"/>
        <v>13</v>
      </c>
      <c r="Y20" s="27">
        <f t="shared" si="1"/>
        <v>17</v>
      </c>
      <c r="Z20" s="27">
        <f t="shared" si="1"/>
        <v>10</v>
      </c>
      <c r="AA20" s="27">
        <f t="shared" si="0"/>
        <v>198</v>
      </c>
      <c r="AC20" s="102" t="s">
        <v>189</v>
      </c>
      <c r="AD20" s="102" t="s">
        <v>466</v>
      </c>
      <c r="AE20" s="103">
        <v>1</v>
      </c>
    </row>
    <row r="21" spans="2:31">
      <c r="AC21" s="102" t="s">
        <v>189</v>
      </c>
      <c r="AD21" s="102" t="s">
        <v>799</v>
      </c>
      <c r="AE21" s="103">
        <v>1</v>
      </c>
    </row>
    <row r="22" spans="2:31">
      <c r="B22" s="30" t="s">
        <v>504</v>
      </c>
      <c r="C22" s="28" t="s">
        <v>503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421" t="s">
        <v>501</v>
      </c>
      <c r="AC22" s="102" t="s">
        <v>189</v>
      </c>
      <c r="AD22" s="102" t="s">
        <v>1295</v>
      </c>
      <c r="AE22" s="103">
        <v>1</v>
      </c>
    </row>
    <row r="23" spans="2:31">
      <c r="B23" s="29" t="s">
        <v>502</v>
      </c>
      <c r="C23" s="33">
        <v>43191</v>
      </c>
      <c r="D23" s="33">
        <v>43192</v>
      </c>
      <c r="E23" s="33">
        <v>43193</v>
      </c>
      <c r="F23" s="33">
        <v>43194</v>
      </c>
      <c r="G23" s="33">
        <v>43195</v>
      </c>
      <c r="H23" s="33">
        <v>43196</v>
      </c>
      <c r="I23" s="33">
        <v>43197</v>
      </c>
      <c r="J23" s="33">
        <v>43199</v>
      </c>
      <c r="K23" s="33">
        <v>43200</v>
      </c>
      <c r="L23" s="33">
        <v>43201</v>
      </c>
      <c r="M23" s="33">
        <v>43202</v>
      </c>
      <c r="N23" s="33">
        <v>43203</v>
      </c>
      <c r="O23" s="33">
        <v>43204</v>
      </c>
      <c r="P23" s="33">
        <v>43206</v>
      </c>
      <c r="Q23" s="33">
        <v>43207</v>
      </c>
      <c r="R23" s="33">
        <v>43208</v>
      </c>
      <c r="S23" s="33">
        <v>43209</v>
      </c>
      <c r="T23" s="33">
        <v>43210</v>
      </c>
      <c r="U23" s="33">
        <v>43211</v>
      </c>
      <c r="V23" s="33">
        <v>43212</v>
      </c>
      <c r="W23" s="33">
        <v>43213</v>
      </c>
      <c r="X23" s="33">
        <v>43215</v>
      </c>
      <c r="Y23" s="33">
        <v>43216</v>
      </c>
      <c r="Z23" s="33">
        <v>43218</v>
      </c>
      <c r="AA23" s="422"/>
      <c r="AC23" s="102" t="s">
        <v>189</v>
      </c>
      <c r="AD23" s="102" t="s">
        <v>249</v>
      </c>
      <c r="AE23" s="103">
        <v>1</v>
      </c>
    </row>
    <row r="24" spans="2:31">
      <c r="B24" s="24" t="s">
        <v>11</v>
      </c>
      <c r="C24" s="191"/>
      <c r="D24" s="191">
        <v>2</v>
      </c>
      <c r="E24" s="191"/>
      <c r="F24" s="191"/>
      <c r="G24" s="191"/>
      <c r="H24" s="191">
        <v>3</v>
      </c>
      <c r="I24" s="191"/>
      <c r="J24" s="191"/>
      <c r="K24" s="191"/>
      <c r="L24" s="191">
        <v>3</v>
      </c>
      <c r="M24" s="191"/>
      <c r="N24" s="191"/>
      <c r="O24" s="191"/>
      <c r="P24" s="191"/>
      <c r="Q24" s="26">
        <v>3</v>
      </c>
      <c r="R24" s="26"/>
      <c r="S24" s="26"/>
      <c r="T24" s="26"/>
      <c r="U24" s="26"/>
      <c r="V24" s="26">
        <v>3</v>
      </c>
      <c r="W24" s="186"/>
      <c r="X24" s="26"/>
      <c r="Y24" s="26"/>
      <c r="Z24" s="26">
        <v>4</v>
      </c>
      <c r="AA24" s="177">
        <f t="shared" ref="AA24:AA40" si="2">SUM(C24:Z24)</f>
        <v>18</v>
      </c>
      <c r="AC24" s="102" t="s">
        <v>310</v>
      </c>
      <c r="AD24" s="102" t="s">
        <v>343</v>
      </c>
      <c r="AE24" s="103">
        <v>1</v>
      </c>
    </row>
    <row r="25" spans="2:31">
      <c r="B25" s="24" t="s">
        <v>218</v>
      </c>
      <c r="C25" s="190"/>
      <c r="D25" s="190"/>
      <c r="E25" s="190"/>
      <c r="F25" s="190">
        <v>4</v>
      </c>
      <c r="G25" s="190"/>
      <c r="H25" s="190"/>
      <c r="I25" s="190"/>
      <c r="J25" s="190"/>
      <c r="K25" s="190">
        <v>3</v>
      </c>
      <c r="L25" s="190"/>
      <c r="M25" s="190"/>
      <c r="N25" s="190"/>
      <c r="O25" s="190"/>
      <c r="P25" s="190">
        <v>4</v>
      </c>
      <c r="U25" s="175"/>
      <c r="W25" s="187">
        <v>4</v>
      </c>
      <c r="Y25">
        <v>4</v>
      </c>
      <c r="AA25" s="177">
        <f t="shared" si="2"/>
        <v>19</v>
      </c>
      <c r="AC25" s="102" t="s">
        <v>279</v>
      </c>
      <c r="AD25" s="102" t="s">
        <v>1614</v>
      </c>
      <c r="AE25" s="103">
        <v>1</v>
      </c>
    </row>
    <row r="26" spans="2:31">
      <c r="B26" s="24" t="s">
        <v>121</v>
      </c>
      <c r="C26" s="190"/>
      <c r="D26" s="190"/>
      <c r="E26" s="190"/>
      <c r="F26" s="190"/>
      <c r="G26" s="190">
        <v>3</v>
      </c>
      <c r="H26" s="190"/>
      <c r="I26" s="190"/>
      <c r="J26" s="190"/>
      <c r="K26" s="190"/>
      <c r="L26" s="190">
        <v>4</v>
      </c>
      <c r="M26" s="190"/>
      <c r="N26" s="190"/>
      <c r="O26" s="190"/>
      <c r="P26" s="190"/>
      <c r="Q26">
        <v>2</v>
      </c>
      <c r="T26">
        <v>4</v>
      </c>
      <c r="W26" s="187"/>
      <c r="X26">
        <v>4</v>
      </c>
      <c r="AA26" s="177">
        <f t="shared" si="2"/>
        <v>17</v>
      </c>
      <c r="AC26" s="102" t="s">
        <v>24</v>
      </c>
      <c r="AD26" s="102" t="s">
        <v>1011</v>
      </c>
      <c r="AE26" s="103">
        <v>1</v>
      </c>
    </row>
    <row r="27" spans="2:31">
      <c r="B27" s="24" t="s">
        <v>189</v>
      </c>
      <c r="C27" s="190"/>
      <c r="D27" s="190"/>
      <c r="E27" s="190">
        <v>4</v>
      </c>
      <c r="F27" s="190"/>
      <c r="G27" s="190"/>
      <c r="H27" s="190"/>
      <c r="I27" s="190"/>
      <c r="J27" s="190">
        <v>4</v>
      </c>
      <c r="K27" s="190"/>
      <c r="L27" s="190"/>
      <c r="M27" s="190"/>
      <c r="N27" s="190"/>
      <c r="O27" s="190">
        <v>4</v>
      </c>
      <c r="P27" s="190"/>
      <c r="Q27">
        <v>4</v>
      </c>
      <c r="V27">
        <v>3</v>
      </c>
      <c r="W27" s="187"/>
      <c r="Y27">
        <v>4</v>
      </c>
      <c r="AA27" s="177">
        <f t="shared" si="2"/>
        <v>23</v>
      </c>
      <c r="AC27" s="102" t="s">
        <v>24</v>
      </c>
      <c r="AD27" s="104" t="s">
        <v>1620</v>
      </c>
      <c r="AE27" s="103">
        <v>1</v>
      </c>
    </row>
    <row r="28" spans="2:31">
      <c r="B28" s="24" t="s">
        <v>310</v>
      </c>
      <c r="C28" s="190"/>
      <c r="D28" s="190">
        <v>4</v>
      </c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S28">
        <v>4</v>
      </c>
      <c r="V28" s="175"/>
      <c r="W28" s="187"/>
      <c r="Y28">
        <v>4</v>
      </c>
      <c r="AA28" s="177">
        <f t="shared" si="2"/>
        <v>12</v>
      </c>
      <c r="AC28" s="102" t="s">
        <v>393</v>
      </c>
      <c r="AD28" s="102" t="s">
        <v>568</v>
      </c>
      <c r="AE28" s="103">
        <v>1</v>
      </c>
    </row>
    <row r="29" spans="2:31">
      <c r="B29" s="24" t="s">
        <v>279</v>
      </c>
      <c r="C29" s="190"/>
      <c r="D29" s="190"/>
      <c r="E29" s="190">
        <v>4</v>
      </c>
      <c r="F29" s="190"/>
      <c r="G29" s="190"/>
      <c r="H29" s="190"/>
      <c r="I29" s="190"/>
      <c r="J29" s="190"/>
      <c r="K29" s="190"/>
      <c r="L29" s="190">
        <v>4</v>
      </c>
      <c r="M29" s="190"/>
      <c r="N29" s="190"/>
      <c r="O29" s="190"/>
      <c r="P29" s="190"/>
      <c r="W29" s="187">
        <v>4</v>
      </c>
      <c r="Z29">
        <v>1</v>
      </c>
      <c r="AA29" s="177">
        <f t="shared" si="2"/>
        <v>13</v>
      </c>
      <c r="AC29" s="151" t="s">
        <v>393</v>
      </c>
      <c r="AD29" s="10" t="s">
        <v>1015</v>
      </c>
      <c r="AE29" s="103">
        <v>1</v>
      </c>
    </row>
    <row r="30" spans="2:31">
      <c r="B30" s="24" t="s">
        <v>130</v>
      </c>
      <c r="C30" s="190"/>
      <c r="D30" s="190">
        <v>4</v>
      </c>
      <c r="E30" s="190"/>
      <c r="F30" s="190"/>
      <c r="G30" s="190"/>
      <c r="H30" s="190"/>
      <c r="I30" s="190">
        <v>3</v>
      </c>
      <c r="J30" s="190"/>
      <c r="K30" s="190"/>
      <c r="L30" s="190"/>
      <c r="M30" s="190">
        <v>4</v>
      </c>
      <c r="N30" s="190"/>
      <c r="O30" s="190"/>
      <c r="P30" s="190">
        <v>4</v>
      </c>
      <c r="U30" s="175"/>
      <c r="W30" s="187">
        <v>4</v>
      </c>
      <c r="Z30">
        <v>4</v>
      </c>
      <c r="AA30" s="177">
        <f t="shared" si="2"/>
        <v>23</v>
      </c>
      <c r="AC30" s="102" t="s">
        <v>161</v>
      </c>
      <c r="AD30" s="102" t="s">
        <v>998</v>
      </c>
      <c r="AE30" s="103">
        <v>1</v>
      </c>
    </row>
    <row r="31" spans="2:31">
      <c r="B31" s="24" t="s">
        <v>24</v>
      </c>
      <c r="C31" s="190"/>
      <c r="D31" s="190"/>
      <c r="E31" s="190"/>
      <c r="F31" s="190">
        <v>4</v>
      </c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V31">
        <v>1</v>
      </c>
      <c r="W31" s="187">
        <v>3</v>
      </c>
      <c r="X31">
        <v>4</v>
      </c>
      <c r="AA31" s="177">
        <f t="shared" si="2"/>
        <v>12</v>
      </c>
      <c r="AC31" s="102" t="s">
        <v>161</v>
      </c>
      <c r="AD31" s="102" t="s">
        <v>999</v>
      </c>
      <c r="AE31" s="103">
        <v>1</v>
      </c>
    </row>
    <row r="32" spans="2:31">
      <c r="B32" s="24" t="s">
        <v>393</v>
      </c>
      <c r="C32" s="190"/>
      <c r="D32" s="190"/>
      <c r="E32" s="190"/>
      <c r="F32" s="190">
        <v>4</v>
      </c>
      <c r="G32" s="190"/>
      <c r="H32" s="190"/>
      <c r="I32" s="190"/>
      <c r="J32" s="190"/>
      <c r="K32" s="190"/>
      <c r="L32" s="190"/>
      <c r="M32" s="190"/>
      <c r="N32" s="190">
        <v>4</v>
      </c>
      <c r="O32" s="190"/>
      <c r="P32" s="190"/>
      <c r="U32">
        <v>3</v>
      </c>
      <c r="W32" s="187">
        <v>4</v>
      </c>
      <c r="Z32">
        <v>1</v>
      </c>
      <c r="AA32" s="177">
        <f t="shared" si="2"/>
        <v>16</v>
      </c>
      <c r="AC32" s="102" t="s">
        <v>34</v>
      </c>
      <c r="AD32" s="102" t="s">
        <v>1135</v>
      </c>
      <c r="AE32" s="103">
        <v>1</v>
      </c>
    </row>
    <row r="33" spans="2:31">
      <c r="B33" s="20" t="s">
        <v>161</v>
      </c>
      <c r="C33" s="190">
        <v>2</v>
      </c>
      <c r="D33" s="190"/>
      <c r="E33" s="190"/>
      <c r="F33" s="190"/>
      <c r="G33" s="190">
        <v>2</v>
      </c>
      <c r="H33" s="190"/>
      <c r="I33" s="190"/>
      <c r="J33" s="190"/>
      <c r="K33" s="190"/>
      <c r="L33" s="190">
        <v>2</v>
      </c>
      <c r="M33" s="190"/>
      <c r="N33" s="190"/>
      <c r="O33" s="190"/>
      <c r="P33" s="190">
        <v>1</v>
      </c>
      <c r="U33">
        <v>1</v>
      </c>
      <c r="W33" s="187">
        <v>1</v>
      </c>
      <c r="Z33">
        <v>1</v>
      </c>
      <c r="AA33" s="177">
        <f t="shared" si="2"/>
        <v>10</v>
      </c>
      <c r="AC33" s="102" t="s">
        <v>174</v>
      </c>
      <c r="AD33" s="102" t="s">
        <v>1239</v>
      </c>
      <c r="AE33" s="103">
        <v>1</v>
      </c>
    </row>
    <row r="34" spans="2:31">
      <c r="B34" s="24" t="s">
        <v>34</v>
      </c>
      <c r="C34" s="190"/>
      <c r="D34" s="190"/>
      <c r="E34" s="190"/>
      <c r="F34" s="190">
        <v>4</v>
      </c>
      <c r="G34" s="190"/>
      <c r="H34" s="190"/>
      <c r="I34" s="190"/>
      <c r="J34" s="190"/>
      <c r="K34" s="190">
        <v>3</v>
      </c>
      <c r="L34" s="190"/>
      <c r="M34" s="190"/>
      <c r="N34" s="190"/>
      <c r="O34" s="190">
        <v>1</v>
      </c>
      <c r="P34" s="190"/>
      <c r="R34">
        <v>1</v>
      </c>
      <c r="U34" s="175"/>
      <c r="W34" s="187"/>
      <c r="X34">
        <v>4</v>
      </c>
      <c r="AA34" s="177">
        <f t="shared" si="2"/>
        <v>13</v>
      </c>
      <c r="AC34" s="104" t="s">
        <v>174</v>
      </c>
      <c r="AD34" s="104" t="s">
        <v>236</v>
      </c>
      <c r="AE34" s="105">
        <v>1</v>
      </c>
    </row>
    <row r="35" spans="2:31">
      <c r="B35" s="24" t="s">
        <v>174</v>
      </c>
      <c r="C35" s="190"/>
      <c r="D35" s="190"/>
      <c r="E35" s="190">
        <v>4</v>
      </c>
      <c r="F35" s="190"/>
      <c r="G35" s="190"/>
      <c r="H35" s="190"/>
      <c r="I35" s="190"/>
      <c r="J35" s="190">
        <v>3</v>
      </c>
      <c r="K35" s="190"/>
      <c r="L35" s="190"/>
      <c r="M35" s="190"/>
      <c r="N35" s="190">
        <v>4</v>
      </c>
      <c r="O35" s="190"/>
      <c r="P35" s="190"/>
      <c r="R35">
        <v>4</v>
      </c>
      <c r="V35">
        <v>4</v>
      </c>
      <c r="W35" s="187"/>
      <c r="Y35">
        <v>4</v>
      </c>
      <c r="AA35" s="177">
        <f t="shared" si="2"/>
        <v>23</v>
      </c>
      <c r="AC35" s="102" t="s">
        <v>254</v>
      </c>
      <c r="AD35" s="102" t="s">
        <v>532</v>
      </c>
      <c r="AE35" s="103">
        <v>1</v>
      </c>
    </row>
    <row r="36" spans="2:31">
      <c r="B36" s="24" t="s">
        <v>97</v>
      </c>
      <c r="C36" s="190">
        <v>3</v>
      </c>
      <c r="D36" s="190"/>
      <c r="E36" s="190"/>
      <c r="F36" s="190"/>
      <c r="G36" s="190"/>
      <c r="H36" s="190">
        <v>4</v>
      </c>
      <c r="I36" s="190"/>
      <c r="J36" s="190"/>
      <c r="K36" s="190">
        <v>4</v>
      </c>
      <c r="L36" s="190"/>
      <c r="M36" s="190"/>
      <c r="N36" s="190"/>
      <c r="O36" s="190"/>
      <c r="P36" s="190">
        <v>4</v>
      </c>
      <c r="U36">
        <v>4</v>
      </c>
      <c r="W36" s="187">
        <v>4</v>
      </c>
      <c r="Z36">
        <v>4</v>
      </c>
      <c r="AA36" s="177">
        <f t="shared" si="2"/>
        <v>27</v>
      </c>
      <c r="AC36" s="102" t="s">
        <v>254</v>
      </c>
      <c r="AD36" s="102" t="s">
        <v>1632</v>
      </c>
      <c r="AE36" s="103">
        <v>1</v>
      </c>
    </row>
    <row r="37" spans="2:31">
      <c r="B37" s="24" t="s">
        <v>254</v>
      </c>
      <c r="C37" s="190">
        <v>1</v>
      </c>
      <c r="D37" s="190"/>
      <c r="E37" s="190"/>
      <c r="F37" s="190"/>
      <c r="G37" s="190">
        <v>3</v>
      </c>
      <c r="H37" s="190"/>
      <c r="I37" s="190"/>
      <c r="J37" s="190"/>
      <c r="K37" s="190"/>
      <c r="L37" s="190"/>
      <c r="M37" s="190"/>
      <c r="N37" s="190"/>
      <c r="O37" s="190"/>
      <c r="P37" s="190">
        <v>4</v>
      </c>
      <c r="U37">
        <v>4</v>
      </c>
      <c r="W37" s="187">
        <v>4</v>
      </c>
      <c r="Y37">
        <v>4</v>
      </c>
      <c r="AA37" s="177">
        <f t="shared" si="2"/>
        <v>20</v>
      </c>
      <c r="AC37" s="102" t="s">
        <v>254</v>
      </c>
      <c r="AD37" s="102" t="s">
        <v>769</v>
      </c>
      <c r="AE37" s="103">
        <v>1</v>
      </c>
    </row>
    <row r="38" spans="2:31">
      <c r="B38" s="24" t="s">
        <v>203</v>
      </c>
      <c r="C38" s="190"/>
      <c r="D38" s="190"/>
      <c r="E38" s="190"/>
      <c r="F38" s="190"/>
      <c r="G38" s="190"/>
      <c r="H38" s="190"/>
      <c r="I38" s="190"/>
      <c r="J38" s="190">
        <v>2</v>
      </c>
      <c r="K38" s="190"/>
      <c r="L38" s="190"/>
      <c r="M38" s="190">
        <v>3</v>
      </c>
      <c r="N38" s="190"/>
      <c r="O38" s="190"/>
      <c r="P38" s="190"/>
      <c r="R38">
        <v>4</v>
      </c>
      <c r="V38" s="175"/>
      <c r="W38" s="187"/>
      <c r="X38">
        <v>4</v>
      </c>
      <c r="AA38" s="177">
        <f t="shared" si="2"/>
        <v>13</v>
      </c>
      <c r="AC38" s="102" t="s">
        <v>68</v>
      </c>
      <c r="AD38" s="102" t="s">
        <v>1149</v>
      </c>
      <c r="AE38" s="103">
        <v>1</v>
      </c>
    </row>
    <row r="39" spans="2:31">
      <c r="B39" s="24" t="s">
        <v>68</v>
      </c>
      <c r="C39" s="190"/>
      <c r="D39" s="190"/>
      <c r="E39" s="190">
        <v>5</v>
      </c>
      <c r="F39" s="190"/>
      <c r="G39" s="190"/>
      <c r="H39" s="190"/>
      <c r="I39" s="190"/>
      <c r="J39" s="190"/>
      <c r="K39" s="190"/>
      <c r="L39" s="190"/>
      <c r="M39" s="190">
        <v>3</v>
      </c>
      <c r="N39" s="190"/>
      <c r="O39" s="190"/>
      <c r="P39" s="190"/>
      <c r="S39">
        <v>4</v>
      </c>
      <c r="W39" s="187"/>
      <c r="AA39" s="177">
        <f t="shared" si="2"/>
        <v>12</v>
      </c>
    </row>
    <row r="40" spans="2:31">
      <c r="B40" s="25" t="s">
        <v>500</v>
      </c>
      <c r="C40" s="27">
        <f>SUM(C24:C39)</f>
        <v>6</v>
      </c>
      <c r="D40" s="27">
        <f t="shared" ref="D40:Z40" si="3">SUM(D24:D39)</f>
        <v>10</v>
      </c>
      <c r="E40" s="27">
        <f t="shared" si="3"/>
        <v>17</v>
      </c>
      <c r="F40" s="27">
        <f>SUM(F24:F39)</f>
        <v>16</v>
      </c>
      <c r="G40" s="27">
        <f t="shared" si="3"/>
        <v>8</v>
      </c>
      <c r="H40" s="27">
        <f t="shared" si="3"/>
        <v>7</v>
      </c>
      <c r="I40" s="27">
        <f t="shared" si="3"/>
        <v>3</v>
      </c>
      <c r="J40" s="27">
        <f t="shared" si="3"/>
        <v>9</v>
      </c>
      <c r="K40" s="27">
        <f t="shared" si="3"/>
        <v>10</v>
      </c>
      <c r="L40" s="27">
        <f t="shared" si="3"/>
        <v>13</v>
      </c>
      <c r="M40" s="27">
        <f t="shared" si="3"/>
        <v>10</v>
      </c>
      <c r="N40" s="27">
        <f t="shared" si="3"/>
        <v>8</v>
      </c>
      <c r="O40" s="27">
        <f t="shared" si="3"/>
        <v>5</v>
      </c>
      <c r="P40" s="27">
        <f t="shared" si="3"/>
        <v>17</v>
      </c>
      <c r="Q40" s="27">
        <f t="shared" si="3"/>
        <v>9</v>
      </c>
      <c r="R40" s="27">
        <f t="shared" si="3"/>
        <v>9</v>
      </c>
      <c r="S40" s="27">
        <f t="shared" si="3"/>
        <v>8</v>
      </c>
      <c r="T40" s="27">
        <f t="shared" si="3"/>
        <v>4</v>
      </c>
      <c r="U40" s="27">
        <f t="shared" si="3"/>
        <v>12</v>
      </c>
      <c r="V40" s="27">
        <f t="shared" si="3"/>
        <v>11</v>
      </c>
      <c r="W40" s="27">
        <f t="shared" si="3"/>
        <v>28</v>
      </c>
      <c r="X40" s="27">
        <f t="shared" si="3"/>
        <v>16</v>
      </c>
      <c r="Y40" s="27">
        <f t="shared" si="3"/>
        <v>20</v>
      </c>
      <c r="Z40" s="27">
        <f t="shared" si="3"/>
        <v>15</v>
      </c>
      <c r="AA40" s="27">
        <f t="shared" si="2"/>
        <v>271</v>
      </c>
      <c r="AC40" s="69"/>
      <c r="AD40" s="69"/>
      <c r="AE40" s="86"/>
    </row>
    <row r="41" spans="2:31">
      <c r="AC41" s="69"/>
      <c r="AD41" s="69"/>
      <c r="AE41" s="86"/>
    </row>
    <row r="42" spans="2:31" ht="15">
      <c r="B42" s="423" t="s">
        <v>663</v>
      </c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31"/>
      <c r="V42" s="31"/>
      <c r="W42" s="31"/>
      <c r="X42" s="31"/>
      <c r="Y42" s="31"/>
      <c r="Z42" s="31"/>
      <c r="AA42" s="421" t="s">
        <v>663</v>
      </c>
    </row>
    <row r="43" spans="2:31" ht="24.75" customHeight="1">
      <c r="B43" s="38" t="s">
        <v>502</v>
      </c>
      <c r="C43" s="33">
        <v>43191</v>
      </c>
      <c r="D43" s="33">
        <v>43192</v>
      </c>
      <c r="E43" s="33">
        <v>43193</v>
      </c>
      <c r="F43" s="33">
        <v>43194</v>
      </c>
      <c r="G43" s="33">
        <v>43195</v>
      </c>
      <c r="H43" s="33">
        <v>43196</v>
      </c>
      <c r="I43" s="33">
        <v>43197</v>
      </c>
      <c r="J43" s="33">
        <v>43199</v>
      </c>
      <c r="K43" s="33">
        <v>43200</v>
      </c>
      <c r="L43" s="33">
        <v>43201</v>
      </c>
      <c r="M43" s="33">
        <v>43202</v>
      </c>
      <c r="N43" s="33">
        <v>43203</v>
      </c>
      <c r="O43" s="33">
        <v>43204</v>
      </c>
      <c r="P43" s="33">
        <v>43206</v>
      </c>
      <c r="Q43" s="33">
        <v>43207</v>
      </c>
      <c r="R43" s="33">
        <v>43208</v>
      </c>
      <c r="S43" s="33">
        <v>43209</v>
      </c>
      <c r="T43" s="33">
        <v>43210</v>
      </c>
      <c r="U43" s="33">
        <v>43211</v>
      </c>
      <c r="V43" s="33">
        <v>43212</v>
      </c>
      <c r="W43" s="33">
        <v>43213</v>
      </c>
      <c r="X43" s="33">
        <v>43215</v>
      </c>
      <c r="Y43" s="33">
        <v>43216</v>
      </c>
      <c r="Z43" s="33">
        <v>43218</v>
      </c>
      <c r="AA43" s="421"/>
    </row>
    <row r="44" spans="2:31">
      <c r="B44" s="37" t="s">
        <v>11</v>
      </c>
      <c r="C44" s="35" t="str">
        <f>IFERROR(C4/C24," ")</f>
        <v xml:space="preserve"> </v>
      </c>
      <c r="D44" s="35">
        <f t="shared" ref="D44:Z59" si="4">IFERROR(D4/D24," ")</f>
        <v>1</v>
      </c>
      <c r="E44" s="35" t="str">
        <f t="shared" si="4"/>
        <v xml:space="preserve"> </v>
      </c>
      <c r="F44" s="35" t="str">
        <f t="shared" si="4"/>
        <v xml:space="preserve"> </v>
      </c>
      <c r="G44" s="35" t="str">
        <f t="shared" si="4"/>
        <v xml:space="preserve"> </v>
      </c>
      <c r="H44" s="35">
        <f t="shared" si="4"/>
        <v>0</v>
      </c>
      <c r="I44" s="35" t="str">
        <f t="shared" si="4"/>
        <v xml:space="preserve"> </v>
      </c>
      <c r="J44" s="35" t="str">
        <f t="shared" si="4"/>
        <v xml:space="preserve"> </v>
      </c>
      <c r="K44" s="35" t="str">
        <f t="shared" si="4"/>
        <v xml:space="preserve"> </v>
      </c>
      <c r="L44" s="35">
        <f t="shared" si="4"/>
        <v>1</v>
      </c>
      <c r="M44" s="35" t="str">
        <f t="shared" si="4"/>
        <v xml:space="preserve"> </v>
      </c>
      <c r="N44" s="35" t="str">
        <f t="shared" si="4"/>
        <v xml:space="preserve"> </v>
      </c>
      <c r="O44" s="35" t="str">
        <f t="shared" si="4"/>
        <v xml:space="preserve"> </v>
      </c>
      <c r="P44" s="35" t="str">
        <f t="shared" si="4"/>
        <v xml:space="preserve"> </v>
      </c>
      <c r="Q44" s="35">
        <f t="shared" si="4"/>
        <v>0.66666666666666663</v>
      </c>
      <c r="R44" s="35" t="str">
        <f t="shared" si="4"/>
        <v xml:space="preserve"> </v>
      </c>
      <c r="S44" s="35" t="str">
        <f t="shared" si="4"/>
        <v xml:space="preserve"> </v>
      </c>
      <c r="T44" s="35" t="str">
        <f t="shared" si="4"/>
        <v xml:space="preserve"> </v>
      </c>
      <c r="U44" s="35" t="str">
        <f t="shared" si="4"/>
        <v xml:space="preserve"> </v>
      </c>
      <c r="V44" s="35">
        <f t="shared" si="4"/>
        <v>0</v>
      </c>
      <c r="W44" s="35" t="str">
        <f>IFERROR(W4/W24," ")</f>
        <v xml:space="preserve"> </v>
      </c>
      <c r="X44" s="35" t="str">
        <f t="shared" si="4"/>
        <v xml:space="preserve"> </v>
      </c>
      <c r="Y44" s="35" t="str">
        <f t="shared" si="4"/>
        <v xml:space="preserve"> </v>
      </c>
      <c r="Z44" s="35">
        <f t="shared" si="4"/>
        <v>0.75</v>
      </c>
      <c r="AA44" s="35">
        <f>IFERROR(AA4/AA24," ")</f>
        <v>0.55555555555555558</v>
      </c>
    </row>
    <row r="45" spans="2:31">
      <c r="B45" s="37" t="s">
        <v>218</v>
      </c>
      <c r="C45" s="35" t="str">
        <f t="shared" ref="C45:R60" si="5">IFERROR(C5/C25," ")</f>
        <v xml:space="preserve"> </v>
      </c>
      <c r="D45" s="35" t="str">
        <f t="shared" si="5"/>
        <v xml:space="preserve"> </v>
      </c>
      <c r="E45" s="35" t="str">
        <f t="shared" si="5"/>
        <v xml:space="preserve"> </v>
      </c>
      <c r="F45" s="35">
        <f t="shared" si="5"/>
        <v>1</v>
      </c>
      <c r="G45" s="35" t="str">
        <f t="shared" si="5"/>
        <v xml:space="preserve"> </v>
      </c>
      <c r="H45" s="35" t="str">
        <f t="shared" si="5"/>
        <v xml:space="preserve"> </v>
      </c>
      <c r="I45" s="35" t="str">
        <f t="shared" si="5"/>
        <v xml:space="preserve"> </v>
      </c>
      <c r="J45" s="35" t="str">
        <f t="shared" si="5"/>
        <v xml:space="preserve"> </v>
      </c>
      <c r="K45" s="35">
        <f t="shared" si="5"/>
        <v>1</v>
      </c>
      <c r="L45" s="35" t="str">
        <f t="shared" si="5"/>
        <v xml:space="preserve"> </v>
      </c>
      <c r="M45" s="35" t="str">
        <f t="shared" si="5"/>
        <v xml:space="preserve"> </v>
      </c>
      <c r="N45" s="35" t="str">
        <f>IFERROR(N5/N25," ")</f>
        <v xml:space="preserve"> </v>
      </c>
      <c r="O45" s="35" t="str">
        <f t="shared" si="4"/>
        <v xml:space="preserve"> </v>
      </c>
      <c r="P45" s="35">
        <f t="shared" si="4"/>
        <v>1</v>
      </c>
      <c r="Q45" s="35" t="str">
        <f t="shared" ref="Q45:V45" si="6">IFERROR(Q5/Q25," ")</f>
        <v xml:space="preserve"> </v>
      </c>
      <c r="R45" s="35" t="str">
        <f t="shared" si="6"/>
        <v xml:space="preserve"> </v>
      </c>
      <c r="S45" s="35" t="str">
        <f t="shared" si="6"/>
        <v xml:space="preserve"> </v>
      </c>
      <c r="T45" s="35" t="str">
        <f t="shared" si="6"/>
        <v xml:space="preserve"> </v>
      </c>
      <c r="U45" s="35" t="str">
        <f t="shared" si="6"/>
        <v xml:space="preserve"> </v>
      </c>
      <c r="V45" s="35" t="str">
        <f t="shared" si="6"/>
        <v xml:space="preserve"> </v>
      </c>
      <c r="W45" s="35">
        <f>IFERROR(W5/W25," ")</f>
        <v>1</v>
      </c>
      <c r="X45" s="35" t="str">
        <f t="shared" si="4"/>
        <v xml:space="preserve"> </v>
      </c>
      <c r="Y45" s="35">
        <f t="shared" si="4"/>
        <v>1</v>
      </c>
      <c r="Z45" s="35" t="str">
        <f t="shared" si="4"/>
        <v xml:space="preserve"> </v>
      </c>
      <c r="AA45" s="35">
        <f>IFERROR(AA5/AA25," ")</f>
        <v>1</v>
      </c>
    </row>
    <row r="46" spans="2:31">
      <c r="B46" s="37" t="s">
        <v>121</v>
      </c>
      <c r="C46" s="35" t="str">
        <f t="shared" si="5"/>
        <v xml:space="preserve"> </v>
      </c>
      <c r="D46" s="35" t="str">
        <f t="shared" si="5"/>
        <v xml:space="preserve"> </v>
      </c>
      <c r="E46" s="35" t="str">
        <f t="shared" si="5"/>
        <v xml:space="preserve"> </v>
      </c>
      <c r="F46" s="35" t="str">
        <f t="shared" si="5"/>
        <v xml:space="preserve"> </v>
      </c>
      <c r="G46" s="35">
        <f t="shared" si="5"/>
        <v>0.33333333333333331</v>
      </c>
      <c r="H46" s="35" t="str">
        <f t="shared" si="5"/>
        <v xml:space="preserve"> </v>
      </c>
      <c r="I46" s="35" t="str">
        <f t="shared" si="5"/>
        <v xml:space="preserve"> </v>
      </c>
      <c r="J46" s="35" t="str">
        <f t="shared" si="5"/>
        <v xml:space="preserve"> </v>
      </c>
      <c r="K46" s="35" t="str">
        <f t="shared" si="5"/>
        <v xml:space="preserve"> </v>
      </c>
      <c r="L46" s="35">
        <f t="shared" si="5"/>
        <v>1</v>
      </c>
      <c r="M46" s="35" t="str">
        <f t="shared" si="5"/>
        <v xml:space="preserve"> </v>
      </c>
      <c r="N46" s="35" t="str">
        <f t="shared" si="5"/>
        <v xml:space="preserve"> </v>
      </c>
      <c r="O46" s="35" t="str">
        <f t="shared" si="5"/>
        <v xml:space="preserve"> </v>
      </c>
      <c r="P46" s="35" t="str">
        <f t="shared" si="4"/>
        <v xml:space="preserve"> </v>
      </c>
      <c r="Q46" s="35">
        <f t="shared" ref="Q46:W46" si="7">IFERROR(Q6/Q26," ")</f>
        <v>1</v>
      </c>
      <c r="R46" s="35" t="str">
        <f t="shared" si="7"/>
        <v xml:space="preserve"> </v>
      </c>
      <c r="S46" s="35" t="str">
        <f t="shared" si="7"/>
        <v xml:space="preserve"> </v>
      </c>
      <c r="T46" s="35">
        <f t="shared" si="7"/>
        <v>0.5</v>
      </c>
      <c r="U46" s="35" t="str">
        <f t="shared" si="7"/>
        <v xml:space="preserve"> </v>
      </c>
      <c r="V46" s="35" t="str">
        <f t="shared" si="7"/>
        <v xml:space="preserve"> </v>
      </c>
      <c r="W46" s="35" t="str">
        <f t="shared" si="7"/>
        <v xml:space="preserve"> </v>
      </c>
      <c r="X46" s="35">
        <f t="shared" si="4"/>
        <v>0.75</v>
      </c>
      <c r="Y46" s="35" t="str">
        <f t="shared" si="4"/>
        <v xml:space="preserve"> </v>
      </c>
      <c r="Z46" s="35" t="str">
        <f t="shared" si="4"/>
        <v xml:space="preserve"> </v>
      </c>
      <c r="AA46" s="35">
        <f t="shared" ref="AA46:AA50" si="8">IFERROR(AA6/AA26," ")</f>
        <v>0.70588235294117652</v>
      </c>
    </row>
    <row r="47" spans="2:31">
      <c r="B47" s="37" t="s">
        <v>189</v>
      </c>
      <c r="C47" s="35" t="str">
        <f t="shared" si="5"/>
        <v xml:space="preserve"> </v>
      </c>
      <c r="D47" s="35" t="str">
        <f t="shared" si="5"/>
        <v xml:space="preserve"> </v>
      </c>
      <c r="E47" s="35">
        <f t="shared" si="5"/>
        <v>0.75</v>
      </c>
      <c r="F47" s="35" t="str">
        <f t="shared" si="5"/>
        <v xml:space="preserve"> </v>
      </c>
      <c r="G47" s="35" t="str">
        <f t="shared" si="5"/>
        <v xml:space="preserve"> </v>
      </c>
      <c r="H47" s="35" t="str">
        <f t="shared" si="5"/>
        <v xml:space="preserve"> </v>
      </c>
      <c r="I47" s="35" t="str">
        <f t="shared" si="5"/>
        <v xml:space="preserve"> </v>
      </c>
      <c r="J47" s="35">
        <f t="shared" si="5"/>
        <v>0.5</v>
      </c>
      <c r="K47" s="35" t="str">
        <f t="shared" si="5"/>
        <v xml:space="preserve"> </v>
      </c>
      <c r="L47" s="35" t="str">
        <f t="shared" si="5"/>
        <v xml:space="preserve"> </v>
      </c>
      <c r="M47" s="35" t="str">
        <f t="shared" si="5"/>
        <v xml:space="preserve"> </v>
      </c>
      <c r="N47" s="35" t="str">
        <f t="shared" si="5"/>
        <v xml:space="preserve"> </v>
      </c>
      <c r="O47" s="35">
        <f t="shared" si="5"/>
        <v>0.75</v>
      </c>
      <c r="P47" s="35" t="str">
        <f t="shared" si="4"/>
        <v xml:space="preserve"> </v>
      </c>
      <c r="Q47" s="35">
        <f t="shared" ref="Q47:W47" si="9">IFERROR(Q7/Q27," ")</f>
        <v>0.75</v>
      </c>
      <c r="R47" s="35" t="str">
        <f t="shared" si="9"/>
        <v xml:space="preserve"> </v>
      </c>
      <c r="S47" s="35" t="str">
        <f t="shared" si="9"/>
        <v xml:space="preserve"> </v>
      </c>
      <c r="T47" s="35" t="str">
        <f t="shared" si="9"/>
        <v xml:space="preserve"> </v>
      </c>
      <c r="U47" s="35" t="str">
        <f t="shared" si="9"/>
        <v xml:space="preserve"> </v>
      </c>
      <c r="V47" s="35">
        <f t="shared" si="9"/>
        <v>0.33333333333333331</v>
      </c>
      <c r="W47" s="35" t="str">
        <f t="shared" si="9"/>
        <v xml:space="preserve"> </v>
      </c>
      <c r="X47" s="35" t="str">
        <f t="shared" si="4"/>
        <v xml:space="preserve"> </v>
      </c>
      <c r="Y47" s="35">
        <f t="shared" si="4"/>
        <v>0.75</v>
      </c>
      <c r="Z47" s="35" t="str">
        <f t="shared" si="4"/>
        <v xml:space="preserve"> </v>
      </c>
      <c r="AA47" s="35">
        <f>IFERROR(AA7/AA27," ")</f>
        <v>0.65217391304347827</v>
      </c>
    </row>
    <row r="48" spans="2:31">
      <c r="B48" s="37" t="s">
        <v>310</v>
      </c>
      <c r="C48" s="35" t="str">
        <f t="shared" si="5"/>
        <v xml:space="preserve"> </v>
      </c>
      <c r="D48" s="35">
        <f t="shared" si="5"/>
        <v>1</v>
      </c>
      <c r="E48" s="35" t="str">
        <f t="shared" si="5"/>
        <v xml:space="preserve"> </v>
      </c>
      <c r="F48" s="35" t="str">
        <f t="shared" si="5"/>
        <v xml:space="preserve"> </v>
      </c>
      <c r="G48" s="35" t="str">
        <f t="shared" si="5"/>
        <v xml:space="preserve"> </v>
      </c>
      <c r="H48" s="35" t="str">
        <f t="shared" si="5"/>
        <v xml:space="preserve"> </v>
      </c>
      <c r="I48" s="35" t="str">
        <f t="shared" si="5"/>
        <v xml:space="preserve"> </v>
      </c>
      <c r="J48" s="35" t="str">
        <f t="shared" si="5"/>
        <v xml:space="preserve"> </v>
      </c>
      <c r="K48" s="35" t="str">
        <f t="shared" si="5"/>
        <v xml:space="preserve"> </v>
      </c>
      <c r="L48" s="35" t="str">
        <f t="shared" si="5"/>
        <v xml:space="preserve"> </v>
      </c>
      <c r="M48" s="35" t="str">
        <f t="shared" si="5"/>
        <v xml:space="preserve"> </v>
      </c>
      <c r="N48" s="35" t="str">
        <f t="shared" si="5"/>
        <v xml:space="preserve"> </v>
      </c>
      <c r="O48" s="35" t="str">
        <f t="shared" si="5"/>
        <v xml:space="preserve"> </v>
      </c>
      <c r="P48" s="35" t="str">
        <f t="shared" si="4"/>
        <v xml:space="preserve"> </v>
      </c>
      <c r="Q48" s="35" t="str">
        <f t="shared" ref="Q48:W48" si="10">IFERROR(Q8/Q28," ")</f>
        <v xml:space="preserve"> </v>
      </c>
      <c r="R48" s="35" t="str">
        <f t="shared" si="10"/>
        <v xml:space="preserve"> </v>
      </c>
      <c r="S48" s="35">
        <f t="shared" si="10"/>
        <v>1</v>
      </c>
      <c r="T48" s="35" t="str">
        <f t="shared" si="10"/>
        <v xml:space="preserve"> </v>
      </c>
      <c r="U48" s="35" t="str">
        <f t="shared" si="10"/>
        <v xml:space="preserve"> </v>
      </c>
      <c r="V48" s="35" t="str">
        <f t="shared" si="10"/>
        <v xml:space="preserve"> </v>
      </c>
      <c r="W48" s="35" t="str">
        <f t="shared" si="10"/>
        <v xml:space="preserve"> </v>
      </c>
      <c r="X48" s="35" t="str">
        <f t="shared" si="4"/>
        <v xml:space="preserve"> </v>
      </c>
      <c r="Y48" s="35">
        <f t="shared" si="4"/>
        <v>0.75</v>
      </c>
      <c r="Z48" s="35" t="str">
        <f t="shared" si="4"/>
        <v xml:space="preserve"> </v>
      </c>
      <c r="AA48" s="35">
        <f t="shared" si="8"/>
        <v>0.91666666666666663</v>
      </c>
    </row>
    <row r="49" spans="2:27">
      <c r="B49" s="37" t="s">
        <v>279</v>
      </c>
      <c r="C49" s="35" t="str">
        <f t="shared" si="5"/>
        <v xml:space="preserve"> </v>
      </c>
      <c r="D49" s="35" t="str">
        <f t="shared" si="5"/>
        <v xml:space="preserve"> </v>
      </c>
      <c r="E49" s="35">
        <f t="shared" si="5"/>
        <v>1</v>
      </c>
      <c r="F49" s="35" t="str">
        <f t="shared" si="5"/>
        <v xml:space="preserve"> </v>
      </c>
      <c r="G49" s="35" t="str">
        <f t="shared" si="5"/>
        <v xml:space="preserve"> </v>
      </c>
      <c r="H49" s="35" t="str">
        <f t="shared" si="5"/>
        <v xml:space="preserve"> </v>
      </c>
      <c r="I49" s="35" t="str">
        <f t="shared" si="5"/>
        <v xml:space="preserve"> </v>
      </c>
      <c r="J49" s="35" t="str">
        <f t="shared" si="5"/>
        <v xml:space="preserve"> </v>
      </c>
      <c r="K49" s="35" t="str">
        <f t="shared" si="5"/>
        <v xml:space="preserve"> </v>
      </c>
      <c r="L49" s="35">
        <f t="shared" si="5"/>
        <v>1</v>
      </c>
      <c r="M49" s="35" t="str">
        <f t="shared" si="5"/>
        <v xml:space="preserve"> </v>
      </c>
      <c r="N49" s="35" t="str">
        <f t="shared" si="5"/>
        <v xml:space="preserve"> </v>
      </c>
      <c r="O49" s="35" t="str">
        <f t="shared" si="5"/>
        <v xml:space="preserve"> </v>
      </c>
      <c r="P49" s="35" t="str">
        <f>IFERROR(P9/P29," ")</f>
        <v xml:space="preserve"> </v>
      </c>
      <c r="Q49" s="35" t="str">
        <f t="shared" ref="Q49:W49" si="11">IFERROR(Q9/Q29," ")</f>
        <v xml:space="preserve"> </v>
      </c>
      <c r="R49" s="35" t="str">
        <f t="shared" si="11"/>
        <v xml:space="preserve"> </v>
      </c>
      <c r="S49" s="35" t="str">
        <f t="shared" si="11"/>
        <v xml:space="preserve"> </v>
      </c>
      <c r="T49" s="35" t="str">
        <f t="shared" si="11"/>
        <v xml:space="preserve"> </v>
      </c>
      <c r="U49" s="35" t="str">
        <f t="shared" si="11"/>
        <v xml:space="preserve"> </v>
      </c>
      <c r="V49" s="35" t="str">
        <f t="shared" si="11"/>
        <v xml:space="preserve"> </v>
      </c>
      <c r="W49" s="35">
        <f t="shared" si="11"/>
        <v>1</v>
      </c>
      <c r="X49" s="35" t="str">
        <f t="shared" si="4"/>
        <v xml:space="preserve"> </v>
      </c>
      <c r="Y49" s="35" t="str">
        <f t="shared" si="4"/>
        <v xml:space="preserve"> </v>
      </c>
      <c r="Z49" s="35">
        <f t="shared" si="4"/>
        <v>0</v>
      </c>
      <c r="AA49" s="35">
        <f>IFERROR(AA9/AA29," ")</f>
        <v>0.92307692307692313</v>
      </c>
    </row>
    <row r="50" spans="2:27">
      <c r="B50" s="37" t="s">
        <v>130</v>
      </c>
      <c r="C50" s="35" t="str">
        <f t="shared" si="5"/>
        <v xml:space="preserve"> </v>
      </c>
      <c r="D50" s="35">
        <f t="shared" si="5"/>
        <v>0.5</v>
      </c>
      <c r="E50" s="35" t="str">
        <f t="shared" si="5"/>
        <v xml:space="preserve"> </v>
      </c>
      <c r="F50" s="35" t="str">
        <f t="shared" si="5"/>
        <v xml:space="preserve"> </v>
      </c>
      <c r="G50" s="35" t="str">
        <f t="shared" si="5"/>
        <v xml:space="preserve"> </v>
      </c>
      <c r="H50" s="35" t="str">
        <f t="shared" si="5"/>
        <v xml:space="preserve"> </v>
      </c>
      <c r="I50" s="35">
        <f t="shared" si="5"/>
        <v>0.66666666666666663</v>
      </c>
      <c r="J50" s="35" t="str">
        <f t="shared" si="5"/>
        <v xml:space="preserve"> </v>
      </c>
      <c r="K50" s="35" t="str">
        <f t="shared" si="5"/>
        <v xml:space="preserve"> </v>
      </c>
      <c r="L50" s="35" t="str">
        <f t="shared" si="5"/>
        <v xml:space="preserve"> </v>
      </c>
      <c r="M50" s="35">
        <f t="shared" si="5"/>
        <v>0.75</v>
      </c>
      <c r="N50" s="35" t="str">
        <f t="shared" si="5"/>
        <v xml:space="preserve"> </v>
      </c>
      <c r="O50" s="35" t="str">
        <f t="shared" si="5"/>
        <v xml:space="preserve"> </v>
      </c>
      <c r="P50" s="35">
        <f t="shared" si="4"/>
        <v>0.75</v>
      </c>
      <c r="Q50" s="35" t="str">
        <f t="shared" ref="Q50:W50" si="12">IFERROR(Q10/Q30," ")</f>
        <v xml:space="preserve"> </v>
      </c>
      <c r="R50" s="35" t="str">
        <f t="shared" si="12"/>
        <v xml:space="preserve"> </v>
      </c>
      <c r="S50" s="35" t="str">
        <f t="shared" si="12"/>
        <v xml:space="preserve"> </v>
      </c>
      <c r="T50" s="35" t="str">
        <f t="shared" si="12"/>
        <v xml:space="preserve"> </v>
      </c>
      <c r="U50" s="35" t="str">
        <f t="shared" si="12"/>
        <v xml:space="preserve"> </v>
      </c>
      <c r="V50" s="35" t="str">
        <f t="shared" si="12"/>
        <v xml:space="preserve"> </v>
      </c>
      <c r="W50" s="35">
        <f t="shared" si="12"/>
        <v>1</v>
      </c>
      <c r="X50" s="35" t="str">
        <f t="shared" si="4"/>
        <v xml:space="preserve"> </v>
      </c>
      <c r="Y50" s="35" t="str">
        <f t="shared" si="4"/>
        <v xml:space="preserve"> </v>
      </c>
      <c r="Z50" s="35">
        <f t="shared" si="4"/>
        <v>0.75</v>
      </c>
      <c r="AA50" s="35">
        <f t="shared" si="8"/>
        <v>0.73913043478260865</v>
      </c>
    </row>
    <row r="51" spans="2:27">
      <c r="B51" s="37" t="s">
        <v>24</v>
      </c>
      <c r="C51" s="35" t="str">
        <f t="shared" si="5"/>
        <v xml:space="preserve"> </v>
      </c>
      <c r="D51" s="35" t="str">
        <f t="shared" si="5"/>
        <v xml:space="preserve"> </v>
      </c>
      <c r="E51" s="35" t="str">
        <f t="shared" si="5"/>
        <v xml:space="preserve"> </v>
      </c>
      <c r="F51" s="35">
        <f t="shared" si="5"/>
        <v>0.75</v>
      </c>
      <c r="G51" s="35" t="str">
        <f t="shared" si="5"/>
        <v xml:space="preserve"> </v>
      </c>
      <c r="H51" s="35" t="str">
        <f t="shared" si="5"/>
        <v xml:space="preserve"> </v>
      </c>
      <c r="I51" s="35" t="str">
        <f t="shared" si="5"/>
        <v xml:space="preserve"> </v>
      </c>
      <c r="J51" s="35" t="str">
        <f t="shared" si="5"/>
        <v xml:space="preserve"> </v>
      </c>
      <c r="K51" s="35" t="str">
        <f t="shared" si="5"/>
        <v xml:space="preserve"> </v>
      </c>
      <c r="L51" s="35" t="str">
        <f t="shared" si="5"/>
        <v xml:space="preserve"> </v>
      </c>
      <c r="M51" s="35" t="str">
        <f t="shared" si="5"/>
        <v xml:space="preserve"> </v>
      </c>
      <c r="N51" s="35" t="str">
        <f t="shared" si="5"/>
        <v xml:space="preserve"> </v>
      </c>
      <c r="O51" s="35" t="str">
        <f t="shared" si="5"/>
        <v xml:space="preserve"> </v>
      </c>
      <c r="P51" s="35" t="str">
        <f t="shared" si="4"/>
        <v xml:space="preserve"> </v>
      </c>
      <c r="Q51" s="35" t="str">
        <f t="shared" ref="Q51:W51" si="13">IFERROR(Q11/Q31," ")</f>
        <v xml:space="preserve"> </v>
      </c>
      <c r="R51" s="35" t="str">
        <f t="shared" si="13"/>
        <v xml:space="preserve"> </v>
      </c>
      <c r="S51" s="35" t="str">
        <f t="shared" si="13"/>
        <v xml:space="preserve"> </v>
      </c>
      <c r="T51" s="35" t="str">
        <f t="shared" si="13"/>
        <v xml:space="preserve"> </v>
      </c>
      <c r="U51" s="35" t="str">
        <f t="shared" si="13"/>
        <v xml:space="preserve"> </v>
      </c>
      <c r="V51" s="35">
        <f t="shared" si="13"/>
        <v>0</v>
      </c>
      <c r="W51" s="35">
        <f t="shared" si="13"/>
        <v>1</v>
      </c>
      <c r="X51" s="35">
        <f t="shared" si="4"/>
        <v>1</v>
      </c>
      <c r="Y51" s="35" t="str">
        <f t="shared" si="4"/>
        <v xml:space="preserve"> </v>
      </c>
      <c r="Z51" s="35" t="str">
        <f t="shared" si="4"/>
        <v xml:space="preserve"> </v>
      </c>
      <c r="AA51" s="35">
        <f>IFERROR(AA11/AA31," ")</f>
        <v>0.83333333333333337</v>
      </c>
    </row>
    <row r="52" spans="2:27">
      <c r="B52" s="37" t="s">
        <v>393</v>
      </c>
      <c r="C52" s="35" t="str">
        <f t="shared" si="5"/>
        <v xml:space="preserve"> </v>
      </c>
      <c r="D52" s="35" t="str">
        <f t="shared" si="5"/>
        <v xml:space="preserve"> </v>
      </c>
      <c r="E52" s="35" t="str">
        <f t="shared" si="5"/>
        <v xml:space="preserve"> </v>
      </c>
      <c r="F52" s="35">
        <f t="shared" si="5"/>
        <v>0.5</v>
      </c>
      <c r="G52" s="35" t="str">
        <f t="shared" si="5"/>
        <v xml:space="preserve"> </v>
      </c>
      <c r="H52" s="35" t="str">
        <f t="shared" si="5"/>
        <v xml:space="preserve"> </v>
      </c>
      <c r="I52" s="35" t="str">
        <f t="shared" si="5"/>
        <v xml:space="preserve"> </v>
      </c>
      <c r="J52" s="35" t="str">
        <f t="shared" si="5"/>
        <v xml:space="preserve"> </v>
      </c>
      <c r="K52" s="35" t="str">
        <f t="shared" si="5"/>
        <v xml:space="preserve"> </v>
      </c>
      <c r="L52" s="35" t="str">
        <f t="shared" si="5"/>
        <v xml:space="preserve"> </v>
      </c>
      <c r="M52" s="35" t="str">
        <f>IFERROR(M12/M32," ")</f>
        <v xml:space="preserve"> </v>
      </c>
      <c r="N52" s="35">
        <f t="shared" si="5"/>
        <v>0.75</v>
      </c>
      <c r="O52" s="35" t="str">
        <f t="shared" si="5"/>
        <v xml:space="preserve"> </v>
      </c>
      <c r="P52" s="35" t="str">
        <f t="shared" si="4"/>
        <v xml:space="preserve"> </v>
      </c>
      <c r="Q52" s="35" t="str">
        <f t="shared" ref="Q52:W52" si="14">IFERROR(Q12/Q32," ")</f>
        <v xml:space="preserve"> </v>
      </c>
      <c r="R52" s="35" t="str">
        <f t="shared" si="14"/>
        <v xml:space="preserve"> </v>
      </c>
      <c r="S52" s="35" t="str">
        <f t="shared" si="14"/>
        <v xml:space="preserve"> </v>
      </c>
      <c r="T52" s="35" t="str">
        <f t="shared" si="14"/>
        <v xml:space="preserve"> </v>
      </c>
      <c r="U52" s="35">
        <f t="shared" si="14"/>
        <v>0.33333333333333331</v>
      </c>
      <c r="V52" s="35" t="str">
        <f>IFERROR(V12/V32," ")</f>
        <v xml:space="preserve"> </v>
      </c>
      <c r="W52" s="35">
        <f t="shared" si="14"/>
        <v>0.75</v>
      </c>
      <c r="X52" s="35" t="str">
        <f t="shared" si="4"/>
        <v xml:space="preserve"> </v>
      </c>
      <c r="Y52" s="35" t="str">
        <f t="shared" si="4"/>
        <v xml:space="preserve"> </v>
      </c>
      <c r="Z52" s="35">
        <f t="shared" si="4"/>
        <v>0</v>
      </c>
      <c r="AA52" s="35">
        <f>IFERROR(AA12/AA32," ")</f>
        <v>0.5625</v>
      </c>
    </row>
    <row r="53" spans="2:27">
      <c r="B53" s="37" t="s">
        <v>161</v>
      </c>
      <c r="C53" s="35">
        <f t="shared" si="5"/>
        <v>0</v>
      </c>
      <c r="D53" s="35" t="str">
        <f t="shared" si="5"/>
        <v xml:space="preserve"> </v>
      </c>
      <c r="E53" s="35" t="str">
        <f t="shared" si="5"/>
        <v xml:space="preserve"> </v>
      </c>
      <c r="F53" s="35" t="str">
        <f t="shared" si="5"/>
        <v xml:space="preserve"> </v>
      </c>
      <c r="G53" s="35">
        <f t="shared" si="5"/>
        <v>1</v>
      </c>
      <c r="H53" s="35" t="str">
        <f t="shared" si="5"/>
        <v xml:space="preserve"> </v>
      </c>
      <c r="I53" s="35" t="str">
        <f t="shared" si="5"/>
        <v xml:space="preserve"> </v>
      </c>
      <c r="J53" s="35" t="str">
        <f t="shared" si="5"/>
        <v xml:space="preserve"> </v>
      </c>
      <c r="K53" s="35" t="str">
        <f t="shared" si="5"/>
        <v xml:space="preserve"> </v>
      </c>
      <c r="L53" s="35">
        <f t="shared" si="5"/>
        <v>1</v>
      </c>
      <c r="M53" s="35" t="str">
        <f t="shared" si="5"/>
        <v xml:space="preserve"> </v>
      </c>
      <c r="N53" s="35" t="str">
        <f t="shared" si="5"/>
        <v xml:space="preserve"> </v>
      </c>
      <c r="O53" s="35" t="str">
        <f t="shared" si="5"/>
        <v xml:space="preserve"> </v>
      </c>
      <c r="P53" s="35">
        <f t="shared" si="4"/>
        <v>1</v>
      </c>
      <c r="Q53" s="35" t="str">
        <f t="shared" ref="Q53:W53" si="15">IFERROR(Q13/Q33," ")</f>
        <v xml:space="preserve"> </v>
      </c>
      <c r="R53" s="35" t="str">
        <f t="shared" si="15"/>
        <v xml:space="preserve"> </v>
      </c>
      <c r="S53" s="35" t="str">
        <f t="shared" si="15"/>
        <v xml:space="preserve"> </v>
      </c>
      <c r="T53" s="35" t="str">
        <f t="shared" si="15"/>
        <v xml:space="preserve"> </v>
      </c>
      <c r="U53" s="35">
        <f t="shared" si="15"/>
        <v>1</v>
      </c>
      <c r="V53" s="35" t="str">
        <f t="shared" si="15"/>
        <v xml:space="preserve"> </v>
      </c>
      <c r="W53" s="35">
        <f t="shared" si="15"/>
        <v>1</v>
      </c>
      <c r="X53" s="35" t="str">
        <f t="shared" si="4"/>
        <v xml:space="preserve"> </v>
      </c>
      <c r="Y53" s="35" t="str">
        <f t="shared" si="4"/>
        <v xml:space="preserve"> </v>
      </c>
      <c r="Z53" s="35">
        <f t="shared" si="4"/>
        <v>1</v>
      </c>
      <c r="AA53" s="35">
        <f>IFERROR(AA13/AA33," ")</f>
        <v>0.8</v>
      </c>
    </row>
    <row r="54" spans="2:27">
      <c r="B54" s="37" t="s">
        <v>34</v>
      </c>
      <c r="C54" s="35" t="str">
        <f t="shared" si="5"/>
        <v xml:space="preserve"> </v>
      </c>
      <c r="D54" s="35" t="str">
        <f t="shared" si="5"/>
        <v xml:space="preserve"> </v>
      </c>
      <c r="E54" s="35" t="str">
        <f t="shared" si="5"/>
        <v xml:space="preserve"> </v>
      </c>
      <c r="F54" s="35">
        <f t="shared" si="5"/>
        <v>1</v>
      </c>
      <c r="G54" s="35" t="str">
        <f t="shared" si="5"/>
        <v xml:space="preserve"> </v>
      </c>
      <c r="H54" s="35" t="str">
        <f t="shared" si="5"/>
        <v xml:space="preserve"> </v>
      </c>
      <c r="I54" s="35" t="str">
        <f t="shared" si="5"/>
        <v xml:space="preserve"> </v>
      </c>
      <c r="J54" s="35" t="str">
        <f t="shared" si="5"/>
        <v xml:space="preserve"> </v>
      </c>
      <c r="K54" s="35">
        <f t="shared" si="5"/>
        <v>0.66666666666666663</v>
      </c>
      <c r="L54" s="35" t="str">
        <f t="shared" si="5"/>
        <v xml:space="preserve"> </v>
      </c>
      <c r="M54" s="35" t="str">
        <f t="shared" si="5"/>
        <v xml:space="preserve"> </v>
      </c>
      <c r="N54" s="35" t="str">
        <f t="shared" si="5"/>
        <v xml:space="preserve"> </v>
      </c>
      <c r="O54" s="35">
        <f t="shared" si="5"/>
        <v>1</v>
      </c>
      <c r="P54" s="35" t="str">
        <f t="shared" si="4"/>
        <v xml:space="preserve"> </v>
      </c>
      <c r="Q54" s="35" t="str">
        <f t="shared" ref="Q54:W54" si="16">IFERROR(Q14/Q34," ")</f>
        <v xml:space="preserve"> </v>
      </c>
      <c r="R54" s="35">
        <f t="shared" si="16"/>
        <v>1</v>
      </c>
      <c r="S54" s="35" t="str">
        <f t="shared" si="16"/>
        <v xml:space="preserve"> </v>
      </c>
      <c r="T54" s="35" t="str">
        <f t="shared" si="16"/>
        <v xml:space="preserve"> </v>
      </c>
      <c r="U54" s="35" t="str">
        <f t="shared" si="16"/>
        <v xml:space="preserve"> </v>
      </c>
      <c r="V54" s="35" t="str">
        <f t="shared" si="16"/>
        <v xml:space="preserve"> </v>
      </c>
      <c r="W54" s="35" t="str">
        <f t="shared" si="16"/>
        <v xml:space="preserve"> </v>
      </c>
      <c r="X54" s="35">
        <f t="shared" si="4"/>
        <v>1</v>
      </c>
      <c r="Y54" s="35" t="str">
        <f t="shared" si="4"/>
        <v xml:space="preserve"> </v>
      </c>
      <c r="Z54" s="35" t="str">
        <f t="shared" si="4"/>
        <v xml:space="preserve"> </v>
      </c>
      <c r="AA54" s="35">
        <f t="shared" ref="AA54:AA57" si="17">IFERROR(AA14/AA34," ")</f>
        <v>0.92307692307692313</v>
      </c>
    </row>
    <row r="55" spans="2:27">
      <c r="B55" s="37" t="s">
        <v>174</v>
      </c>
      <c r="C55" s="35" t="str">
        <f t="shared" si="5"/>
        <v xml:space="preserve"> </v>
      </c>
      <c r="D55" s="35" t="str">
        <f t="shared" si="5"/>
        <v xml:space="preserve"> </v>
      </c>
      <c r="E55" s="35">
        <f t="shared" si="5"/>
        <v>0</v>
      </c>
      <c r="F55" s="35" t="str">
        <f t="shared" si="5"/>
        <v xml:space="preserve"> </v>
      </c>
      <c r="G55" s="35" t="str">
        <f t="shared" si="5"/>
        <v xml:space="preserve"> </v>
      </c>
      <c r="H55" s="35" t="str">
        <f t="shared" si="5"/>
        <v xml:space="preserve"> </v>
      </c>
      <c r="I55" s="35" t="str">
        <f t="shared" si="5"/>
        <v xml:space="preserve"> </v>
      </c>
      <c r="J55" s="35">
        <f t="shared" si="5"/>
        <v>1</v>
      </c>
      <c r="K55" s="35" t="str">
        <f t="shared" si="5"/>
        <v xml:space="preserve"> </v>
      </c>
      <c r="L55" s="35" t="str">
        <f t="shared" si="5"/>
        <v xml:space="preserve"> </v>
      </c>
      <c r="M55" s="35" t="str">
        <f t="shared" si="5"/>
        <v xml:space="preserve"> </v>
      </c>
      <c r="N55" s="35">
        <f t="shared" si="5"/>
        <v>0.75</v>
      </c>
      <c r="O55" s="35" t="str">
        <f t="shared" si="5"/>
        <v xml:space="preserve"> </v>
      </c>
      <c r="P55" s="35" t="str">
        <f t="shared" si="4"/>
        <v xml:space="preserve"> </v>
      </c>
      <c r="Q55" s="35" t="str">
        <f t="shared" ref="Q55:W55" si="18">IFERROR(Q15/Q35," ")</f>
        <v xml:space="preserve"> </v>
      </c>
      <c r="R55" s="35">
        <f t="shared" si="18"/>
        <v>1</v>
      </c>
      <c r="S55" s="35" t="str">
        <f t="shared" si="18"/>
        <v xml:space="preserve"> </v>
      </c>
      <c r="T55" s="35" t="str">
        <f t="shared" si="18"/>
        <v xml:space="preserve"> </v>
      </c>
      <c r="U55" s="35" t="str">
        <f t="shared" si="18"/>
        <v xml:space="preserve"> </v>
      </c>
      <c r="V55" s="35">
        <f t="shared" si="18"/>
        <v>0.75</v>
      </c>
      <c r="W55" s="35" t="str">
        <f t="shared" si="18"/>
        <v xml:space="preserve"> </v>
      </c>
      <c r="X55" s="35" t="str">
        <f t="shared" si="4"/>
        <v xml:space="preserve"> </v>
      </c>
      <c r="Y55" s="35">
        <f t="shared" si="4"/>
        <v>1</v>
      </c>
      <c r="Z55" s="35" t="str">
        <f t="shared" si="4"/>
        <v xml:space="preserve"> </v>
      </c>
      <c r="AA55" s="35">
        <f t="shared" si="17"/>
        <v>0.73913043478260865</v>
      </c>
    </row>
    <row r="56" spans="2:27">
      <c r="B56" s="37" t="s">
        <v>97</v>
      </c>
      <c r="C56" s="35">
        <f t="shared" si="5"/>
        <v>1</v>
      </c>
      <c r="D56" s="35" t="str">
        <f t="shared" si="5"/>
        <v xml:space="preserve"> </v>
      </c>
      <c r="E56" s="35" t="str">
        <f t="shared" si="5"/>
        <v xml:space="preserve"> </v>
      </c>
      <c r="F56" s="35" t="str">
        <f t="shared" si="5"/>
        <v xml:space="preserve"> </v>
      </c>
      <c r="G56" s="35" t="str">
        <f t="shared" si="5"/>
        <v xml:space="preserve"> </v>
      </c>
      <c r="H56" s="35">
        <f t="shared" si="5"/>
        <v>1</v>
      </c>
      <c r="I56" s="35" t="str">
        <f t="shared" si="5"/>
        <v xml:space="preserve"> </v>
      </c>
      <c r="J56" s="35" t="str">
        <f t="shared" si="5"/>
        <v xml:space="preserve"> </v>
      </c>
      <c r="K56" s="35">
        <f t="shared" si="5"/>
        <v>1</v>
      </c>
      <c r="L56" s="35" t="str">
        <f t="shared" si="5"/>
        <v xml:space="preserve"> </v>
      </c>
      <c r="M56" s="35" t="str">
        <f t="shared" si="5"/>
        <v xml:space="preserve"> </v>
      </c>
      <c r="N56" s="35" t="str">
        <f t="shared" si="5"/>
        <v xml:space="preserve"> </v>
      </c>
      <c r="O56" s="35" t="str">
        <f t="shared" si="5"/>
        <v xml:space="preserve"> </v>
      </c>
      <c r="P56" s="35">
        <f t="shared" si="4"/>
        <v>0.5</v>
      </c>
      <c r="Q56" s="35" t="str">
        <f t="shared" ref="Q56:W56" si="19">IFERROR(Q16/Q36," ")</f>
        <v xml:space="preserve"> </v>
      </c>
      <c r="R56" s="35" t="str">
        <f t="shared" si="19"/>
        <v xml:space="preserve"> </v>
      </c>
      <c r="S56" s="35" t="str">
        <f t="shared" si="19"/>
        <v xml:space="preserve"> </v>
      </c>
      <c r="T56" s="35" t="str">
        <f t="shared" si="19"/>
        <v xml:space="preserve"> </v>
      </c>
      <c r="U56" s="35">
        <f t="shared" si="19"/>
        <v>0.5</v>
      </c>
      <c r="V56" s="35" t="str">
        <f t="shared" si="19"/>
        <v xml:space="preserve"> </v>
      </c>
      <c r="W56" s="35">
        <f t="shared" si="19"/>
        <v>0.25</v>
      </c>
      <c r="X56" s="35" t="str">
        <f t="shared" si="4"/>
        <v xml:space="preserve"> </v>
      </c>
      <c r="Y56" s="35" t="str">
        <f t="shared" si="4"/>
        <v xml:space="preserve"> </v>
      </c>
      <c r="Z56" s="35">
        <f t="shared" si="4"/>
        <v>0.75</v>
      </c>
      <c r="AA56" s="35">
        <f t="shared" si="17"/>
        <v>0.70370370370370372</v>
      </c>
    </row>
    <row r="57" spans="2:27">
      <c r="B57" s="37" t="s">
        <v>254</v>
      </c>
      <c r="C57" s="35">
        <f t="shared" si="5"/>
        <v>1</v>
      </c>
      <c r="D57" s="35" t="str">
        <f t="shared" si="5"/>
        <v xml:space="preserve"> </v>
      </c>
      <c r="E57" s="35" t="str">
        <f t="shared" si="5"/>
        <v xml:space="preserve"> </v>
      </c>
      <c r="F57" s="35" t="str">
        <f t="shared" si="5"/>
        <v xml:space="preserve"> </v>
      </c>
      <c r="G57" s="35">
        <f t="shared" si="5"/>
        <v>0.33333333333333331</v>
      </c>
      <c r="H57" s="35" t="str">
        <f t="shared" si="5"/>
        <v xml:space="preserve"> </v>
      </c>
      <c r="I57" s="35" t="str">
        <f t="shared" si="5"/>
        <v xml:space="preserve"> </v>
      </c>
      <c r="J57" s="35" t="str">
        <f t="shared" si="5"/>
        <v xml:space="preserve"> </v>
      </c>
      <c r="K57" s="35" t="str">
        <f t="shared" si="5"/>
        <v xml:space="preserve"> </v>
      </c>
      <c r="L57" s="35" t="str">
        <f t="shared" si="5"/>
        <v xml:space="preserve"> </v>
      </c>
      <c r="M57" s="35" t="str">
        <f t="shared" si="5"/>
        <v xml:space="preserve"> </v>
      </c>
      <c r="N57" s="35" t="str">
        <f t="shared" si="5"/>
        <v xml:space="preserve"> </v>
      </c>
      <c r="O57" s="35" t="str">
        <f t="shared" si="5"/>
        <v xml:space="preserve"> </v>
      </c>
      <c r="P57" s="35">
        <f t="shared" si="4"/>
        <v>0.75</v>
      </c>
      <c r="Q57" s="35" t="str">
        <f t="shared" ref="Q57:W57" si="20">IFERROR(Q17/Q37," ")</f>
        <v xml:space="preserve"> </v>
      </c>
      <c r="R57" s="35" t="str">
        <f t="shared" si="20"/>
        <v xml:space="preserve"> </v>
      </c>
      <c r="S57" s="35" t="str">
        <f t="shared" si="20"/>
        <v xml:space="preserve"> </v>
      </c>
      <c r="T57" s="35" t="str">
        <f t="shared" si="20"/>
        <v xml:space="preserve"> </v>
      </c>
      <c r="U57" s="35">
        <f t="shared" si="20"/>
        <v>0</v>
      </c>
      <c r="V57" s="35" t="str">
        <f t="shared" si="20"/>
        <v xml:space="preserve"> </v>
      </c>
      <c r="W57" s="35">
        <f t="shared" si="20"/>
        <v>0.75</v>
      </c>
      <c r="X57" s="35" t="str">
        <f t="shared" si="4"/>
        <v xml:space="preserve"> </v>
      </c>
      <c r="Y57" s="35">
        <f t="shared" si="4"/>
        <v>0.75</v>
      </c>
      <c r="Z57" s="35" t="str">
        <f t="shared" si="4"/>
        <v xml:space="preserve"> </v>
      </c>
      <c r="AA57" s="35">
        <f t="shared" si="17"/>
        <v>0.55000000000000004</v>
      </c>
    </row>
    <row r="58" spans="2:27">
      <c r="B58" s="37" t="s">
        <v>203</v>
      </c>
      <c r="C58" s="35" t="str">
        <f t="shared" si="5"/>
        <v xml:space="preserve"> </v>
      </c>
      <c r="D58" s="35" t="str">
        <f t="shared" si="5"/>
        <v xml:space="preserve"> </v>
      </c>
      <c r="E58" s="35" t="str">
        <f t="shared" si="5"/>
        <v xml:space="preserve"> </v>
      </c>
      <c r="F58" s="35" t="str">
        <f t="shared" si="5"/>
        <v xml:space="preserve"> </v>
      </c>
      <c r="G58" s="35" t="str">
        <f t="shared" si="5"/>
        <v xml:space="preserve"> </v>
      </c>
      <c r="H58" s="35" t="str">
        <f t="shared" si="5"/>
        <v xml:space="preserve"> </v>
      </c>
      <c r="I58" s="35" t="str">
        <f t="shared" si="5"/>
        <v xml:space="preserve"> </v>
      </c>
      <c r="J58" s="35">
        <f t="shared" si="5"/>
        <v>0.5</v>
      </c>
      <c r="K58" s="35" t="str">
        <f t="shared" si="5"/>
        <v xml:space="preserve"> </v>
      </c>
      <c r="L58" s="35" t="str">
        <f t="shared" si="5"/>
        <v xml:space="preserve"> </v>
      </c>
      <c r="M58" s="35">
        <f t="shared" si="5"/>
        <v>0.66666666666666663</v>
      </c>
      <c r="N58" s="35" t="str">
        <f t="shared" si="5"/>
        <v xml:space="preserve"> </v>
      </c>
      <c r="O58" s="35" t="str">
        <f t="shared" si="5"/>
        <v xml:space="preserve"> </v>
      </c>
      <c r="P58" s="35" t="str">
        <f t="shared" si="4"/>
        <v xml:space="preserve"> </v>
      </c>
      <c r="Q58" s="35" t="str">
        <f t="shared" ref="Q58:W58" si="21">IFERROR(Q18/Q38," ")</f>
        <v xml:space="preserve"> </v>
      </c>
      <c r="R58" s="35">
        <f t="shared" si="21"/>
        <v>0.5</v>
      </c>
      <c r="S58" s="35" t="str">
        <f t="shared" si="21"/>
        <v xml:space="preserve"> </v>
      </c>
      <c r="T58" s="35" t="str">
        <f t="shared" si="21"/>
        <v xml:space="preserve"> </v>
      </c>
      <c r="U58" s="35" t="str">
        <f t="shared" si="21"/>
        <v xml:space="preserve"> </v>
      </c>
      <c r="V58" s="35" t="str">
        <f t="shared" si="21"/>
        <v xml:space="preserve"> </v>
      </c>
      <c r="W58" s="35" t="str">
        <f t="shared" si="21"/>
        <v xml:space="preserve"> </v>
      </c>
      <c r="X58" s="35">
        <f t="shared" si="4"/>
        <v>0.5</v>
      </c>
      <c r="Y58" s="35" t="str">
        <f t="shared" si="4"/>
        <v xml:space="preserve"> </v>
      </c>
      <c r="Z58" s="35" t="str">
        <f t="shared" si="4"/>
        <v xml:space="preserve"> </v>
      </c>
      <c r="AA58" s="35">
        <f>IFERROR(AA18/AA38,"0%")</f>
        <v>0.53846153846153844</v>
      </c>
    </row>
    <row r="59" spans="2:27">
      <c r="B59" s="37" t="s">
        <v>68</v>
      </c>
      <c r="C59" s="35" t="str">
        <f t="shared" si="5"/>
        <v xml:space="preserve"> </v>
      </c>
      <c r="D59" s="35" t="str">
        <f t="shared" si="5"/>
        <v xml:space="preserve"> </v>
      </c>
      <c r="E59" s="35">
        <f t="shared" si="5"/>
        <v>1</v>
      </c>
      <c r="F59" s="35" t="str">
        <f t="shared" si="5"/>
        <v xml:space="preserve"> </v>
      </c>
      <c r="G59" s="35" t="str">
        <f t="shared" si="5"/>
        <v xml:space="preserve"> </v>
      </c>
      <c r="H59" s="35" t="str">
        <f t="shared" si="5"/>
        <v xml:space="preserve"> </v>
      </c>
      <c r="I59" s="35" t="str">
        <f t="shared" si="5"/>
        <v xml:space="preserve"> </v>
      </c>
      <c r="J59" s="35" t="str">
        <f t="shared" si="5"/>
        <v xml:space="preserve"> </v>
      </c>
      <c r="K59" s="35" t="str">
        <f t="shared" si="5"/>
        <v xml:space="preserve"> </v>
      </c>
      <c r="L59" s="35" t="str">
        <f t="shared" si="5"/>
        <v xml:space="preserve"> </v>
      </c>
      <c r="M59" s="35">
        <f t="shared" si="5"/>
        <v>0</v>
      </c>
      <c r="N59" s="35" t="str">
        <f t="shared" si="5"/>
        <v xml:space="preserve"> </v>
      </c>
      <c r="O59" s="35" t="str">
        <f t="shared" si="5"/>
        <v xml:space="preserve"> </v>
      </c>
      <c r="P59" s="35" t="str">
        <f t="shared" si="4"/>
        <v xml:space="preserve"> </v>
      </c>
      <c r="Q59" s="35" t="str">
        <f t="shared" ref="Q59:Z60" si="22">IFERROR(Q19/Q39," ")</f>
        <v xml:space="preserve"> </v>
      </c>
      <c r="R59" s="35" t="str">
        <f t="shared" si="22"/>
        <v xml:space="preserve"> </v>
      </c>
      <c r="S59" s="35">
        <f t="shared" si="22"/>
        <v>1</v>
      </c>
      <c r="T59" s="35" t="str">
        <f t="shared" si="22"/>
        <v xml:space="preserve"> </v>
      </c>
      <c r="U59" s="35" t="str">
        <f t="shared" si="22"/>
        <v xml:space="preserve"> </v>
      </c>
      <c r="V59" s="35" t="str">
        <f t="shared" si="22"/>
        <v xml:space="preserve"> </v>
      </c>
      <c r="W59" s="35" t="str">
        <f>IFERROR(W19/W39," ")</f>
        <v xml:space="preserve"> </v>
      </c>
      <c r="X59" s="35" t="str">
        <f t="shared" si="4"/>
        <v xml:space="preserve"> </v>
      </c>
      <c r="Y59" s="35" t="str">
        <f t="shared" si="4"/>
        <v xml:space="preserve"> </v>
      </c>
      <c r="Z59" s="35" t="str">
        <f t="shared" si="4"/>
        <v xml:space="preserve"> </v>
      </c>
      <c r="AA59" s="35">
        <f>IFERROR(AA19/AA39," ")</f>
        <v>0.75</v>
      </c>
    </row>
    <row r="60" spans="2:27">
      <c r="B60" s="32" t="s">
        <v>500</v>
      </c>
      <c r="C60" s="36">
        <f t="shared" si="5"/>
        <v>0.66666666666666663</v>
      </c>
      <c r="D60" s="36">
        <f t="shared" si="5"/>
        <v>0.8</v>
      </c>
      <c r="E60" s="36">
        <f t="shared" si="5"/>
        <v>0.70588235294117652</v>
      </c>
      <c r="F60" s="36">
        <f t="shared" si="5"/>
        <v>0.8125</v>
      </c>
      <c r="G60" s="36">
        <f t="shared" si="5"/>
        <v>0.5</v>
      </c>
      <c r="H60" s="36">
        <f t="shared" si="5"/>
        <v>0.5714285714285714</v>
      </c>
      <c r="I60" s="36">
        <f t="shared" si="5"/>
        <v>0.66666666666666663</v>
      </c>
      <c r="J60" s="36">
        <f t="shared" si="5"/>
        <v>0.66666666666666663</v>
      </c>
      <c r="K60" s="36">
        <f t="shared" si="5"/>
        <v>0.9</v>
      </c>
      <c r="L60" s="36">
        <f t="shared" si="5"/>
        <v>1</v>
      </c>
      <c r="M60" s="36">
        <f t="shared" si="5"/>
        <v>0.5</v>
      </c>
      <c r="N60" s="36">
        <f t="shared" si="5"/>
        <v>0.75</v>
      </c>
      <c r="O60" s="36">
        <f t="shared" si="5"/>
        <v>0.8</v>
      </c>
      <c r="P60" s="36">
        <f t="shared" si="5"/>
        <v>0.76470588235294112</v>
      </c>
      <c r="Q60" s="36">
        <f t="shared" si="5"/>
        <v>0.77777777777777779</v>
      </c>
      <c r="R60" s="36">
        <f t="shared" si="5"/>
        <v>0.77777777777777779</v>
      </c>
      <c r="S60" s="36">
        <f t="shared" si="22"/>
        <v>1</v>
      </c>
      <c r="T60" s="36">
        <f t="shared" si="22"/>
        <v>0.5</v>
      </c>
      <c r="U60" s="36">
        <f t="shared" si="22"/>
        <v>0.33333333333333331</v>
      </c>
      <c r="V60" s="36">
        <f t="shared" si="22"/>
        <v>0.36363636363636365</v>
      </c>
      <c r="W60" s="36">
        <f t="shared" si="22"/>
        <v>0.8214285714285714</v>
      </c>
      <c r="X60" s="36">
        <f t="shared" si="22"/>
        <v>0.8125</v>
      </c>
      <c r="Y60" s="36">
        <f t="shared" si="22"/>
        <v>0.85</v>
      </c>
      <c r="Z60" s="36">
        <f t="shared" si="22"/>
        <v>0.66666666666666663</v>
      </c>
      <c r="AA60" s="36">
        <f>IFERROR(AA20/AA40," ")</f>
        <v>0.73062730627306272</v>
      </c>
    </row>
  </sheetData>
  <sortState ref="AC5:AE27">
    <sortCondition descending="1" ref="AE25"/>
  </sortState>
  <mergeCells count="5">
    <mergeCell ref="AC2:AE3"/>
    <mergeCell ref="AA2:AA3"/>
    <mergeCell ref="AA22:AA23"/>
    <mergeCell ref="AA42:AA43"/>
    <mergeCell ref="B42:T42"/>
  </mergeCells>
  <conditionalFormatting sqref="AA44:AA59">
    <cfRule type="colorScale" priority="4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C44:Z5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5:AE38">
    <cfRule type="colorScale" priority="1">
      <colorScale>
        <cfvo type="min"/>
        <cfvo type="max"/>
        <color rgb="FFFCFCFF"/>
        <color rgb="FFF8696B"/>
      </colorScale>
    </cfRule>
  </conditionalFormatting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zoomScale="70" zoomScaleNormal="70" workbookViewId="0">
      <pane ySplit="1" topLeftCell="A2" activePane="bottomLeft" state="frozen"/>
      <selection pane="bottomLeft" activeCell="M16" sqref="M16"/>
    </sheetView>
  </sheetViews>
  <sheetFormatPr defaultColWidth="15.5703125" defaultRowHeight="12.75"/>
  <cols>
    <col min="3" max="3" width="35.5703125" customWidth="1"/>
    <col min="4" max="4" width="21.42578125" customWidth="1"/>
    <col min="5" max="5" width="28.140625" customWidth="1"/>
    <col min="6" max="9" width="12.85546875" customWidth="1"/>
    <col min="10" max="10" width="34.28515625" customWidth="1"/>
    <col min="11" max="11" width="38.7109375" customWidth="1"/>
    <col min="12" max="12" width="38.42578125" customWidth="1"/>
    <col min="13" max="13" width="20" style="24" customWidth="1"/>
  </cols>
  <sheetData>
    <row r="1" spans="1:14" ht="38.25">
      <c r="A1" s="95" t="s">
        <v>0</v>
      </c>
      <c r="B1" s="95" t="s">
        <v>1</v>
      </c>
      <c r="C1" s="95" t="s">
        <v>2</v>
      </c>
      <c r="D1" s="95" t="s">
        <v>3</v>
      </c>
      <c r="E1" s="95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7" t="s">
        <v>9</v>
      </c>
      <c r="K1" s="47" t="s">
        <v>10</v>
      </c>
      <c r="L1" s="47" t="s">
        <v>44</v>
      </c>
      <c r="M1" s="47" t="s">
        <v>45</v>
      </c>
      <c r="N1" s="87"/>
    </row>
    <row r="2" spans="1:14" ht="14.25" customHeight="1">
      <c r="A2" s="52">
        <v>43222</v>
      </c>
      <c r="B2" s="73" t="s">
        <v>927</v>
      </c>
      <c r="C2" s="73" t="s">
        <v>1086</v>
      </c>
      <c r="D2" s="73" t="s">
        <v>1517</v>
      </c>
      <c r="E2" s="73" t="s">
        <v>1119</v>
      </c>
      <c r="F2" s="75">
        <v>0.62638888888888888</v>
      </c>
      <c r="G2" s="76" t="s">
        <v>71</v>
      </c>
      <c r="H2" s="76" t="s">
        <v>71</v>
      </c>
      <c r="I2" s="76" t="s">
        <v>71</v>
      </c>
      <c r="J2" s="71" t="str">
        <f>HYPERLINK("https://yadi.sk/d/qyp-92QQ3VBK98","https://yadi.sk/d/qyp-92QQ3VBK98")</f>
        <v>https://yadi.sk/d/qyp-92QQ3VBK98</v>
      </c>
      <c r="K2" s="82"/>
      <c r="L2" s="104" t="s">
        <v>147</v>
      </c>
      <c r="M2" s="104" t="s">
        <v>788</v>
      </c>
    </row>
    <row r="3" spans="1:14" ht="14.25" customHeight="1">
      <c r="A3" s="52">
        <v>43222</v>
      </c>
      <c r="B3" s="74" t="s">
        <v>927</v>
      </c>
      <c r="C3" s="74" t="s">
        <v>1582</v>
      </c>
      <c r="D3" s="74" t="s">
        <v>1518</v>
      </c>
      <c r="E3" s="74" t="s">
        <v>1519</v>
      </c>
      <c r="F3" s="77">
        <v>0.65625</v>
      </c>
      <c r="G3" s="78" t="s">
        <v>71</v>
      </c>
      <c r="H3" s="78" t="s">
        <v>71</v>
      </c>
      <c r="I3" s="78" t="s">
        <v>71</v>
      </c>
      <c r="J3" s="72" t="str">
        <f>HYPERLINK("https://yadi.sk/d/M-TDWG1u3VBKcy","https://yadi.sk/d/M-TDWG1u3VBKcy")</f>
        <v>https://yadi.sk/d/M-TDWG1u3VBKcy</v>
      </c>
      <c r="K3" s="81"/>
      <c r="L3" s="104" t="s">
        <v>786</v>
      </c>
      <c r="M3" s="104" t="s">
        <v>146</v>
      </c>
    </row>
    <row r="4" spans="1:14" ht="14.25" customHeight="1">
      <c r="A4" s="52">
        <v>43222</v>
      </c>
      <c r="B4" s="74" t="s">
        <v>927</v>
      </c>
      <c r="C4" s="74" t="s">
        <v>367</v>
      </c>
      <c r="D4" s="74" t="s">
        <v>1520</v>
      </c>
      <c r="E4" s="74" t="s">
        <v>1521</v>
      </c>
      <c r="F4" s="77">
        <v>0.6875</v>
      </c>
      <c r="G4" s="78" t="s">
        <v>14</v>
      </c>
      <c r="H4" s="78"/>
      <c r="I4" s="78"/>
      <c r="J4" s="72" t="str">
        <f>HYPERLINK("https://yadi.sk/i/niunR22N3VBKnb","https://yadi.sk/i/niunR22N3VBKnb")</f>
        <v>https://yadi.sk/i/niunR22N3VBKnb</v>
      </c>
      <c r="K4" s="81" t="s">
        <v>1522</v>
      </c>
      <c r="L4" s="104" t="s">
        <v>1293</v>
      </c>
      <c r="M4" s="104" t="s">
        <v>434</v>
      </c>
    </row>
    <row r="5" spans="1:14" ht="12.75" customHeight="1">
      <c r="A5" s="49">
        <v>43223</v>
      </c>
      <c r="B5" s="196" t="s">
        <v>203</v>
      </c>
      <c r="C5" s="73" t="s">
        <v>1088</v>
      </c>
      <c r="D5" s="196" t="s">
        <v>107</v>
      </c>
      <c r="E5" s="196" t="s">
        <v>1523</v>
      </c>
      <c r="F5" s="198">
        <v>0.7729166666666667</v>
      </c>
      <c r="G5" s="199" t="s">
        <v>71</v>
      </c>
      <c r="H5" s="199" t="s">
        <v>71</v>
      </c>
      <c r="I5" s="199" t="s">
        <v>71</v>
      </c>
      <c r="J5" s="194" t="s">
        <v>1524</v>
      </c>
      <c r="K5" s="209"/>
      <c r="L5" s="104" t="s">
        <v>245</v>
      </c>
      <c r="M5" s="111" t="s">
        <v>246</v>
      </c>
    </row>
    <row r="6" spans="1:14" ht="12.75" customHeight="1">
      <c r="A6" s="49">
        <v>43223</v>
      </c>
      <c r="B6" s="197" t="s">
        <v>203</v>
      </c>
      <c r="C6" s="74" t="s">
        <v>1583</v>
      </c>
      <c r="D6" s="197" t="s">
        <v>107</v>
      </c>
      <c r="E6" s="197" t="s">
        <v>1525</v>
      </c>
      <c r="F6" s="200">
        <v>0.78541666666666665</v>
      </c>
      <c r="G6" s="201" t="s">
        <v>71</v>
      </c>
      <c r="H6" s="201" t="s">
        <v>71</v>
      </c>
      <c r="I6" s="201" t="s">
        <v>71</v>
      </c>
      <c r="J6" s="195" t="s">
        <v>1526</v>
      </c>
      <c r="K6" s="210"/>
      <c r="L6" s="104" t="s">
        <v>611</v>
      </c>
      <c r="M6" s="111">
        <v>89585707077</v>
      </c>
    </row>
    <row r="7" spans="1:14" ht="12.75" customHeight="1">
      <c r="A7" s="49">
        <v>43223</v>
      </c>
      <c r="B7" s="197" t="s">
        <v>203</v>
      </c>
      <c r="C7" s="74" t="s">
        <v>1584</v>
      </c>
      <c r="D7" s="197" t="s">
        <v>119</v>
      </c>
      <c r="E7" s="197" t="s">
        <v>1527</v>
      </c>
      <c r="F7" s="200">
        <v>0.79374999999999996</v>
      </c>
      <c r="G7" s="201" t="s">
        <v>14</v>
      </c>
      <c r="H7" s="201"/>
      <c r="I7" s="201"/>
      <c r="J7" s="195" t="s">
        <v>1528</v>
      </c>
      <c r="K7" s="210" t="s">
        <v>1529</v>
      </c>
      <c r="L7" s="104" t="s">
        <v>1586</v>
      </c>
      <c r="M7" s="111">
        <v>89038450071</v>
      </c>
    </row>
    <row r="8" spans="1:14" ht="12.75" customHeight="1">
      <c r="A8" s="49">
        <v>43223</v>
      </c>
      <c r="B8" s="197" t="s">
        <v>203</v>
      </c>
      <c r="C8" s="74" t="s">
        <v>1585</v>
      </c>
      <c r="D8" s="197" t="s">
        <v>119</v>
      </c>
      <c r="E8" s="197" t="s">
        <v>1530</v>
      </c>
      <c r="F8" s="200">
        <v>0.79374999999999996</v>
      </c>
      <c r="G8" s="201" t="s">
        <v>14</v>
      </c>
      <c r="H8" s="201"/>
      <c r="I8" s="201"/>
      <c r="J8" s="195" t="s">
        <v>1531</v>
      </c>
      <c r="K8" s="210" t="s">
        <v>1532</v>
      </c>
      <c r="L8" s="104" t="s">
        <v>470</v>
      </c>
      <c r="M8" s="111">
        <v>89109484749</v>
      </c>
    </row>
    <row r="9" spans="1:14" ht="12.75" customHeight="1">
      <c r="A9" s="49">
        <v>43223</v>
      </c>
      <c r="B9" s="197" t="s">
        <v>218</v>
      </c>
      <c r="C9" s="197" t="s">
        <v>1587</v>
      </c>
      <c r="D9" s="197" t="s">
        <v>427</v>
      </c>
      <c r="E9" s="197" t="s">
        <v>1533</v>
      </c>
      <c r="F9" s="200">
        <v>0.80902777777777779</v>
      </c>
      <c r="G9" s="201" t="s">
        <v>71</v>
      </c>
      <c r="H9" s="201" t="s">
        <v>71</v>
      </c>
      <c r="I9" s="201" t="s">
        <v>71</v>
      </c>
      <c r="J9" s="195" t="s">
        <v>1534</v>
      </c>
      <c r="K9" s="210"/>
      <c r="L9" s="111" t="s">
        <v>488</v>
      </c>
      <c r="M9" s="111">
        <v>89803020082</v>
      </c>
    </row>
    <row r="10" spans="1:14" ht="12.75" customHeight="1">
      <c r="A10" s="49">
        <v>43223</v>
      </c>
      <c r="B10" s="197" t="s">
        <v>218</v>
      </c>
      <c r="C10" s="197" t="s">
        <v>1588</v>
      </c>
      <c r="D10" s="197" t="s">
        <v>427</v>
      </c>
      <c r="E10" s="197" t="s">
        <v>1535</v>
      </c>
      <c r="F10" s="200">
        <v>0.77777777777777779</v>
      </c>
      <c r="G10" s="201" t="s">
        <v>71</v>
      </c>
      <c r="H10" s="201" t="s">
        <v>71</v>
      </c>
      <c r="I10" s="201" t="s">
        <v>71</v>
      </c>
      <c r="J10" s="195" t="s">
        <v>1536</v>
      </c>
      <c r="K10" s="210"/>
      <c r="L10" s="111" t="s">
        <v>1250</v>
      </c>
      <c r="M10" s="111">
        <v>89191920292</v>
      </c>
    </row>
    <row r="11" spans="1:14" ht="12.75" customHeight="1">
      <c r="A11" s="49">
        <v>43223</v>
      </c>
      <c r="B11" s="197" t="s">
        <v>218</v>
      </c>
      <c r="C11" s="197" t="s">
        <v>1249</v>
      </c>
      <c r="D11" s="197" t="s">
        <v>427</v>
      </c>
      <c r="E11" s="197" t="s">
        <v>1537</v>
      </c>
      <c r="F11" s="200">
        <v>0.78055555555555556</v>
      </c>
      <c r="G11" s="201" t="s">
        <v>71</v>
      </c>
      <c r="H11" s="201" t="s">
        <v>71</v>
      </c>
      <c r="I11" s="201" t="s">
        <v>71</v>
      </c>
      <c r="J11" s="195" t="s">
        <v>1538</v>
      </c>
      <c r="K11" s="210"/>
      <c r="L11" s="111" t="s">
        <v>1250</v>
      </c>
      <c r="M11" s="111">
        <v>89191920292</v>
      </c>
    </row>
    <row r="12" spans="1:14" ht="12.75" customHeight="1">
      <c r="A12" s="49">
        <v>43223</v>
      </c>
      <c r="B12" s="197" t="s">
        <v>218</v>
      </c>
      <c r="C12" s="197" t="s">
        <v>1589</v>
      </c>
      <c r="D12" s="197" t="s">
        <v>544</v>
      </c>
      <c r="E12" s="197" t="s">
        <v>1539</v>
      </c>
      <c r="F12" s="200">
        <v>0.85069444444444442</v>
      </c>
      <c r="G12" s="201" t="s">
        <v>71</v>
      </c>
      <c r="H12" s="201" t="s">
        <v>71</v>
      </c>
      <c r="I12" s="201" t="s">
        <v>71</v>
      </c>
      <c r="J12" s="195" t="s">
        <v>1540</v>
      </c>
      <c r="K12" s="210"/>
      <c r="L12" s="111" t="s">
        <v>1250</v>
      </c>
      <c r="M12" s="111">
        <v>89191920292</v>
      </c>
    </row>
    <row r="13" spans="1:14" ht="12.75" customHeight="1">
      <c r="A13" s="49">
        <v>43223</v>
      </c>
      <c r="B13" s="197" t="s">
        <v>34</v>
      </c>
      <c r="C13" s="197" t="s">
        <v>1590</v>
      </c>
      <c r="D13" s="197" t="s">
        <v>186</v>
      </c>
      <c r="E13" s="197" t="s">
        <v>1541</v>
      </c>
      <c r="F13" s="200">
        <v>0.79513888888888884</v>
      </c>
      <c r="G13" s="201" t="s">
        <v>71</v>
      </c>
      <c r="H13" s="201" t="s">
        <v>71</v>
      </c>
      <c r="I13" s="201" t="s">
        <v>71</v>
      </c>
      <c r="J13" s="195" t="str">
        <f>HYPERLINK("https://yadi.sk/d/8IqkVlyT3VKLkh","https://yadi.sk/d/8IqkVlyT3VKLkh")</f>
        <v>https://yadi.sk/d/8IqkVlyT3VKLkh</v>
      </c>
      <c r="K13" s="210"/>
      <c r="L13" s="111" t="s">
        <v>65</v>
      </c>
      <c r="M13" s="111">
        <v>89997648473</v>
      </c>
    </row>
    <row r="14" spans="1:14" ht="12.75" customHeight="1">
      <c r="A14" s="49">
        <v>43223</v>
      </c>
      <c r="B14" s="197" t="s">
        <v>34</v>
      </c>
      <c r="C14" s="197" t="s">
        <v>1591</v>
      </c>
      <c r="D14" s="197" t="s">
        <v>186</v>
      </c>
      <c r="E14" s="197" t="s">
        <v>1542</v>
      </c>
      <c r="F14" s="200">
        <v>0.83333333333333337</v>
      </c>
      <c r="G14" s="201" t="s">
        <v>14</v>
      </c>
      <c r="H14" s="201"/>
      <c r="I14" s="201"/>
      <c r="J14" s="195" t="str">
        <f t="shared" ref="J14:J15" si="0">HYPERLINK("https://yadi.sk/i/gf7hGuEy3VKNBc","https://yadi.sk/i/gf7hGuEy3VKNBc")</f>
        <v>https://yadi.sk/i/gf7hGuEy3VKNBc</v>
      </c>
      <c r="K14" s="210" t="s">
        <v>1543</v>
      </c>
      <c r="L14" s="111" t="s">
        <v>797</v>
      </c>
      <c r="M14" s="111">
        <v>89206346464</v>
      </c>
    </row>
    <row r="15" spans="1:14" ht="12.75" customHeight="1">
      <c r="A15" s="49">
        <v>43223</v>
      </c>
      <c r="B15" s="197" t="s">
        <v>34</v>
      </c>
      <c r="C15" s="197" t="s">
        <v>1592</v>
      </c>
      <c r="D15" s="197" t="s">
        <v>186</v>
      </c>
      <c r="E15" s="197" t="s">
        <v>1542</v>
      </c>
      <c r="F15" s="200">
        <v>0.8354166666666667</v>
      </c>
      <c r="G15" s="201" t="s">
        <v>14</v>
      </c>
      <c r="H15" s="201"/>
      <c r="I15" s="201"/>
      <c r="J15" s="195" t="str">
        <f t="shared" si="0"/>
        <v>https://yadi.sk/i/gf7hGuEy3VKNBc</v>
      </c>
      <c r="K15" s="210" t="s">
        <v>1544</v>
      </c>
      <c r="L15" s="111" t="s">
        <v>797</v>
      </c>
      <c r="M15" s="111">
        <v>89206346464</v>
      </c>
    </row>
    <row r="16" spans="1:14" ht="12.75" customHeight="1">
      <c r="A16" s="49">
        <v>43223</v>
      </c>
      <c r="B16" s="197" t="s">
        <v>174</v>
      </c>
      <c r="C16" s="197" t="s">
        <v>240</v>
      </c>
      <c r="D16" s="197" t="s">
        <v>271</v>
      </c>
      <c r="E16" s="197" t="s">
        <v>1545</v>
      </c>
      <c r="F16" s="200">
        <v>0.7895833333333333</v>
      </c>
      <c r="G16" s="201" t="s">
        <v>14</v>
      </c>
      <c r="H16" s="201"/>
      <c r="I16" s="201"/>
      <c r="J16" s="195" t="str">
        <f t="shared" ref="J16:J17" si="1">HYPERLINK("https://yadi.sk/i/KccE5bpF3VKQE2","https://yadi.sk/i/KccE5bpF3VKQE2")</f>
        <v>https://yadi.sk/i/KccE5bpF3VKQE2</v>
      </c>
      <c r="K16" s="210" t="s">
        <v>1544</v>
      </c>
      <c r="L16" s="111" t="s">
        <v>238</v>
      </c>
      <c r="M16" s="111">
        <v>89043682092</v>
      </c>
    </row>
    <row r="17" spans="1:13" ht="12.75" customHeight="1">
      <c r="A17" s="49">
        <v>43223</v>
      </c>
      <c r="B17" s="197" t="s">
        <v>174</v>
      </c>
      <c r="C17" s="197" t="s">
        <v>460</v>
      </c>
      <c r="D17" s="197" t="s">
        <v>271</v>
      </c>
      <c r="E17" s="197" t="s">
        <v>1545</v>
      </c>
      <c r="F17" s="200">
        <v>0.79166666666666663</v>
      </c>
      <c r="G17" s="201" t="s">
        <v>14</v>
      </c>
      <c r="H17" s="201"/>
      <c r="I17" s="201"/>
      <c r="J17" s="195" t="str">
        <f t="shared" si="1"/>
        <v>https://yadi.sk/i/KccE5bpF3VKQE2</v>
      </c>
      <c r="K17" s="210" t="s">
        <v>1546</v>
      </c>
      <c r="L17" s="111" t="s">
        <v>238</v>
      </c>
      <c r="M17" s="111">
        <v>89043682092</v>
      </c>
    </row>
    <row r="18" spans="1:13" ht="12.75" customHeight="1">
      <c r="A18" s="49">
        <v>43223</v>
      </c>
      <c r="B18" s="197" t="s">
        <v>174</v>
      </c>
      <c r="C18" s="197" t="s">
        <v>1593</v>
      </c>
      <c r="D18" s="197" t="s">
        <v>1547</v>
      </c>
      <c r="E18" s="197" t="s">
        <v>1548</v>
      </c>
      <c r="F18" s="200">
        <v>0.83125000000000004</v>
      </c>
      <c r="G18" s="201" t="s">
        <v>14</v>
      </c>
      <c r="H18" s="201"/>
      <c r="I18" s="201"/>
      <c r="J18" s="195" t="str">
        <f>HYPERLINK("https://yadi.sk/i/gLhf-Suj3VKQwE","https://yadi.sk/i/gLhf-Suj3VKQwE")</f>
        <v>https://yadi.sk/i/gLhf-Suj3VKQwE</v>
      </c>
      <c r="K18" s="210" t="s">
        <v>1549</v>
      </c>
      <c r="L18" s="111" t="s">
        <v>236</v>
      </c>
      <c r="M18" s="111" t="s">
        <v>237</v>
      </c>
    </row>
    <row r="19" spans="1:13" ht="12.75" customHeight="1">
      <c r="A19" s="49">
        <v>43223</v>
      </c>
      <c r="B19" s="197" t="s">
        <v>174</v>
      </c>
      <c r="C19" s="197" t="s">
        <v>1594</v>
      </c>
      <c r="D19" s="197" t="s">
        <v>1547</v>
      </c>
      <c r="E19" s="197" t="s">
        <v>1550</v>
      </c>
      <c r="F19" s="200">
        <v>0.83333333333333337</v>
      </c>
      <c r="G19" s="201" t="s">
        <v>14</v>
      </c>
      <c r="H19" s="201"/>
      <c r="I19" s="201"/>
      <c r="J19" s="195" t="str">
        <f>HYPERLINK("https://yadi.sk/i/EHmyuN5g3VKRYa","https://yadi.sk/i/EHmyuN5g3VKRYa")</f>
        <v>https://yadi.sk/i/EHmyuN5g3VKRYa</v>
      </c>
      <c r="K19" s="210" t="s">
        <v>1551</v>
      </c>
      <c r="L19" s="111" t="s">
        <v>236</v>
      </c>
      <c r="M19" s="111" t="s">
        <v>237</v>
      </c>
    </row>
    <row r="20" spans="1:13" ht="12.75" customHeight="1">
      <c r="A20" s="49">
        <v>43223</v>
      </c>
      <c r="B20" s="197" t="s">
        <v>68</v>
      </c>
      <c r="C20" s="197" t="s">
        <v>93</v>
      </c>
      <c r="D20" s="197" t="s">
        <v>427</v>
      </c>
      <c r="E20" s="197" t="s">
        <v>1576</v>
      </c>
      <c r="F20" s="200">
        <v>0.80902777777777779</v>
      </c>
      <c r="G20" s="201" t="s">
        <v>71</v>
      </c>
      <c r="H20" s="201" t="s">
        <v>71</v>
      </c>
      <c r="I20" s="201" t="s">
        <v>71</v>
      </c>
      <c r="J20" s="2" t="s">
        <v>309</v>
      </c>
      <c r="K20" s="210"/>
      <c r="L20" s="104" t="s">
        <v>85</v>
      </c>
      <c r="M20" s="104"/>
    </row>
    <row r="21" spans="1:13" ht="12.75" customHeight="1">
      <c r="A21" s="49">
        <v>43223</v>
      </c>
      <c r="B21" s="197" t="s">
        <v>68</v>
      </c>
      <c r="C21" s="197" t="s">
        <v>91</v>
      </c>
      <c r="D21" s="197" t="s">
        <v>427</v>
      </c>
      <c r="E21" s="197" t="s">
        <v>1577</v>
      </c>
      <c r="F21" s="200">
        <v>0.8208333333333333</v>
      </c>
      <c r="G21" s="201" t="s">
        <v>71</v>
      </c>
      <c r="H21" s="201" t="s">
        <v>71</v>
      </c>
      <c r="I21" s="201" t="s">
        <v>71</v>
      </c>
      <c r="J21" s="2" t="s">
        <v>309</v>
      </c>
      <c r="K21" s="210"/>
      <c r="L21" s="104" t="s">
        <v>85</v>
      </c>
      <c r="M21" s="104"/>
    </row>
    <row r="22" spans="1:13" ht="12.75" customHeight="1">
      <c r="A22" s="49">
        <v>43223</v>
      </c>
      <c r="B22" s="197" t="s">
        <v>68</v>
      </c>
      <c r="C22" s="197" t="s">
        <v>1595</v>
      </c>
      <c r="D22" s="197" t="s">
        <v>427</v>
      </c>
      <c r="E22" s="197" t="s">
        <v>1578</v>
      </c>
      <c r="F22" s="200">
        <v>0.84097222222222223</v>
      </c>
      <c r="G22" s="201" t="s">
        <v>14</v>
      </c>
      <c r="H22" s="201"/>
      <c r="I22" s="201"/>
      <c r="J22" s="2" t="s">
        <v>309</v>
      </c>
      <c r="K22" s="210" t="s">
        <v>1580</v>
      </c>
      <c r="L22" s="104" t="s">
        <v>87</v>
      </c>
      <c r="M22" s="104"/>
    </row>
    <row r="23" spans="1:13" ht="12.75" customHeight="1">
      <c r="A23" s="49">
        <v>43223</v>
      </c>
      <c r="B23" s="197" t="s">
        <v>68</v>
      </c>
      <c r="C23" s="197" t="s">
        <v>94</v>
      </c>
      <c r="D23" s="197" t="s">
        <v>427</v>
      </c>
      <c r="E23" s="197" t="s">
        <v>1579</v>
      </c>
      <c r="F23" s="200">
        <v>0.84513888888888899</v>
      </c>
      <c r="G23" s="201" t="s">
        <v>14</v>
      </c>
      <c r="H23" s="201"/>
      <c r="I23" s="201"/>
      <c r="J23" s="2" t="s">
        <v>309</v>
      </c>
      <c r="K23" s="210" t="s">
        <v>1581</v>
      </c>
      <c r="L23" s="104" t="s">
        <v>87</v>
      </c>
      <c r="M23" s="104"/>
    </row>
    <row r="24" spans="1:13" ht="12.75" customHeight="1">
      <c r="A24" s="52">
        <v>43224</v>
      </c>
      <c r="B24" s="202" t="s">
        <v>97</v>
      </c>
      <c r="C24" s="202" t="s">
        <v>579</v>
      </c>
      <c r="D24" s="202" t="s">
        <v>119</v>
      </c>
      <c r="E24" s="202" t="s">
        <v>1552</v>
      </c>
      <c r="F24" s="198">
        <v>0.77777777777777779</v>
      </c>
      <c r="G24" s="199" t="s">
        <v>71</v>
      </c>
      <c r="H24" s="199" t="s">
        <v>71</v>
      </c>
      <c r="I24" s="199" t="s">
        <v>71</v>
      </c>
      <c r="J24" s="194" t="s">
        <v>1553</v>
      </c>
      <c r="K24" s="209"/>
      <c r="L24" s="104" t="s">
        <v>142</v>
      </c>
      <c r="M24" s="104" t="s">
        <v>143</v>
      </c>
    </row>
    <row r="25" spans="1:13" ht="12.75" customHeight="1">
      <c r="A25" s="52">
        <v>43224</v>
      </c>
      <c r="B25" s="203" t="s">
        <v>97</v>
      </c>
      <c r="C25" s="203" t="s">
        <v>1002</v>
      </c>
      <c r="D25" s="203" t="s">
        <v>1046</v>
      </c>
      <c r="E25" s="203" t="s">
        <v>1049</v>
      </c>
      <c r="F25" s="200">
        <v>0.75763888888888886</v>
      </c>
      <c r="G25" s="201" t="s">
        <v>71</v>
      </c>
      <c r="H25" s="201" t="s">
        <v>71</v>
      </c>
      <c r="I25" s="201" t="s">
        <v>71</v>
      </c>
      <c r="J25" s="195" t="s">
        <v>1554</v>
      </c>
      <c r="K25" s="210"/>
      <c r="L25" s="104" t="s">
        <v>142</v>
      </c>
      <c r="M25" s="104" t="s">
        <v>143</v>
      </c>
    </row>
    <row r="26" spans="1:13" ht="12.75" customHeight="1">
      <c r="A26" s="52">
        <v>43224</v>
      </c>
      <c r="B26" s="203" t="s">
        <v>97</v>
      </c>
      <c r="C26" s="203" t="s">
        <v>1003</v>
      </c>
      <c r="D26" s="203" t="s">
        <v>119</v>
      </c>
      <c r="E26" s="203" t="s">
        <v>1555</v>
      </c>
      <c r="F26" s="200">
        <v>0.77569444444444446</v>
      </c>
      <c r="G26" s="201" t="s">
        <v>71</v>
      </c>
      <c r="H26" s="201" t="s">
        <v>71</v>
      </c>
      <c r="I26" s="201" t="s">
        <v>71</v>
      </c>
      <c r="J26" s="195" t="s">
        <v>1556</v>
      </c>
      <c r="K26" s="210"/>
      <c r="L26" s="104" t="s">
        <v>142</v>
      </c>
      <c r="M26" s="104" t="s">
        <v>143</v>
      </c>
    </row>
    <row r="27" spans="1:13" ht="12.75" customHeight="1">
      <c r="A27" s="52">
        <v>43224</v>
      </c>
      <c r="B27" s="203" t="s">
        <v>97</v>
      </c>
      <c r="C27" s="203" t="s">
        <v>156</v>
      </c>
      <c r="D27" s="203" t="s">
        <v>119</v>
      </c>
      <c r="E27" s="203" t="s">
        <v>1557</v>
      </c>
      <c r="F27" s="200">
        <v>0.78541666666666665</v>
      </c>
      <c r="G27" s="201" t="s">
        <v>71</v>
      </c>
      <c r="H27" s="201" t="s">
        <v>71</v>
      </c>
      <c r="I27" s="201" t="s">
        <v>71</v>
      </c>
      <c r="J27" s="195" t="s">
        <v>1558</v>
      </c>
      <c r="K27" s="210"/>
      <c r="L27" s="104" t="s">
        <v>142</v>
      </c>
      <c r="M27" s="104" t="s">
        <v>143</v>
      </c>
    </row>
    <row r="28" spans="1:13" ht="12.75" customHeight="1">
      <c r="A28" s="52">
        <v>43224</v>
      </c>
      <c r="B28" s="203" t="s">
        <v>310</v>
      </c>
      <c r="C28" s="203" t="s">
        <v>1007</v>
      </c>
      <c r="D28" s="203" t="s">
        <v>885</v>
      </c>
      <c r="E28" s="203" t="s">
        <v>1559</v>
      </c>
      <c r="F28" s="200">
        <v>0.78194444444444444</v>
      </c>
      <c r="G28" s="201" t="s">
        <v>71</v>
      </c>
      <c r="H28" s="201" t="s">
        <v>71</v>
      </c>
      <c r="I28" s="201" t="s">
        <v>71</v>
      </c>
      <c r="J28" s="195" t="str">
        <f>HYPERLINK("https://yadi.sk/d/mIHg8hJu3VLcrg","https://yadi.sk/d/mIHg8hJu3VLcrg")</f>
        <v>https://yadi.sk/d/mIHg8hJu3VLcrg</v>
      </c>
      <c r="K28" s="210"/>
      <c r="L28" s="111" t="s">
        <v>341</v>
      </c>
      <c r="M28" s="111" t="s">
        <v>342</v>
      </c>
    </row>
    <row r="29" spans="1:13" ht="12.75" customHeight="1">
      <c r="A29" s="52">
        <v>43224</v>
      </c>
      <c r="B29" s="203" t="s">
        <v>310</v>
      </c>
      <c r="C29" s="203" t="s">
        <v>1596</v>
      </c>
      <c r="D29" s="203" t="s">
        <v>885</v>
      </c>
      <c r="E29" s="203" t="s">
        <v>1560</v>
      </c>
      <c r="F29" s="200">
        <v>0.78611111111111109</v>
      </c>
      <c r="G29" s="201" t="s">
        <v>71</v>
      </c>
      <c r="H29" s="201" t="s">
        <v>14</v>
      </c>
      <c r="I29" s="201" t="s">
        <v>71</v>
      </c>
      <c r="J29" s="195" t="str">
        <f>HYPERLINK("https://yadi.sk/d/0IP2WQIl3VLdE9","https://yadi.sk/d/0IP2WQIl3VLdE9")</f>
        <v>https://yadi.sk/d/0IP2WQIl3VLdE9</v>
      </c>
      <c r="K29" s="210"/>
      <c r="L29" s="111" t="s">
        <v>341</v>
      </c>
      <c r="M29" s="111" t="s">
        <v>342</v>
      </c>
    </row>
    <row r="30" spans="1:13" ht="12.75" customHeight="1">
      <c r="A30" s="52">
        <v>43224</v>
      </c>
      <c r="B30" s="203" t="s">
        <v>310</v>
      </c>
      <c r="C30" s="203" t="s">
        <v>1597</v>
      </c>
      <c r="D30" s="203" t="s">
        <v>885</v>
      </c>
      <c r="E30" s="203" t="s">
        <v>1561</v>
      </c>
      <c r="F30" s="200">
        <v>0.79166666666666663</v>
      </c>
      <c r="G30" s="201" t="s">
        <v>71</v>
      </c>
      <c r="H30" s="201" t="s">
        <v>71</v>
      </c>
      <c r="I30" s="201" t="s">
        <v>71</v>
      </c>
      <c r="J30" s="195" t="str">
        <f>HYPERLINK("https://yadi.sk/d/ywh0K3hJ3VLdVU","https://yadi.sk/d/ywh0K3hJ3VLdVU")</f>
        <v>https://yadi.sk/d/ywh0K3hJ3VLdVU</v>
      </c>
      <c r="K30" s="210"/>
      <c r="L30" s="111" t="s">
        <v>341</v>
      </c>
      <c r="M30" s="111" t="s">
        <v>342</v>
      </c>
    </row>
    <row r="31" spans="1:13" ht="12.75" customHeight="1">
      <c r="A31" s="52">
        <v>43224</v>
      </c>
      <c r="B31" s="203" t="s">
        <v>310</v>
      </c>
      <c r="C31" s="203" t="s">
        <v>1598</v>
      </c>
      <c r="D31" s="203" t="s">
        <v>885</v>
      </c>
      <c r="E31" s="203" t="s">
        <v>1562</v>
      </c>
      <c r="F31" s="200">
        <v>0.79722222222222228</v>
      </c>
      <c r="G31" s="201" t="s">
        <v>71</v>
      </c>
      <c r="H31" s="201" t="s">
        <v>14</v>
      </c>
      <c r="I31" s="201" t="s">
        <v>71</v>
      </c>
      <c r="J31" s="195" t="str">
        <f>HYPERLINK("https://yadi.sk/d/lYa4kg_c3VLe3s","https://yadi.sk/d/lYa4kg_c3VLe3s")</f>
        <v>https://yadi.sk/d/lYa4kg_c3VLe3s</v>
      </c>
      <c r="K31" s="210"/>
      <c r="L31" s="111" t="s">
        <v>341</v>
      </c>
      <c r="M31" s="111" t="s">
        <v>342</v>
      </c>
    </row>
    <row r="32" spans="1:13" ht="12.75" customHeight="1">
      <c r="A32" s="52">
        <v>43224</v>
      </c>
      <c r="B32" s="203" t="s">
        <v>24</v>
      </c>
      <c r="C32" s="203" t="s">
        <v>1599</v>
      </c>
      <c r="D32" s="203" t="s">
        <v>857</v>
      </c>
      <c r="E32" s="203" t="s">
        <v>1563</v>
      </c>
      <c r="F32" s="200">
        <v>0.79027777777777775</v>
      </c>
      <c r="G32" s="201" t="s">
        <v>14</v>
      </c>
      <c r="H32" s="201"/>
      <c r="I32" s="201"/>
      <c r="J32" s="195" t="str">
        <f>HYPERLINK("https://yadi.sk/i/ps65rW9I3VMLmQ","https://yadi.sk/i/ps65rW9I3VMLmQ")</f>
        <v>https://yadi.sk/i/ps65rW9I3VMLmQ</v>
      </c>
      <c r="K32" s="210" t="s">
        <v>1564</v>
      </c>
      <c r="L32" s="111" t="s">
        <v>1011</v>
      </c>
      <c r="M32" s="111">
        <v>89103188508</v>
      </c>
    </row>
    <row r="33" spans="1:13" ht="12.75" customHeight="1">
      <c r="A33" s="52">
        <v>43224</v>
      </c>
      <c r="B33" s="203" t="s">
        <v>24</v>
      </c>
      <c r="C33" s="203" t="s">
        <v>844</v>
      </c>
      <c r="D33" s="203" t="s">
        <v>857</v>
      </c>
      <c r="E33" s="204" t="s">
        <v>1565</v>
      </c>
      <c r="F33" s="200">
        <v>0.7993055555555556</v>
      </c>
      <c r="G33" s="201" t="s">
        <v>71</v>
      </c>
      <c r="H33" s="201" t="s">
        <v>71</v>
      </c>
      <c r="I33" s="201" t="s">
        <v>71</v>
      </c>
      <c r="J33" s="195" t="str">
        <f>HYPERLINK("https://yadi.sk/d/eu5-ywWl3VMNnT","https://yadi.sk/d/eu5-ywWl3VMNnT")</f>
        <v>https://yadi.sk/d/eu5-ywWl3VMNnT</v>
      </c>
      <c r="K33" s="210"/>
      <c r="L33" s="111" t="s">
        <v>1011</v>
      </c>
      <c r="M33" s="111">
        <v>89103188508</v>
      </c>
    </row>
    <row r="34" spans="1:13" ht="12.75" customHeight="1">
      <c r="A34" s="52">
        <v>43224</v>
      </c>
      <c r="B34" s="203" t="s">
        <v>24</v>
      </c>
      <c r="C34" s="203" t="s">
        <v>1600</v>
      </c>
      <c r="D34" s="203" t="s">
        <v>857</v>
      </c>
      <c r="E34" s="203" t="s">
        <v>1566</v>
      </c>
      <c r="F34" s="200">
        <v>0.82638888888888884</v>
      </c>
      <c r="G34" s="201" t="s">
        <v>14</v>
      </c>
      <c r="H34" s="201"/>
      <c r="I34" s="201"/>
      <c r="J34" s="195" t="str">
        <f>HYPERLINK("https://yadi.sk/i/JLcpqtV53VMPF8","https://yadi.sk/i/JLcpqtV53VMPF8")</f>
        <v>https://yadi.sk/i/JLcpqtV53VMPF8</v>
      </c>
      <c r="K34" s="210" t="s">
        <v>1567</v>
      </c>
      <c r="L34" s="111" t="s">
        <v>1011</v>
      </c>
      <c r="M34" s="111">
        <v>89103188508</v>
      </c>
    </row>
    <row r="35" spans="1:13" ht="12.75" customHeight="1">
      <c r="A35" s="52">
        <v>43224</v>
      </c>
      <c r="B35" s="203" t="s">
        <v>24</v>
      </c>
      <c r="C35" s="203" t="s">
        <v>1601</v>
      </c>
      <c r="D35" s="203" t="s">
        <v>276</v>
      </c>
      <c r="E35" s="203" t="s">
        <v>1568</v>
      </c>
      <c r="F35" s="200">
        <v>0.83333333333333337</v>
      </c>
      <c r="G35" s="201" t="s">
        <v>14</v>
      </c>
      <c r="H35" s="201"/>
      <c r="I35" s="201"/>
      <c r="J35" s="195" t="str">
        <f>HYPERLINK("https://yadi.sk/i/TOaezXxL3VMPqy","https://yadi.sk/i/TOaezXxL3VMPqy")</f>
        <v>https://yadi.sk/i/TOaezXxL3VMPqy</v>
      </c>
      <c r="K35" s="210" t="s">
        <v>1569</v>
      </c>
      <c r="L35" s="111" t="s">
        <v>1602</v>
      </c>
      <c r="M35" s="111">
        <v>89081211555</v>
      </c>
    </row>
    <row r="36" spans="1:13" ht="12.75" customHeight="1">
      <c r="A36" s="49">
        <v>43225</v>
      </c>
      <c r="B36" s="202" t="s">
        <v>1570</v>
      </c>
      <c r="C36" s="202" t="s">
        <v>1603</v>
      </c>
      <c r="D36" s="202" t="s">
        <v>857</v>
      </c>
      <c r="E36" s="202" t="s">
        <v>1571</v>
      </c>
      <c r="F36" s="198">
        <v>0.77777777777777779</v>
      </c>
      <c r="G36" s="199" t="s">
        <v>71</v>
      </c>
      <c r="H36" s="199" t="s">
        <v>71</v>
      </c>
      <c r="I36" s="199" t="s">
        <v>71</v>
      </c>
      <c r="J36" s="194" t="str">
        <f>HYPERLINK("https://yadi.sk/d/jg1HvqPM3VUNAJ","https://yadi.sk/d/jg1HvqPM3VUNAJ")</f>
        <v>https://yadi.sk/d/jg1HvqPM3VUNAJ</v>
      </c>
      <c r="K36" s="209"/>
      <c r="L36" s="104" t="s">
        <v>151</v>
      </c>
      <c r="M36" s="111">
        <v>89588618343</v>
      </c>
    </row>
    <row r="37" spans="1:13" ht="12.75" customHeight="1">
      <c r="A37" s="49">
        <v>43225</v>
      </c>
      <c r="B37" s="203" t="s">
        <v>121</v>
      </c>
      <c r="C37" s="203" t="s">
        <v>1138</v>
      </c>
      <c r="D37" s="203" t="s">
        <v>857</v>
      </c>
      <c r="E37" s="203" t="s">
        <v>1572</v>
      </c>
      <c r="F37" s="200">
        <v>0.78472222222222221</v>
      </c>
      <c r="G37" s="201" t="s">
        <v>14</v>
      </c>
      <c r="H37" s="201"/>
      <c r="I37" s="201"/>
      <c r="J37" s="195" t="str">
        <f>HYPERLINK("https://yadi.sk/d/kZzLkZR43VUMj9","https://yadi.sk/d/kZzLkZR43VUMj9")</f>
        <v>https://yadi.sk/d/kZzLkZR43VUMj9</v>
      </c>
      <c r="K37" s="210" t="s">
        <v>1573</v>
      </c>
      <c r="L37" s="104" t="s">
        <v>151</v>
      </c>
      <c r="M37" s="111">
        <v>89588618343</v>
      </c>
    </row>
    <row r="38" spans="1:13" ht="12.75" customHeight="1">
      <c r="A38" s="49">
        <v>43225</v>
      </c>
      <c r="B38" s="203" t="s">
        <v>1570</v>
      </c>
      <c r="C38" s="203" t="s">
        <v>152</v>
      </c>
      <c r="D38" s="203" t="s">
        <v>857</v>
      </c>
      <c r="E38" s="203" t="s">
        <v>1574</v>
      </c>
      <c r="F38" s="200">
        <v>0.79166666666666663</v>
      </c>
      <c r="G38" s="201" t="s">
        <v>14</v>
      </c>
      <c r="H38" s="201"/>
      <c r="I38" s="201"/>
      <c r="J38" s="195" t="str">
        <f>HYPERLINK("https://yadi.sk/i/MdrOXSU_3VUNE6","https://yadi.sk/i/MdrOXSU_3VUNE6")</f>
        <v>https://yadi.sk/i/MdrOXSU_3VUNE6</v>
      </c>
      <c r="K38" s="210" t="s">
        <v>1575</v>
      </c>
      <c r="L38" s="104" t="s">
        <v>151</v>
      </c>
      <c r="M38" s="111">
        <v>89588618343</v>
      </c>
    </row>
    <row r="39" spans="1:13" ht="14.25" customHeight="1">
      <c r="A39" s="52">
        <v>43227</v>
      </c>
      <c r="B39" s="196" t="s">
        <v>1643</v>
      </c>
      <c r="C39" s="196" t="s">
        <v>1846</v>
      </c>
      <c r="D39" s="216" t="s">
        <v>119</v>
      </c>
      <c r="E39" s="196" t="s">
        <v>1644</v>
      </c>
      <c r="F39" s="198">
        <v>0.77430555555555558</v>
      </c>
      <c r="G39" s="199" t="s">
        <v>71</v>
      </c>
      <c r="H39" s="199" t="s">
        <v>14</v>
      </c>
      <c r="I39" s="199" t="s">
        <v>71</v>
      </c>
      <c r="J39" s="194" t="str">
        <f>HYPERLINK("https://yadi.sk/d/vf0NUK3C3VVJqS","https://yadi.sk/d/vf0NUK3C3VVJqS")</f>
        <v>https://yadi.sk/d/vf0NUK3C3VVJqS</v>
      </c>
      <c r="K39" s="219"/>
      <c r="L39" s="104" t="s">
        <v>292</v>
      </c>
      <c r="M39" s="104" t="s">
        <v>771</v>
      </c>
    </row>
    <row r="40" spans="1:13" ht="14.25" customHeight="1">
      <c r="A40" s="52">
        <v>43227</v>
      </c>
      <c r="B40" s="197" t="s">
        <v>1643</v>
      </c>
      <c r="C40" s="197" t="s">
        <v>1633</v>
      </c>
      <c r="D40" s="217" t="s">
        <v>1233</v>
      </c>
      <c r="E40" s="218" t="s">
        <v>1481</v>
      </c>
      <c r="F40" s="200">
        <v>0.78680555555555554</v>
      </c>
      <c r="G40" s="201" t="s">
        <v>71</v>
      </c>
      <c r="H40" s="201" t="s">
        <v>71</v>
      </c>
      <c r="I40" s="201" t="s">
        <v>71</v>
      </c>
      <c r="J40" s="195" t="str">
        <f>HYPERLINK("https://yadi.sk/d/SPVfz53d3VXEec","https://yadi.sk/d/SPVfz53d3VXEec")</f>
        <v>https://yadi.sk/d/SPVfz53d3VXEec</v>
      </c>
      <c r="K40" s="220"/>
      <c r="L40" s="104" t="s">
        <v>769</v>
      </c>
      <c r="M40" s="104" t="s">
        <v>770</v>
      </c>
    </row>
    <row r="41" spans="1:13" ht="14.25" customHeight="1">
      <c r="A41" s="52">
        <v>43227</v>
      </c>
      <c r="B41" s="197" t="s">
        <v>1643</v>
      </c>
      <c r="C41" s="197" t="s">
        <v>1252</v>
      </c>
      <c r="D41" s="217" t="s">
        <v>1233</v>
      </c>
      <c r="E41" s="197" t="s">
        <v>1481</v>
      </c>
      <c r="F41" s="200">
        <v>0.78819444444444442</v>
      </c>
      <c r="G41" s="201" t="s">
        <v>71</v>
      </c>
      <c r="H41" s="201" t="s">
        <v>14</v>
      </c>
      <c r="I41" s="201" t="s">
        <v>71</v>
      </c>
      <c r="J41" s="195" t="str">
        <f>HYPERLINK("https://yadi.sk/d/AssQuxSy3VXFDs","https://yadi.sk/d/AssQuxSy3VXFDs")</f>
        <v>https://yadi.sk/d/AssQuxSy3VXFDs</v>
      </c>
      <c r="K41" s="220"/>
      <c r="L41" s="104" t="s">
        <v>769</v>
      </c>
      <c r="M41" s="104" t="s">
        <v>770</v>
      </c>
    </row>
    <row r="42" spans="1:13" ht="14.25" customHeight="1">
      <c r="A42" s="52">
        <v>43227</v>
      </c>
      <c r="B42" s="197" t="s">
        <v>1643</v>
      </c>
      <c r="C42" s="197" t="s">
        <v>1635</v>
      </c>
      <c r="D42" s="217" t="s">
        <v>1233</v>
      </c>
      <c r="E42" s="197" t="s">
        <v>1645</v>
      </c>
      <c r="F42" s="200">
        <v>0.7944444444444444</v>
      </c>
      <c r="G42" s="201" t="s">
        <v>71</v>
      </c>
      <c r="H42" s="201" t="s">
        <v>14</v>
      </c>
      <c r="I42" s="201" t="s">
        <v>71</v>
      </c>
      <c r="J42" s="195" t="str">
        <f>HYPERLINK("https://yadi.sk/d/NtvyqGPF3VXFb5","https://yadi.sk/d/NtvyqGPF3VXFb5")</f>
        <v>https://yadi.sk/d/NtvyqGPF3VXFb5</v>
      </c>
      <c r="K42" s="220"/>
      <c r="L42" s="104" t="s">
        <v>769</v>
      </c>
      <c r="M42" s="104" t="s">
        <v>770</v>
      </c>
    </row>
    <row r="43" spans="1:13" ht="14.25" customHeight="1">
      <c r="A43" s="52">
        <v>43227</v>
      </c>
      <c r="B43" s="197" t="s">
        <v>130</v>
      </c>
      <c r="C43" s="197" t="s">
        <v>1619</v>
      </c>
      <c r="D43" s="217" t="s">
        <v>1646</v>
      </c>
      <c r="E43" s="197" t="s">
        <v>1647</v>
      </c>
      <c r="F43" s="200">
        <v>0.79097222222222219</v>
      </c>
      <c r="G43" s="201" t="s">
        <v>14</v>
      </c>
      <c r="H43" s="201"/>
      <c r="I43" s="201"/>
      <c r="J43" s="195" t="s">
        <v>1648</v>
      </c>
      <c r="K43" s="210" t="s">
        <v>1649</v>
      </c>
      <c r="L43" s="104" t="s">
        <v>139</v>
      </c>
      <c r="M43" s="104" t="s">
        <v>1618</v>
      </c>
    </row>
    <row r="44" spans="1:13" ht="14.25" customHeight="1">
      <c r="A44" s="52">
        <v>43227</v>
      </c>
      <c r="B44" s="197" t="s">
        <v>130</v>
      </c>
      <c r="C44" s="197" t="s">
        <v>1812</v>
      </c>
      <c r="D44" s="217" t="s">
        <v>1646</v>
      </c>
      <c r="E44" s="197" t="s">
        <v>1650</v>
      </c>
      <c r="F44" s="200">
        <v>0.78611111111111109</v>
      </c>
      <c r="G44" s="201" t="s">
        <v>14</v>
      </c>
      <c r="H44" s="201"/>
      <c r="I44" s="201"/>
      <c r="J44" s="195" t="s">
        <v>1651</v>
      </c>
      <c r="K44" s="210" t="s">
        <v>1652</v>
      </c>
      <c r="L44" s="104" t="s">
        <v>139</v>
      </c>
      <c r="M44" s="104" t="s">
        <v>1618</v>
      </c>
    </row>
    <row r="45" spans="1:13" ht="14.25" customHeight="1">
      <c r="A45" s="52">
        <v>43227</v>
      </c>
      <c r="B45" s="197" t="s">
        <v>130</v>
      </c>
      <c r="C45" s="197" t="s">
        <v>1004</v>
      </c>
      <c r="D45" s="217" t="s">
        <v>1646</v>
      </c>
      <c r="E45" s="197" t="s">
        <v>1653</v>
      </c>
      <c r="F45" s="200">
        <v>0.77916666666666667</v>
      </c>
      <c r="G45" s="201" t="s">
        <v>14</v>
      </c>
      <c r="H45" s="201"/>
      <c r="I45" s="201"/>
      <c r="J45" s="195" t="s">
        <v>1654</v>
      </c>
      <c r="K45" s="210" t="s">
        <v>1655</v>
      </c>
      <c r="L45" s="104" t="s">
        <v>139</v>
      </c>
      <c r="M45" s="104" t="s">
        <v>1618</v>
      </c>
    </row>
    <row r="46" spans="1:13" ht="14.25" customHeight="1">
      <c r="A46" s="52">
        <v>43227</v>
      </c>
      <c r="B46" s="197" t="s">
        <v>130</v>
      </c>
      <c r="C46" s="250" t="s">
        <v>1813</v>
      </c>
      <c r="D46" s="217" t="s">
        <v>1646</v>
      </c>
      <c r="E46" s="197" t="s">
        <v>1656</v>
      </c>
      <c r="F46" s="200">
        <v>0.80555555555555558</v>
      </c>
      <c r="G46" s="201" t="s">
        <v>14</v>
      </c>
      <c r="H46" s="201"/>
      <c r="I46" s="201"/>
      <c r="J46" s="195" t="s">
        <v>1657</v>
      </c>
      <c r="K46" s="210" t="s">
        <v>1658</v>
      </c>
      <c r="L46" s="104" t="s">
        <v>139</v>
      </c>
      <c r="M46" s="104" t="s">
        <v>1618</v>
      </c>
    </row>
    <row r="47" spans="1:13" ht="14.25" customHeight="1">
      <c r="A47" s="49">
        <v>43228</v>
      </c>
      <c r="B47" s="73" t="s">
        <v>189</v>
      </c>
      <c r="C47" s="73" t="s">
        <v>563</v>
      </c>
      <c r="D47" s="73" t="s">
        <v>186</v>
      </c>
      <c r="E47" s="73" t="s">
        <v>1659</v>
      </c>
      <c r="F47" s="75">
        <v>0.81944444444444442</v>
      </c>
      <c r="G47" s="76" t="s">
        <v>14</v>
      </c>
      <c r="H47" s="76"/>
      <c r="I47" s="76"/>
      <c r="J47" s="71" t="s">
        <v>1660</v>
      </c>
      <c r="K47" s="82" t="s">
        <v>1661</v>
      </c>
      <c r="L47" s="111" t="s">
        <v>466</v>
      </c>
      <c r="M47" s="111">
        <v>89204191919</v>
      </c>
    </row>
    <row r="48" spans="1:13" ht="14.25" customHeight="1">
      <c r="A48" s="49">
        <v>43228</v>
      </c>
      <c r="B48" s="74" t="s">
        <v>189</v>
      </c>
      <c r="C48" s="74" t="s">
        <v>801</v>
      </c>
      <c r="D48" s="74" t="s">
        <v>186</v>
      </c>
      <c r="E48" s="74" t="s">
        <v>1659</v>
      </c>
      <c r="F48" s="77">
        <v>0.81944444444444442</v>
      </c>
      <c r="G48" s="78" t="s">
        <v>14</v>
      </c>
      <c r="H48" s="78"/>
      <c r="I48" s="78"/>
      <c r="J48" s="72" t="s">
        <v>1660</v>
      </c>
      <c r="K48" s="81" t="s">
        <v>1662</v>
      </c>
      <c r="L48" s="111" t="s">
        <v>466</v>
      </c>
      <c r="M48" s="111">
        <v>89204191919</v>
      </c>
    </row>
    <row r="49" spans="1:13" ht="14.25" customHeight="1">
      <c r="A49" s="49">
        <v>43228</v>
      </c>
      <c r="B49" s="74" t="s">
        <v>189</v>
      </c>
      <c r="C49" s="74" t="s">
        <v>1807</v>
      </c>
      <c r="D49" s="74" t="s">
        <v>186</v>
      </c>
      <c r="E49" s="74" t="s">
        <v>1659</v>
      </c>
      <c r="F49" s="77">
        <v>0.81944444444444442</v>
      </c>
      <c r="G49" s="78" t="s">
        <v>14</v>
      </c>
      <c r="H49" s="78"/>
      <c r="I49" s="78"/>
      <c r="J49" s="72" t="s">
        <v>1660</v>
      </c>
      <c r="K49" s="81" t="s">
        <v>1663</v>
      </c>
      <c r="L49" s="111" t="s">
        <v>1295</v>
      </c>
      <c r="M49" s="111">
        <v>89518531479</v>
      </c>
    </row>
    <row r="50" spans="1:13" ht="14.25" customHeight="1">
      <c r="A50" s="49">
        <v>43228</v>
      </c>
      <c r="B50" s="74" t="s">
        <v>189</v>
      </c>
      <c r="C50" s="74" t="s">
        <v>1612</v>
      </c>
      <c r="D50" s="74" t="s">
        <v>186</v>
      </c>
      <c r="E50" s="74" t="s">
        <v>1664</v>
      </c>
      <c r="F50" s="77">
        <v>0.7944444444444444</v>
      </c>
      <c r="G50" s="78" t="s">
        <v>71</v>
      </c>
      <c r="H50" s="78" t="s">
        <v>71</v>
      </c>
      <c r="I50" s="78" t="s">
        <v>71</v>
      </c>
      <c r="J50" s="72" t="s">
        <v>1665</v>
      </c>
      <c r="K50" s="81"/>
      <c r="L50" s="111" t="s">
        <v>249</v>
      </c>
      <c r="M50" s="111">
        <v>89050497124</v>
      </c>
    </row>
    <row r="51" spans="1:13" ht="14.25" customHeight="1">
      <c r="A51" s="49">
        <v>43228</v>
      </c>
      <c r="B51" s="74" t="s">
        <v>161</v>
      </c>
      <c r="C51" s="74" t="s">
        <v>1627</v>
      </c>
      <c r="D51" s="74" t="s">
        <v>1666</v>
      </c>
      <c r="E51" s="74" t="s">
        <v>1667</v>
      </c>
      <c r="F51" s="77">
        <v>0.76736111111111116</v>
      </c>
      <c r="G51" s="78" t="s">
        <v>71</v>
      </c>
      <c r="H51" s="78" t="s">
        <v>71</v>
      </c>
      <c r="I51" s="78" t="s">
        <v>71</v>
      </c>
      <c r="J51" s="72" t="str">
        <f>HYPERLINK("https://yadi.sk/d/4Ry6WcRb3VZ5JX","https://yadi.sk/d/4Ry6WcRb3VZ5JX")</f>
        <v>https://yadi.sk/d/4Ry6WcRb3VZ5JX</v>
      </c>
      <c r="K51" s="80"/>
      <c r="L51" s="104" t="s">
        <v>570</v>
      </c>
      <c r="M51" s="111">
        <v>89534771666</v>
      </c>
    </row>
    <row r="52" spans="1:13" ht="14.25" customHeight="1">
      <c r="A52" s="49">
        <v>43228</v>
      </c>
      <c r="B52" s="74" t="s">
        <v>161</v>
      </c>
      <c r="C52" s="74" t="s">
        <v>1828</v>
      </c>
      <c r="D52" s="74" t="s">
        <v>1666</v>
      </c>
      <c r="E52" s="74" t="s">
        <v>1668</v>
      </c>
      <c r="F52" s="77">
        <v>0.7729166666666667</v>
      </c>
      <c r="G52" s="78" t="s">
        <v>71</v>
      </c>
      <c r="H52" s="78" t="s">
        <v>71</v>
      </c>
      <c r="I52" s="78" t="s">
        <v>71</v>
      </c>
      <c r="J52" s="72" t="str">
        <f>HYPERLINK("https://yadi.sk/d/GPuLN4ru3VZ5L7","https://yadi.sk/d/GPuLN4ru3VZ5L7")</f>
        <v>https://yadi.sk/d/GPuLN4ru3VZ5L7</v>
      </c>
      <c r="K52" s="80"/>
      <c r="L52" s="104" t="s">
        <v>570</v>
      </c>
      <c r="M52" s="111">
        <v>89534771666</v>
      </c>
    </row>
    <row r="53" spans="1:13" ht="14.25" customHeight="1">
      <c r="A53" s="49">
        <v>43228</v>
      </c>
      <c r="B53" s="74" t="s">
        <v>161</v>
      </c>
      <c r="C53" s="74" t="s">
        <v>1028</v>
      </c>
      <c r="D53" s="74" t="s">
        <v>1029</v>
      </c>
      <c r="E53" s="74" t="s">
        <v>1669</v>
      </c>
      <c r="F53" s="77">
        <v>0.78194444444444444</v>
      </c>
      <c r="G53" s="78" t="s">
        <v>71</v>
      </c>
      <c r="H53" s="78" t="s">
        <v>71</v>
      </c>
      <c r="I53" s="78" t="s">
        <v>71</v>
      </c>
      <c r="J53" s="72" t="str">
        <f>HYPERLINK("https://yadi.sk/d/GLH0tuCV3VZ5af","https://yadi.sk/d/GLH0tuCV3VZ5af")</f>
        <v>https://yadi.sk/d/GLH0tuCV3VZ5af</v>
      </c>
      <c r="K53" s="80"/>
      <c r="L53" s="104" t="s">
        <v>999</v>
      </c>
      <c r="M53" s="111">
        <v>89192648797</v>
      </c>
    </row>
    <row r="54" spans="1:13" s="223" customFormat="1" ht="12.75" customHeight="1">
      <c r="A54" s="52">
        <v>43230</v>
      </c>
      <c r="B54" s="228" t="s">
        <v>1670</v>
      </c>
      <c r="C54" s="228" t="s">
        <v>1590</v>
      </c>
      <c r="D54" s="229" t="s">
        <v>186</v>
      </c>
      <c r="E54" s="228" t="s">
        <v>1671</v>
      </c>
      <c r="F54" s="224">
        <v>0.7895833333333333</v>
      </c>
      <c r="G54" s="225" t="s">
        <v>14</v>
      </c>
      <c r="H54" s="225"/>
      <c r="I54" s="225"/>
      <c r="J54" s="222" t="str">
        <f>HYPERLINK("https://yadi.sk/i/VhUXab-K3VhzZG","https://yadi.sk/i/VhUXab-K3VhzZG")</f>
        <v>https://yadi.sk/i/VhUXab-K3VhzZG</v>
      </c>
      <c r="K54" s="245" t="s">
        <v>1672</v>
      </c>
      <c r="L54" s="249" t="s">
        <v>65</v>
      </c>
      <c r="M54" s="251">
        <v>89997648473</v>
      </c>
    </row>
    <row r="55" spans="1:13" ht="12.75" customHeight="1">
      <c r="A55" s="52">
        <v>43230</v>
      </c>
      <c r="B55" s="230" t="s">
        <v>1670</v>
      </c>
      <c r="C55" s="231" t="s">
        <v>1829</v>
      </c>
      <c r="D55" s="231" t="s">
        <v>186</v>
      </c>
      <c r="E55" s="231" t="s">
        <v>1673</v>
      </c>
      <c r="F55" s="226">
        <v>0.81666666666666665</v>
      </c>
      <c r="G55" s="227" t="s">
        <v>14</v>
      </c>
      <c r="H55" s="227"/>
      <c r="I55" s="227"/>
      <c r="J55" s="221" t="str">
        <f>HYPERLINK("https://yadi.sk/i/ZdMtegK03Vhzkb","https://yadi.sk/i/ZdMtegK03Vhzkb")</f>
        <v>https://yadi.sk/i/ZdMtegK03Vhzkb</v>
      </c>
      <c r="K55" s="246" t="s">
        <v>1674</v>
      </c>
      <c r="L55" s="104" t="s">
        <v>1831</v>
      </c>
      <c r="M55" s="111">
        <v>89537411329</v>
      </c>
    </row>
    <row r="56" spans="1:13" ht="12.75" customHeight="1">
      <c r="A56" s="52">
        <v>43230</v>
      </c>
      <c r="B56" s="230" t="s">
        <v>1670</v>
      </c>
      <c r="C56" s="231" t="s">
        <v>1830</v>
      </c>
      <c r="D56" s="231" t="s">
        <v>186</v>
      </c>
      <c r="E56" s="231" t="s">
        <v>1675</v>
      </c>
      <c r="F56" s="226">
        <v>0.85763888888888884</v>
      </c>
      <c r="G56" s="227" t="s">
        <v>71</v>
      </c>
      <c r="H56" s="227" t="s">
        <v>71</v>
      </c>
      <c r="I56" s="227" t="s">
        <v>71</v>
      </c>
      <c r="J56" s="221" t="str">
        <f>HYPERLINK("https://yadi.sk/d/TpywBHAT3Vi2FK","https://yadi.sk/d/TpywBHAT3Vi2FK")</f>
        <v>https://yadi.sk/d/TpywBHAT3Vi2FK</v>
      </c>
      <c r="K56" s="246"/>
      <c r="L56" s="104" t="s">
        <v>65</v>
      </c>
      <c r="M56" s="111">
        <v>89997648473</v>
      </c>
    </row>
    <row r="57" spans="1:13" ht="12.75" customHeight="1">
      <c r="A57" s="52">
        <v>43230</v>
      </c>
      <c r="B57" s="230" t="s">
        <v>1670</v>
      </c>
      <c r="C57" s="231" t="s">
        <v>1591</v>
      </c>
      <c r="D57" s="231" t="s">
        <v>186</v>
      </c>
      <c r="E57" s="231" t="s">
        <v>1676</v>
      </c>
      <c r="F57" s="226">
        <v>0.8618055555555556</v>
      </c>
      <c r="G57" s="227" t="s">
        <v>14</v>
      </c>
      <c r="H57" s="227"/>
      <c r="I57" s="227"/>
      <c r="J57" s="221" t="str">
        <f>HYPERLINK("https://yadi.sk/i/M4yMXltz3Vi2D3","https://yadi.sk/i/M4yMXltz3Vi2D3")</f>
        <v>https://yadi.sk/i/M4yMXltz3Vi2D3</v>
      </c>
      <c r="K57" s="246" t="s">
        <v>1677</v>
      </c>
      <c r="L57" s="104" t="s">
        <v>797</v>
      </c>
      <c r="M57" s="111">
        <v>89206346464</v>
      </c>
    </row>
    <row r="58" spans="1:13" ht="12.75" customHeight="1">
      <c r="A58" s="52">
        <v>43230</v>
      </c>
      <c r="B58" s="230" t="s">
        <v>121</v>
      </c>
      <c r="C58" s="231" t="s">
        <v>476</v>
      </c>
      <c r="D58" s="231" t="s">
        <v>857</v>
      </c>
      <c r="E58" s="231" t="s">
        <v>1678</v>
      </c>
      <c r="F58" s="226">
        <v>0.78472222222222221</v>
      </c>
      <c r="G58" s="227" t="s">
        <v>71</v>
      </c>
      <c r="H58" s="227" t="s">
        <v>71</v>
      </c>
      <c r="I58" s="227" t="s">
        <v>71</v>
      </c>
      <c r="J58" s="221" t="str">
        <f>HYPERLINK("https://yadi.sk/d/c6XCbDyD3Vi2pQ","https://yadi.sk/d/c6XCbDyD3Vi2pQ")</f>
        <v>https://yadi.sk/d/c6XCbDyD3Vi2pQ</v>
      </c>
      <c r="K58" s="246"/>
      <c r="L58" s="111" t="s">
        <v>1044</v>
      </c>
      <c r="M58" s="111">
        <v>89005844050</v>
      </c>
    </row>
    <row r="59" spans="1:13" ht="12.75" customHeight="1">
      <c r="A59" s="52">
        <v>43230</v>
      </c>
      <c r="B59" s="230" t="s">
        <v>121</v>
      </c>
      <c r="C59" s="231" t="s">
        <v>1042</v>
      </c>
      <c r="D59" s="231" t="s">
        <v>1435</v>
      </c>
      <c r="E59" s="231" t="s">
        <v>1679</v>
      </c>
      <c r="F59" s="226">
        <v>0.8125</v>
      </c>
      <c r="G59" s="227" t="s">
        <v>71</v>
      </c>
      <c r="H59" s="227" t="s">
        <v>14</v>
      </c>
      <c r="I59" s="227" t="s">
        <v>71</v>
      </c>
      <c r="J59" s="221" t="str">
        <f>HYPERLINK("https://yadi.sk/d/Dw9Zjp6_3Vi2r2","https://yadi.sk/d/Dw9Zjp6_3Vi2r2")</f>
        <v>https://yadi.sk/d/Dw9Zjp6_3Vi2r2</v>
      </c>
      <c r="K59" s="246"/>
      <c r="L59" s="111" t="s">
        <v>1044</v>
      </c>
      <c r="M59" s="111">
        <v>89005844050</v>
      </c>
    </row>
    <row r="60" spans="1:13" ht="12.75" customHeight="1">
      <c r="A60" s="52">
        <v>43230</v>
      </c>
      <c r="B60" s="230" t="s">
        <v>24</v>
      </c>
      <c r="C60" s="231" t="s">
        <v>847</v>
      </c>
      <c r="D60" s="231" t="s">
        <v>1303</v>
      </c>
      <c r="E60" s="231" t="s">
        <v>1680</v>
      </c>
      <c r="F60" s="226">
        <v>0.80486111111111114</v>
      </c>
      <c r="G60" s="227" t="s">
        <v>71</v>
      </c>
      <c r="H60" s="227" t="s">
        <v>71</v>
      </c>
      <c r="I60" s="227" t="s">
        <v>71</v>
      </c>
      <c r="J60" s="221" t="str">
        <f>HYPERLINK("https://yadi.sk/d/Hv2Kh7jT3Vi3fU","https://yadi.sk/d/Hv2Kh7jT3Vi3fU")</f>
        <v>https://yadi.sk/d/Hv2Kh7jT3Vi3fU</v>
      </c>
      <c r="K60" s="246" t="s">
        <v>1681</v>
      </c>
      <c r="L60" s="104" t="s">
        <v>1011</v>
      </c>
      <c r="M60" s="111">
        <v>89103188508</v>
      </c>
    </row>
    <row r="61" spans="1:13" ht="12.75" customHeight="1">
      <c r="A61" s="52">
        <v>43230</v>
      </c>
      <c r="B61" s="230" t="s">
        <v>24</v>
      </c>
      <c r="C61" s="231" t="s">
        <v>1601</v>
      </c>
      <c r="D61" s="231" t="s">
        <v>1303</v>
      </c>
      <c r="E61" s="231" t="s">
        <v>1682</v>
      </c>
      <c r="F61" s="226">
        <v>0.83333333333333337</v>
      </c>
      <c r="G61" s="227" t="s">
        <v>71</v>
      </c>
      <c r="H61" s="227" t="s">
        <v>71</v>
      </c>
      <c r="I61" s="227" t="s">
        <v>71</v>
      </c>
      <c r="J61" s="221" t="str">
        <f>HYPERLINK("https://yadi.sk/d/g5FVgUmV3Vi3rR","https://yadi.sk/d/g5FVgUmV3Vi3rR")</f>
        <v>https://yadi.sk/d/g5FVgUmV3Vi3rR</v>
      </c>
      <c r="K61" s="246" t="s">
        <v>1683</v>
      </c>
      <c r="L61" s="104" t="s">
        <v>1602</v>
      </c>
      <c r="M61" s="111">
        <v>89081211555</v>
      </c>
    </row>
    <row r="62" spans="1:13" ht="12.75" customHeight="1">
      <c r="A62" s="52">
        <v>43230</v>
      </c>
      <c r="B62" s="230" t="s">
        <v>24</v>
      </c>
      <c r="C62" s="231" t="s">
        <v>1814</v>
      </c>
      <c r="D62" s="231" t="s">
        <v>1684</v>
      </c>
      <c r="E62" s="231" t="s">
        <v>1685</v>
      </c>
      <c r="F62" s="226">
        <v>0.85416666666666663</v>
      </c>
      <c r="G62" s="227" t="s">
        <v>71</v>
      </c>
      <c r="H62" s="227" t="s">
        <v>71</v>
      </c>
      <c r="I62" s="227" t="s">
        <v>71</v>
      </c>
      <c r="J62" s="221" t="str">
        <f>HYPERLINK("https://yadi.sk/d/uktaQ0lx3Vi45u","https://yadi.sk/d/uktaQ0lx3Vi45u")</f>
        <v>https://yadi.sk/d/uktaQ0lx3Vi45u</v>
      </c>
      <c r="K62" s="246"/>
      <c r="L62" s="104" t="s">
        <v>1011</v>
      </c>
      <c r="M62" s="111">
        <v>89103188508</v>
      </c>
    </row>
    <row r="63" spans="1:13" ht="12.75" customHeight="1">
      <c r="A63" s="52">
        <v>43230</v>
      </c>
      <c r="B63" s="230" t="s">
        <v>97</v>
      </c>
      <c r="C63" s="231" t="s">
        <v>1003</v>
      </c>
      <c r="D63" s="231" t="s">
        <v>119</v>
      </c>
      <c r="E63" s="231" t="s">
        <v>1686</v>
      </c>
      <c r="F63" s="226">
        <v>0.77569444444444446</v>
      </c>
      <c r="G63" s="227" t="s">
        <v>71</v>
      </c>
      <c r="H63" s="227" t="s">
        <v>71</v>
      </c>
      <c r="I63" s="227" t="s">
        <v>71</v>
      </c>
      <c r="J63" s="221" t="s">
        <v>1687</v>
      </c>
      <c r="K63" s="246"/>
      <c r="L63" s="104" t="s">
        <v>142</v>
      </c>
      <c r="M63" s="104" t="s">
        <v>143</v>
      </c>
    </row>
    <row r="64" spans="1:13" ht="12.75" customHeight="1">
      <c r="A64" s="52">
        <v>43230</v>
      </c>
      <c r="B64" s="230" t="s">
        <v>97</v>
      </c>
      <c r="C64" s="231" t="s">
        <v>579</v>
      </c>
      <c r="D64" s="231" t="s">
        <v>119</v>
      </c>
      <c r="E64" s="231" t="s">
        <v>1098</v>
      </c>
      <c r="F64" s="226">
        <v>0.77916666666666667</v>
      </c>
      <c r="G64" s="227" t="s">
        <v>71</v>
      </c>
      <c r="H64" s="227" t="s">
        <v>71</v>
      </c>
      <c r="I64" s="227" t="s">
        <v>71</v>
      </c>
      <c r="J64" s="221" t="s">
        <v>1688</v>
      </c>
      <c r="K64" s="246"/>
      <c r="L64" s="104" t="s">
        <v>142</v>
      </c>
      <c r="M64" s="104" t="s">
        <v>143</v>
      </c>
    </row>
    <row r="65" spans="1:13" ht="12.75" customHeight="1">
      <c r="A65" s="52">
        <v>43230</v>
      </c>
      <c r="B65" s="230" t="s">
        <v>97</v>
      </c>
      <c r="C65" s="231" t="s">
        <v>581</v>
      </c>
      <c r="D65" s="231" t="s">
        <v>119</v>
      </c>
      <c r="E65" s="231" t="s">
        <v>1689</v>
      </c>
      <c r="F65" s="226">
        <v>0.78055555555555556</v>
      </c>
      <c r="G65" s="227" t="s">
        <v>71</v>
      </c>
      <c r="H65" s="227" t="s">
        <v>71</v>
      </c>
      <c r="I65" s="227" t="s">
        <v>71</v>
      </c>
      <c r="J65" s="221" t="s">
        <v>1690</v>
      </c>
      <c r="K65" s="246"/>
      <c r="L65" s="104" t="s">
        <v>142</v>
      </c>
      <c r="M65" s="104" t="s">
        <v>143</v>
      </c>
    </row>
    <row r="66" spans="1:13" ht="12.75" customHeight="1">
      <c r="A66" s="52">
        <v>43230</v>
      </c>
      <c r="B66" s="230" t="s">
        <v>97</v>
      </c>
      <c r="C66" s="231" t="s">
        <v>1842</v>
      </c>
      <c r="D66" s="231" t="s">
        <v>119</v>
      </c>
      <c r="E66" s="231" t="s">
        <v>1691</v>
      </c>
      <c r="F66" s="226">
        <v>0.79513888888888884</v>
      </c>
      <c r="G66" s="227" t="s">
        <v>71</v>
      </c>
      <c r="H66" s="227" t="s">
        <v>71</v>
      </c>
      <c r="I66" s="227" t="s">
        <v>71</v>
      </c>
      <c r="J66" s="221" t="s">
        <v>1692</v>
      </c>
      <c r="K66" s="246"/>
      <c r="L66" s="104" t="s">
        <v>1843</v>
      </c>
      <c r="M66" s="104" t="s">
        <v>143</v>
      </c>
    </row>
    <row r="67" spans="1:13" ht="12.75" customHeight="1">
      <c r="A67" s="49">
        <v>43231</v>
      </c>
      <c r="B67" s="236" t="s">
        <v>927</v>
      </c>
      <c r="C67" s="93" t="s">
        <v>1606</v>
      </c>
      <c r="D67" s="73" t="s">
        <v>1512</v>
      </c>
      <c r="E67" s="73" t="s">
        <v>1693</v>
      </c>
      <c r="F67" s="75">
        <v>0.79166666666666663</v>
      </c>
      <c r="G67" s="76" t="s">
        <v>71</v>
      </c>
      <c r="H67" s="76" t="s">
        <v>71</v>
      </c>
      <c r="I67" s="76" t="s">
        <v>71</v>
      </c>
      <c r="J67" s="71" t="str">
        <f>HYPERLINK("https://yadi.sk/i/mg_440Jc3VjYj5","https://yadi.sk/i/mg_440Jc3VjYj5")</f>
        <v>https://yadi.sk/i/mg_440Jc3VjYj5</v>
      </c>
      <c r="K67" s="82" t="s">
        <v>1694</v>
      </c>
      <c r="L67" s="104" t="s">
        <v>1293</v>
      </c>
      <c r="M67" s="104" t="s">
        <v>434</v>
      </c>
    </row>
    <row r="68" spans="1:13" ht="12.75" customHeight="1">
      <c r="A68" s="49">
        <v>43231</v>
      </c>
      <c r="B68" s="205" t="s">
        <v>310</v>
      </c>
      <c r="C68" s="171" t="s">
        <v>482</v>
      </c>
      <c r="D68" s="74" t="s">
        <v>885</v>
      </c>
      <c r="E68" s="74" t="s">
        <v>1695</v>
      </c>
      <c r="F68" s="77">
        <v>0.77222222222222225</v>
      </c>
      <c r="G68" s="78" t="s">
        <v>71</v>
      </c>
      <c r="H68" s="78" t="s">
        <v>71</v>
      </c>
      <c r="I68" s="78" t="s">
        <v>71</v>
      </c>
      <c r="J68" s="72" t="str">
        <f>HYPERLINK("https://yadi.sk/d/IbZi8l2j3VjaSP","https://yadi.sk/d/IbZi8l2j3VjaSP")</f>
        <v>https://yadi.sk/d/IbZi8l2j3VjaSP</v>
      </c>
      <c r="K68" s="81"/>
      <c r="L68" s="104" t="s">
        <v>341</v>
      </c>
      <c r="M68" s="104" t="s">
        <v>342</v>
      </c>
    </row>
    <row r="69" spans="1:13" ht="12.75" customHeight="1">
      <c r="A69" s="49">
        <v>43231</v>
      </c>
      <c r="B69" s="205" t="s">
        <v>310</v>
      </c>
      <c r="C69" s="74" t="s">
        <v>481</v>
      </c>
      <c r="D69" s="74" t="s">
        <v>885</v>
      </c>
      <c r="E69" s="74" t="s">
        <v>1696</v>
      </c>
      <c r="F69" s="77">
        <v>0.77569444444444446</v>
      </c>
      <c r="G69" s="78" t="s">
        <v>71</v>
      </c>
      <c r="H69" s="78" t="s">
        <v>71</v>
      </c>
      <c r="I69" s="78" t="s">
        <v>71</v>
      </c>
      <c r="J69" s="72" t="str">
        <f>HYPERLINK("https://yadi.sk/d/sOzmavZ93Vja5G","https://yadi.sk/d/sOzmavZ93Vja5G")</f>
        <v>https://yadi.sk/d/sOzmavZ93Vja5G</v>
      </c>
      <c r="K69" s="81"/>
      <c r="L69" s="104" t="s">
        <v>341</v>
      </c>
      <c r="M69" s="104" t="s">
        <v>342</v>
      </c>
    </row>
    <row r="70" spans="1:13" ht="12.75" customHeight="1">
      <c r="A70" s="49">
        <v>43231</v>
      </c>
      <c r="B70" s="205" t="s">
        <v>310</v>
      </c>
      <c r="C70" s="74" t="s">
        <v>1007</v>
      </c>
      <c r="D70" s="74" t="s">
        <v>885</v>
      </c>
      <c r="E70" s="74" t="s">
        <v>1697</v>
      </c>
      <c r="F70" s="77">
        <v>0.78263888888888888</v>
      </c>
      <c r="G70" s="78" t="s">
        <v>71</v>
      </c>
      <c r="H70" s="78" t="s">
        <v>71</v>
      </c>
      <c r="I70" s="78" t="s">
        <v>71</v>
      </c>
      <c r="J70" s="72" t="str">
        <f>HYPERLINK("https://yadi.sk/d/StNW2GgQ3VjaF8","https://yadi.sk/d/StNW2GgQ3VjaF8")</f>
        <v>https://yadi.sk/d/StNW2GgQ3VjaF8</v>
      </c>
      <c r="K70" s="81"/>
      <c r="L70" s="104" t="s">
        <v>341</v>
      </c>
      <c r="M70" s="104" t="s">
        <v>342</v>
      </c>
    </row>
    <row r="71" spans="1:13" ht="12.75" customHeight="1">
      <c r="A71" s="49">
        <v>43231</v>
      </c>
      <c r="B71" s="205" t="s">
        <v>310</v>
      </c>
      <c r="C71" s="74" t="s">
        <v>1598</v>
      </c>
      <c r="D71" s="74" t="s">
        <v>885</v>
      </c>
      <c r="E71" s="74" t="s">
        <v>1698</v>
      </c>
      <c r="F71" s="77">
        <v>0.79236111111111107</v>
      </c>
      <c r="G71" s="78" t="s">
        <v>71</v>
      </c>
      <c r="H71" s="78" t="s">
        <v>14</v>
      </c>
      <c r="I71" s="78" t="s">
        <v>71</v>
      </c>
      <c r="J71" s="72" t="str">
        <f>HYPERLINK("https://yadi.sk/d/OnguzH-m3VjaMo","https://yadi.sk/d/OnguzH-m3VjaMo")</f>
        <v>https://yadi.sk/d/OnguzH-m3VjaMo</v>
      </c>
      <c r="K71" s="81"/>
      <c r="L71" s="104" t="s">
        <v>341</v>
      </c>
      <c r="M71" s="104" t="s">
        <v>342</v>
      </c>
    </row>
    <row r="72" spans="1:13" ht="12.75" customHeight="1">
      <c r="A72" s="49">
        <v>43231</v>
      </c>
      <c r="B72" s="205" t="s">
        <v>189</v>
      </c>
      <c r="C72" s="74" t="s">
        <v>1294</v>
      </c>
      <c r="D72" s="74" t="s">
        <v>1699</v>
      </c>
      <c r="E72" s="74" t="s">
        <v>1700</v>
      </c>
      <c r="F72" s="77">
        <v>0.41875000000000001</v>
      </c>
      <c r="G72" s="78" t="s">
        <v>71</v>
      </c>
      <c r="H72" s="78" t="s">
        <v>71</v>
      </c>
      <c r="I72" s="78" t="s">
        <v>71</v>
      </c>
      <c r="J72" s="72" t="str">
        <f>HYPERLINK("https://yadi.sk/d/PQxp3qN03VjWpA","https://yadi.sk/d/PQxp3qN03VjWpA")</f>
        <v>https://yadi.sk/d/PQxp3qN03VjWpA</v>
      </c>
      <c r="K72" s="81"/>
      <c r="L72" s="104" t="s">
        <v>251</v>
      </c>
      <c r="M72" s="104" t="s">
        <v>669</v>
      </c>
    </row>
    <row r="73" spans="1:13" ht="12.75" customHeight="1">
      <c r="A73" s="49">
        <v>43231</v>
      </c>
      <c r="B73" s="205" t="s">
        <v>189</v>
      </c>
      <c r="C73" s="74" t="s">
        <v>563</v>
      </c>
      <c r="D73" s="74" t="s">
        <v>1699</v>
      </c>
      <c r="E73" s="74" t="s">
        <v>1065</v>
      </c>
      <c r="F73" s="77">
        <v>0.84305555555555556</v>
      </c>
      <c r="G73" s="78" t="s">
        <v>71</v>
      </c>
      <c r="H73" s="78" t="s">
        <v>71</v>
      </c>
      <c r="I73" s="78" t="s">
        <v>71</v>
      </c>
      <c r="J73" s="72" t="str">
        <f>HYPERLINK("https://yadi.sk/d/zfKhxjEo3VjXVY","https://yadi.sk/d/zfKhxjEo3VjXVY")</f>
        <v>https://yadi.sk/d/zfKhxjEo3VjXVY</v>
      </c>
      <c r="K73" s="81"/>
      <c r="L73" s="104" t="s">
        <v>466</v>
      </c>
      <c r="M73" s="111">
        <v>89204191919</v>
      </c>
    </row>
    <row r="74" spans="1:13" ht="12.75" customHeight="1">
      <c r="A74" s="49">
        <v>43231</v>
      </c>
      <c r="B74" s="205" t="s">
        <v>189</v>
      </c>
      <c r="C74" s="74" t="s">
        <v>1810</v>
      </c>
      <c r="D74" s="74" t="s">
        <v>1699</v>
      </c>
      <c r="E74" s="74" t="s">
        <v>1065</v>
      </c>
      <c r="F74" s="77">
        <v>0.84722222222222221</v>
      </c>
      <c r="G74" s="78" t="s">
        <v>71</v>
      </c>
      <c r="H74" s="78" t="s">
        <v>14</v>
      </c>
      <c r="I74" s="78" t="s">
        <v>71</v>
      </c>
      <c r="J74" s="72" t="str">
        <f>HYPERLINK("https://yadi.sk/d/HF3P5D5b3VjYMw","https://yadi.sk/d/HF3P5D5b3VjYMw")</f>
        <v>https://yadi.sk/d/HF3P5D5b3VjYMw</v>
      </c>
      <c r="K74" s="81"/>
      <c r="L74" s="104" t="s">
        <v>1242</v>
      </c>
      <c r="M74" s="104" t="s">
        <v>565</v>
      </c>
    </row>
    <row r="75" spans="1:13" ht="12.75" customHeight="1">
      <c r="A75" s="49">
        <v>43231</v>
      </c>
      <c r="B75" s="205" t="s">
        <v>189</v>
      </c>
      <c r="C75" s="74" t="s">
        <v>668</v>
      </c>
      <c r="D75" s="74" t="s">
        <v>1699</v>
      </c>
      <c r="E75" s="74" t="s">
        <v>1065</v>
      </c>
      <c r="F75" s="77">
        <v>0.85069444444444442</v>
      </c>
      <c r="G75" s="78" t="s">
        <v>71</v>
      </c>
      <c r="H75" s="78" t="s">
        <v>14</v>
      </c>
      <c r="I75" s="78" t="s">
        <v>71</v>
      </c>
      <c r="J75" s="72" t="str">
        <f>HYPERLINK("https://yadi.sk/d/hg0gPx_83VjYS6","https://yadi.sk/d/hg0gPx_83VjYS6")</f>
        <v>https://yadi.sk/d/hg0gPx_83VjYS6</v>
      </c>
      <c r="K75" s="81"/>
      <c r="L75" s="111" t="s">
        <v>800</v>
      </c>
      <c r="M75" s="111">
        <v>89204228666</v>
      </c>
    </row>
    <row r="76" spans="1:13" ht="12.75" customHeight="1">
      <c r="A76" s="52">
        <v>43233</v>
      </c>
      <c r="B76" s="205" t="s">
        <v>174</v>
      </c>
      <c r="C76" s="74" t="s">
        <v>1835</v>
      </c>
      <c r="D76" s="74" t="s">
        <v>1701</v>
      </c>
      <c r="E76" s="74" t="s">
        <v>1702</v>
      </c>
      <c r="F76" s="77">
        <v>0.53888888888888886</v>
      </c>
      <c r="G76" s="78" t="s">
        <v>14</v>
      </c>
      <c r="H76" s="78"/>
      <c r="I76" s="78"/>
      <c r="J76" s="72" t="str">
        <f>HYPERLINK("https://yadi.sk/d/YkQs-gb93Vs5UL","https://yadi.sk/d/YkQs-gb93Vs5UL")</f>
        <v>https://yadi.sk/d/YkQs-gb93Vs5UL</v>
      </c>
      <c r="K76" s="81" t="s">
        <v>1703</v>
      </c>
      <c r="L76" s="111" t="s">
        <v>236</v>
      </c>
      <c r="M76" s="111" t="s">
        <v>237</v>
      </c>
    </row>
    <row r="77" spans="1:13" ht="12.75" customHeight="1">
      <c r="A77" s="52">
        <v>43233</v>
      </c>
      <c r="B77" s="205" t="s">
        <v>174</v>
      </c>
      <c r="C77" s="74" t="s">
        <v>1836</v>
      </c>
      <c r="D77" s="74" t="s">
        <v>1701</v>
      </c>
      <c r="E77" s="94" t="s">
        <v>1702</v>
      </c>
      <c r="F77" s="77">
        <v>0.54027777777777775</v>
      </c>
      <c r="G77" s="78" t="s">
        <v>14</v>
      </c>
      <c r="H77" s="78"/>
      <c r="I77" s="78"/>
      <c r="J77" s="72" t="str">
        <f>HYPERLINK("https://yadi.sk/d/b57FVS8Z3Vs68Z","https://yadi.sk/d/b57FVS8Z3Vs68Z")</f>
        <v>https://yadi.sk/d/b57FVS8Z3Vs68Z</v>
      </c>
      <c r="K77" s="81" t="s">
        <v>1704</v>
      </c>
      <c r="L77" s="111" t="s">
        <v>236</v>
      </c>
      <c r="M77" s="111" t="s">
        <v>237</v>
      </c>
    </row>
    <row r="78" spans="1:13" ht="12.75" customHeight="1">
      <c r="A78" s="52">
        <v>43233</v>
      </c>
      <c r="B78" s="205" t="s">
        <v>174</v>
      </c>
      <c r="C78" s="205" t="s">
        <v>1471</v>
      </c>
      <c r="D78" s="74" t="s">
        <v>1351</v>
      </c>
      <c r="E78" s="237" t="s">
        <v>1705</v>
      </c>
      <c r="F78" s="77">
        <v>0.68541666666666667</v>
      </c>
      <c r="G78" s="78" t="s">
        <v>71</v>
      </c>
      <c r="H78" s="78" t="s">
        <v>71</v>
      </c>
      <c r="I78" s="78" t="s">
        <v>71</v>
      </c>
      <c r="J78" s="72" t="str">
        <f>HYPERLINK("https://yadi.sk/d/ZMq_abun3Vs6Z6","https://yadi.sk/d/ZMq_abun3Vs6Z6")</f>
        <v>https://yadi.sk/d/ZMq_abun3Vs6Z6</v>
      </c>
      <c r="K78" s="81"/>
      <c r="L78" s="111" t="s">
        <v>796</v>
      </c>
      <c r="M78" s="111">
        <v>89585696061</v>
      </c>
    </row>
    <row r="79" spans="1:13" ht="12.75" customHeight="1">
      <c r="A79" s="52">
        <v>43233</v>
      </c>
      <c r="B79" s="205" t="s">
        <v>174</v>
      </c>
      <c r="C79" s="74" t="s">
        <v>1837</v>
      </c>
      <c r="D79" s="74" t="s">
        <v>1351</v>
      </c>
      <c r="E79" s="74" t="s">
        <v>1706</v>
      </c>
      <c r="F79" s="77">
        <v>0.70625000000000004</v>
      </c>
      <c r="G79" s="78" t="s">
        <v>14</v>
      </c>
      <c r="H79" s="78"/>
      <c r="I79" s="78"/>
      <c r="J79" s="72" t="str">
        <f>HYPERLINK("https://yadi.sk/i/t7Z8fQpu3Vs6jh","https://yadi.sk/i/t7Z8fQpu3Vs6jh")</f>
        <v>https://yadi.sk/i/t7Z8fQpu3Vs6jh</v>
      </c>
      <c r="K79" s="81" t="s">
        <v>1707</v>
      </c>
      <c r="L79" s="111" t="s">
        <v>796</v>
      </c>
      <c r="M79" s="111">
        <v>89585696061</v>
      </c>
    </row>
    <row r="80" spans="1:13" ht="12.75" customHeight="1">
      <c r="A80" s="52">
        <v>43233</v>
      </c>
      <c r="B80" s="205" t="s">
        <v>393</v>
      </c>
      <c r="C80" s="74" t="s">
        <v>1623</v>
      </c>
      <c r="D80" s="74" t="s">
        <v>186</v>
      </c>
      <c r="E80" s="74" t="s">
        <v>1708</v>
      </c>
      <c r="F80" s="77">
        <v>0.8125</v>
      </c>
      <c r="G80" s="78" t="s">
        <v>71</v>
      </c>
      <c r="H80" s="78" t="s">
        <v>71</v>
      </c>
      <c r="I80" s="78" t="s">
        <v>71</v>
      </c>
      <c r="J80" s="72" t="s">
        <v>1709</v>
      </c>
      <c r="K80" s="81"/>
      <c r="L80" s="104" t="s">
        <v>1015</v>
      </c>
      <c r="M80" s="104" t="s">
        <v>1016</v>
      </c>
    </row>
    <row r="81" spans="1:13" ht="12.75" customHeight="1">
      <c r="A81" s="52">
        <v>43233</v>
      </c>
      <c r="B81" s="205" t="s">
        <v>393</v>
      </c>
      <c r="C81" s="74" t="s">
        <v>1815</v>
      </c>
      <c r="D81" s="74" t="s">
        <v>186</v>
      </c>
      <c r="E81" s="74" t="s">
        <v>1710</v>
      </c>
      <c r="F81" s="77">
        <v>0.81458333333333333</v>
      </c>
      <c r="G81" s="78" t="s">
        <v>71</v>
      </c>
      <c r="H81" s="78" t="s">
        <v>71</v>
      </c>
      <c r="I81" s="78" t="s">
        <v>71</v>
      </c>
      <c r="J81" s="72" t="s">
        <v>1711</v>
      </c>
      <c r="K81" s="81"/>
      <c r="L81" s="104" t="s">
        <v>1015</v>
      </c>
      <c r="M81" s="104" t="s">
        <v>1016</v>
      </c>
    </row>
    <row r="82" spans="1:13" ht="12.75" customHeight="1">
      <c r="A82" s="52">
        <v>43233</v>
      </c>
      <c r="B82" s="205" t="s">
        <v>393</v>
      </c>
      <c r="C82" s="74" t="s">
        <v>1816</v>
      </c>
      <c r="D82" s="74" t="s">
        <v>186</v>
      </c>
      <c r="E82" s="74" t="s">
        <v>1712</v>
      </c>
      <c r="F82" s="77">
        <v>0.7944444444444444</v>
      </c>
      <c r="G82" s="78" t="s">
        <v>14</v>
      </c>
      <c r="H82" s="78"/>
      <c r="I82" s="78"/>
      <c r="J82" s="72" t="s">
        <v>1713</v>
      </c>
      <c r="K82" s="81" t="s">
        <v>1714</v>
      </c>
      <c r="L82" s="104" t="s">
        <v>1817</v>
      </c>
      <c r="M82" s="104" t="s">
        <v>1818</v>
      </c>
    </row>
    <row r="83" spans="1:13" ht="12.75" customHeight="1">
      <c r="A83" s="52">
        <v>43233</v>
      </c>
      <c r="B83" s="205" t="s">
        <v>393</v>
      </c>
      <c r="C83" s="74" t="s">
        <v>1622</v>
      </c>
      <c r="D83" s="74" t="s">
        <v>1321</v>
      </c>
      <c r="E83" s="74" t="s">
        <v>1715</v>
      </c>
      <c r="F83" s="77">
        <v>0.8256944444444444</v>
      </c>
      <c r="G83" s="78" t="s">
        <v>71</v>
      </c>
      <c r="H83" s="78" t="s">
        <v>71</v>
      </c>
      <c r="I83" s="78" t="s">
        <v>71</v>
      </c>
      <c r="J83" s="72" t="s">
        <v>1716</v>
      </c>
      <c r="K83" s="81"/>
      <c r="L83" s="104" t="s">
        <v>776</v>
      </c>
      <c r="M83" s="104" t="s">
        <v>1819</v>
      </c>
    </row>
    <row r="84" spans="1:13" ht="12.75" customHeight="1">
      <c r="A84" s="52">
        <v>43233</v>
      </c>
      <c r="B84" s="205" t="s">
        <v>203</v>
      </c>
      <c r="C84" s="74" t="s">
        <v>1850</v>
      </c>
      <c r="D84" s="74" t="s">
        <v>1717</v>
      </c>
      <c r="E84" s="74" t="s">
        <v>1718</v>
      </c>
      <c r="F84" s="77">
        <v>0.67013888888888884</v>
      </c>
      <c r="G84" s="78" t="s">
        <v>71</v>
      </c>
      <c r="H84" s="78" t="s">
        <v>71</v>
      </c>
      <c r="I84" s="78" t="s">
        <v>14</v>
      </c>
      <c r="J84" s="72" t="s">
        <v>1719</v>
      </c>
      <c r="K84" s="81"/>
      <c r="L84" s="111" t="s">
        <v>470</v>
      </c>
      <c r="M84" s="111">
        <v>89109484749</v>
      </c>
    </row>
    <row r="85" spans="1:13" ht="12.75" customHeight="1">
      <c r="A85" s="52">
        <v>43233</v>
      </c>
      <c r="B85" s="205" t="s">
        <v>203</v>
      </c>
      <c r="C85" s="74" t="s">
        <v>1851</v>
      </c>
      <c r="D85" s="74" t="s">
        <v>1720</v>
      </c>
      <c r="E85" s="74" t="s">
        <v>1721</v>
      </c>
      <c r="F85" s="77">
        <v>0.61875000000000002</v>
      </c>
      <c r="G85" s="78" t="s">
        <v>71</v>
      </c>
      <c r="H85" s="78" t="s">
        <v>14</v>
      </c>
      <c r="I85" s="78" t="s">
        <v>14</v>
      </c>
      <c r="J85" s="72" t="s">
        <v>1722</v>
      </c>
      <c r="K85" s="81"/>
      <c r="L85" s="111" t="s">
        <v>1586</v>
      </c>
      <c r="M85" s="111">
        <v>89038450071</v>
      </c>
    </row>
    <row r="86" spans="1:13" ht="12.75" customHeight="1">
      <c r="A86" s="52">
        <v>43233</v>
      </c>
      <c r="B86" s="205" t="s">
        <v>203</v>
      </c>
      <c r="C86" s="74" t="s">
        <v>1584</v>
      </c>
      <c r="D86" s="74" t="s">
        <v>1720</v>
      </c>
      <c r="E86" s="74" t="s">
        <v>1723</v>
      </c>
      <c r="F86" s="77">
        <v>0.62361111111111112</v>
      </c>
      <c r="G86" s="78" t="s">
        <v>71</v>
      </c>
      <c r="H86" s="78" t="s">
        <v>14</v>
      </c>
      <c r="I86" s="78" t="s">
        <v>71</v>
      </c>
      <c r="J86" s="72" t="s">
        <v>1724</v>
      </c>
      <c r="K86" s="81"/>
      <c r="L86" s="111" t="s">
        <v>1586</v>
      </c>
      <c r="M86" s="111">
        <v>89038450071</v>
      </c>
    </row>
    <row r="87" spans="1:13" ht="12.75" customHeight="1">
      <c r="A87" s="49">
        <v>43234</v>
      </c>
      <c r="B87" s="236" t="s">
        <v>279</v>
      </c>
      <c r="C87" s="73" t="s">
        <v>490</v>
      </c>
      <c r="D87" s="73" t="s">
        <v>186</v>
      </c>
      <c r="E87" s="73" t="s">
        <v>1725</v>
      </c>
      <c r="F87" s="75">
        <v>0.80347222222222225</v>
      </c>
      <c r="G87" s="76" t="s">
        <v>71</v>
      </c>
      <c r="H87" s="76" t="s">
        <v>14</v>
      </c>
      <c r="I87" s="76" t="s">
        <v>71</v>
      </c>
      <c r="J87" s="71" t="s">
        <v>1726</v>
      </c>
      <c r="K87" s="82"/>
      <c r="L87" s="111" t="s">
        <v>492</v>
      </c>
      <c r="M87" s="111">
        <v>89109149497</v>
      </c>
    </row>
    <row r="88" spans="1:13" ht="12.75" customHeight="1">
      <c r="A88" s="49">
        <v>43234</v>
      </c>
      <c r="B88" s="205" t="s">
        <v>279</v>
      </c>
      <c r="C88" s="74" t="s">
        <v>489</v>
      </c>
      <c r="D88" s="74" t="s">
        <v>186</v>
      </c>
      <c r="E88" s="74" t="s">
        <v>1727</v>
      </c>
      <c r="F88" s="77">
        <v>0.82013888888888886</v>
      </c>
      <c r="G88" s="78" t="s">
        <v>71</v>
      </c>
      <c r="H88" s="78" t="s">
        <v>71</v>
      </c>
      <c r="I88" s="78" t="s">
        <v>71</v>
      </c>
      <c r="J88" s="72" t="s">
        <v>1728</v>
      </c>
      <c r="K88" s="81"/>
      <c r="L88" s="111" t="s">
        <v>492</v>
      </c>
      <c r="M88" s="111">
        <v>89109149497</v>
      </c>
    </row>
    <row r="89" spans="1:13" ht="12.75" customHeight="1">
      <c r="A89" s="49">
        <v>43234</v>
      </c>
      <c r="B89" s="205" t="s">
        <v>279</v>
      </c>
      <c r="C89" s="74" t="s">
        <v>1811</v>
      </c>
      <c r="D89" s="74" t="s">
        <v>186</v>
      </c>
      <c r="E89" s="74" t="s">
        <v>1729</v>
      </c>
      <c r="F89" s="77">
        <v>0.84513888888888888</v>
      </c>
      <c r="G89" s="78" t="s">
        <v>14</v>
      </c>
      <c r="H89" s="78"/>
      <c r="I89" s="78"/>
      <c r="J89" s="72" t="s">
        <v>1730</v>
      </c>
      <c r="K89" s="81" t="s">
        <v>1731</v>
      </c>
      <c r="L89" s="111" t="s">
        <v>492</v>
      </c>
      <c r="M89" s="111">
        <v>89109149497</v>
      </c>
    </row>
    <row r="90" spans="1:13" ht="12.75" customHeight="1">
      <c r="A90" s="49">
        <v>43234</v>
      </c>
      <c r="B90" s="205" t="s">
        <v>279</v>
      </c>
      <c r="C90" s="74" t="s">
        <v>1141</v>
      </c>
      <c r="D90" s="74" t="s">
        <v>186</v>
      </c>
      <c r="E90" s="74" t="s">
        <v>1732</v>
      </c>
      <c r="F90" s="77">
        <v>0.81805555555555554</v>
      </c>
      <c r="G90" s="78" t="s">
        <v>71</v>
      </c>
      <c r="H90" s="78" t="s">
        <v>71</v>
      </c>
      <c r="I90" s="78" t="s">
        <v>71</v>
      </c>
      <c r="J90" s="72" t="s">
        <v>1733</v>
      </c>
      <c r="K90" s="81"/>
      <c r="L90" s="111" t="s">
        <v>492</v>
      </c>
      <c r="M90" s="111">
        <v>89109149497</v>
      </c>
    </row>
    <row r="91" spans="1:13" ht="12.75" customHeight="1">
      <c r="A91" s="49">
        <v>43234</v>
      </c>
      <c r="B91" s="205" t="s">
        <v>130</v>
      </c>
      <c r="C91" s="74" t="s">
        <v>1813</v>
      </c>
      <c r="D91" s="74" t="s">
        <v>116</v>
      </c>
      <c r="E91" s="74" t="s">
        <v>1734</v>
      </c>
      <c r="F91" s="77">
        <v>0.81944444444444442</v>
      </c>
      <c r="G91" s="78" t="s">
        <v>14</v>
      </c>
      <c r="H91" s="78"/>
      <c r="I91" s="78"/>
      <c r="J91" s="72" t="s">
        <v>1735</v>
      </c>
      <c r="K91" s="81" t="s">
        <v>1736</v>
      </c>
      <c r="L91" s="104" t="s">
        <v>139</v>
      </c>
      <c r="M91" s="104" t="s">
        <v>1618</v>
      </c>
    </row>
    <row r="92" spans="1:13" ht="12.75" customHeight="1">
      <c r="A92" s="49">
        <v>43234</v>
      </c>
      <c r="B92" s="205" t="s">
        <v>130</v>
      </c>
      <c r="C92" s="74" t="s">
        <v>1243</v>
      </c>
      <c r="D92" s="74" t="s">
        <v>116</v>
      </c>
      <c r="E92" s="74" t="s">
        <v>1737</v>
      </c>
      <c r="F92" s="77">
        <v>0.80694444444444446</v>
      </c>
      <c r="G92" s="78" t="s">
        <v>71</v>
      </c>
      <c r="H92" s="78" t="s">
        <v>71</v>
      </c>
      <c r="I92" s="78" t="s">
        <v>71</v>
      </c>
      <c r="J92" s="72" t="s">
        <v>1738</v>
      </c>
      <c r="K92" s="81"/>
      <c r="L92" s="104" t="s">
        <v>139</v>
      </c>
      <c r="M92" s="104" t="s">
        <v>1618</v>
      </c>
    </row>
    <row r="93" spans="1:13" ht="12.75" customHeight="1">
      <c r="A93" s="49">
        <v>43234</v>
      </c>
      <c r="B93" s="205" t="s">
        <v>130</v>
      </c>
      <c r="C93" s="74" t="s">
        <v>131</v>
      </c>
      <c r="D93" s="74" t="s">
        <v>116</v>
      </c>
      <c r="E93" s="74" t="s">
        <v>1739</v>
      </c>
      <c r="F93" s="77">
        <v>0.82916666666666672</v>
      </c>
      <c r="G93" s="78" t="s">
        <v>71</v>
      </c>
      <c r="H93" s="78" t="s">
        <v>71</v>
      </c>
      <c r="I93" s="78" t="s">
        <v>71</v>
      </c>
      <c r="J93" s="72" t="s">
        <v>1740</v>
      </c>
      <c r="K93" s="81"/>
      <c r="L93" s="104" t="s">
        <v>139</v>
      </c>
      <c r="M93" s="104" t="s">
        <v>1618</v>
      </c>
    </row>
    <row r="94" spans="1:13" ht="12.75" customHeight="1">
      <c r="A94" s="49">
        <v>43234</v>
      </c>
      <c r="B94" s="205" t="s">
        <v>130</v>
      </c>
      <c r="C94" s="74" t="s">
        <v>1004</v>
      </c>
      <c r="D94" s="74" t="s">
        <v>116</v>
      </c>
      <c r="E94" s="74" t="s">
        <v>1741</v>
      </c>
      <c r="F94" s="77">
        <v>0.83680555555555558</v>
      </c>
      <c r="G94" s="78" t="s">
        <v>71</v>
      </c>
      <c r="H94" s="78" t="s">
        <v>71</v>
      </c>
      <c r="I94" s="78" t="s">
        <v>71</v>
      </c>
      <c r="J94" s="72" t="s">
        <v>1742</v>
      </c>
      <c r="K94" s="81"/>
      <c r="L94" s="104" t="s">
        <v>139</v>
      </c>
      <c r="M94" s="104" t="s">
        <v>1618</v>
      </c>
    </row>
    <row r="95" spans="1:13" ht="12.75" customHeight="1">
      <c r="A95" s="49">
        <v>43234</v>
      </c>
      <c r="B95" s="205" t="s">
        <v>1106</v>
      </c>
      <c r="C95" s="74" t="s">
        <v>1805</v>
      </c>
      <c r="D95" s="74" t="s">
        <v>544</v>
      </c>
      <c r="E95" s="74" t="s">
        <v>1743</v>
      </c>
      <c r="F95" s="77">
        <v>0.8125</v>
      </c>
      <c r="G95" s="78" t="s">
        <v>14</v>
      </c>
      <c r="H95" s="78"/>
      <c r="I95" s="78"/>
      <c r="J95" s="72" t="s">
        <v>1744</v>
      </c>
      <c r="K95" s="81" t="s">
        <v>1745</v>
      </c>
      <c r="L95" s="111" t="s">
        <v>488</v>
      </c>
      <c r="M95" s="111">
        <v>89803020082</v>
      </c>
    </row>
    <row r="96" spans="1:13" ht="12.75" customHeight="1">
      <c r="A96" s="49">
        <v>43234</v>
      </c>
      <c r="B96" s="205" t="s">
        <v>1106</v>
      </c>
      <c r="C96" s="74" t="s">
        <v>1587</v>
      </c>
      <c r="D96" s="74" t="s">
        <v>544</v>
      </c>
      <c r="E96" s="74" t="s">
        <v>1746</v>
      </c>
      <c r="F96" s="77">
        <v>0.8041666666666667</v>
      </c>
      <c r="G96" s="78" t="s">
        <v>71</v>
      </c>
      <c r="H96" s="78" t="s">
        <v>71</v>
      </c>
      <c r="I96" s="78" t="s">
        <v>71</v>
      </c>
      <c r="J96" s="72" t="s">
        <v>1747</v>
      </c>
      <c r="K96" s="81"/>
      <c r="L96" s="111" t="s">
        <v>488</v>
      </c>
      <c r="M96" s="111">
        <v>89803020082</v>
      </c>
    </row>
    <row r="97" spans="1:13" ht="12.75" customHeight="1">
      <c r="A97" s="49">
        <v>43234</v>
      </c>
      <c r="B97" s="205" t="s">
        <v>1106</v>
      </c>
      <c r="C97" s="74" t="s">
        <v>1608</v>
      </c>
      <c r="D97" s="74" t="s">
        <v>427</v>
      </c>
      <c r="E97" s="74" t="s">
        <v>1748</v>
      </c>
      <c r="F97" s="77">
        <v>0.79583333333333328</v>
      </c>
      <c r="G97" s="78" t="s">
        <v>71</v>
      </c>
      <c r="H97" s="78" t="s">
        <v>14</v>
      </c>
      <c r="I97" s="78" t="s">
        <v>71</v>
      </c>
      <c r="J97" s="72" t="s">
        <v>1749</v>
      </c>
      <c r="K97" s="81"/>
      <c r="L97" s="111" t="s">
        <v>1250</v>
      </c>
      <c r="M97" s="111">
        <v>89191920292</v>
      </c>
    </row>
    <row r="98" spans="1:13" ht="12.75" customHeight="1">
      <c r="A98" s="49">
        <v>43234</v>
      </c>
      <c r="B98" s="205" t="s">
        <v>1106</v>
      </c>
      <c r="C98" s="74" t="s">
        <v>1806</v>
      </c>
      <c r="D98" s="74" t="s">
        <v>544</v>
      </c>
      <c r="E98" s="74" t="s">
        <v>1750</v>
      </c>
      <c r="F98" s="77">
        <v>0.79166666666666663</v>
      </c>
      <c r="G98" s="78" t="s">
        <v>71</v>
      </c>
      <c r="H98" s="78" t="s">
        <v>71</v>
      </c>
      <c r="I98" s="78" t="s">
        <v>71</v>
      </c>
      <c r="J98" s="72" t="s">
        <v>1751</v>
      </c>
      <c r="K98" s="81"/>
      <c r="L98" s="111" t="s">
        <v>1250</v>
      </c>
      <c r="M98" s="111">
        <v>89191920292</v>
      </c>
    </row>
    <row r="99" spans="1:13" ht="12.75" customHeight="1">
      <c r="A99" s="49">
        <v>43234</v>
      </c>
      <c r="B99" s="205" t="s">
        <v>1752</v>
      </c>
      <c r="C99" s="74" t="s">
        <v>1838</v>
      </c>
      <c r="D99" s="74" t="s">
        <v>1514</v>
      </c>
      <c r="E99" s="74" t="s">
        <v>1753</v>
      </c>
      <c r="F99" s="77">
        <v>0.7993055555555556</v>
      </c>
      <c r="G99" s="78" t="s">
        <v>14</v>
      </c>
      <c r="H99" s="78"/>
      <c r="I99" s="78"/>
      <c r="J99" s="72" t="s">
        <v>1754</v>
      </c>
      <c r="K99" s="81" t="s">
        <v>1755</v>
      </c>
      <c r="L99" s="104" t="s">
        <v>1840</v>
      </c>
      <c r="M99" s="104" t="s">
        <v>1841</v>
      </c>
    </row>
    <row r="100" spans="1:13" ht="12.75" customHeight="1">
      <c r="A100" s="49">
        <v>43234</v>
      </c>
      <c r="B100" s="205" t="s">
        <v>1752</v>
      </c>
      <c r="C100" s="74" t="s">
        <v>1839</v>
      </c>
      <c r="D100" s="74" t="s">
        <v>1514</v>
      </c>
      <c r="E100" s="74" t="s">
        <v>1756</v>
      </c>
      <c r="F100" s="77">
        <v>0.8208333333333333</v>
      </c>
      <c r="G100" s="78" t="s">
        <v>71</v>
      </c>
      <c r="H100" s="78" t="s">
        <v>14</v>
      </c>
      <c r="I100" s="78" t="s">
        <v>71</v>
      </c>
      <c r="J100" s="72" t="s">
        <v>1757</v>
      </c>
      <c r="K100" s="81" t="s">
        <v>1758</v>
      </c>
      <c r="L100" s="104" t="s">
        <v>1840</v>
      </c>
      <c r="M100" s="104" t="s">
        <v>1841</v>
      </c>
    </row>
    <row r="101" spans="1:13" ht="12.75" customHeight="1">
      <c r="A101" s="49">
        <v>43234</v>
      </c>
      <c r="B101" s="205" t="s">
        <v>161</v>
      </c>
      <c r="C101" s="205" t="s">
        <v>1627</v>
      </c>
      <c r="D101" s="74" t="s">
        <v>1666</v>
      </c>
      <c r="E101" s="237" t="s">
        <v>1759</v>
      </c>
      <c r="F101" s="77">
        <v>0.76388888888888884</v>
      </c>
      <c r="G101" s="78" t="s">
        <v>71</v>
      </c>
      <c r="H101" s="78" t="s">
        <v>71</v>
      </c>
      <c r="I101" s="78" t="s">
        <v>71</v>
      </c>
      <c r="J101" s="72" t="str">
        <f>HYPERLINK("https://yadi.sk/d/2gNSqGmr3VvhYH","https://yadi.sk/d/2gNSqGmr3VvhYH")</f>
        <v>https://yadi.sk/d/2gNSqGmr3VvhYH</v>
      </c>
      <c r="K101" s="80"/>
      <c r="L101" s="104" t="s">
        <v>570</v>
      </c>
      <c r="M101" s="111">
        <v>89534771666</v>
      </c>
    </row>
    <row r="102" spans="1:13" ht="12.75" customHeight="1">
      <c r="A102" s="49">
        <v>43234</v>
      </c>
      <c r="B102" s="205" t="s">
        <v>161</v>
      </c>
      <c r="C102" s="74" t="s">
        <v>1001</v>
      </c>
      <c r="D102" s="74" t="s">
        <v>1122</v>
      </c>
      <c r="E102" s="94" t="s">
        <v>1760</v>
      </c>
      <c r="F102" s="77">
        <v>0.78194444444444444</v>
      </c>
      <c r="G102" s="78" t="s">
        <v>71</v>
      </c>
      <c r="H102" s="78" t="s">
        <v>71</v>
      </c>
      <c r="I102" s="78" t="s">
        <v>71</v>
      </c>
      <c r="J102" s="72" t="str">
        <f>HYPERLINK("https://yadi.sk/d/IpCqAihk3Vvi8p","https://yadi.sk/d/IpCqAihk3Vvi8p")</f>
        <v>https://yadi.sk/d/IpCqAihk3Vvi8p</v>
      </c>
      <c r="K102" s="80"/>
      <c r="L102" s="104" t="s">
        <v>999</v>
      </c>
      <c r="M102" s="111">
        <v>89192648797</v>
      </c>
    </row>
    <row r="103" spans="1:13" ht="12.75" customHeight="1">
      <c r="A103" s="49">
        <v>43234</v>
      </c>
      <c r="B103" s="205" t="s">
        <v>1643</v>
      </c>
      <c r="C103" s="205" t="s">
        <v>1635</v>
      </c>
      <c r="D103" s="74" t="s">
        <v>1761</v>
      </c>
      <c r="E103" s="237" t="s">
        <v>1762</v>
      </c>
      <c r="F103" s="77">
        <v>0.77083333333333337</v>
      </c>
      <c r="G103" s="78" t="s">
        <v>71</v>
      </c>
      <c r="H103" s="78" t="s">
        <v>71</v>
      </c>
      <c r="I103" s="78" t="s">
        <v>71</v>
      </c>
      <c r="J103" s="72" t="str">
        <f>HYPERLINK("https://yadi.sk/d/kViyH4173Vvie9","https://yadi.sk/d/kViyH4173Vvie9")</f>
        <v>https://yadi.sk/d/kViyH4173Vvie9</v>
      </c>
      <c r="K103" s="81"/>
      <c r="L103" s="104" t="s">
        <v>769</v>
      </c>
      <c r="M103" s="104" t="s">
        <v>770</v>
      </c>
    </row>
    <row r="104" spans="1:13" ht="12.75" customHeight="1">
      <c r="A104" s="49">
        <v>43234</v>
      </c>
      <c r="B104" s="205" t="s">
        <v>1643</v>
      </c>
      <c r="C104" s="74" t="s">
        <v>1847</v>
      </c>
      <c r="D104" s="74" t="s">
        <v>1354</v>
      </c>
      <c r="E104" s="74" t="s">
        <v>1763</v>
      </c>
      <c r="F104" s="77">
        <v>0.8125</v>
      </c>
      <c r="G104" s="78" t="s">
        <v>71</v>
      </c>
      <c r="H104" s="78" t="s">
        <v>14</v>
      </c>
      <c r="I104" s="78" t="s">
        <v>71</v>
      </c>
      <c r="J104" s="72" t="str">
        <f>HYPERLINK("https://yadi.sk/d/ITNjV9w43Vvj53","https://yadi.sk/d/ITNjV9w43Vvj53")</f>
        <v>https://yadi.sk/d/ITNjV9w43Vvj53</v>
      </c>
      <c r="K104" s="81" t="s">
        <v>1764</v>
      </c>
      <c r="L104" s="104" t="s">
        <v>1848</v>
      </c>
      <c r="M104" s="104" t="s">
        <v>1849</v>
      </c>
    </row>
    <row r="105" spans="1:13" ht="12.75" customHeight="1">
      <c r="A105" s="49">
        <v>43234</v>
      </c>
      <c r="B105" s="205" t="s">
        <v>1643</v>
      </c>
      <c r="C105" s="74" t="s">
        <v>1253</v>
      </c>
      <c r="D105" s="74" t="s">
        <v>1419</v>
      </c>
      <c r="E105" s="74" t="s">
        <v>1765</v>
      </c>
      <c r="F105" s="77">
        <v>0.82986111111111116</v>
      </c>
      <c r="G105" s="78" t="s">
        <v>14</v>
      </c>
      <c r="H105" s="78"/>
      <c r="I105" s="78"/>
      <c r="J105" s="72" t="str">
        <f>HYPERLINK("https://yadi.sk/i/8rMEnVVl3Vvjjj","https://yadi.sk/i/8rMEnVVl3Vvjjj")</f>
        <v>https://yadi.sk/i/8rMEnVVl3Vvjjj</v>
      </c>
      <c r="K105" s="81" t="s">
        <v>1766</v>
      </c>
      <c r="L105" s="104" t="s">
        <v>1254</v>
      </c>
      <c r="M105" s="104" t="s">
        <v>1255</v>
      </c>
    </row>
    <row r="106" spans="1:13" ht="12.75" customHeight="1">
      <c r="A106" s="49">
        <v>43234</v>
      </c>
      <c r="B106" s="205" t="s">
        <v>68</v>
      </c>
      <c r="C106" s="74" t="s">
        <v>1595</v>
      </c>
      <c r="D106" s="197" t="s">
        <v>427</v>
      </c>
      <c r="E106" s="74" t="s">
        <v>1799</v>
      </c>
      <c r="F106" s="77">
        <v>0.80763888888888891</v>
      </c>
      <c r="G106" s="78" t="s">
        <v>14</v>
      </c>
      <c r="H106" s="78"/>
      <c r="I106" s="78"/>
      <c r="J106" s="2" t="s">
        <v>309</v>
      </c>
      <c r="K106" s="81" t="s">
        <v>1804</v>
      </c>
      <c r="L106" s="104" t="s">
        <v>87</v>
      </c>
      <c r="M106" s="104"/>
    </row>
    <row r="107" spans="1:13" ht="12.75" customHeight="1">
      <c r="A107" s="49">
        <v>43234</v>
      </c>
      <c r="B107" s="205" t="s">
        <v>68</v>
      </c>
      <c r="C107" s="74" t="s">
        <v>91</v>
      </c>
      <c r="D107" s="197" t="s">
        <v>427</v>
      </c>
      <c r="E107" s="74" t="s">
        <v>1800</v>
      </c>
      <c r="F107" s="77">
        <v>0.82500000000000007</v>
      </c>
      <c r="G107" s="242" t="s">
        <v>71</v>
      </c>
      <c r="H107" s="242" t="s">
        <v>71</v>
      </c>
      <c r="I107" s="242" t="s">
        <v>71</v>
      </c>
      <c r="J107" s="2" t="s">
        <v>309</v>
      </c>
      <c r="K107" s="81"/>
      <c r="L107" s="104" t="s">
        <v>85</v>
      </c>
      <c r="M107" s="104"/>
    </row>
    <row r="108" spans="1:13" ht="12.75" customHeight="1">
      <c r="A108" s="49">
        <v>43234</v>
      </c>
      <c r="B108" s="205" t="s">
        <v>68</v>
      </c>
      <c r="C108" s="74" t="s">
        <v>1852</v>
      </c>
      <c r="D108" s="197" t="s">
        <v>427</v>
      </c>
      <c r="E108" s="74" t="s">
        <v>1801</v>
      </c>
      <c r="F108" s="77">
        <v>0.83263888888888893</v>
      </c>
      <c r="G108" s="242" t="s">
        <v>71</v>
      </c>
      <c r="H108" s="242" t="s">
        <v>14</v>
      </c>
      <c r="I108" s="242" t="s">
        <v>71</v>
      </c>
      <c r="J108" s="2" t="s">
        <v>309</v>
      </c>
      <c r="K108" s="81"/>
      <c r="L108" s="104" t="s">
        <v>87</v>
      </c>
      <c r="M108" s="104"/>
    </row>
    <row r="109" spans="1:13" ht="12.75" customHeight="1">
      <c r="A109" s="49">
        <v>43234</v>
      </c>
      <c r="B109" s="205" t="s">
        <v>68</v>
      </c>
      <c r="C109" s="74" t="s">
        <v>1853</v>
      </c>
      <c r="D109" s="197" t="s">
        <v>427</v>
      </c>
      <c r="E109" s="74" t="s">
        <v>1802</v>
      </c>
      <c r="F109" s="77">
        <v>0.85069444444444453</v>
      </c>
      <c r="G109" s="78" t="s">
        <v>14</v>
      </c>
      <c r="H109" s="78"/>
      <c r="I109" s="78"/>
      <c r="J109" s="2" t="s">
        <v>309</v>
      </c>
      <c r="K109" s="81" t="s">
        <v>1803</v>
      </c>
      <c r="L109" s="104" t="s">
        <v>85</v>
      </c>
      <c r="M109" s="104"/>
    </row>
    <row r="110" spans="1:13" ht="13.5" customHeight="1">
      <c r="A110" s="52">
        <v>43236</v>
      </c>
      <c r="B110" s="238" t="s">
        <v>97</v>
      </c>
      <c r="C110" s="238" t="s">
        <v>579</v>
      </c>
      <c r="D110" s="238" t="s">
        <v>119</v>
      </c>
      <c r="E110" s="238" t="s">
        <v>1767</v>
      </c>
      <c r="F110" s="241">
        <v>0.78333333333333333</v>
      </c>
      <c r="G110" s="242" t="s">
        <v>71</v>
      </c>
      <c r="H110" s="242" t="s">
        <v>71</v>
      </c>
      <c r="I110" s="242" t="s">
        <v>71</v>
      </c>
      <c r="J110" s="234" t="s">
        <v>1768</v>
      </c>
      <c r="K110" s="247"/>
      <c r="L110" s="104" t="s">
        <v>142</v>
      </c>
      <c r="M110" s="104" t="s">
        <v>143</v>
      </c>
    </row>
    <row r="111" spans="1:13" ht="13.5" customHeight="1">
      <c r="A111" s="52">
        <v>43236</v>
      </c>
      <c r="B111" s="239" t="s">
        <v>97</v>
      </c>
      <c r="C111" s="239" t="s">
        <v>156</v>
      </c>
      <c r="D111" s="239" t="s">
        <v>119</v>
      </c>
      <c r="E111" s="239" t="s">
        <v>1769</v>
      </c>
      <c r="F111" s="243">
        <v>0.78472222222222221</v>
      </c>
      <c r="G111" s="244" t="s">
        <v>71</v>
      </c>
      <c r="H111" s="244" t="s">
        <v>71</v>
      </c>
      <c r="I111" s="244" t="s">
        <v>71</v>
      </c>
      <c r="J111" s="235" t="s">
        <v>1770</v>
      </c>
      <c r="K111" s="248"/>
      <c r="L111" s="104" t="s">
        <v>142</v>
      </c>
      <c r="M111" s="104" t="s">
        <v>143</v>
      </c>
    </row>
    <row r="112" spans="1:13" ht="13.5" customHeight="1">
      <c r="A112" s="52">
        <v>43236</v>
      </c>
      <c r="B112" s="239" t="s">
        <v>97</v>
      </c>
      <c r="C112" s="239" t="s">
        <v>1630</v>
      </c>
      <c r="D112" s="239" t="s">
        <v>1046</v>
      </c>
      <c r="E112" s="239" t="s">
        <v>1771</v>
      </c>
      <c r="F112" s="243">
        <v>0.77083333333333337</v>
      </c>
      <c r="G112" s="244" t="s">
        <v>71</v>
      </c>
      <c r="H112" s="244" t="s">
        <v>71</v>
      </c>
      <c r="I112" s="244" t="s">
        <v>71</v>
      </c>
      <c r="J112" s="235" t="s">
        <v>1772</v>
      </c>
      <c r="K112" s="248"/>
      <c r="L112" s="104" t="s">
        <v>1084</v>
      </c>
      <c r="M112" s="104" t="s">
        <v>1085</v>
      </c>
    </row>
    <row r="113" spans="1:13" ht="13.5" customHeight="1">
      <c r="A113" s="52">
        <v>43236</v>
      </c>
      <c r="B113" s="239" t="s">
        <v>97</v>
      </c>
      <c r="C113" s="239" t="s">
        <v>1844</v>
      </c>
      <c r="D113" s="239" t="s">
        <v>1046</v>
      </c>
      <c r="E113" s="239" t="s">
        <v>1773</v>
      </c>
      <c r="F113" s="243">
        <v>0.75138888888888888</v>
      </c>
      <c r="G113" s="244" t="s">
        <v>71</v>
      </c>
      <c r="H113" s="244" t="s">
        <v>71</v>
      </c>
      <c r="I113" s="244" t="s">
        <v>71</v>
      </c>
      <c r="J113" s="235" t="s">
        <v>1774</v>
      </c>
      <c r="K113" s="248"/>
      <c r="L113" s="104" t="s">
        <v>1084</v>
      </c>
      <c r="M113" s="104" t="s">
        <v>1845</v>
      </c>
    </row>
    <row r="114" spans="1:13" ht="13.5" customHeight="1">
      <c r="A114" s="52">
        <v>43236</v>
      </c>
      <c r="B114" s="239" t="s">
        <v>189</v>
      </c>
      <c r="C114" s="239" t="s">
        <v>1808</v>
      </c>
      <c r="D114" s="239" t="s">
        <v>186</v>
      </c>
      <c r="E114" s="239" t="s">
        <v>1775</v>
      </c>
      <c r="F114" s="243">
        <v>0.83888888888888891</v>
      </c>
      <c r="G114" s="244" t="s">
        <v>71</v>
      </c>
      <c r="H114" s="244" t="s">
        <v>71</v>
      </c>
      <c r="I114" s="244" t="s">
        <v>71</v>
      </c>
      <c r="J114" s="235" t="s">
        <v>1776</v>
      </c>
      <c r="K114" s="248"/>
      <c r="L114" s="111" t="s">
        <v>1242</v>
      </c>
      <c r="M114" s="111" t="s">
        <v>565</v>
      </c>
    </row>
    <row r="115" spans="1:13" ht="13.5" customHeight="1">
      <c r="A115" s="52">
        <v>43236</v>
      </c>
      <c r="B115" s="239" t="s">
        <v>189</v>
      </c>
      <c r="C115" s="239" t="s">
        <v>1809</v>
      </c>
      <c r="D115" s="239" t="s">
        <v>186</v>
      </c>
      <c r="E115" s="239" t="s">
        <v>1777</v>
      </c>
      <c r="F115" s="243">
        <v>0.83680555555555558</v>
      </c>
      <c r="G115" s="244" t="s">
        <v>71</v>
      </c>
      <c r="H115" s="244" t="s">
        <v>71</v>
      </c>
      <c r="I115" s="244" t="s">
        <v>71</v>
      </c>
      <c r="J115" s="235" t="s">
        <v>1778</v>
      </c>
      <c r="K115" s="248"/>
      <c r="L115" s="111" t="s">
        <v>1242</v>
      </c>
      <c r="M115" s="111" t="s">
        <v>565</v>
      </c>
    </row>
    <row r="116" spans="1:13" ht="13.5" customHeight="1">
      <c r="A116" s="52">
        <v>43236</v>
      </c>
      <c r="B116" s="239" t="s">
        <v>189</v>
      </c>
      <c r="C116" s="239" t="s">
        <v>1069</v>
      </c>
      <c r="D116" s="239" t="s">
        <v>186</v>
      </c>
      <c r="E116" s="239" t="s">
        <v>1779</v>
      </c>
      <c r="F116" s="243">
        <v>0.83194444444444449</v>
      </c>
      <c r="G116" s="244" t="s">
        <v>71</v>
      </c>
      <c r="H116" s="244" t="s">
        <v>71</v>
      </c>
      <c r="I116" s="244" t="s">
        <v>71</v>
      </c>
      <c r="J116" s="235" t="s">
        <v>1780</v>
      </c>
      <c r="K116" s="248"/>
      <c r="L116" s="111" t="s">
        <v>1242</v>
      </c>
      <c r="M116" s="111" t="s">
        <v>565</v>
      </c>
    </row>
    <row r="117" spans="1:13" ht="13.5" customHeight="1">
      <c r="A117" s="52">
        <v>43236</v>
      </c>
      <c r="B117" s="239" t="s">
        <v>189</v>
      </c>
      <c r="C117" s="239" t="s">
        <v>668</v>
      </c>
      <c r="D117" s="239" t="s">
        <v>186</v>
      </c>
      <c r="E117" s="239" t="s">
        <v>1781</v>
      </c>
      <c r="F117" s="243">
        <v>0.80347222222222225</v>
      </c>
      <c r="G117" s="244" t="s">
        <v>71</v>
      </c>
      <c r="H117" s="244" t="s">
        <v>71</v>
      </c>
      <c r="I117" s="244" t="s">
        <v>71</v>
      </c>
      <c r="J117" s="235" t="s">
        <v>1782</v>
      </c>
      <c r="K117" s="248"/>
      <c r="L117" s="111" t="s">
        <v>800</v>
      </c>
      <c r="M117" s="111">
        <v>89204228666</v>
      </c>
    </row>
    <row r="118" spans="1:13" ht="13.5" customHeight="1">
      <c r="A118" s="52">
        <v>43236</v>
      </c>
      <c r="B118" s="239" t="s">
        <v>1783</v>
      </c>
      <c r="C118" s="239" t="s">
        <v>1820</v>
      </c>
      <c r="D118" s="239" t="s">
        <v>1784</v>
      </c>
      <c r="E118" s="239" t="s">
        <v>1785</v>
      </c>
      <c r="F118" s="243">
        <v>0.79861111111111116</v>
      </c>
      <c r="G118" s="244" t="s">
        <v>14</v>
      </c>
      <c r="H118" s="244"/>
      <c r="I118" s="244"/>
      <c r="J118" s="235" t="str">
        <f>HYPERLINK("https://yadi.sk/i/Y-R_WmTD3W2Q4c","https://yadi.sk/i/Y-R_WmTD3W2Q4c")</f>
        <v>https://yadi.sk/i/Y-R_WmTD3W2Q4c</v>
      </c>
      <c r="K118" s="248" t="s">
        <v>1786</v>
      </c>
      <c r="L118" s="104" t="s">
        <v>1824</v>
      </c>
      <c r="M118" s="104" t="s">
        <v>1825</v>
      </c>
    </row>
    <row r="119" spans="1:13" ht="13.5" customHeight="1">
      <c r="A119" s="52">
        <v>43236</v>
      </c>
      <c r="B119" s="239" t="s">
        <v>1783</v>
      </c>
      <c r="C119" s="239" t="s">
        <v>1821</v>
      </c>
      <c r="D119" s="239" t="s">
        <v>1784</v>
      </c>
      <c r="E119" s="239" t="s">
        <v>1787</v>
      </c>
      <c r="F119" s="243">
        <v>0.80208333333333337</v>
      </c>
      <c r="G119" s="244" t="s">
        <v>14</v>
      </c>
      <c r="H119" s="244"/>
      <c r="I119" s="244"/>
      <c r="J119" s="235" t="str">
        <f>HYPERLINK("https://yadi.sk/i/smwwxvp93W2QUQ","https://yadi.sk/i/smwwxvp93W2QUQ")</f>
        <v>https://yadi.sk/i/smwwxvp93W2QUQ</v>
      </c>
      <c r="K119" s="248" t="s">
        <v>1788</v>
      </c>
      <c r="L119" s="104" t="s">
        <v>1824</v>
      </c>
      <c r="M119" s="104" t="s">
        <v>1825</v>
      </c>
    </row>
    <row r="120" spans="1:13" ht="13.5" customHeight="1">
      <c r="A120" s="52">
        <v>43236</v>
      </c>
      <c r="B120" s="239" t="s">
        <v>1783</v>
      </c>
      <c r="C120" s="239" t="s">
        <v>1822</v>
      </c>
      <c r="D120" s="239" t="s">
        <v>1789</v>
      </c>
      <c r="E120" s="239" t="s">
        <v>1790</v>
      </c>
      <c r="F120" s="243">
        <v>0.78055555555555556</v>
      </c>
      <c r="G120" s="244" t="s">
        <v>14</v>
      </c>
      <c r="H120" s="244"/>
      <c r="I120" s="244"/>
      <c r="J120" s="235" t="s">
        <v>1791</v>
      </c>
      <c r="K120" s="248" t="s">
        <v>1792</v>
      </c>
      <c r="L120" s="104" t="s">
        <v>1826</v>
      </c>
      <c r="M120" s="104" t="s">
        <v>1827</v>
      </c>
    </row>
    <row r="121" spans="1:13" ht="13.5" customHeight="1">
      <c r="A121" s="52">
        <v>43236</v>
      </c>
      <c r="B121" s="239" t="s">
        <v>1783</v>
      </c>
      <c r="C121" s="239" t="s">
        <v>1823</v>
      </c>
      <c r="D121" s="239" t="s">
        <v>1789</v>
      </c>
      <c r="E121" s="239" t="s">
        <v>1793</v>
      </c>
      <c r="F121" s="243">
        <v>0.78263888888888888</v>
      </c>
      <c r="G121" s="244" t="s">
        <v>14</v>
      </c>
      <c r="H121" s="244"/>
      <c r="I121" s="244"/>
      <c r="J121" s="235" t="s">
        <v>1794</v>
      </c>
      <c r="K121" s="248" t="s">
        <v>1792</v>
      </c>
      <c r="L121" s="104" t="s">
        <v>1826</v>
      </c>
      <c r="M121" s="104" t="s">
        <v>1827</v>
      </c>
    </row>
    <row r="122" spans="1:13" ht="13.5" customHeight="1">
      <c r="A122" s="52">
        <v>43236</v>
      </c>
      <c r="B122" s="239" t="s">
        <v>34</v>
      </c>
      <c r="C122" s="239" t="s">
        <v>1832</v>
      </c>
      <c r="D122" s="239" t="s">
        <v>186</v>
      </c>
      <c r="E122" s="240" t="s">
        <v>1795</v>
      </c>
      <c r="F122" s="243">
        <v>0.80972222222222223</v>
      </c>
      <c r="G122" s="244" t="s">
        <v>71</v>
      </c>
      <c r="H122" s="244" t="s">
        <v>71</v>
      </c>
      <c r="I122" s="244" t="s">
        <v>71</v>
      </c>
      <c r="J122" s="235" t="str">
        <f>HYPERLINK("https://yadi.sk/d/jCqB_LbO3W2Uzz","https://yadi.sk/d/jCqB_LbO3W2Uzz")</f>
        <v>https://yadi.sk/d/jCqB_LbO3W2Uzz</v>
      </c>
      <c r="K122" s="248"/>
      <c r="L122" s="104" t="s">
        <v>797</v>
      </c>
      <c r="M122" s="111">
        <v>89206346464</v>
      </c>
    </row>
    <row r="123" spans="1:13" ht="13.5" customHeight="1">
      <c r="A123" s="52">
        <v>43236</v>
      </c>
      <c r="B123" s="239" t="s">
        <v>34</v>
      </c>
      <c r="C123" s="239" t="s">
        <v>1833</v>
      </c>
      <c r="D123" s="239" t="s">
        <v>186</v>
      </c>
      <c r="E123" s="239" t="s">
        <v>1795</v>
      </c>
      <c r="F123" s="243">
        <v>0.43888888888888888</v>
      </c>
      <c r="G123" s="244" t="s">
        <v>14</v>
      </c>
      <c r="H123" s="244"/>
      <c r="I123" s="244"/>
      <c r="J123" s="235" t="str">
        <f>HYPERLINK("https://yadi.sk/i/SQO_2nhR3W2V5U","https://yadi.sk/i/SQO_2nhR3W2V5U")</f>
        <v>https://yadi.sk/i/SQO_2nhR3W2V5U</v>
      </c>
      <c r="K123" s="248" t="s">
        <v>1796</v>
      </c>
      <c r="L123" s="104" t="s">
        <v>65</v>
      </c>
      <c r="M123" s="111">
        <v>89997648473</v>
      </c>
    </row>
    <row r="124" spans="1:13" ht="13.5" customHeight="1">
      <c r="A124" s="52">
        <v>43236</v>
      </c>
      <c r="B124" s="239" t="s">
        <v>34</v>
      </c>
      <c r="C124" s="239" t="s">
        <v>1590</v>
      </c>
      <c r="D124" s="239" t="s">
        <v>186</v>
      </c>
      <c r="E124" s="239" t="s">
        <v>1797</v>
      </c>
      <c r="F124" s="243">
        <v>0.85277777777777775</v>
      </c>
      <c r="G124" s="244" t="s">
        <v>71</v>
      </c>
      <c r="H124" s="244" t="s">
        <v>71</v>
      </c>
      <c r="I124" s="244" t="s">
        <v>71</v>
      </c>
      <c r="J124" s="235" t="str">
        <f>HYPERLINK("https://yadi.sk/d/tHbUvA5T3W2Wn3","https://yadi.sk/d/tHbUvA5T3W2Wn3")</f>
        <v>https://yadi.sk/d/tHbUvA5T3W2Wn3</v>
      </c>
      <c r="K124" s="248"/>
      <c r="L124" s="104" t="s">
        <v>65</v>
      </c>
      <c r="M124" s="111">
        <v>89997648473</v>
      </c>
    </row>
    <row r="125" spans="1:13" ht="13.5" customHeight="1">
      <c r="A125" s="52">
        <v>43236</v>
      </c>
      <c r="B125" s="259" t="s">
        <v>1670</v>
      </c>
      <c r="C125" s="259" t="s">
        <v>1834</v>
      </c>
      <c r="D125" s="259" t="s">
        <v>186</v>
      </c>
      <c r="E125" s="259" t="s">
        <v>1798</v>
      </c>
      <c r="F125" s="260">
        <v>0.85416666666666663</v>
      </c>
      <c r="G125" s="261" t="s">
        <v>71</v>
      </c>
      <c r="H125" s="261" t="s">
        <v>71</v>
      </c>
      <c r="I125" s="261" t="s">
        <v>71</v>
      </c>
      <c r="J125" s="262" t="str">
        <f>HYPERLINK("https://yadi.sk/d/7fzkEduP3W2Wx7","https://yadi.sk/d/7fzkEduP3W2Wx7")</f>
        <v>https://yadi.sk/d/7fzkEduP3W2Wx7</v>
      </c>
      <c r="K125" s="263"/>
      <c r="L125" s="264" t="s">
        <v>65</v>
      </c>
      <c r="M125" s="265">
        <v>89997648473</v>
      </c>
    </row>
    <row r="126" spans="1:13">
      <c r="A126" s="49">
        <v>43237</v>
      </c>
      <c r="B126" s="255" t="s">
        <v>68</v>
      </c>
      <c r="C126" s="2" t="s">
        <v>1853</v>
      </c>
      <c r="D126" s="214" t="s">
        <v>427</v>
      </c>
      <c r="E126" s="106" t="s">
        <v>1802</v>
      </c>
      <c r="F126" s="268">
        <v>0.79999999999999993</v>
      </c>
      <c r="G126" s="266" t="s">
        <v>71</v>
      </c>
      <c r="H126" s="4" t="s">
        <v>14</v>
      </c>
      <c r="I126" s="266" t="s">
        <v>71</v>
      </c>
      <c r="J126" s="2" t="s">
        <v>309</v>
      </c>
      <c r="K126" s="104"/>
      <c r="L126" s="104" t="s">
        <v>85</v>
      </c>
      <c r="M126" s="111"/>
    </row>
    <row r="127" spans="1:13">
      <c r="A127" s="49">
        <v>43237</v>
      </c>
      <c r="B127" s="258" t="s">
        <v>68</v>
      </c>
      <c r="C127" s="267" t="s">
        <v>91</v>
      </c>
      <c r="D127" s="197" t="s">
        <v>427</v>
      </c>
      <c r="E127" s="267" t="s">
        <v>1854</v>
      </c>
      <c r="F127" s="269">
        <v>0.83194444444444438</v>
      </c>
      <c r="G127" s="261" t="s">
        <v>71</v>
      </c>
      <c r="H127" s="261" t="s">
        <v>71</v>
      </c>
      <c r="I127" s="261" t="s">
        <v>71</v>
      </c>
      <c r="J127" s="2" t="s">
        <v>309</v>
      </c>
      <c r="K127" s="104"/>
      <c r="L127" s="104" t="s">
        <v>85</v>
      </c>
      <c r="M127" s="111"/>
    </row>
    <row r="128" spans="1:13">
      <c r="A128" s="49">
        <v>43237</v>
      </c>
      <c r="B128" s="258" t="s">
        <v>68</v>
      </c>
      <c r="C128" s="2" t="s">
        <v>1852</v>
      </c>
      <c r="D128" s="197" t="s">
        <v>427</v>
      </c>
      <c r="E128" s="267" t="s">
        <v>1855</v>
      </c>
      <c r="F128" s="268">
        <v>0.83333333333333337</v>
      </c>
      <c r="G128" s="270" t="s">
        <v>14</v>
      </c>
      <c r="H128" s="271"/>
      <c r="I128" s="271"/>
      <c r="J128" s="2" t="s">
        <v>309</v>
      </c>
      <c r="K128" s="106" t="s">
        <v>1856</v>
      </c>
      <c r="L128" s="104" t="s">
        <v>87</v>
      </c>
      <c r="M128" s="111"/>
    </row>
    <row r="129" spans="1:13">
      <c r="A129" s="49">
        <v>43237</v>
      </c>
      <c r="B129" s="258" t="s">
        <v>68</v>
      </c>
      <c r="C129" s="106" t="s">
        <v>1941</v>
      </c>
      <c r="D129" s="197" t="s">
        <v>427</v>
      </c>
      <c r="E129" s="106" t="s">
        <v>1857</v>
      </c>
      <c r="F129" s="268">
        <v>0.84375</v>
      </c>
      <c r="G129" s="270" t="s">
        <v>14</v>
      </c>
      <c r="H129" s="271"/>
      <c r="I129" s="271"/>
      <c r="J129" s="2" t="s">
        <v>309</v>
      </c>
      <c r="K129" s="106" t="s">
        <v>1858</v>
      </c>
      <c r="L129" s="104" t="s">
        <v>87</v>
      </c>
      <c r="M129" s="111"/>
    </row>
    <row r="130" spans="1:13">
      <c r="A130" s="52">
        <v>43238</v>
      </c>
      <c r="B130" s="276" t="s">
        <v>279</v>
      </c>
      <c r="C130" s="276" t="s">
        <v>1141</v>
      </c>
      <c r="D130" s="272" t="s">
        <v>186</v>
      </c>
      <c r="E130" s="276" t="s">
        <v>1859</v>
      </c>
      <c r="F130" s="280">
        <v>0.79374999999999996</v>
      </c>
      <c r="G130" s="281" t="s">
        <v>71</v>
      </c>
      <c r="H130" s="281" t="s">
        <v>71</v>
      </c>
      <c r="I130" s="281" t="s">
        <v>71</v>
      </c>
      <c r="J130" s="273" t="s">
        <v>1860</v>
      </c>
      <c r="K130" s="284"/>
      <c r="L130" s="111" t="s">
        <v>492</v>
      </c>
      <c r="M130" s="111">
        <v>89005804819</v>
      </c>
    </row>
    <row r="131" spans="1:13">
      <c r="A131" s="52">
        <v>43238</v>
      </c>
      <c r="B131" s="277" t="s">
        <v>279</v>
      </c>
      <c r="C131" s="277" t="s">
        <v>1952</v>
      </c>
      <c r="D131" s="274" t="s">
        <v>1861</v>
      </c>
      <c r="E131" s="277" t="s">
        <v>1859</v>
      </c>
      <c r="F131" s="282">
        <v>0.80138888888888893</v>
      </c>
      <c r="G131" s="283" t="s">
        <v>71</v>
      </c>
      <c r="H131" s="283" t="s">
        <v>71</v>
      </c>
      <c r="I131" s="283" t="s">
        <v>71</v>
      </c>
      <c r="J131" s="275" t="s">
        <v>1862</v>
      </c>
      <c r="K131" s="285"/>
      <c r="L131" s="111" t="s">
        <v>492</v>
      </c>
      <c r="M131" s="111" t="s">
        <v>493</v>
      </c>
    </row>
    <row r="132" spans="1:13" ht="25.5">
      <c r="A132" s="52">
        <v>43238</v>
      </c>
      <c r="B132" s="277" t="s">
        <v>279</v>
      </c>
      <c r="C132" s="277" t="s">
        <v>1953</v>
      </c>
      <c r="D132" s="274" t="s">
        <v>186</v>
      </c>
      <c r="E132" s="277" t="s">
        <v>1863</v>
      </c>
      <c r="F132" s="282">
        <v>0.82499999999999996</v>
      </c>
      <c r="G132" s="283" t="s">
        <v>71</v>
      </c>
      <c r="H132" s="283" t="s">
        <v>71</v>
      </c>
      <c r="I132" s="283" t="s">
        <v>71</v>
      </c>
      <c r="J132" s="275" t="s">
        <v>1864</v>
      </c>
      <c r="K132" s="285"/>
      <c r="L132" s="111" t="s">
        <v>492</v>
      </c>
      <c r="M132" s="111" t="s">
        <v>493</v>
      </c>
    </row>
    <row r="133" spans="1:13" ht="25.5">
      <c r="A133" s="52">
        <v>43238</v>
      </c>
      <c r="B133" s="277" t="s">
        <v>279</v>
      </c>
      <c r="C133" s="277" t="s">
        <v>1954</v>
      </c>
      <c r="D133" s="274" t="s">
        <v>186</v>
      </c>
      <c r="E133" s="277" t="s">
        <v>1865</v>
      </c>
      <c r="F133" s="282">
        <v>0.82291666666666663</v>
      </c>
      <c r="G133" s="283" t="s">
        <v>71</v>
      </c>
      <c r="H133" s="283" t="s">
        <v>71</v>
      </c>
      <c r="I133" s="283" t="s">
        <v>71</v>
      </c>
      <c r="J133" s="275" t="s">
        <v>1866</v>
      </c>
      <c r="K133" s="285"/>
      <c r="L133" s="111" t="s">
        <v>492</v>
      </c>
      <c r="M133" s="111" t="s">
        <v>493</v>
      </c>
    </row>
    <row r="134" spans="1:13" ht="14.25" customHeight="1">
      <c r="A134" s="52">
        <v>43238</v>
      </c>
      <c r="B134" s="278" t="s">
        <v>927</v>
      </c>
      <c r="C134" s="279" t="s">
        <v>1606</v>
      </c>
      <c r="D134" s="274" t="s">
        <v>1512</v>
      </c>
      <c r="E134" s="277" t="s">
        <v>1867</v>
      </c>
      <c r="F134" s="282">
        <v>0.78749999999999998</v>
      </c>
      <c r="G134" s="283" t="s">
        <v>14</v>
      </c>
      <c r="H134" s="283"/>
      <c r="I134" s="283"/>
      <c r="J134" s="275" t="str">
        <f>HYPERLINK("https://yadi.sk/i/6H5L4nlv3WC8dd","https://yadi.sk/i/6H5L4nlv3WC8dd")</f>
        <v>https://yadi.sk/i/6H5L4nlv3WC8dd</v>
      </c>
      <c r="K134" s="285" t="s">
        <v>1868</v>
      </c>
      <c r="L134" s="104" t="s">
        <v>1293</v>
      </c>
      <c r="M134" s="111" t="s">
        <v>434</v>
      </c>
    </row>
    <row r="135" spans="1:13" ht="14.25" customHeight="1">
      <c r="A135" s="52">
        <v>43238</v>
      </c>
      <c r="B135" s="278" t="s">
        <v>11</v>
      </c>
      <c r="C135" s="205" t="s">
        <v>1947</v>
      </c>
      <c r="D135" s="274" t="s">
        <v>1512</v>
      </c>
      <c r="E135" s="277" t="s">
        <v>1869</v>
      </c>
      <c r="F135" s="282">
        <v>0.80277777777777781</v>
      </c>
      <c r="G135" s="283" t="s">
        <v>71</v>
      </c>
      <c r="H135" s="283" t="s">
        <v>71</v>
      </c>
      <c r="I135" s="283" t="s">
        <v>14</v>
      </c>
      <c r="J135" s="275" t="str">
        <f>HYPERLINK("https://yadi.sk/d/ozkWMKXy3WC9YP","https://yadi.sk/d/ozkWMKXy3WC9YP")</f>
        <v>https://yadi.sk/d/ozkWMKXy3WC9YP</v>
      </c>
      <c r="K135" s="285" t="s">
        <v>1870</v>
      </c>
      <c r="L135" s="104" t="s">
        <v>1293</v>
      </c>
      <c r="M135" s="111" t="s">
        <v>434</v>
      </c>
    </row>
    <row r="136" spans="1:13" ht="14.25" customHeight="1">
      <c r="A136" s="52">
        <v>43238</v>
      </c>
      <c r="B136" s="278" t="s">
        <v>121</v>
      </c>
      <c r="C136" s="278" t="s">
        <v>476</v>
      </c>
      <c r="D136" s="274" t="s">
        <v>857</v>
      </c>
      <c r="E136" s="277" t="s">
        <v>1871</v>
      </c>
      <c r="F136" s="282">
        <v>0.79166666666666663</v>
      </c>
      <c r="G136" s="283" t="s">
        <v>14</v>
      </c>
      <c r="H136" s="283"/>
      <c r="I136" s="283"/>
      <c r="J136" s="275" t="str">
        <f>HYPERLINK("https://yadi.sk/i/uXivXa7v3WC9uJ","https://yadi.sk/i/uXivXa7v3WC9uJ")</f>
        <v>https://yadi.sk/i/uXivXa7v3WC9uJ</v>
      </c>
      <c r="K136" s="81" t="s">
        <v>1872</v>
      </c>
      <c r="L136" s="111" t="s">
        <v>1044</v>
      </c>
      <c r="M136" s="111">
        <v>89005844050</v>
      </c>
    </row>
    <row r="137" spans="1:13" ht="14.25" customHeight="1">
      <c r="A137" s="52">
        <v>43238</v>
      </c>
      <c r="B137" s="277" t="s">
        <v>161</v>
      </c>
      <c r="C137" s="277" t="s">
        <v>1828</v>
      </c>
      <c r="D137" s="277" t="s">
        <v>1025</v>
      </c>
      <c r="E137" s="277" t="s">
        <v>1873</v>
      </c>
      <c r="F137" s="282">
        <v>0.76180555555555551</v>
      </c>
      <c r="G137" s="283" t="s">
        <v>71</v>
      </c>
      <c r="H137" s="283" t="s">
        <v>71</v>
      </c>
      <c r="I137" s="283" t="s">
        <v>71</v>
      </c>
      <c r="J137" s="275" t="str">
        <f>HYPERLINK("https://yadi.sk/d/vqyH615O3WCAYi","https://yadi.sk/d/vqyH615O3WCAYi")</f>
        <v>https://yadi.sk/d/vqyH615O3WCAYi</v>
      </c>
      <c r="K137" s="285"/>
      <c r="L137" s="104" t="s">
        <v>570</v>
      </c>
      <c r="M137" s="111">
        <v>89534771666</v>
      </c>
    </row>
    <row r="138" spans="1:13" ht="14.25" customHeight="1">
      <c r="A138" s="49">
        <v>43239</v>
      </c>
      <c r="B138" s="277" t="s">
        <v>130</v>
      </c>
      <c r="C138" s="277" t="s">
        <v>1955</v>
      </c>
      <c r="D138" s="277" t="s">
        <v>313</v>
      </c>
      <c r="E138" s="277" t="s">
        <v>1874</v>
      </c>
      <c r="F138" s="282">
        <v>0.78333333333333333</v>
      </c>
      <c r="G138" s="283" t="s">
        <v>14</v>
      </c>
      <c r="H138" s="283"/>
      <c r="I138" s="283"/>
      <c r="J138" s="275" t="s">
        <v>1875</v>
      </c>
      <c r="K138" s="285" t="s">
        <v>1876</v>
      </c>
      <c r="L138" s="104" t="s">
        <v>139</v>
      </c>
      <c r="M138" s="111" t="s">
        <v>1618</v>
      </c>
    </row>
    <row r="139" spans="1:13" ht="14.25" customHeight="1">
      <c r="A139" s="49">
        <v>43239</v>
      </c>
      <c r="B139" s="277" t="s">
        <v>130</v>
      </c>
      <c r="C139" s="277" t="s">
        <v>1956</v>
      </c>
      <c r="D139" s="277" t="s">
        <v>313</v>
      </c>
      <c r="E139" s="277" t="s">
        <v>1874</v>
      </c>
      <c r="F139" s="282">
        <v>0.78125</v>
      </c>
      <c r="G139" s="283" t="s">
        <v>14</v>
      </c>
      <c r="H139" s="283"/>
      <c r="I139" s="283"/>
      <c r="J139" s="275" t="s">
        <v>1875</v>
      </c>
      <c r="K139" s="285" t="s">
        <v>1877</v>
      </c>
      <c r="L139" s="104" t="s">
        <v>139</v>
      </c>
      <c r="M139" s="111" t="s">
        <v>1618</v>
      </c>
    </row>
    <row r="140" spans="1:13" ht="14.25" customHeight="1">
      <c r="A140" s="49">
        <v>43239</v>
      </c>
      <c r="B140" s="277" t="s">
        <v>130</v>
      </c>
      <c r="C140" s="277" t="s">
        <v>131</v>
      </c>
      <c r="D140" s="277" t="s">
        <v>313</v>
      </c>
      <c r="E140" s="277" t="s">
        <v>1878</v>
      </c>
      <c r="F140" s="282">
        <v>0.7729166666666667</v>
      </c>
      <c r="G140" s="283" t="s">
        <v>14</v>
      </c>
      <c r="H140" s="283"/>
      <c r="I140" s="283"/>
      <c r="J140" s="275" t="s">
        <v>1879</v>
      </c>
      <c r="K140" s="285" t="s">
        <v>1880</v>
      </c>
      <c r="L140" s="104" t="s">
        <v>139</v>
      </c>
      <c r="M140" s="111" t="s">
        <v>1618</v>
      </c>
    </row>
    <row r="141" spans="1:13" ht="14.25" customHeight="1">
      <c r="A141" s="49">
        <v>43239</v>
      </c>
      <c r="B141" s="277" t="s">
        <v>310</v>
      </c>
      <c r="C141" s="277" t="s">
        <v>778</v>
      </c>
      <c r="D141" s="277" t="s">
        <v>1881</v>
      </c>
      <c r="E141" s="277" t="s">
        <v>1882</v>
      </c>
      <c r="F141" s="282">
        <v>0.60763888888888884</v>
      </c>
      <c r="G141" s="283" t="s">
        <v>71</v>
      </c>
      <c r="H141" s="283" t="s">
        <v>71</v>
      </c>
      <c r="I141" s="283" t="s">
        <v>71</v>
      </c>
      <c r="J141" s="275" t="str">
        <f>HYPERLINK("https://yadi.sk/d/kfeNBHxj3WH5PK","https://yadi.sk/d/kfeNBHxj3WH5PK")</f>
        <v>https://yadi.sk/d/kfeNBHxj3WH5PK</v>
      </c>
      <c r="K141" s="285"/>
      <c r="L141" s="104" t="s">
        <v>341</v>
      </c>
      <c r="M141" s="111" t="s">
        <v>342</v>
      </c>
    </row>
    <row r="142" spans="1:13" ht="14.25" customHeight="1">
      <c r="A142" s="49">
        <v>43239</v>
      </c>
      <c r="B142" s="277" t="s">
        <v>310</v>
      </c>
      <c r="C142" s="277" t="s">
        <v>1948</v>
      </c>
      <c r="D142" s="277" t="s">
        <v>1883</v>
      </c>
      <c r="E142" s="277" t="s">
        <v>1884</v>
      </c>
      <c r="F142" s="282">
        <v>0.63541666666666663</v>
      </c>
      <c r="G142" s="283" t="s">
        <v>71</v>
      </c>
      <c r="H142" s="283" t="s">
        <v>14</v>
      </c>
      <c r="I142" s="283" t="s">
        <v>71</v>
      </c>
      <c r="J142" s="275" t="str">
        <f>HYPERLINK("https://yadi.sk/d/-HLihcct3WH9qX","https://yadi.sk/d/-HLihcct3WH9qX")</f>
        <v>https://yadi.sk/d/-HLihcct3WH9qX</v>
      </c>
      <c r="K142" s="285"/>
      <c r="L142" s="104" t="s">
        <v>1950</v>
      </c>
      <c r="M142" s="111" t="s">
        <v>1951</v>
      </c>
    </row>
    <row r="143" spans="1:13" ht="14.25" customHeight="1">
      <c r="A143" s="49">
        <v>43239</v>
      </c>
      <c r="B143" s="277" t="s">
        <v>310</v>
      </c>
      <c r="C143" s="277" t="s">
        <v>1949</v>
      </c>
      <c r="D143" s="277" t="s">
        <v>1883</v>
      </c>
      <c r="E143" s="277" t="s">
        <v>1885</v>
      </c>
      <c r="F143" s="282">
        <v>0.64930555555555558</v>
      </c>
      <c r="G143" s="283" t="s">
        <v>14</v>
      </c>
      <c r="H143" s="283"/>
      <c r="I143" s="283"/>
      <c r="J143" s="275" t="str">
        <f>HYPERLINK("https://yadi.sk/d/69wagg6D3WH9eo","https://yadi.sk/d/69wagg6D3WH9eo")</f>
        <v>https://yadi.sk/d/69wagg6D3WH9eo</v>
      </c>
      <c r="K143" s="285" t="s">
        <v>1886</v>
      </c>
      <c r="L143" s="104" t="s">
        <v>1950</v>
      </c>
      <c r="M143" s="111" t="s">
        <v>1951</v>
      </c>
    </row>
    <row r="144" spans="1:13" ht="14.25" customHeight="1">
      <c r="A144" s="49">
        <v>43239</v>
      </c>
      <c r="B144" s="277" t="s">
        <v>310</v>
      </c>
      <c r="C144" s="277" t="s">
        <v>1598</v>
      </c>
      <c r="D144" s="277" t="s">
        <v>1887</v>
      </c>
      <c r="E144" s="277" t="s">
        <v>1888</v>
      </c>
      <c r="F144" s="282">
        <v>0.78541666666666665</v>
      </c>
      <c r="G144" s="283" t="s">
        <v>14</v>
      </c>
      <c r="H144" s="283"/>
      <c r="I144" s="283"/>
      <c r="J144" s="275" t="str">
        <f>HYPERLINK("https://yadi.sk/i/BqjWEetT3WH6cv","https://yadi.sk/i/BqjWEetT3WH6cv")</f>
        <v>https://yadi.sk/i/BqjWEetT3WH6cv</v>
      </c>
      <c r="K144" s="285" t="s">
        <v>1889</v>
      </c>
      <c r="L144" s="104" t="s">
        <v>341</v>
      </c>
      <c r="M144" s="111" t="s">
        <v>342</v>
      </c>
    </row>
    <row r="145" spans="1:13" ht="14.25" customHeight="1">
      <c r="A145" s="49">
        <v>43239</v>
      </c>
      <c r="B145" s="277" t="s">
        <v>24</v>
      </c>
      <c r="C145" s="277" t="s">
        <v>1601</v>
      </c>
      <c r="D145" s="277" t="s">
        <v>1684</v>
      </c>
      <c r="E145" s="277" t="s">
        <v>1890</v>
      </c>
      <c r="F145" s="282">
        <v>0.81736111111111109</v>
      </c>
      <c r="G145" s="283" t="s">
        <v>14</v>
      </c>
      <c r="H145" s="283"/>
      <c r="I145" s="283"/>
      <c r="J145" s="275" t="str">
        <f>HYPERLINK("https://yadi.sk/i/pGiThEo63WH7Hw","https://yadi.sk/i/pGiThEo63WH7Hw")</f>
        <v>https://yadi.sk/i/pGiThEo63WH7Hw</v>
      </c>
      <c r="K145" s="81" t="s">
        <v>1891</v>
      </c>
      <c r="L145" s="104" t="s">
        <v>1602</v>
      </c>
      <c r="M145" s="111">
        <v>89081211555</v>
      </c>
    </row>
    <row r="146" spans="1:13" ht="14.25" customHeight="1">
      <c r="A146" s="49">
        <v>43239</v>
      </c>
      <c r="B146" s="277" t="s">
        <v>24</v>
      </c>
      <c r="C146" s="277" t="s">
        <v>1957</v>
      </c>
      <c r="D146" s="277" t="s">
        <v>1684</v>
      </c>
      <c r="E146" s="277" t="s">
        <v>1892</v>
      </c>
      <c r="F146" s="282">
        <v>0.84583333333333333</v>
      </c>
      <c r="G146" s="283" t="s">
        <v>71</v>
      </c>
      <c r="H146" s="283" t="s">
        <v>71</v>
      </c>
      <c r="I146" s="283" t="s">
        <v>71</v>
      </c>
      <c r="J146" s="275" t="str">
        <f>HYPERLINK("https://yadi.sk/d/Hh77TgNf3WH8FL","https://yadi.sk/d/Hh77TgNf3WH8FL")</f>
        <v>https://yadi.sk/d/Hh77TgNf3WH8FL</v>
      </c>
      <c r="K146" s="285"/>
      <c r="L146" s="104" t="s">
        <v>1011</v>
      </c>
      <c r="M146" s="111">
        <v>89103188508</v>
      </c>
    </row>
    <row r="147" spans="1:13" ht="13.5" customHeight="1">
      <c r="A147" s="52">
        <v>43241</v>
      </c>
      <c r="B147" s="73" t="s">
        <v>174</v>
      </c>
      <c r="C147" s="73" t="s">
        <v>1967</v>
      </c>
      <c r="D147" s="73" t="s">
        <v>1893</v>
      </c>
      <c r="E147" s="236" t="s">
        <v>1894</v>
      </c>
      <c r="F147" s="75">
        <v>0.75</v>
      </c>
      <c r="G147" s="76" t="s">
        <v>71</v>
      </c>
      <c r="H147" s="76" t="s">
        <v>71</v>
      </c>
      <c r="I147" s="76" t="s">
        <v>71</v>
      </c>
      <c r="J147" s="71" t="str">
        <f>HYPERLINK("https://yadi.sk/d/frt_0iGu3WJSbT","https://yadi.sk/d/frt_0iGu3WJSbT")</f>
        <v>https://yadi.sk/d/frt_0iGu3WJSbT</v>
      </c>
      <c r="K147" s="82"/>
      <c r="L147" s="104" t="s">
        <v>796</v>
      </c>
      <c r="M147" s="111">
        <v>89585696061</v>
      </c>
    </row>
    <row r="148" spans="1:13" ht="13.5" customHeight="1">
      <c r="A148" s="52">
        <v>43241</v>
      </c>
      <c r="B148" s="74" t="s">
        <v>174</v>
      </c>
      <c r="C148" s="74" t="s">
        <v>460</v>
      </c>
      <c r="D148" s="74" t="s">
        <v>271</v>
      </c>
      <c r="E148" s="205" t="s">
        <v>1895</v>
      </c>
      <c r="F148" s="77">
        <v>0.78611111111111109</v>
      </c>
      <c r="G148" s="78" t="s">
        <v>71</v>
      </c>
      <c r="H148" s="78" t="s">
        <v>71</v>
      </c>
      <c r="I148" s="78" t="s">
        <v>71</v>
      </c>
      <c r="J148" s="72" t="str">
        <f>HYPERLINK("https://yadi.sk/d/UAy-WLVz3WJTvm","https://yadi.sk/d/UAy-WLVz3WJTvm")</f>
        <v>https://yadi.sk/d/UAy-WLVz3WJTvm</v>
      </c>
      <c r="K148" s="81"/>
      <c r="L148" s="104" t="s">
        <v>238</v>
      </c>
      <c r="M148" s="111">
        <v>89043682092</v>
      </c>
    </row>
    <row r="149" spans="1:13" ht="13.5" customHeight="1">
      <c r="A149" s="52">
        <v>43241</v>
      </c>
      <c r="B149" s="74" t="s">
        <v>174</v>
      </c>
      <c r="C149" s="74" t="s">
        <v>1968</v>
      </c>
      <c r="D149" s="74" t="s">
        <v>1896</v>
      </c>
      <c r="E149" s="205" t="s">
        <v>1897</v>
      </c>
      <c r="F149" s="77">
        <v>0.82152777777777775</v>
      </c>
      <c r="G149" s="78" t="s">
        <v>71</v>
      </c>
      <c r="H149" s="78" t="s">
        <v>71</v>
      </c>
      <c r="I149" s="78" t="s">
        <v>71</v>
      </c>
      <c r="J149" s="72" t="str">
        <f>HYPERLINK("https://yadi.sk/d/DCKL4Iqy3WLUms","https://yadi.sk/d/DCKL4Iqy3WLUms")</f>
        <v>https://yadi.sk/d/DCKL4Iqy3WLUms</v>
      </c>
      <c r="K149" s="81"/>
      <c r="L149" s="104" t="s">
        <v>796</v>
      </c>
      <c r="M149" s="111">
        <v>89585696061</v>
      </c>
    </row>
    <row r="150" spans="1:13" ht="13.5" customHeight="1">
      <c r="A150" s="52">
        <v>43241</v>
      </c>
      <c r="B150" s="74" t="s">
        <v>1898</v>
      </c>
      <c r="C150" s="74" t="s">
        <v>1899</v>
      </c>
      <c r="D150" s="74" t="s">
        <v>1896</v>
      </c>
      <c r="E150" s="205" t="s">
        <v>1897</v>
      </c>
      <c r="F150" s="77">
        <v>0.82499999999999996</v>
      </c>
      <c r="G150" s="78" t="s">
        <v>71</v>
      </c>
      <c r="H150" s="78" t="s">
        <v>71</v>
      </c>
      <c r="I150" s="78" t="s">
        <v>71</v>
      </c>
      <c r="J150" s="72" t="str">
        <f>HYPERLINK("https://yadi.sk/d/eGA634hy3WLUwV","https://yadi.sk/d/eGA634hy3WLUwV")</f>
        <v>https://yadi.sk/d/eGA634hy3WLUwV</v>
      </c>
      <c r="K150" s="81"/>
      <c r="L150" s="104" t="s">
        <v>796</v>
      </c>
      <c r="M150" s="111">
        <v>89585696061</v>
      </c>
    </row>
    <row r="151" spans="1:13" ht="13.5" customHeight="1">
      <c r="A151" s="52">
        <v>43241</v>
      </c>
      <c r="B151" s="74" t="s">
        <v>1900</v>
      </c>
      <c r="C151" s="74" t="s">
        <v>1969</v>
      </c>
      <c r="D151" s="74" t="s">
        <v>1901</v>
      </c>
      <c r="E151" s="205" t="s">
        <v>1902</v>
      </c>
      <c r="F151" s="77">
        <v>0.78472222222222221</v>
      </c>
      <c r="G151" s="78" t="s">
        <v>14</v>
      </c>
      <c r="H151" s="78"/>
      <c r="I151" s="78"/>
      <c r="J151" s="72" t="s">
        <v>1903</v>
      </c>
      <c r="K151" s="81" t="s">
        <v>1904</v>
      </c>
      <c r="L151" s="104" t="s">
        <v>1840</v>
      </c>
      <c r="M151" s="111" t="s">
        <v>1841</v>
      </c>
    </row>
    <row r="152" spans="1:13" ht="13.5" customHeight="1">
      <c r="A152" s="52">
        <v>43241</v>
      </c>
      <c r="B152" s="74" t="s">
        <v>1900</v>
      </c>
      <c r="C152" s="74" t="s">
        <v>1970</v>
      </c>
      <c r="D152" s="74" t="s">
        <v>1901</v>
      </c>
      <c r="E152" s="205" t="s">
        <v>1902</v>
      </c>
      <c r="F152" s="77">
        <v>0.78819444444444442</v>
      </c>
      <c r="G152" s="78" t="s">
        <v>14</v>
      </c>
      <c r="H152" s="78"/>
      <c r="I152" s="78"/>
      <c r="J152" s="72" t="s">
        <v>1903</v>
      </c>
      <c r="K152" s="81" t="s">
        <v>1905</v>
      </c>
      <c r="L152" s="104" t="s">
        <v>1840</v>
      </c>
      <c r="M152" s="111" t="s">
        <v>1841</v>
      </c>
    </row>
    <row r="153" spans="1:13" ht="13.5" customHeight="1">
      <c r="A153" s="52">
        <v>43241</v>
      </c>
      <c r="B153" s="74" t="s">
        <v>1900</v>
      </c>
      <c r="C153" s="74" t="s">
        <v>1971</v>
      </c>
      <c r="D153" s="74" t="s">
        <v>1906</v>
      </c>
      <c r="E153" s="205" t="s">
        <v>1907</v>
      </c>
      <c r="F153" s="77">
        <v>0.82638888888888884</v>
      </c>
      <c r="G153" s="78" t="s">
        <v>14</v>
      </c>
      <c r="H153" s="78"/>
      <c r="I153" s="78"/>
      <c r="J153" s="72" t="s">
        <v>1908</v>
      </c>
      <c r="K153" s="81" t="s">
        <v>1909</v>
      </c>
      <c r="L153" s="104" t="s">
        <v>1840</v>
      </c>
      <c r="M153" s="111" t="s">
        <v>1841</v>
      </c>
    </row>
    <row r="154" spans="1:13" ht="13.5" customHeight="1">
      <c r="A154" s="52">
        <v>43241</v>
      </c>
      <c r="B154" s="74" t="s">
        <v>1900</v>
      </c>
      <c r="C154" s="74" t="s">
        <v>1839</v>
      </c>
      <c r="D154" s="74" t="s">
        <v>1906</v>
      </c>
      <c r="E154" s="205" t="s">
        <v>1907</v>
      </c>
      <c r="F154" s="77">
        <v>0.82986111111111116</v>
      </c>
      <c r="G154" s="78" t="s">
        <v>14</v>
      </c>
      <c r="H154" s="78"/>
      <c r="I154" s="78"/>
      <c r="J154" s="72" t="s">
        <v>1908</v>
      </c>
      <c r="K154" s="81" t="s">
        <v>1910</v>
      </c>
      <c r="L154" s="104" t="s">
        <v>1840</v>
      </c>
      <c r="M154" s="111" t="s">
        <v>1841</v>
      </c>
    </row>
    <row r="155" spans="1:13" ht="13.5" customHeight="1">
      <c r="A155" s="52">
        <v>43241</v>
      </c>
      <c r="B155" s="74" t="s">
        <v>393</v>
      </c>
      <c r="C155" s="74" t="s">
        <v>1961</v>
      </c>
      <c r="D155" s="74" t="s">
        <v>186</v>
      </c>
      <c r="E155" s="205" t="s">
        <v>1911</v>
      </c>
      <c r="F155" s="77">
        <v>0.83402777777777781</v>
      </c>
      <c r="G155" s="78" t="s">
        <v>71</v>
      </c>
      <c r="H155" s="78" t="s">
        <v>71</v>
      </c>
      <c r="I155" s="78" t="s">
        <v>71</v>
      </c>
      <c r="J155" s="72" t="s">
        <v>1912</v>
      </c>
      <c r="K155" s="81"/>
      <c r="L155" s="104" t="s">
        <v>776</v>
      </c>
      <c r="M155" s="111" t="s">
        <v>1819</v>
      </c>
    </row>
    <row r="156" spans="1:13" ht="13.5" customHeight="1">
      <c r="A156" s="52">
        <v>43241</v>
      </c>
      <c r="B156" s="74" t="s">
        <v>393</v>
      </c>
      <c r="C156" s="74" t="s">
        <v>1958</v>
      </c>
      <c r="D156" s="74" t="s">
        <v>186</v>
      </c>
      <c r="E156" s="205" t="s">
        <v>1913</v>
      </c>
      <c r="F156" s="77">
        <v>0.80902777777777779</v>
      </c>
      <c r="G156" s="78" t="s">
        <v>71</v>
      </c>
      <c r="H156" s="78" t="s">
        <v>14</v>
      </c>
      <c r="I156" s="78" t="s">
        <v>71</v>
      </c>
      <c r="J156" s="72" t="s">
        <v>1914</v>
      </c>
      <c r="K156" s="81"/>
      <c r="L156" s="104" t="s">
        <v>1817</v>
      </c>
      <c r="M156" s="111" t="s">
        <v>1818</v>
      </c>
    </row>
    <row r="157" spans="1:13" ht="13.5" customHeight="1">
      <c r="A157" s="52">
        <v>43241</v>
      </c>
      <c r="B157" s="74" t="s">
        <v>393</v>
      </c>
      <c r="C157" s="74" t="s">
        <v>1959</v>
      </c>
      <c r="D157" s="74" t="s">
        <v>186</v>
      </c>
      <c r="E157" s="205" t="s">
        <v>1915</v>
      </c>
      <c r="F157" s="77">
        <v>0.81736111111111109</v>
      </c>
      <c r="G157" s="78" t="s">
        <v>71</v>
      </c>
      <c r="H157" s="78" t="s">
        <v>14</v>
      </c>
      <c r="I157" s="78" t="s">
        <v>71</v>
      </c>
      <c r="J157" s="72" t="s">
        <v>1916</v>
      </c>
      <c r="K157" s="81"/>
      <c r="L157" s="104" t="s">
        <v>1817</v>
      </c>
      <c r="M157" s="111" t="s">
        <v>1818</v>
      </c>
    </row>
    <row r="158" spans="1:13" ht="13.5" customHeight="1">
      <c r="A158" s="286">
        <v>43241</v>
      </c>
      <c r="B158" s="287" t="s">
        <v>393</v>
      </c>
      <c r="C158" s="287" t="s">
        <v>1960</v>
      </c>
      <c r="D158" s="287" t="s">
        <v>186</v>
      </c>
      <c r="E158" s="288" t="s">
        <v>1917</v>
      </c>
      <c r="F158" s="289">
        <v>0.79027777777777775</v>
      </c>
      <c r="G158" s="290" t="s">
        <v>14</v>
      </c>
      <c r="H158" s="290"/>
      <c r="I158" s="290"/>
      <c r="J158" s="291" t="s">
        <v>1918</v>
      </c>
      <c r="K158" s="292" t="s">
        <v>1919</v>
      </c>
      <c r="L158" s="104" t="s">
        <v>474</v>
      </c>
      <c r="M158" s="111" t="s">
        <v>475</v>
      </c>
    </row>
    <row r="159" spans="1:13" ht="13.5" customHeight="1">
      <c r="A159" s="52">
        <v>43241</v>
      </c>
      <c r="B159" s="255" t="s">
        <v>68</v>
      </c>
      <c r="C159" s="83" t="s">
        <v>94</v>
      </c>
      <c r="D159" s="111" t="s">
        <v>427</v>
      </c>
      <c r="E159" s="251" t="s">
        <v>1942</v>
      </c>
      <c r="F159" s="268">
        <v>0.81041666666666667</v>
      </c>
      <c r="G159" s="4" t="s">
        <v>71</v>
      </c>
      <c r="H159" s="4" t="s">
        <v>71</v>
      </c>
      <c r="I159" s="4" t="s">
        <v>71</v>
      </c>
      <c r="J159" s="2" t="s">
        <v>309</v>
      </c>
      <c r="K159" s="104"/>
      <c r="L159" s="83" t="s">
        <v>87</v>
      </c>
      <c r="M159" s="111"/>
    </row>
    <row r="160" spans="1:13" ht="13.5" customHeight="1">
      <c r="A160" s="52">
        <v>43241</v>
      </c>
      <c r="B160" s="255" t="s">
        <v>68</v>
      </c>
      <c r="C160" s="111" t="s">
        <v>1941</v>
      </c>
      <c r="D160" s="111" t="s">
        <v>427</v>
      </c>
      <c r="E160" s="251" t="s">
        <v>1943</v>
      </c>
      <c r="F160" s="268">
        <v>0.81736111111111109</v>
      </c>
      <c r="G160" s="4" t="s">
        <v>71</v>
      </c>
      <c r="H160" s="4" t="s">
        <v>14</v>
      </c>
      <c r="I160" s="4" t="s">
        <v>71</v>
      </c>
      <c r="J160" s="2" t="s">
        <v>309</v>
      </c>
      <c r="K160" s="104"/>
      <c r="L160" s="111" t="s">
        <v>87</v>
      </c>
      <c r="M160" s="111"/>
    </row>
    <row r="161" spans="1:13" ht="13.5" customHeight="1">
      <c r="A161" s="52">
        <v>43241</v>
      </c>
      <c r="B161" s="255" t="s">
        <v>68</v>
      </c>
      <c r="C161" s="111" t="s">
        <v>1595</v>
      </c>
      <c r="D161" s="111" t="s">
        <v>427</v>
      </c>
      <c r="E161" s="251" t="s">
        <v>1944</v>
      </c>
      <c r="F161" s="268">
        <v>0.84097222222222223</v>
      </c>
      <c r="G161" s="4" t="s">
        <v>71</v>
      </c>
      <c r="H161" s="4" t="s">
        <v>14</v>
      </c>
      <c r="I161" s="4" t="s">
        <v>71</v>
      </c>
      <c r="J161" s="2" t="s">
        <v>309</v>
      </c>
      <c r="K161" s="104"/>
      <c r="L161" s="111" t="s">
        <v>87</v>
      </c>
      <c r="M161" s="111"/>
    </row>
    <row r="162" spans="1:13" ht="13.5" customHeight="1">
      <c r="A162" s="52">
        <v>43241</v>
      </c>
      <c r="B162" s="255" t="s">
        <v>68</v>
      </c>
      <c r="C162" s="111" t="s">
        <v>1852</v>
      </c>
      <c r="D162" s="111" t="s">
        <v>427</v>
      </c>
      <c r="E162" s="251" t="s">
        <v>1945</v>
      </c>
      <c r="F162" s="268">
        <v>0.84444444444444444</v>
      </c>
      <c r="G162" s="4" t="s">
        <v>71</v>
      </c>
      <c r="H162" s="4" t="s">
        <v>71</v>
      </c>
      <c r="I162" s="4" t="s">
        <v>71</v>
      </c>
      <c r="J162" s="2" t="s">
        <v>309</v>
      </c>
      <c r="K162" s="104"/>
      <c r="L162" s="111" t="s">
        <v>87</v>
      </c>
      <c r="M162" s="111"/>
    </row>
    <row r="163" spans="1:13" ht="13.5" customHeight="1">
      <c r="A163" s="52">
        <v>43241</v>
      </c>
      <c r="B163" s="255" t="s">
        <v>68</v>
      </c>
      <c r="C163" s="83" t="s">
        <v>90</v>
      </c>
      <c r="D163" s="111" t="s">
        <v>427</v>
      </c>
      <c r="E163" s="251" t="s">
        <v>1946</v>
      </c>
      <c r="F163" s="268">
        <v>0.8618055555555556</v>
      </c>
      <c r="G163" s="4" t="s">
        <v>71</v>
      </c>
      <c r="H163" s="4" t="s">
        <v>71</v>
      </c>
      <c r="I163" s="4" t="s">
        <v>71</v>
      </c>
      <c r="J163" s="2" t="s">
        <v>309</v>
      </c>
      <c r="K163" s="104"/>
      <c r="L163" s="111" t="s">
        <v>85</v>
      </c>
      <c r="M163" s="111"/>
    </row>
    <row r="164" spans="1:13" ht="14.25" customHeight="1">
      <c r="A164" s="49">
        <v>43242</v>
      </c>
      <c r="B164" s="295" t="s">
        <v>1920</v>
      </c>
      <c r="C164" s="295" t="s">
        <v>1966</v>
      </c>
      <c r="D164" s="295" t="s">
        <v>186</v>
      </c>
      <c r="E164" s="295" t="s">
        <v>1921</v>
      </c>
      <c r="F164" s="299">
        <v>0.81458333333333333</v>
      </c>
      <c r="G164" s="300" t="s">
        <v>14</v>
      </c>
      <c r="H164" s="300"/>
      <c r="I164" s="300"/>
      <c r="J164" s="293" t="str">
        <f>HYPERLINK("https://yadi.sk/i/zTNs0OPf3WPinj","https://yadi.sk/i/zTNs0OPf3WPinj")</f>
        <v>https://yadi.sk/i/zTNs0OPf3WPinj</v>
      </c>
      <c r="K164" s="303" t="s">
        <v>1922</v>
      </c>
      <c r="L164" s="104" t="s">
        <v>492</v>
      </c>
      <c r="M164" s="111" t="s">
        <v>493</v>
      </c>
    </row>
    <row r="165" spans="1:13" ht="14.25" customHeight="1">
      <c r="A165" s="49">
        <v>43242</v>
      </c>
      <c r="B165" s="296" t="s">
        <v>1783</v>
      </c>
      <c r="C165" s="296" t="s">
        <v>1962</v>
      </c>
      <c r="D165" s="296" t="s">
        <v>853</v>
      </c>
      <c r="E165" s="297" t="s">
        <v>1923</v>
      </c>
      <c r="F165" s="301">
        <v>0.74583333333333335</v>
      </c>
      <c r="G165" s="302" t="s">
        <v>71</v>
      </c>
      <c r="H165" s="302" t="s">
        <v>71</v>
      </c>
      <c r="I165" s="302" t="s">
        <v>71</v>
      </c>
      <c r="J165" s="294" t="str">
        <f>HYPERLINK("https://yadi.sk/d/K7_bWx_d3WPjsS","https://yadi.sk/d/K7_bWx_d3WPjsS")</f>
        <v>https://yadi.sk/d/K7_bWx_d3WPjsS</v>
      </c>
      <c r="K165" s="304" t="s">
        <v>1924</v>
      </c>
      <c r="L165" s="104" t="s">
        <v>1826</v>
      </c>
      <c r="M165" s="111" t="s">
        <v>1827</v>
      </c>
    </row>
    <row r="166" spans="1:13" ht="14.25" customHeight="1">
      <c r="A166" s="49">
        <v>43242</v>
      </c>
      <c r="B166" s="296" t="s">
        <v>1783</v>
      </c>
      <c r="C166" s="296" t="s">
        <v>1963</v>
      </c>
      <c r="D166" s="296" t="s">
        <v>1435</v>
      </c>
      <c r="E166" s="296" t="s">
        <v>1925</v>
      </c>
      <c r="F166" s="301">
        <v>0.80486111111111114</v>
      </c>
      <c r="G166" s="302" t="s">
        <v>71</v>
      </c>
      <c r="H166" s="302" t="s">
        <v>71</v>
      </c>
      <c r="I166" s="302" t="s">
        <v>71</v>
      </c>
      <c r="J166" s="294" t="str">
        <f>HYPERLINK("https://yadi.sk/d/iWqXlG_o3WPkB2","https://yadi.sk/d/iWqXlG_o3WPkB2")</f>
        <v>https://yadi.sk/d/iWqXlG_o3WPkB2</v>
      </c>
      <c r="K166" s="304"/>
      <c r="L166" s="104" t="s">
        <v>1826</v>
      </c>
      <c r="M166" s="111" t="s">
        <v>1827</v>
      </c>
    </row>
    <row r="167" spans="1:13" ht="14.25" customHeight="1">
      <c r="A167" s="49">
        <v>43242</v>
      </c>
      <c r="B167" s="296" t="s">
        <v>1783</v>
      </c>
      <c r="C167" s="296" t="s">
        <v>1964</v>
      </c>
      <c r="D167" s="296" t="s">
        <v>1435</v>
      </c>
      <c r="E167" s="296" t="s">
        <v>1926</v>
      </c>
      <c r="F167" s="301">
        <v>0.80833333333333335</v>
      </c>
      <c r="G167" s="302" t="s">
        <v>71</v>
      </c>
      <c r="H167" s="302" t="s">
        <v>71</v>
      </c>
      <c r="I167" s="302" t="s">
        <v>71</v>
      </c>
      <c r="J167" s="294" t="str">
        <f>HYPERLINK("https://yadi.sk/d/ZlhkZth83WPkNS","https://yadi.sk/d/ZlhkZth83WPkNS")</f>
        <v>https://yadi.sk/d/ZlhkZth83WPkNS</v>
      </c>
      <c r="K167" s="304"/>
      <c r="L167" s="104" t="s">
        <v>1826</v>
      </c>
      <c r="M167" s="111" t="s">
        <v>1827</v>
      </c>
    </row>
    <row r="168" spans="1:13" ht="14.25" customHeight="1">
      <c r="A168" s="49">
        <v>43242</v>
      </c>
      <c r="B168" s="296" t="s">
        <v>1783</v>
      </c>
      <c r="C168" s="296" t="s">
        <v>1965</v>
      </c>
      <c r="D168" s="296" t="s">
        <v>1435</v>
      </c>
      <c r="E168" s="296" t="s">
        <v>1927</v>
      </c>
      <c r="F168" s="301">
        <v>0.81527777777777777</v>
      </c>
      <c r="G168" s="302" t="s">
        <v>71</v>
      </c>
      <c r="H168" s="302" t="s">
        <v>71</v>
      </c>
      <c r="I168" s="302" t="s">
        <v>71</v>
      </c>
      <c r="J168" s="294" t="str">
        <f>HYPERLINK("https://yadi.sk/d/rSoxpGfa3WPkbg","https://yadi.sk/d/rSoxpGfa3WPkbg")</f>
        <v>https://yadi.sk/d/rSoxpGfa3WPkbg</v>
      </c>
      <c r="K168" s="304"/>
      <c r="L168" s="104" t="s">
        <v>1826</v>
      </c>
      <c r="M168" s="111" t="s">
        <v>1827</v>
      </c>
    </row>
    <row r="169" spans="1:13" ht="14.25" customHeight="1">
      <c r="A169" s="49">
        <v>43242</v>
      </c>
      <c r="B169" s="307" t="s">
        <v>1643</v>
      </c>
      <c r="C169" s="298" t="s">
        <v>573</v>
      </c>
      <c r="D169" s="296" t="s">
        <v>420</v>
      </c>
      <c r="E169" s="296" t="s">
        <v>1928</v>
      </c>
      <c r="F169" s="301">
        <v>0.72916666666666663</v>
      </c>
      <c r="G169" s="302" t="s">
        <v>71</v>
      </c>
      <c r="H169" s="302" t="s">
        <v>14</v>
      </c>
      <c r="I169" s="302" t="s">
        <v>71</v>
      </c>
      <c r="J169" s="294" t="str">
        <f>HYPERLINK("https://yadi.sk/d/V4WYaPDQ3WPn54","https://yadi.sk/d/V4WYaPDQ3WPn54")</f>
        <v>https://yadi.sk/d/V4WYaPDQ3WPn54</v>
      </c>
      <c r="K169" s="304" t="s">
        <v>1929</v>
      </c>
      <c r="L169" s="104" t="s">
        <v>1632</v>
      </c>
      <c r="M169" s="111" t="s">
        <v>576</v>
      </c>
    </row>
    <row r="170" spans="1:13" ht="14.25" customHeight="1">
      <c r="A170" s="49">
        <v>43242</v>
      </c>
      <c r="B170" s="307" t="s">
        <v>1643</v>
      </c>
      <c r="C170" s="296" t="s">
        <v>572</v>
      </c>
      <c r="D170" s="296" t="s">
        <v>420</v>
      </c>
      <c r="E170" s="296" t="s">
        <v>1930</v>
      </c>
      <c r="F170" s="301">
        <v>0.73263888888888884</v>
      </c>
      <c r="G170" s="302" t="s">
        <v>71</v>
      </c>
      <c r="H170" s="302" t="s">
        <v>14</v>
      </c>
      <c r="I170" s="302" t="s">
        <v>71</v>
      </c>
      <c r="J170" s="294" t="str">
        <f>HYPERLINK("https://yadi.sk/d/MMvTOT1Z3WPnHd","https://yadi.sk/d/MMvTOT1Z3WPnHd")</f>
        <v>https://yadi.sk/d/MMvTOT1Z3WPnHd</v>
      </c>
      <c r="K170" s="304"/>
      <c r="L170" s="104" t="s">
        <v>1632</v>
      </c>
      <c r="M170" s="111" t="s">
        <v>576</v>
      </c>
    </row>
    <row r="171" spans="1:13" ht="14.25" customHeight="1">
      <c r="A171" s="49">
        <v>43242</v>
      </c>
      <c r="B171" s="307" t="s">
        <v>1643</v>
      </c>
      <c r="C171" s="296" t="s">
        <v>1972</v>
      </c>
      <c r="D171" s="296" t="s">
        <v>1761</v>
      </c>
      <c r="E171" s="296" t="s">
        <v>1931</v>
      </c>
      <c r="F171" s="301">
        <v>0.77083333333333337</v>
      </c>
      <c r="G171" s="302" t="s">
        <v>71</v>
      </c>
      <c r="H171" s="302" t="s">
        <v>71</v>
      </c>
      <c r="I171" s="302" t="s">
        <v>71</v>
      </c>
      <c r="J171" s="294" t="str">
        <f>HYPERLINK("https://yadi.sk/d/T-JcPsWk3WPnqx","https://yadi.sk/d/T-JcPsWk3WPnqx")</f>
        <v>https://yadi.sk/d/T-JcPsWk3WPnqx</v>
      </c>
      <c r="K171" s="304"/>
      <c r="L171" s="104" t="s">
        <v>769</v>
      </c>
      <c r="M171" s="111" t="s">
        <v>770</v>
      </c>
    </row>
    <row r="172" spans="1:13" ht="14.25" customHeight="1">
      <c r="A172" s="49">
        <v>43242</v>
      </c>
      <c r="B172" s="307" t="s">
        <v>1643</v>
      </c>
      <c r="C172" s="296" t="s">
        <v>571</v>
      </c>
      <c r="D172" s="296" t="s">
        <v>1761</v>
      </c>
      <c r="E172" s="296" t="s">
        <v>1932</v>
      </c>
      <c r="F172" s="301">
        <v>0.77430555555555558</v>
      </c>
      <c r="G172" s="302" t="s">
        <v>71</v>
      </c>
      <c r="H172" s="302" t="s">
        <v>71</v>
      </c>
      <c r="I172" s="302" t="s">
        <v>71</v>
      </c>
      <c r="J172" s="294" t="str">
        <f>HYPERLINK("https://yadi.sk/d/LJvP85JE3WPoJN","https://yadi.sk/d/LJvP85JE3WPoJN")</f>
        <v>https://yadi.sk/d/LJvP85JE3WPoJN</v>
      </c>
      <c r="K172" s="304"/>
      <c r="L172" s="104" t="s">
        <v>769</v>
      </c>
      <c r="M172" s="111" t="s">
        <v>770</v>
      </c>
    </row>
    <row r="173" spans="1:13" ht="14.25" customHeight="1">
      <c r="A173" s="49">
        <v>43242</v>
      </c>
      <c r="B173" s="296" t="s">
        <v>218</v>
      </c>
      <c r="C173" s="296" t="s">
        <v>1933</v>
      </c>
      <c r="D173" s="296" t="s">
        <v>427</v>
      </c>
      <c r="E173" s="296" t="s">
        <v>1934</v>
      </c>
      <c r="F173" s="301">
        <v>0.84444444444444444</v>
      </c>
      <c r="G173" s="302" t="s">
        <v>71</v>
      </c>
      <c r="H173" s="302" t="s">
        <v>71</v>
      </c>
      <c r="I173" s="302" t="s">
        <v>71</v>
      </c>
      <c r="J173" s="294" t="s">
        <v>1935</v>
      </c>
      <c r="K173" s="304"/>
      <c r="L173" s="111" t="s">
        <v>1250</v>
      </c>
      <c r="M173" s="111">
        <v>89191920292</v>
      </c>
    </row>
    <row r="174" spans="1:13" ht="14.25" customHeight="1">
      <c r="A174" s="49">
        <v>43242</v>
      </c>
      <c r="B174" s="296" t="s">
        <v>218</v>
      </c>
      <c r="C174" s="296" t="s">
        <v>1249</v>
      </c>
      <c r="D174" s="296" t="s">
        <v>427</v>
      </c>
      <c r="E174" s="296" t="s">
        <v>1934</v>
      </c>
      <c r="F174" s="301">
        <v>0.83958333333333335</v>
      </c>
      <c r="G174" s="302" t="s">
        <v>71</v>
      </c>
      <c r="H174" s="302" t="s">
        <v>71</v>
      </c>
      <c r="I174" s="302" t="s">
        <v>71</v>
      </c>
      <c r="J174" s="294" t="s">
        <v>1936</v>
      </c>
      <c r="K174" s="304"/>
      <c r="L174" s="111" t="s">
        <v>1250</v>
      </c>
      <c r="M174" s="111">
        <v>89191920292</v>
      </c>
    </row>
    <row r="175" spans="1:13" ht="14.25" customHeight="1">
      <c r="A175" s="49">
        <v>43242</v>
      </c>
      <c r="B175" s="296" t="s">
        <v>218</v>
      </c>
      <c r="C175" s="296" t="s">
        <v>484</v>
      </c>
      <c r="D175" s="296" t="s">
        <v>544</v>
      </c>
      <c r="E175" s="296" t="s">
        <v>1937</v>
      </c>
      <c r="F175" s="301">
        <v>0.79236111111111107</v>
      </c>
      <c r="G175" s="302" t="s">
        <v>71</v>
      </c>
      <c r="H175" s="302" t="s">
        <v>71</v>
      </c>
      <c r="I175" s="302" t="s">
        <v>71</v>
      </c>
      <c r="J175" s="294" t="s">
        <v>1938</v>
      </c>
      <c r="K175" s="304"/>
      <c r="L175" s="111" t="s">
        <v>488</v>
      </c>
      <c r="M175" s="111">
        <v>89803020082</v>
      </c>
    </row>
    <row r="176" spans="1:13" ht="14.25" customHeight="1">
      <c r="A176" s="49">
        <v>43242</v>
      </c>
      <c r="B176" s="296" t="s">
        <v>218</v>
      </c>
      <c r="C176" s="296" t="s">
        <v>486</v>
      </c>
      <c r="D176" s="296" t="s">
        <v>544</v>
      </c>
      <c r="E176" s="296" t="s">
        <v>1939</v>
      </c>
      <c r="F176" s="301">
        <v>0.79513888888888884</v>
      </c>
      <c r="G176" s="302" t="s">
        <v>71</v>
      </c>
      <c r="H176" s="302" t="s">
        <v>71</v>
      </c>
      <c r="I176" s="302" t="s">
        <v>71</v>
      </c>
      <c r="J176" s="294" t="s">
        <v>1940</v>
      </c>
      <c r="K176" s="304"/>
      <c r="L176" s="111" t="s">
        <v>488</v>
      </c>
      <c r="M176" s="111">
        <v>89803020082</v>
      </c>
    </row>
    <row r="177" spans="1:13" ht="13.5" customHeight="1">
      <c r="A177" s="52">
        <v>43244</v>
      </c>
      <c r="B177" s="73" t="s">
        <v>927</v>
      </c>
      <c r="C177" s="73" t="s">
        <v>1947</v>
      </c>
      <c r="D177" s="73" t="s">
        <v>1510</v>
      </c>
      <c r="E177" s="73" t="s">
        <v>1973</v>
      </c>
      <c r="F177" s="75">
        <v>0.74791666666666667</v>
      </c>
      <c r="G177" s="76" t="s">
        <v>14</v>
      </c>
      <c r="H177" s="76"/>
      <c r="I177" s="76"/>
      <c r="J177" s="71" t="str">
        <f>HYPERLINK("https://yadi.sk/i/mo2CVYIX3WWKRD","https://yadi.sk/i/mo2CVYIX3WWKRD")</f>
        <v>https://yadi.sk/i/mo2CVYIX3WWKRD</v>
      </c>
      <c r="K177" s="90" t="s">
        <v>1974</v>
      </c>
      <c r="L177" s="167" t="s">
        <v>1293</v>
      </c>
      <c r="M177" s="167" t="s">
        <v>434</v>
      </c>
    </row>
    <row r="178" spans="1:13" ht="13.5" customHeight="1">
      <c r="A178" s="52">
        <v>43244</v>
      </c>
      <c r="B178" s="74" t="s">
        <v>927</v>
      </c>
      <c r="C178" s="74" t="s">
        <v>160</v>
      </c>
      <c r="D178" s="74" t="s">
        <v>1975</v>
      </c>
      <c r="E178" s="74" t="s">
        <v>1976</v>
      </c>
      <c r="F178" s="77">
        <v>0.77152777777777781</v>
      </c>
      <c r="G178" s="78" t="s">
        <v>14</v>
      </c>
      <c r="H178" s="78"/>
      <c r="I178" s="78"/>
      <c r="J178" s="72" t="str">
        <f>HYPERLINK("https://yadi.sk/i/SdTub6Qx3WWKgU","https://yadi.sk/i/SdTub6Qx3WWKgU")</f>
        <v>https://yadi.sk/i/SdTub6Qx3WWKgU</v>
      </c>
      <c r="K178" s="92" t="s">
        <v>1977</v>
      </c>
      <c r="L178" s="167" t="s">
        <v>147</v>
      </c>
      <c r="M178" s="167" t="s">
        <v>788</v>
      </c>
    </row>
    <row r="179" spans="1:13" ht="13.5" customHeight="1">
      <c r="A179" s="52">
        <v>43244</v>
      </c>
      <c r="B179" s="74" t="s">
        <v>927</v>
      </c>
      <c r="C179" s="74" t="s">
        <v>2081</v>
      </c>
      <c r="D179" s="74" t="s">
        <v>1512</v>
      </c>
      <c r="E179" s="74" t="s">
        <v>1978</v>
      </c>
      <c r="F179" s="77">
        <v>0.79374999999999996</v>
      </c>
      <c r="G179" s="78" t="s">
        <v>71</v>
      </c>
      <c r="H179" s="78" t="s">
        <v>71</v>
      </c>
      <c r="I179" s="78" t="s">
        <v>71</v>
      </c>
      <c r="J179" s="72" t="str">
        <f>HYPERLINK("https://yadi.sk/d/0lkKhIcx3WWLH3","https://yadi.sk/d/0lkKhIcx3WWLH3")</f>
        <v>https://yadi.sk/d/0lkKhIcx3WWLH3</v>
      </c>
      <c r="K179" s="92"/>
      <c r="L179" s="167" t="s">
        <v>1293</v>
      </c>
      <c r="M179" s="167" t="s">
        <v>434</v>
      </c>
    </row>
    <row r="180" spans="1:13" ht="13.5" customHeight="1">
      <c r="A180" s="52">
        <v>43244</v>
      </c>
      <c r="B180" s="74" t="s">
        <v>927</v>
      </c>
      <c r="C180" s="74" t="s">
        <v>1605</v>
      </c>
      <c r="D180" s="74" t="s">
        <v>1979</v>
      </c>
      <c r="E180" s="74" t="s">
        <v>1980</v>
      </c>
      <c r="F180" s="77">
        <v>0.81458333333333333</v>
      </c>
      <c r="G180" s="78" t="s">
        <v>71</v>
      </c>
      <c r="H180" s="78" t="s">
        <v>14</v>
      </c>
      <c r="I180" s="78" t="s">
        <v>71</v>
      </c>
      <c r="J180" s="72" t="str">
        <f>HYPERLINK("https://yadi.sk/d/IUfqp-ko3WWLnq","https://yadi.sk/d/IUfqp-ko3WWLnq")</f>
        <v>https://yadi.sk/d/IUfqp-ko3WWLnq</v>
      </c>
      <c r="K180" s="92"/>
      <c r="L180" s="83" t="s">
        <v>786</v>
      </c>
      <c r="M180" s="83" t="s">
        <v>146</v>
      </c>
    </row>
    <row r="181" spans="1:13" ht="13.5" customHeight="1">
      <c r="A181" s="52">
        <v>43244</v>
      </c>
      <c r="B181" s="74" t="s">
        <v>189</v>
      </c>
      <c r="C181" s="74" t="s">
        <v>2079</v>
      </c>
      <c r="D181" s="74" t="s">
        <v>186</v>
      </c>
      <c r="E181" s="74" t="s">
        <v>1981</v>
      </c>
      <c r="F181" s="77">
        <v>0.8125</v>
      </c>
      <c r="G181" s="78" t="s">
        <v>71</v>
      </c>
      <c r="H181" s="78" t="s">
        <v>71</v>
      </c>
      <c r="I181" s="78" t="s">
        <v>71</v>
      </c>
      <c r="J181" s="72" t="s">
        <v>1982</v>
      </c>
      <c r="K181" s="81"/>
      <c r="L181" s="167" t="s">
        <v>251</v>
      </c>
      <c r="M181" s="167" t="s">
        <v>669</v>
      </c>
    </row>
    <row r="182" spans="1:13" ht="13.5" customHeight="1">
      <c r="A182" s="52">
        <v>43244</v>
      </c>
      <c r="B182" s="74" t="s">
        <v>189</v>
      </c>
      <c r="C182" s="74" t="s">
        <v>1294</v>
      </c>
      <c r="D182" s="74" t="s">
        <v>186</v>
      </c>
      <c r="E182" s="74" t="s">
        <v>1983</v>
      </c>
      <c r="F182" s="77">
        <v>0.81388888888888888</v>
      </c>
      <c r="G182" s="78" t="s">
        <v>71</v>
      </c>
      <c r="H182" s="78" t="s">
        <v>71</v>
      </c>
      <c r="I182" s="78" t="s">
        <v>71</v>
      </c>
      <c r="J182" s="72" t="s">
        <v>1984</v>
      </c>
      <c r="K182" s="81"/>
      <c r="L182" s="167" t="s">
        <v>251</v>
      </c>
      <c r="M182" s="167" t="s">
        <v>669</v>
      </c>
    </row>
    <row r="183" spans="1:13" ht="13.5" customHeight="1">
      <c r="A183" s="52">
        <v>43244</v>
      </c>
      <c r="B183" s="74" t="s">
        <v>189</v>
      </c>
      <c r="C183" s="74" t="s">
        <v>2080</v>
      </c>
      <c r="D183" s="74" t="s">
        <v>186</v>
      </c>
      <c r="E183" s="74" t="s">
        <v>1985</v>
      </c>
      <c r="F183" s="77">
        <v>0.81527777777777777</v>
      </c>
      <c r="G183" s="78" t="s">
        <v>71</v>
      </c>
      <c r="H183" s="78" t="s">
        <v>71</v>
      </c>
      <c r="I183" s="78" t="s">
        <v>71</v>
      </c>
      <c r="J183" s="72" t="s">
        <v>1986</v>
      </c>
      <c r="K183" s="81"/>
      <c r="L183" s="167" t="s">
        <v>251</v>
      </c>
      <c r="M183" s="167" t="s">
        <v>669</v>
      </c>
    </row>
    <row r="184" spans="1:13" ht="13.5" customHeight="1">
      <c r="A184" s="52">
        <v>43244</v>
      </c>
      <c r="B184" s="74" t="s">
        <v>189</v>
      </c>
      <c r="C184" s="74" t="s">
        <v>1069</v>
      </c>
      <c r="D184" s="74" t="s">
        <v>186</v>
      </c>
      <c r="E184" s="74" t="s">
        <v>1987</v>
      </c>
      <c r="F184" s="77">
        <v>0.80208333333333337</v>
      </c>
      <c r="G184" s="78" t="s">
        <v>71</v>
      </c>
      <c r="H184" s="78" t="s">
        <v>71</v>
      </c>
      <c r="I184" s="78" t="s">
        <v>71</v>
      </c>
      <c r="J184" s="72" t="s">
        <v>1988</v>
      </c>
      <c r="K184" s="81"/>
      <c r="L184" s="167" t="s">
        <v>1242</v>
      </c>
      <c r="M184" s="167" t="s">
        <v>565</v>
      </c>
    </row>
    <row r="185" spans="1:13" ht="13.5" customHeight="1">
      <c r="A185" s="52">
        <v>43244</v>
      </c>
      <c r="B185" s="74" t="s">
        <v>203</v>
      </c>
      <c r="C185" s="74" t="s">
        <v>2082</v>
      </c>
      <c r="D185" s="74" t="s">
        <v>1989</v>
      </c>
      <c r="E185" s="74" t="s">
        <v>1990</v>
      </c>
      <c r="F185" s="77">
        <v>0.77847222222222223</v>
      </c>
      <c r="G185" s="78" t="s">
        <v>71</v>
      </c>
      <c r="H185" s="78" t="s">
        <v>14</v>
      </c>
      <c r="I185" s="78" t="s">
        <v>71</v>
      </c>
      <c r="J185" s="72" t="s">
        <v>1991</v>
      </c>
      <c r="K185" s="81"/>
      <c r="L185" s="167" t="s">
        <v>1586</v>
      </c>
      <c r="M185" s="167">
        <v>89038450071</v>
      </c>
    </row>
    <row r="186" spans="1:13" ht="13.5" customHeight="1">
      <c r="A186" s="52">
        <v>43244</v>
      </c>
      <c r="B186" s="74" t="s">
        <v>203</v>
      </c>
      <c r="C186" s="74" t="s">
        <v>1169</v>
      </c>
      <c r="D186" s="74" t="s">
        <v>1029</v>
      </c>
      <c r="E186" s="74" t="s">
        <v>1992</v>
      </c>
      <c r="F186" s="77">
        <v>0.79166666666666663</v>
      </c>
      <c r="G186" s="78" t="s">
        <v>14</v>
      </c>
      <c r="H186" s="78"/>
      <c r="I186" s="78"/>
      <c r="J186" s="72" t="s">
        <v>1993</v>
      </c>
      <c r="K186" s="81" t="s">
        <v>1994</v>
      </c>
      <c r="L186" s="167" t="s">
        <v>611</v>
      </c>
      <c r="M186" s="167">
        <v>89585707077</v>
      </c>
    </row>
    <row r="187" spans="1:13" ht="13.5" customHeight="1">
      <c r="A187" s="52">
        <v>43244</v>
      </c>
      <c r="B187" s="74" t="s">
        <v>203</v>
      </c>
      <c r="C187" s="74" t="s">
        <v>1088</v>
      </c>
      <c r="D187" s="74" t="s">
        <v>258</v>
      </c>
      <c r="E187" s="74" t="s">
        <v>1995</v>
      </c>
      <c r="F187" s="77">
        <v>0.84375</v>
      </c>
      <c r="G187" s="78" t="s">
        <v>14</v>
      </c>
      <c r="H187" s="78"/>
      <c r="I187" s="78"/>
      <c r="J187" s="72" t="s">
        <v>1996</v>
      </c>
      <c r="K187" s="81" t="s">
        <v>1997</v>
      </c>
      <c r="L187" s="167" t="s">
        <v>245</v>
      </c>
      <c r="M187" s="167" t="s">
        <v>246</v>
      </c>
    </row>
    <row r="188" spans="1:13" ht="13.5" customHeight="1">
      <c r="A188" s="52">
        <v>43244</v>
      </c>
      <c r="B188" s="74" t="s">
        <v>203</v>
      </c>
      <c r="C188" s="74" t="s">
        <v>2083</v>
      </c>
      <c r="D188" s="74" t="s">
        <v>857</v>
      </c>
      <c r="E188" s="74" t="s">
        <v>1998</v>
      </c>
      <c r="F188" s="77">
        <v>0.82291666666666663</v>
      </c>
      <c r="G188" s="78" t="s">
        <v>71</v>
      </c>
      <c r="H188" s="78" t="s">
        <v>71</v>
      </c>
      <c r="I188" s="78" t="s">
        <v>71</v>
      </c>
      <c r="J188" s="72" t="s">
        <v>1999</v>
      </c>
      <c r="K188" s="81"/>
      <c r="L188" s="167" t="s">
        <v>470</v>
      </c>
      <c r="M188" s="167">
        <v>89109484749</v>
      </c>
    </row>
    <row r="189" spans="1:13" ht="13.5" customHeight="1">
      <c r="A189" s="49">
        <v>43245</v>
      </c>
      <c r="B189" s="73" t="s">
        <v>279</v>
      </c>
      <c r="C189" s="73" t="s">
        <v>490</v>
      </c>
      <c r="D189" s="73" t="s">
        <v>186</v>
      </c>
      <c r="E189" s="73" t="s">
        <v>2000</v>
      </c>
      <c r="F189" s="75">
        <v>0.83680555555555558</v>
      </c>
      <c r="G189" s="76" t="s">
        <v>14</v>
      </c>
      <c r="H189" s="76"/>
      <c r="I189" s="76"/>
      <c r="J189" s="71" t="s">
        <v>2001</v>
      </c>
      <c r="K189" s="82" t="s">
        <v>2002</v>
      </c>
      <c r="L189" s="104" t="s">
        <v>492</v>
      </c>
      <c r="M189" s="111" t="s">
        <v>493</v>
      </c>
    </row>
    <row r="190" spans="1:13" ht="13.5" customHeight="1">
      <c r="A190" s="49">
        <v>43245</v>
      </c>
      <c r="B190" s="74" t="s">
        <v>279</v>
      </c>
      <c r="C190" s="74" t="s">
        <v>2086</v>
      </c>
      <c r="D190" s="74" t="s">
        <v>186</v>
      </c>
      <c r="E190" s="74" t="s">
        <v>2003</v>
      </c>
      <c r="F190" s="77">
        <v>0.79305555555555551</v>
      </c>
      <c r="G190" s="78" t="s">
        <v>14</v>
      </c>
      <c r="H190" s="78"/>
      <c r="I190" s="78"/>
      <c r="J190" s="72" t="s">
        <v>2004</v>
      </c>
      <c r="K190" s="81" t="s">
        <v>2005</v>
      </c>
      <c r="L190" s="104" t="s">
        <v>492</v>
      </c>
      <c r="M190" s="111" t="s">
        <v>493</v>
      </c>
    </row>
    <row r="191" spans="1:13" ht="13.5" customHeight="1">
      <c r="A191" s="49">
        <v>43245</v>
      </c>
      <c r="B191" s="74" t="s">
        <v>279</v>
      </c>
      <c r="C191" s="74" t="s">
        <v>2087</v>
      </c>
      <c r="D191" s="74" t="s">
        <v>186</v>
      </c>
      <c r="E191" s="74" t="s">
        <v>2006</v>
      </c>
      <c r="F191" s="77">
        <v>0.79513888888888884</v>
      </c>
      <c r="G191" s="78" t="s">
        <v>14</v>
      </c>
      <c r="H191" s="78"/>
      <c r="I191" s="78"/>
      <c r="J191" s="72" t="s">
        <v>2007</v>
      </c>
      <c r="K191" s="81" t="s">
        <v>2005</v>
      </c>
      <c r="L191" s="104" t="s">
        <v>492</v>
      </c>
      <c r="M191" s="111" t="s">
        <v>493</v>
      </c>
    </row>
    <row r="192" spans="1:13" ht="13.5" customHeight="1">
      <c r="A192" s="49">
        <v>43245</v>
      </c>
      <c r="B192" s="74" t="s">
        <v>130</v>
      </c>
      <c r="C192" s="74" t="s">
        <v>1955</v>
      </c>
      <c r="D192" s="74" t="s">
        <v>186</v>
      </c>
      <c r="E192" s="74" t="s">
        <v>2008</v>
      </c>
      <c r="F192" s="77">
        <v>0.79166666666666663</v>
      </c>
      <c r="G192" s="78" t="s">
        <v>71</v>
      </c>
      <c r="H192" s="78" t="s">
        <v>71</v>
      </c>
      <c r="I192" s="78" t="s">
        <v>14</v>
      </c>
      <c r="J192" s="72" t="s">
        <v>2009</v>
      </c>
      <c r="K192" s="81"/>
      <c r="L192" s="104" t="s">
        <v>139</v>
      </c>
      <c r="M192" s="111" t="s">
        <v>1618</v>
      </c>
    </row>
    <row r="193" spans="1:13" ht="13.5" customHeight="1">
      <c r="A193" s="49">
        <v>43245</v>
      </c>
      <c r="B193" s="74" t="s">
        <v>130</v>
      </c>
      <c r="C193" s="74" t="s">
        <v>1956</v>
      </c>
      <c r="D193" s="74" t="s">
        <v>186</v>
      </c>
      <c r="E193" s="74" t="s">
        <v>2010</v>
      </c>
      <c r="F193" s="77">
        <v>0.79513888888888884</v>
      </c>
      <c r="G193" s="78" t="s">
        <v>71</v>
      </c>
      <c r="H193" s="78" t="s">
        <v>71</v>
      </c>
      <c r="I193" s="78" t="s">
        <v>71</v>
      </c>
      <c r="J193" s="72" t="s">
        <v>2011</v>
      </c>
      <c r="K193" s="81"/>
      <c r="L193" s="104" t="s">
        <v>139</v>
      </c>
      <c r="M193" s="111" t="s">
        <v>1618</v>
      </c>
    </row>
    <row r="194" spans="1:13" ht="13.5" customHeight="1">
      <c r="A194" s="49">
        <v>43245</v>
      </c>
      <c r="B194" s="74" t="s">
        <v>130</v>
      </c>
      <c r="C194" s="74" t="s">
        <v>131</v>
      </c>
      <c r="D194" s="74" t="s">
        <v>186</v>
      </c>
      <c r="E194" s="74" t="s">
        <v>2012</v>
      </c>
      <c r="F194" s="77">
        <v>0.80902777777777779</v>
      </c>
      <c r="G194" s="78" t="s">
        <v>71</v>
      </c>
      <c r="H194" s="78" t="s">
        <v>71</v>
      </c>
      <c r="I194" s="78" t="s">
        <v>71</v>
      </c>
      <c r="J194" s="72" t="s">
        <v>2013</v>
      </c>
      <c r="K194" s="81"/>
      <c r="L194" s="104" t="s">
        <v>139</v>
      </c>
      <c r="M194" s="111" t="s">
        <v>1618</v>
      </c>
    </row>
    <row r="195" spans="1:13" ht="13.5" customHeight="1">
      <c r="A195" s="49">
        <v>43245</v>
      </c>
      <c r="B195" s="74" t="s">
        <v>130</v>
      </c>
      <c r="C195" s="74" t="s">
        <v>613</v>
      </c>
      <c r="D195" s="74" t="s">
        <v>186</v>
      </c>
      <c r="E195" s="74" t="s">
        <v>2014</v>
      </c>
      <c r="F195" s="77">
        <v>0.80208333333333337</v>
      </c>
      <c r="G195" s="78" t="s">
        <v>71</v>
      </c>
      <c r="H195" s="78" t="s">
        <v>71</v>
      </c>
      <c r="I195" s="78" t="s">
        <v>71</v>
      </c>
      <c r="J195" s="72" t="s">
        <v>2015</v>
      </c>
      <c r="K195" s="81"/>
      <c r="L195" s="104" t="s">
        <v>139</v>
      </c>
      <c r="M195" s="111" t="s">
        <v>1618</v>
      </c>
    </row>
    <row r="196" spans="1:13" ht="13.5" customHeight="1">
      <c r="A196" s="49">
        <v>43245</v>
      </c>
      <c r="B196" s="74" t="s">
        <v>97</v>
      </c>
      <c r="C196" s="74" t="s">
        <v>2088</v>
      </c>
      <c r="D196" s="74" t="s">
        <v>119</v>
      </c>
      <c r="E196" s="74" t="s">
        <v>2016</v>
      </c>
      <c r="F196" s="77">
        <v>0.77638888888888891</v>
      </c>
      <c r="G196" s="78" t="s">
        <v>71</v>
      </c>
      <c r="H196" s="78" t="s">
        <v>71</v>
      </c>
      <c r="I196" s="78" t="s">
        <v>71</v>
      </c>
      <c r="J196" s="72" t="s">
        <v>2017</v>
      </c>
      <c r="K196" s="81"/>
      <c r="L196" s="104" t="s">
        <v>1631</v>
      </c>
      <c r="M196" s="111" t="s">
        <v>143</v>
      </c>
    </row>
    <row r="197" spans="1:13" ht="13.5" customHeight="1">
      <c r="A197" s="49">
        <v>43245</v>
      </c>
      <c r="B197" s="74" t="s">
        <v>97</v>
      </c>
      <c r="C197" s="74" t="s">
        <v>2089</v>
      </c>
      <c r="D197" s="74" t="s">
        <v>119</v>
      </c>
      <c r="E197" s="74" t="s">
        <v>2018</v>
      </c>
      <c r="F197" s="77">
        <v>0.77569444444444446</v>
      </c>
      <c r="G197" s="78" t="s">
        <v>71</v>
      </c>
      <c r="H197" s="78" t="s">
        <v>71</v>
      </c>
      <c r="I197" s="78" t="s">
        <v>71</v>
      </c>
      <c r="J197" s="72" t="s">
        <v>2019</v>
      </c>
      <c r="K197" s="81" t="s">
        <v>2020</v>
      </c>
      <c r="L197" s="104" t="s">
        <v>1631</v>
      </c>
      <c r="M197" s="111" t="s">
        <v>143</v>
      </c>
    </row>
    <row r="198" spans="1:13" ht="13.5" customHeight="1">
      <c r="A198" s="49">
        <v>43245</v>
      </c>
      <c r="B198" s="74" t="s">
        <v>97</v>
      </c>
      <c r="C198" s="74" t="s">
        <v>2090</v>
      </c>
      <c r="D198" s="74" t="s">
        <v>119</v>
      </c>
      <c r="E198" s="74" t="s">
        <v>2021</v>
      </c>
      <c r="F198" s="77">
        <v>0.7944444444444444</v>
      </c>
      <c r="G198" s="78" t="s">
        <v>71</v>
      </c>
      <c r="H198" s="78" t="s">
        <v>71</v>
      </c>
      <c r="I198" s="78" t="s">
        <v>71</v>
      </c>
      <c r="J198" s="72" t="s">
        <v>2022</v>
      </c>
      <c r="K198" s="81"/>
      <c r="L198" s="104" t="s">
        <v>142</v>
      </c>
      <c r="M198" s="111" t="s">
        <v>143</v>
      </c>
    </row>
    <row r="199" spans="1:13" ht="13.5" customHeight="1">
      <c r="A199" s="49">
        <v>43245</v>
      </c>
      <c r="B199" s="74" t="s">
        <v>97</v>
      </c>
      <c r="C199" s="74" t="s">
        <v>579</v>
      </c>
      <c r="D199" s="74" t="s">
        <v>119</v>
      </c>
      <c r="E199" s="74" t="s">
        <v>2023</v>
      </c>
      <c r="F199" s="77">
        <v>0.78888888888888886</v>
      </c>
      <c r="G199" s="78" t="s">
        <v>71</v>
      </c>
      <c r="H199" s="78" t="s">
        <v>14</v>
      </c>
      <c r="I199" s="78" t="s">
        <v>71</v>
      </c>
      <c r="J199" s="72" t="s">
        <v>2024</v>
      </c>
      <c r="K199" s="81"/>
      <c r="L199" s="104" t="s">
        <v>142</v>
      </c>
      <c r="M199" s="111" t="s">
        <v>143</v>
      </c>
    </row>
    <row r="200" spans="1:13" ht="13.5" customHeight="1">
      <c r="A200" s="49">
        <v>43245</v>
      </c>
      <c r="B200" s="74" t="s">
        <v>121</v>
      </c>
      <c r="C200" s="74" t="s">
        <v>2091</v>
      </c>
      <c r="D200" s="74" t="s">
        <v>2025</v>
      </c>
      <c r="E200" s="74" t="s">
        <v>2026</v>
      </c>
      <c r="F200" s="77">
        <v>0.70833333333333337</v>
      </c>
      <c r="G200" s="78" t="s">
        <v>14</v>
      </c>
      <c r="H200" s="78"/>
      <c r="I200" s="78"/>
      <c r="J200" s="72" t="str">
        <f>HYPERLINK("https://yadi.sk/i/-HZqfNpB3WcMWF","https://yadi.sk/i/-HZqfNpB3WcMWF")</f>
        <v>https://yadi.sk/i/-HZqfNpB3WcMWF</v>
      </c>
      <c r="K200" s="81" t="s">
        <v>2027</v>
      </c>
      <c r="L200" s="104" t="s">
        <v>1044</v>
      </c>
      <c r="M200" s="111">
        <v>89005844050</v>
      </c>
    </row>
    <row r="201" spans="1:13" ht="13.5" customHeight="1">
      <c r="A201" s="49">
        <v>43245</v>
      </c>
      <c r="B201" s="74" t="s">
        <v>121</v>
      </c>
      <c r="C201" s="74" t="s">
        <v>2092</v>
      </c>
      <c r="D201" s="74" t="s">
        <v>2025</v>
      </c>
      <c r="E201" s="74" t="s">
        <v>2028</v>
      </c>
      <c r="F201" s="77">
        <v>0.73611111111111116</v>
      </c>
      <c r="G201" s="78" t="s">
        <v>14</v>
      </c>
      <c r="H201" s="78"/>
      <c r="I201" s="78"/>
      <c r="J201" s="72" t="str">
        <f>HYPERLINK("https://yadi.sk/i/jTZumwcQ3WcMuH","https://yadi.sk/i/jTZumwcQ3WcMuH")</f>
        <v>https://yadi.sk/i/jTZumwcQ3WcMuH</v>
      </c>
      <c r="K201" s="81" t="s">
        <v>2029</v>
      </c>
      <c r="L201" s="104" t="s">
        <v>1044</v>
      </c>
      <c r="M201" s="111">
        <v>89005844050</v>
      </c>
    </row>
    <row r="202" spans="1:13" ht="13.5" customHeight="1">
      <c r="A202" s="49">
        <v>43245</v>
      </c>
      <c r="B202" s="74" t="s">
        <v>121</v>
      </c>
      <c r="C202" s="74" t="s">
        <v>2093</v>
      </c>
      <c r="D202" s="74" t="s">
        <v>2030</v>
      </c>
      <c r="E202" s="74" t="s">
        <v>2031</v>
      </c>
      <c r="F202" s="77">
        <v>0.78472222222222221</v>
      </c>
      <c r="G202" s="78" t="s">
        <v>71</v>
      </c>
      <c r="H202" s="78" t="s">
        <v>71</v>
      </c>
      <c r="I202" s="78" t="s">
        <v>71</v>
      </c>
      <c r="J202" s="72" t="str">
        <f>HYPERLINK("https://yadi.sk/d/-b7-Z8ap3WcN94","https://yadi.sk/d/-b7-Z8ap3WcN94")</f>
        <v>https://yadi.sk/d/-b7-Z8ap3WcN94</v>
      </c>
      <c r="K202" s="81"/>
      <c r="L202" s="104" t="s">
        <v>1044</v>
      </c>
      <c r="M202" s="111">
        <v>89005844050</v>
      </c>
    </row>
    <row r="203" spans="1:13" ht="13.5" customHeight="1">
      <c r="A203" s="49">
        <v>43245</v>
      </c>
      <c r="B203" s="74" t="s">
        <v>121</v>
      </c>
      <c r="C203" s="74" t="s">
        <v>476</v>
      </c>
      <c r="D203" s="74" t="s">
        <v>2030</v>
      </c>
      <c r="E203" s="74" t="s">
        <v>2032</v>
      </c>
      <c r="F203" s="77">
        <v>0.80555555555555558</v>
      </c>
      <c r="G203" s="78" t="s">
        <v>71</v>
      </c>
      <c r="H203" s="78" t="s">
        <v>71</v>
      </c>
      <c r="I203" s="78" t="s">
        <v>71</v>
      </c>
      <c r="J203" s="72" t="str">
        <f>HYPERLINK("https://yadi.sk/d/PnvhXAR33WcNbJ","https://yadi.sk/d/PnvhXAR33WcNbJ")</f>
        <v>https://yadi.sk/d/PnvhXAR33WcNbJ</v>
      </c>
      <c r="K203" s="81"/>
      <c r="L203" s="104" t="s">
        <v>1044</v>
      </c>
      <c r="M203" s="111">
        <v>89005844050</v>
      </c>
    </row>
    <row r="204" spans="1:13" ht="13.5" customHeight="1">
      <c r="A204" s="49">
        <v>43245</v>
      </c>
      <c r="B204" s="74" t="s">
        <v>310</v>
      </c>
      <c r="C204" s="74" t="s">
        <v>480</v>
      </c>
      <c r="D204" s="74" t="s">
        <v>1887</v>
      </c>
      <c r="E204" s="74" t="s">
        <v>2033</v>
      </c>
      <c r="F204" s="77">
        <v>0.77708333333333335</v>
      </c>
      <c r="G204" s="78" t="s">
        <v>71</v>
      </c>
      <c r="H204" s="78" t="s">
        <v>14</v>
      </c>
      <c r="I204" s="78" t="s">
        <v>71</v>
      </c>
      <c r="J204" s="72" t="str">
        <f>HYPERLINK("https://yadi.sk/d/W6xhXOIV3WXpmy","https://yadi.sk/d/W6xhXOIV3WXpmy")</f>
        <v>https://yadi.sk/d/W6xhXOIV3WXpmy</v>
      </c>
      <c r="K204" s="81"/>
      <c r="L204" s="104" t="s">
        <v>341</v>
      </c>
      <c r="M204" s="111" t="s">
        <v>342</v>
      </c>
    </row>
    <row r="205" spans="1:13" ht="13.5" customHeight="1">
      <c r="A205" s="49">
        <v>43245</v>
      </c>
      <c r="B205" s="74" t="s">
        <v>310</v>
      </c>
      <c r="C205" s="74" t="s">
        <v>1598</v>
      </c>
      <c r="D205" s="74" t="s">
        <v>1887</v>
      </c>
      <c r="E205" s="74" t="s">
        <v>2034</v>
      </c>
      <c r="F205" s="77">
        <v>0.7944444444444444</v>
      </c>
      <c r="G205" s="78" t="s">
        <v>14</v>
      </c>
      <c r="H205" s="78"/>
      <c r="I205" s="78"/>
      <c r="J205" s="72" t="str">
        <f>HYPERLINK("https://yadi.sk/i/ikcrlL5J3WXqX6","https://yadi.sk/i/ikcrlL5J3WXqX6")</f>
        <v>https://yadi.sk/i/ikcrlL5J3WXqX6</v>
      </c>
      <c r="K205" s="81" t="s">
        <v>2035</v>
      </c>
      <c r="L205" s="104" t="s">
        <v>341</v>
      </c>
      <c r="M205" s="111" t="s">
        <v>342</v>
      </c>
    </row>
    <row r="206" spans="1:13" ht="13.5" customHeight="1">
      <c r="A206" s="49">
        <v>43245</v>
      </c>
      <c r="B206" s="74" t="s">
        <v>310</v>
      </c>
      <c r="C206" s="74" t="s">
        <v>481</v>
      </c>
      <c r="D206" s="74" t="s">
        <v>1887</v>
      </c>
      <c r="E206" s="74" t="s">
        <v>2036</v>
      </c>
      <c r="F206" s="77">
        <v>0.83194444444444449</v>
      </c>
      <c r="G206" s="78" t="s">
        <v>71</v>
      </c>
      <c r="H206" s="78" t="s">
        <v>71</v>
      </c>
      <c r="I206" s="78" t="s">
        <v>71</v>
      </c>
      <c r="J206" s="72" t="str">
        <f>HYPERLINK("https://yadi.sk/d/ac6Bn2lv3WcLHq","https://yadi.sk/d/ac6Bn2lv3WcLHq")</f>
        <v>https://yadi.sk/d/ac6Bn2lv3WcLHq</v>
      </c>
      <c r="K206" s="81"/>
      <c r="L206" s="104" t="s">
        <v>341</v>
      </c>
      <c r="M206" s="111" t="s">
        <v>342</v>
      </c>
    </row>
    <row r="207" spans="1:13" ht="13.5" customHeight="1">
      <c r="A207" s="49">
        <v>43245</v>
      </c>
      <c r="B207" s="74" t="s">
        <v>310</v>
      </c>
      <c r="C207" s="74" t="s">
        <v>482</v>
      </c>
      <c r="D207" s="74" t="s">
        <v>1887</v>
      </c>
      <c r="E207" s="74" t="s">
        <v>2037</v>
      </c>
      <c r="F207" s="77">
        <v>0.83680555555555558</v>
      </c>
      <c r="G207" s="78" t="s">
        <v>71</v>
      </c>
      <c r="H207" s="78" t="s">
        <v>71</v>
      </c>
      <c r="I207" s="78" t="s">
        <v>71</v>
      </c>
      <c r="J207" s="72" t="str">
        <f>HYPERLINK("https://yadi.sk/d/sVpu0oVY3WcLdj","https://yadi.sk/d/sVpu0oVY3WcLdj")</f>
        <v>https://yadi.sk/d/sVpu0oVY3WcLdj</v>
      </c>
      <c r="K207" s="81"/>
      <c r="L207" s="104" t="s">
        <v>341</v>
      </c>
      <c r="M207" s="111" t="s">
        <v>342</v>
      </c>
    </row>
    <row r="208" spans="1:13" ht="13.5" customHeight="1">
      <c r="A208" s="49">
        <v>43245</v>
      </c>
      <c r="B208" s="74" t="s">
        <v>174</v>
      </c>
      <c r="C208" s="74" t="s">
        <v>460</v>
      </c>
      <c r="D208" s="74" t="s">
        <v>119</v>
      </c>
      <c r="E208" s="74" t="s">
        <v>2038</v>
      </c>
      <c r="F208" s="77">
        <v>0.77083333333333337</v>
      </c>
      <c r="G208" s="78" t="s">
        <v>71</v>
      </c>
      <c r="H208" s="78" t="s">
        <v>14</v>
      </c>
      <c r="I208" s="78" t="s">
        <v>71</v>
      </c>
      <c r="J208" s="72" t="str">
        <f>HYPERLINK("https://yadi.sk/d/PInRGuD03WcP6t","https://yadi.sk/d/PInRGuD03WcP6t")</f>
        <v>https://yadi.sk/d/PInRGuD03WcP6t</v>
      </c>
      <c r="K208" s="81"/>
      <c r="L208" s="104" t="s">
        <v>238</v>
      </c>
      <c r="M208" s="111">
        <v>89043682092</v>
      </c>
    </row>
    <row r="209" spans="1:13" ht="13.5" customHeight="1">
      <c r="A209" s="49">
        <v>43245</v>
      </c>
      <c r="B209" s="74" t="s">
        <v>174</v>
      </c>
      <c r="C209" s="74" t="s">
        <v>2094</v>
      </c>
      <c r="D209" s="74" t="s">
        <v>1233</v>
      </c>
      <c r="E209" s="74" t="s">
        <v>2039</v>
      </c>
      <c r="F209" s="77">
        <v>0.78055555555555556</v>
      </c>
      <c r="G209" s="78" t="s">
        <v>71</v>
      </c>
      <c r="H209" s="78" t="s">
        <v>71</v>
      </c>
      <c r="I209" s="78" t="s">
        <v>71</v>
      </c>
      <c r="J209" s="72" t="str">
        <f>HYPERLINK("https://yadi.sk/d/OUNulaIB3WcPRM","https://yadi.sk/d/OUNulaIB3WcPRM")</f>
        <v>https://yadi.sk/d/OUNulaIB3WcPRM</v>
      </c>
      <c r="K209" s="81"/>
      <c r="L209" s="104" t="s">
        <v>238</v>
      </c>
      <c r="M209" s="111">
        <v>89043682092</v>
      </c>
    </row>
    <row r="210" spans="1:13" ht="13.5" customHeight="1">
      <c r="A210" s="49">
        <v>43245</v>
      </c>
      <c r="B210" s="74" t="s">
        <v>174</v>
      </c>
      <c r="C210" s="74" t="s">
        <v>1471</v>
      </c>
      <c r="D210" s="74" t="s">
        <v>635</v>
      </c>
      <c r="E210" s="74" t="s">
        <v>2040</v>
      </c>
      <c r="F210" s="77">
        <v>0.79861111111111116</v>
      </c>
      <c r="G210" s="78" t="s">
        <v>71</v>
      </c>
      <c r="H210" s="78" t="s">
        <v>71</v>
      </c>
      <c r="I210" s="78" t="s">
        <v>71</v>
      </c>
      <c r="J210" s="72" t="str">
        <f>HYPERLINK("https://yadi.sk/d/WEIlmfsz3WcPeD","https://yadi.sk/d/WEIlmfsz3WcPeD")</f>
        <v>https://yadi.sk/d/WEIlmfsz3WcPeD</v>
      </c>
      <c r="K210" s="81"/>
      <c r="L210" s="104" t="s">
        <v>796</v>
      </c>
      <c r="M210" s="111">
        <v>89585696061</v>
      </c>
    </row>
    <row r="211" spans="1:13" ht="13.5" customHeight="1">
      <c r="A211" s="49">
        <v>43245</v>
      </c>
      <c r="B211" s="74" t="s">
        <v>174</v>
      </c>
      <c r="C211" s="74" t="s">
        <v>1967</v>
      </c>
      <c r="D211" s="74" t="s">
        <v>635</v>
      </c>
      <c r="E211" s="74" t="s">
        <v>2041</v>
      </c>
      <c r="F211" s="77">
        <v>0.80902777777777779</v>
      </c>
      <c r="G211" s="78" t="s">
        <v>71</v>
      </c>
      <c r="H211" s="78" t="s">
        <v>71</v>
      </c>
      <c r="I211" s="78" t="s">
        <v>71</v>
      </c>
      <c r="J211" s="72" t="str">
        <f>HYPERLINK("https://yadi.sk/d/NHTFj_Gi3WcQ5m","https://yadi.sk/d/NHTFj_Gi3WcQ5m")</f>
        <v>https://yadi.sk/d/NHTFj_Gi3WcQ5m</v>
      </c>
      <c r="K211" s="81"/>
      <c r="L211" s="104" t="s">
        <v>796</v>
      </c>
      <c r="M211" s="111">
        <v>89585696061</v>
      </c>
    </row>
    <row r="212" spans="1:13" ht="13.5" customHeight="1">
      <c r="A212" s="52">
        <v>43248</v>
      </c>
      <c r="B212" s="73" t="s">
        <v>393</v>
      </c>
      <c r="C212" s="73" t="s">
        <v>2095</v>
      </c>
      <c r="D212" s="73" t="s">
        <v>186</v>
      </c>
      <c r="E212" s="73" t="s">
        <v>2042</v>
      </c>
      <c r="F212" s="75">
        <v>0.81597222222222221</v>
      </c>
      <c r="G212" s="76" t="s">
        <v>71</v>
      </c>
      <c r="H212" s="76" t="s">
        <v>14</v>
      </c>
      <c r="I212" s="76" t="s">
        <v>71</v>
      </c>
      <c r="J212" s="71" t="s">
        <v>2043</v>
      </c>
      <c r="K212" s="82" t="s">
        <v>2044</v>
      </c>
      <c r="L212" s="104" t="s">
        <v>1817</v>
      </c>
      <c r="M212" s="111" t="s">
        <v>1818</v>
      </c>
    </row>
    <row r="213" spans="1:13" ht="13.5" customHeight="1">
      <c r="A213" s="52">
        <v>43248</v>
      </c>
      <c r="B213" s="74" t="s">
        <v>393</v>
      </c>
      <c r="C213" s="74" t="s">
        <v>2096</v>
      </c>
      <c r="D213" s="74" t="s">
        <v>186</v>
      </c>
      <c r="E213" s="74" t="s">
        <v>2045</v>
      </c>
      <c r="F213" s="77">
        <v>0.80138888888888893</v>
      </c>
      <c r="G213" s="78" t="s">
        <v>14</v>
      </c>
      <c r="H213" s="78"/>
      <c r="I213" s="78"/>
      <c r="J213" s="72" t="s">
        <v>2046</v>
      </c>
      <c r="K213" s="81" t="s">
        <v>2047</v>
      </c>
      <c r="L213" s="104" t="s">
        <v>474</v>
      </c>
      <c r="M213" s="111" t="s">
        <v>475</v>
      </c>
    </row>
    <row r="214" spans="1:13" ht="13.5" customHeight="1">
      <c r="A214" s="52">
        <v>43248</v>
      </c>
      <c r="B214" s="74" t="s">
        <v>393</v>
      </c>
      <c r="C214" s="74" t="s">
        <v>1013</v>
      </c>
      <c r="D214" s="74" t="s">
        <v>186</v>
      </c>
      <c r="E214" s="74" t="s">
        <v>2048</v>
      </c>
      <c r="F214" s="77">
        <v>0.83680555555555558</v>
      </c>
      <c r="G214" s="78" t="s">
        <v>14</v>
      </c>
      <c r="H214" s="78"/>
      <c r="I214" s="78"/>
      <c r="J214" s="72" t="s">
        <v>2049</v>
      </c>
      <c r="K214" s="81" t="s">
        <v>2050</v>
      </c>
      <c r="L214" s="104" t="s">
        <v>568</v>
      </c>
      <c r="M214" s="111" t="s">
        <v>569</v>
      </c>
    </row>
    <row r="215" spans="1:13" ht="13.5" customHeight="1">
      <c r="A215" s="52">
        <v>43248</v>
      </c>
      <c r="B215" s="74" t="s">
        <v>24</v>
      </c>
      <c r="C215" s="74" t="s">
        <v>846</v>
      </c>
      <c r="D215" s="74" t="s">
        <v>658</v>
      </c>
      <c r="E215" s="74" t="s">
        <v>2051</v>
      </c>
      <c r="F215" s="77">
        <v>0.79583333333333328</v>
      </c>
      <c r="G215" s="78" t="s">
        <v>71</v>
      </c>
      <c r="H215" s="78" t="s">
        <v>71</v>
      </c>
      <c r="I215" s="78" t="s">
        <v>71</v>
      </c>
      <c r="J215" s="72" t="str">
        <f>HYPERLINK("https://yadi.sk/d/2YhU3IWP3WeqZW","https://yadi.sk/d/2YhU3IWP3WeqZW")</f>
        <v>https://yadi.sk/d/2YhU3IWP3WeqZW</v>
      </c>
      <c r="K215" s="81"/>
      <c r="L215" s="104" t="s">
        <v>1011</v>
      </c>
      <c r="M215" s="111">
        <v>89103188508</v>
      </c>
    </row>
    <row r="216" spans="1:13" ht="13.5" customHeight="1">
      <c r="A216" s="52">
        <v>43248</v>
      </c>
      <c r="B216" s="74" t="s">
        <v>24</v>
      </c>
      <c r="C216" s="74" t="s">
        <v>844</v>
      </c>
      <c r="D216" s="74" t="s">
        <v>658</v>
      </c>
      <c r="E216" s="74" t="s">
        <v>2051</v>
      </c>
      <c r="F216" s="77">
        <v>0.79861111111111116</v>
      </c>
      <c r="G216" s="78" t="s">
        <v>71</v>
      </c>
      <c r="H216" s="78" t="s">
        <v>71</v>
      </c>
      <c r="I216" s="78" t="s">
        <v>71</v>
      </c>
      <c r="J216" s="72" t="str">
        <f>HYPERLINK("https://yadi.sk/d/k02X7XQr3WeqgK","https://yadi.sk/d/k02X7XQr3WeqgK")</f>
        <v>https://yadi.sk/d/k02X7XQr3WeqgK</v>
      </c>
      <c r="K216" s="81"/>
      <c r="L216" s="104" t="s">
        <v>1011</v>
      </c>
      <c r="M216" s="111">
        <v>89103188508</v>
      </c>
    </row>
    <row r="217" spans="1:13" ht="13.5" customHeight="1">
      <c r="A217" s="52">
        <v>43248</v>
      </c>
      <c r="B217" s="74" t="s">
        <v>24</v>
      </c>
      <c r="C217" s="74" t="s">
        <v>2097</v>
      </c>
      <c r="D217" s="74" t="s">
        <v>658</v>
      </c>
      <c r="E217" s="74" t="s">
        <v>2051</v>
      </c>
      <c r="F217" s="77">
        <v>0.80138888888888893</v>
      </c>
      <c r="G217" s="78" t="s">
        <v>71</v>
      </c>
      <c r="H217" s="78" t="s">
        <v>71</v>
      </c>
      <c r="I217" s="78" t="s">
        <v>71</v>
      </c>
      <c r="J217" s="72" t="str">
        <f>HYPERLINK("https://yadi.sk/d/nLTT2fag3WeqnC","https://yadi.sk/d/nLTT2fag3WeqnC")</f>
        <v>https://yadi.sk/d/nLTT2fag3WeqnC</v>
      </c>
      <c r="K217" s="81"/>
      <c r="L217" s="104" t="s">
        <v>1011</v>
      </c>
      <c r="M217" s="111">
        <v>89103188508</v>
      </c>
    </row>
    <row r="218" spans="1:13" ht="13.5" customHeight="1">
      <c r="A218" s="52">
        <v>43248</v>
      </c>
      <c r="B218" s="74" t="s">
        <v>24</v>
      </c>
      <c r="C218" s="74" t="s">
        <v>2098</v>
      </c>
      <c r="D218" s="74" t="s">
        <v>2052</v>
      </c>
      <c r="E218" s="74" t="s">
        <v>2053</v>
      </c>
      <c r="F218" s="77">
        <v>0.82916666666666672</v>
      </c>
      <c r="G218" s="78" t="s">
        <v>71</v>
      </c>
      <c r="H218" s="78" t="s">
        <v>71</v>
      </c>
      <c r="I218" s="78" t="s">
        <v>71</v>
      </c>
      <c r="J218" s="72" t="str">
        <f>HYPERLINK("https://yadi.sk/d/d48qLcVq3Wer5R","https://yadi.sk/d/d48qLcVq3Wer5R")</f>
        <v>https://yadi.sk/d/d48qLcVq3Wer5R</v>
      </c>
      <c r="K218" s="81"/>
      <c r="L218" s="104" t="s">
        <v>1011</v>
      </c>
      <c r="M218" s="111">
        <v>89103188508</v>
      </c>
    </row>
    <row r="219" spans="1:13" s="223" customFormat="1" ht="13.5" customHeight="1">
      <c r="A219" s="52">
        <v>43248</v>
      </c>
      <c r="B219" s="205" t="s">
        <v>1783</v>
      </c>
      <c r="C219" s="205" t="s">
        <v>2099</v>
      </c>
      <c r="D219" s="205" t="s">
        <v>2054</v>
      </c>
      <c r="E219" s="308" t="s">
        <v>2055</v>
      </c>
      <c r="F219" s="77">
        <v>0.73541666666666672</v>
      </c>
      <c r="G219" s="78" t="s">
        <v>71</v>
      </c>
      <c r="H219" s="78" t="s">
        <v>71</v>
      </c>
      <c r="I219" s="78" t="s">
        <v>71</v>
      </c>
      <c r="J219" s="309" t="str">
        <f>HYPERLINK("https://yadi.sk/d/byoeM80Y3WerbX","https://yadi.sk/d/byoeM80Y3WerbX")</f>
        <v>https://yadi.sk/d/byoeM80Y3WerbX</v>
      </c>
      <c r="K219" s="311"/>
      <c r="L219" s="249" t="s">
        <v>1824</v>
      </c>
      <c r="M219" s="251" t="s">
        <v>2101</v>
      </c>
    </row>
    <row r="220" spans="1:13" ht="13.5" customHeight="1">
      <c r="A220" s="52">
        <v>43248</v>
      </c>
      <c r="B220" s="205" t="s">
        <v>1783</v>
      </c>
      <c r="C220" s="74" t="s">
        <v>2100</v>
      </c>
      <c r="D220" s="74" t="s">
        <v>2054</v>
      </c>
      <c r="E220" s="74" t="s">
        <v>2056</v>
      </c>
      <c r="F220" s="77">
        <v>0.73888888888888893</v>
      </c>
      <c r="G220" s="78" t="s">
        <v>71</v>
      </c>
      <c r="H220" s="78" t="s">
        <v>71</v>
      </c>
      <c r="I220" s="78" t="s">
        <v>71</v>
      </c>
      <c r="J220" s="72" t="str">
        <f>HYPERLINK("https://yadi.sk/d/-IucXZLh3WernH","https://yadi.sk/d/-IucXZLh3WernH")</f>
        <v>https://yadi.sk/d/-IucXZLh3WernH</v>
      </c>
      <c r="K220" s="81"/>
      <c r="L220" s="104" t="s">
        <v>1824</v>
      </c>
      <c r="M220" s="111" t="s">
        <v>2101</v>
      </c>
    </row>
    <row r="221" spans="1:13" ht="13.5" customHeight="1">
      <c r="A221" s="52">
        <v>43248</v>
      </c>
      <c r="B221" s="205" t="s">
        <v>1783</v>
      </c>
      <c r="C221" s="74" t="s">
        <v>1965</v>
      </c>
      <c r="D221" s="74" t="s">
        <v>1435</v>
      </c>
      <c r="E221" s="74" t="s">
        <v>2057</v>
      </c>
      <c r="F221" s="77">
        <v>0.79861111111111116</v>
      </c>
      <c r="G221" s="78" t="s">
        <v>71</v>
      </c>
      <c r="H221" s="78" t="s">
        <v>71</v>
      </c>
      <c r="I221" s="78" t="s">
        <v>71</v>
      </c>
      <c r="J221" s="72" t="str">
        <f>HYPERLINK("https://yadi.sk/d/xkmiCuUP3Wes5V","https://yadi.sk/d/xkmiCuUP3Wes5V")</f>
        <v>https://yadi.sk/d/xkmiCuUP3Wes5V</v>
      </c>
      <c r="K221" s="81"/>
      <c r="L221" s="104" t="s">
        <v>1826</v>
      </c>
      <c r="M221" s="111" t="s">
        <v>1827</v>
      </c>
    </row>
    <row r="222" spans="1:13" ht="13.5" customHeight="1">
      <c r="A222" s="52">
        <v>43248</v>
      </c>
      <c r="B222" s="74" t="s">
        <v>161</v>
      </c>
      <c r="C222" s="74" t="s">
        <v>1828</v>
      </c>
      <c r="D222" s="74" t="s">
        <v>1025</v>
      </c>
      <c r="E222" s="74" t="s">
        <v>2058</v>
      </c>
      <c r="F222" s="77">
        <v>0.75972222222222219</v>
      </c>
      <c r="G222" s="78" t="s">
        <v>71</v>
      </c>
      <c r="H222" s="78" t="s">
        <v>71</v>
      </c>
      <c r="I222" s="78" t="s">
        <v>71</v>
      </c>
      <c r="J222" s="72" t="str">
        <f>HYPERLINK("https://yadi.sk/d/NZlOdvwP3WesYG","https://yadi.sk/d/NZlOdvwP3WesYG")</f>
        <v>https://yadi.sk/d/NZlOdvwP3WesYG</v>
      </c>
      <c r="K222" s="81"/>
      <c r="L222" s="104" t="s">
        <v>570</v>
      </c>
      <c r="M222" s="111">
        <v>89534771666</v>
      </c>
    </row>
    <row r="223" spans="1:13" ht="13.5" customHeight="1">
      <c r="A223" s="52">
        <v>43248</v>
      </c>
      <c r="B223" s="74" t="s">
        <v>1643</v>
      </c>
      <c r="C223" s="74" t="s">
        <v>1634</v>
      </c>
      <c r="D223" s="74" t="s">
        <v>113</v>
      </c>
      <c r="E223" s="74" t="s">
        <v>2059</v>
      </c>
      <c r="F223" s="77">
        <v>0.73611111111111116</v>
      </c>
      <c r="G223" s="78" t="s">
        <v>71</v>
      </c>
      <c r="H223" s="78" t="s">
        <v>71</v>
      </c>
      <c r="I223" s="78" t="s">
        <v>71</v>
      </c>
      <c r="J223" s="72" t="str">
        <f>HYPERLINK("https://yadi.sk/d/PWUclJCb3Wesic","https://yadi.sk/d/PWUclJCb3Wesic")</f>
        <v>https://yadi.sk/d/PWUclJCb3Wesic</v>
      </c>
      <c r="K223" s="81"/>
      <c r="L223" s="104" t="s">
        <v>1632</v>
      </c>
      <c r="M223" s="111" t="s">
        <v>576</v>
      </c>
    </row>
    <row r="224" spans="1:13" ht="13.5" customHeight="1">
      <c r="A224" s="52">
        <v>43248</v>
      </c>
      <c r="B224" s="74" t="s">
        <v>1643</v>
      </c>
      <c r="C224" s="74" t="s">
        <v>1251</v>
      </c>
      <c r="D224" s="74" t="s">
        <v>1684</v>
      </c>
      <c r="E224" s="74" t="s">
        <v>2060</v>
      </c>
      <c r="F224" s="77">
        <v>0.79097222222222219</v>
      </c>
      <c r="G224" s="78" t="s">
        <v>14</v>
      </c>
      <c r="H224" s="78"/>
      <c r="I224" s="78"/>
      <c r="J224" s="72" t="str">
        <f>HYPERLINK("https://yadi.sk/i/j1UVJ4Ps3WesyU","https://yadi.sk/i/j1UVJ4Ps3WesyU")</f>
        <v>https://yadi.sk/i/j1UVJ4Ps3WesyU</v>
      </c>
      <c r="K224" s="81" t="s">
        <v>2061</v>
      </c>
      <c r="L224" s="104" t="s">
        <v>2102</v>
      </c>
      <c r="M224" s="111" t="s">
        <v>2103</v>
      </c>
    </row>
    <row r="225" spans="1:13" ht="13.5" customHeight="1">
      <c r="A225" s="52">
        <v>43248</v>
      </c>
      <c r="B225" s="74" t="s">
        <v>1643</v>
      </c>
      <c r="C225" s="74" t="s">
        <v>1253</v>
      </c>
      <c r="D225" s="74" t="s">
        <v>1419</v>
      </c>
      <c r="E225" s="74" t="s">
        <v>2062</v>
      </c>
      <c r="F225" s="77">
        <v>0.82430555555555551</v>
      </c>
      <c r="G225" s="78" t="s">
        <v>71</v>
      </c>
      <c r="H225" s="78" t="s">
        <v>14</v>
      </c>
      <c r="I225" s="78" t="s">
        <v>14</v>
      </c>
      <c r="J225" s="72" t="str">
        <f>HYPERLINK("https://yadi.sk/i/0pV0AUKN3WetGZ","https://yadi.sk/i/0pV0AUKN3WetGZ")</f>
        <v>https://yadi.sk/i/0pV0AUKN3WetGZ</v>
      </c>
      <c r="K225" s="81"/>
      <c r="L225" s="104" t="s">
        <v>1254</v>
      </c>
      <c r="M225" s="111" t="s">
        <v>1255</v>
      </c>
    </row>
    <row r="226" spans="1:13" ht="13.5" customHeight="1">
      <c r="A226" s="52">
        <v>43248</v>
      </c>
      <c r="B226" s="74" t="s">
        <v>34</v>
      </c>
      <c r="C226" s="74" t="s">
        <v>559</v>
      </c>
      <c r="D226" s="74" t="s">
        <v>186</v>
      </c>
      <c r="E226" s="74" t="s">
        <v>2063</v>
      </c>
      <c r="F226" s="77">
        <v>0.78472222222222221</v>
      </c>
      <c r="G226" s="78" t="s">
        <v>71</v>
      </c>
      <c r="H226" s="78" t="s">
        <v>71</v>
      </c>
      <c r="I226" s="78" t="s">
        <v>71</v>
      </c>
      <c r="J226" s="72" t="str">
        <f>HYPERLINK("https://yadi.sk/d/HFwvGiIv3WetkX","https://yadi.sk/d/HFwvGiIv3WetkX")</f>
        <v>https://yadi.sk/d/HFwvGiIv3WetkX</v>
      </c>
      <c r="K226" s="81"/>
      <c r="L226" s="104" t="s">
        <v>65</v>
      </c>
      <c r="M226" s="111">
        <v>89997648473</v>
      </c>
    </row>
    <row r="227" spans="1:13" ht="13.5" customHeight="1">
      <c r="A227" s="52">
        <v>43248</v>
      </c>
      <c r="B227" s="74" t="s">
        <v>34</v>
      </c>
      <c r="C227" s="74" t="s">
        <v>2104</v>
      </c>
      <c r="D227" s="74" t="s">
        <v>186</v>
      </c>
      <c r="E227" s="74" t="s">
        <v>2064</v>
      </c>
      <c r="F227" s="77">
        <v>0.81388888888888888</v>
      </c>
      <c r="G227" s="78" t="s">
        <v>71</v>
      </c>
      <c r="H227" s="78" t="s">
        <v>71</v>
      </c>
      <c r="I227" s="78" t="s">
        <v>71</v>
      </c>
      <c r="J227" s="72" t="str">
        <f>HYPERLINK("https://yadi.sk/d/UKvczfz63WetzV","https://yadi.sk/d/UKvczfz63WetzV")</f>
        <v>https://yadi.sk/d/UKvczfz63WetzV</v>
      </c>
      <c r="K227" s="81"/>
      <c r="L227" s="104" t="s">
        <v>797</v>
      </c>
      <c r="M227" s="111">
        <v>89206346464</v>
      </c>
    </row>
    <row r="228" spans="1:13" ht="13.5" customHeight="1">
      <c r="A228" s="52">
        <v>43248</v>
      </c>
      <c r="B228" s="74" t="s">
        <v>34</v>
      </c>
      <c r="C228" s="74" t="s">
        <v>1830</v>
      </c>
      <c r="D228" s="74" t="s">
        <v>186</v>
      </c>
      <c r="E228" s="74" t="s">
        <v>2065</v>
      </c>
      <c r="F228" s="77">
        <v>0.83680555555555558</v>
      </c>
      <c r="G228" s="78" t="s">
        <v>71</v>
      </c>
      <c r="H228" s="78" t="s">
        <v>71</v>
      </c>
      <c r="I228" s="78" t="s">
        <v>71</v>
      </c>
      <c r="J228" s="72" t="str">
        <f>HYPERLINK("https://yadi.sk/d/8yoFhtdh3WeuKd","https://yadi.sk/d/8yoFhtdh3WeuKd")</f>
        <v>https://yadi.sk/d/8yoFhtdh3WeuKd</v>
      </c>
      <c r="K228" s="81"/>
      <c r="L228" s="104" t="s">
        <v>65</v>
      </c>
      <c r="M228" s="111">
        <v>89997648473</v>
      </c>
    </row>
    <row r="229" spans="1:13" ht="13.5" customHeight="1">
      <c r="A229" s="52">
        <v>43248</v>
      </c>
      <c r="B229" s="74" t="s">
        <v>34</v>
      </c>
      <c r="C229" s="74" t="s">
        <v>561</v>
      </c>
      <c r="D229" s="74" t="s">
        <v>186</v>
      </c>
      <c r="E229" s="74" t="s">
        <v>2066</v>
      </c>
      <c r="F229" s="77">
        <v>0.85763888888888884</v>
      </c>
      <c r="G229" s="78" t="s">
        <v>71</v>
      </c>
      <c r="H229" s="78" t="s">
        <v>71</v>
      </c>
      <c r="I229" s="78" t="s">
        <v>71</v>
      </c>
      <c r="J229" s="72" t="str">
        <f>HYPERLINK("https://yadi.sk/d/uUQz5BYp3Weue9","https://yadi.sk/d/uUQz5BYp3Weue9")</f>
        <v>https://yadi.sk/d/uUQz5BYp3Weue9</v>
      </c>
      <c r="K229" s="81"/>
      <c r="L229" s="104" t="s">
        <v>797</v>
      </c>
      <c r="M229" s="111">
        <v>89206346464</v>
      </c>
    </row>
    <row r="230" spans="1:13" ht="12.75" customHeight="1">
      <c r="A230" s="49">
        <v>43249</v>
      </c>
      <c r="B230" s="73" t="s">
        <v>218</v>
      </c>
      <c r="C230" s="73" t="s">
        <v>657</v>
      </c>
      <c r="D230" s="73" t="s">
        <v>544</v>
      </c>
      <c r="E230" s="73" t="s">
        <v>2067</v>
      </c>
      <c r="F230" s="75">
        <v>0.79791666666666672</v>
      </c>
      <c r="G230" s="76" t="s">
        <v>14</v>
      </c>
      <c r="H230" s="76"/>
      <c r="I230" s="76"/>
      <c r="J230" s="71" t="s">
        <v>2068</v>
      </c>
      <c r="K230" s="82" t="s">
        <v>2069</v>
      </c>
      <c r="L230" s="104" t="s">
        <v>488</v>
      </c>
      <c r="M230" s="111">
        <v>89803020082</v>
      </c>
    </row>
    <row r="231" spans="1:13" ht="12.75" customHeight="1">
      <c r="A231" s="49">
        <v>43249</v>
      </c>
      <c r="B231" s="74" t="s">
        <v>203</v>
      </c>
      <c r="C231" s="74" t="s">
        <v>2084</v>
      </c>
      <c r="D231" s="74" t="s">
        <v>857</v>
      </c>
      <c r="E231" s="74" t="s">
        <v>2070</v>
      </c>
      <c r="F231" s="77">
        <v>0.78472222222222221</v>
      </c>
      <c r="G231" s="78" t="s">
        <v>71</v>
      </c>
      <c r="H231" s="78" t="s">
        <v>71</v>
      </c>
      <c r="I231" s="78" t="s">
        <v>71</v>
      </c>
      <c r="J231" s="72" t="s">
        <v>2071</v>
      </c>
      <c r="K231" s="81"/>
      <c r="L231" s="104" t="s">
        <v>1586</v>
      </c>
      <c r="M231" s="111">
        <v>89038450071</v>
      </c>
    </row>
    <row r="232" spans="1:13" ht="12.75" customHeight="1">
      <c r="A232" s="49">
        <v>43249</v>
      </c>
      <c r="B232" s="74" t="s">
        <v>203</v>
      </c>
      <c r="C232" s="74" t="s">
        <v>1584</v>
      </c>
      <c r="D232" s="74" t="s">
        <v>857</v>
      </c>
      <c r="E232" s="74" t="s">
        <v>2072</v>
      </c>
      <c r="F232" s="77">
        <v>0.78819444444444442</v>
      </c>
      <c r="G232" s="78" t="s">
        <v>71</v>
      </c>
      <c r="H232" s="78" t="s">
        <v>71</v>
      </c>
      <c r="I232" s="78" t="s">
        <v>71</v>
      </c>
      <c r="J232" s="72" t="s">
        <v>2073</v>
      </c>
      <c r="K232" s="81"/>
      <c r="L232" s="104" t="s">
        <v>1586</v>
      </c>
      <c r="M232" s="111">
        <v>89038450071</v>
      </c>
    </row>
    <row r="233" spans="1:13" ht="12.75" customHeight="1">
      <c r="A233" s="49">
        <v>43249</v>
      </c>
      <c r="B233" s="74" t="s">
        <v>203</v>
      </c>
      <c r="C233" s="74" t="s">
        <v>2085</v>
      </c>
      <c r="D233" s="74" t="s">
        <v>857</v>
      </c>
      <c r="E233" s="74" t="s">
        <v>2074</v>
      </c>
      <c r="F233" s="77">
        <v>0.77222222222222225</v>
      </c>
      <c r="G233" s="78" t="s">
        <v>14</v>
      </c>
      <c r="H233" s="78"/>
      <c r="I233" s="78"/>
      <c r="J233" s="72" t="s">
        <v>2075</v>
      </c>
      <c r="K233" s="81" t="s">
        <v>1448</v>
      </c>
      <c r="L233" s="104" t="s">
        <v>470</v>
      </c>
      <c r="M233" s="111">
        <v>89109484749</v>
      </c>
    </row>
    <row r="234" spans="1:13" ht="12.75" customHeight="1">
      <c r="A234" s="49">
        <v>43249</v>
      </c>
      <c r="B234" s="74" t="s">
        <v>203</v>
      </c>
      <c r="C234" s="74" t="s">
        <v>1850</v>
      </c>
      <c r="D234" s="74" t="s">
        <v>2076</v>
      </c>
      <c r="E234" s="74" t="s">
        <v>2077</v>
      </c>
      <c r="F234" s="77">
        <v>0.75694444444444442</v>
      </c>
      <c r="G234" s="78" t="s">
        <v>71</v>
      </c>
      <c r="H234" s="78" t="s">
        <v>71</v>
      </c>
      <c r="I234" s="78" t="s">
        <v>71</v>
      </c>
      <c r="J234" s="72" t="s">
        <v>2078</v>
      </c>
      <c r="K234" s="81"/>
      <c r="L234" s="104" t="s">
        <v>470</v>
      </c>
      <c r="M234" s="111">
        <v>89109484749</v>
      </c>
    </row>
  </sheetData>
  <autoFilter ref="A1:M234"/>
  <dataValidations count="1">
    <dataValidation type="list" allowBlank="1" sqref="G2:I13 G20:I21">
      <formula1>"ДА,НЕТ"</formula1>
    </dataValidation>
  </dataValidations>
  <hyperlinks>
    <hyperlink ref="J5" r:id="rId1"/>
    <hyperlink ref="J6" r:id="rId2"/>
    <hyperlink ref="J7" r:id="rId3"/>
    <hyperlink ref="J8" r:id="rId4"/>
    <hyperlink ref="J9" r:id="rId5"/>
    <hyperlink ref="J10" r:id="rId6"/>
    <hyperlink ref="J11" r:id="rId7"/>
    <hyperlink ref="J12" r:id="rId8"/>
    <hyperlink ref="J24" r:id="rId9"/>
    <hyperlink ref="J25" r:id="rId10"/>
    <hyperlink ref="J26" r:id="rId11"/>
    <hyperlink ref="J27" r:id="rId12"/>
    <hyperlink ref="J43" r:id="rId13"/>
    <hyperlink ref="J44" r:id="rId14"/>
    <hyperlink ref="J45" r:id="rId15"/>
    <hyperlink ref="J46" r:id="rId16"/>
    <hyperlink ref="J47" r:id="rId17"/>
    <hyperlink ref="J48" r:id="rId18"/>
    <hyperlink ref="J49" r:id="rId19"/>
    <hyperlink ref="J50" r:id="rId20"/>
    <hyperlink ref="J63" r:id="rId21"/>
    <hyperlink ref="J64" r:id="rId22"/>
    <hyperlink ref="J65" r:id="rId23"/>
    <hyperlink ref="J66" r:id="rId24"/>
    <hyperlink ref="J80" r:id="rId25"/>
    <hyperlink ref="J81" r:id="rId26"/>
    <hyperlink ref="J82" r:id="rId27"/>
    <hyperlink ref="J83" r:id="rId28"/>
    <hyperlink ref="J84" r:id="rId29"/>
    <hyperlink ref="J85" r:id="rId30"/>
    <hyperlink ref="J86" r:id="rId31"/>
    <hyperlink ref="J87" r:id="rId32"/>
    <hyperlink ref="J88" r:id="rId33"/>
    <hyperlink ref="J89" r:id="rId34"/>
    <hyperlink ref="J90" r:id="rId35"/>
    <hyperlink ref="J91" r:id="rId36"/>
    <hyperlink ref="J92" r:id="rId37"/>
    <hyperlink ref="J93" r:id="rId38"/>
    <hyperlink ref="J94" r:id="rId39"/>
    <hyperlink ref="J95" r:id="rId40"/>
    <hyperlink ref="J96" r:id="rId41"/>
    <hyperlink ref="J97" r:id="rId42"/>
    <hyperlink ref="J98" r:id="rId43"/>
    <hyperlink ref="J99" r:id="rId44"/>
    <hyperlink ref="J100" r:id="rId45"/>
    <hyperlink ref="J110" r:id="rId46"/>
    <hyperlink ref="J111" r:id="rId47"/>
    <hyperlink ref="J112" r:id="rId48"/>
    <hyperlink ref="J113" r:id="rId49"/>
    <hyperlink ref="J114" r:id="rId50"/>
    <hyperlink ref="J115" r:id="rId51"/>
    <hyperlink ref="J116" r:id="rId52"/>
    <hyperlink ref="J117" r:id="rId53"/>
    <hyperlink ref="J120" r:id="rId54"/>
    <hyperlink ref="J121" r:id="rId55"/>
    <hyperlink ref="J130" r:id="rId56"/>
    <hyperlink ref="J131" r:id="rId57"/>
    <hyperlink ref="J132" r:id="rId58"/>
    <hyperlink ref="J133" r:id="rId59"/>
    <hyperlink ref="J138" r:id="rId60"/>
    <hyperlink ref="J139" r:id="rId61"/>
    <hyperlink ref="J140" r:id="rId62"/>
    <hyperlink ref="J151" r:id="rId63"/>
    <hyperlink ref="J152" r:id="rId64"/>
    <hyperlink ref="J153" r:id="rId65"/>
    <hyperlink ref="J154" r:id="rId66"/>
    <hyperlink ref="J155" r:id="rId67"/>
    <hyperlink ref="J156" r:id="rId68"/>
    <hyperlink ref="J157" r:id="rId69"/>
    <hyperlink ref="J158" r:id="rId70"/>
    <hyperlink ref="J173" r:id="rId71"/>
    <hyperlink ref="J174" r:id="rId72"/>
    <hyperlink ref="J175" r:id="rId73"/>
    <hyperlink ref="J176" r:id="rId74"/>
    <hyperlink ref="J181" r:id="rId75"/>
    <hyperlink ref="J182" r:id="rId76"/>
    <hyperlink ref="J183" r:id="rId77"/>
    <hyperlink ref="J184" r:id="rId78"/>
    <hyperlink ref="J185" r:id="rId79"/>
    <hyperlink ref="J186" r:id="rId80"/>
    <hyperlink ref="J187" r:id="rId81"/>
    <hyperlink ref="J188" r:id="rId82"/>
    <hyperlink ref="J189" r:id="rId83"/>
    <hyperlink ref="J190" r:id="rId84"/>
    <hyperlink ref="J191" r:id="rId85"/>
    <hyperlink ref="J192" r:id="rId86"/>
    <hyperlink ref="J193" r:id="rId87"/>
    <hyperlink ref="J194" r:id="rId88"/>
    <hyperlink ref="J195" r:id="rId89"/>
    <hyperlink ref="J196" r:id="rId90"/>
    <hyperlink ref="J197" r:id="rId91"/>
    <hyperlink ref="J198" r:id="rId92"/>
    <hyperlink ref="J199" r:id="rId93"/>
    <hyperlink ref="J212" r:id="rId94"/>
    <hyperlink ref="J213" r:id="rId95"/>
    <hyperlink ref="J214" r:id="rId96"/>
    <hyperlink ref="J230" r:id="rId97"/>
    <hyperlink ref="J231" r:id="rId98"/>
    <hyperlink ref="J232" r:id="rId99"/>
    <hyperlink ref="J233" r:id="rId100"/>
    <hyperlink ref="J234" r:id="rId10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0" zoomScaleNormal="90" workbookViewId="0">
      <pane xSplit="1" topLeftCell="B1" activePane="topRight" state="frozen"/>
      <selection pane="topRight"/>
    </sheetView>
  </sheetViews>
  <sheetFormatPr defaultRowHeight="12.75"/>
  <cols>
    <col min="1" max="1" width="24.42578125" customWidth="1"/>
    <col min="2" max="4" width="7" customWidth="1"/>
    <col min="5" max="21" width="7.5703125" customWidth="1"/>
    <col min="22" max="22" width="18.28515625" customWidth="1"/>
    <col min="23" max="23" width="2.5703125" customWidth="1"/>
    <col min="24" max="24" width="16.28515625" customWidth="1"/>
    <col min="25" max="25" width="34.7109375" customWidth="1"/>
    <col min="26" max="26" width="9" style="87" customWidth="1"/>
    <col min="28" max="28" width="13.85546875" customWidth="1"/>
    <col min="29" max="29" width="12.140625" customWidth="1"/>
    <col min="30" max="30" width="35" customWidth="1"/>
  </cols>
  <sheetData>
    <row r="1" spans="1:26" ht="13.5" thickBot="1"/>
    <row r="2" spans="1:26" ht="15.75" customHeight="1">
      <c r="A2" s="30" t="s">
        <v>6</v>
      </c>
      <c r="B2" s="28" t="s">
        <v>503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421" t="s">
        <v>1045</v>
      </c>
      <c r="X2" s="424" t="s">
        <v>1642</v>
      </c>
      <c r="Y2" s="425"/>
      <c r="Z2" s="426"/>
    </row>
    <row r="3" spans="1:26" ht="15.75" customHeight="1">
      <c r="A3" s="29" t="s">
        <v>502</v>
      </c>
      <c r="B3" s="33">
        <v>43222</v>
      </c>
      <c r="C3" s="33">
        <v>43223</v>
      </c>
      <c r="D3" s="33">
        <v>43224</v>
      </c>
      <c r="E3" s="33">
        <v>43225</v>
      </c>
      <c r="F3" s="33">
        <v>43227</v>
      </c>
      <c r="G3" s="33">
        <v>43228</v>
      </c>
      <c r="H3" s="33">
        <v>43230</v>
      </c>
      <c r="I3" s="33">
        <v>43231</v>
      </c>
      <c r="J3" s="33">
        <v>43233</v>
      </c>
      <c r="K3" s="33">
        <v>43234</v>
      </c>
      <c r="L3" s="33">
        <v>43236</v>
      </c>
      <c r="M3" s="33">
        <v>43237</v>
      </c>
      <c r="N3" s="33">
        <v>43238</v>
      </c>
      <c r="O3" s="33">
        <v>43239</v>
      </c>
      <c r="P3" s="33">
        <v>43241</v>
      </c>
      <c r="Q3" s="33">
        <v>43242</v>
      </c>
      <c r="R3" s="33">
        <v>43244</v>
      </c>
      <c r="S3" s="33">
        <v>43245</v>
      </c>
      <c r="T3" s="33">
        <v>43248</v>
      </c>
      <c r="U3" s="33">
        <v>43249</v>
      </c>
      <c r="V3" s="422"/>
      <c r="X3" s="427"/>
      <c r="Y3" s="428"/>
      <c r="Z3" s="429"/>
    </row>
    <row r="4" spans="1:26">
      <c r="A4" s="24" t="s">
        <v>11</v>
      </c>
      <c r="B4" s="191">
        <v>2</v>
      </c>
      <c r="C4" s="191"/>
      <c r="D4" s="191"/>
      <c r="E4" s="191"/>
      <c r="F4" s="191"/>
      <c r="G4" s="191"/>
      <c r="H4" s="191"/>
      <c r="I4" s="191">
        <v>1</v>
      </c>
      <c r="J4" s="191"/>
      <c r="K4" s="191">
        <v>1</v>
      </c>
      <c r="L4" s="191"/>
      <c r="M4" s="191"/>
      <c r="N4" s="191">
        <v>1</v>
      </c>
      <c r="O4" s="191"/>
      <c r="P4" s="191">
        <v>0</v>
      </c>
      <c r="Q4" s="191"/>
      <c r="R4" s="26">
        <v>2</v>
      </c>
      <c r="S4" s="26"/>
      <c r="T4" s="26"/>
      <c r="U4" s="26"/>
      <c r="V4" s="87">
        <f t="shared" ref="V4:V20" si="0">SUM(B4:U4)</f>
        <v>7</v>
      </c>
      <c r="X4" s="252" t="s">
        <v>502</v>
      </c>
      <c r="Y4" s="253" t="s">
        <v>1641</v>
      </c>
      <c r="Z4" s="254" t="s">
        <v>665</v>
      </c>
    </row>
    <row r="5" spans="1:26">
      <c r="A5" s="24" t="s">
        <v>218</v>
      </c>
      <c r="B5" s="191"/>
      <c r="C5" s="191">
        <v>4</v>
      </c>
      <c r="D5" s="191"/>
      <c r="E5" s="191"/>
      <c r="F5" s="191"/>
      <c r="G5" s="191"/>
      <c r="H5" s="191"/>
      <c r="I5" s="191"/>
      <c r="J5" s="191"/>
      <c r="K5" s="191">
        <v>3</v>
      </c>
      <c r="L5" s="191"/>
      <c r="M5" s="191"/>
      <c r="N5" s="191"/>
      <c r="O5" s="191"/>
      <c r="P5" s="191"/>
      <c r="Q5" s="191">
        <v>4</v>
      </c>
      <c r="R5" s="26"/>
      <c r="S5" s="26"/>
      <c r="T5" s="174"/>
      <c r="U5" s="26">
        <v>0</v>
      </c>
      <c r="V5" s="87">
        <f t="shared" si="0"/>
        <v>11</v>
      </c>
      <c r="X5" s="256" t="s">
        <v>927</v>
      </c>
      <c r="Y5" s="104" t="s">
        <v>1293</v>
      </c>
      <c r="Z5" s="305">
        <v>3</v>
      </c>
    </row>
    <row r="6" spans="1:26">
      <c r="A6" s="24" t="s">
        <v>121</v>
      </c>
      <c r="B6" s="191"/>
      <c r="C6" s="191"/>
      <c r="D6" s="191"/>
      <c r="E6" s="191">
        <v>1</v>
      </c>
      <c r="F6" s="191"/>
      <c r="G6" s="191"/>
      <c r="H6" s="191">
        <v>2</v>
      </c>
      <c r="I6" s="191"/>
      <c r="J6" s="191"/>
      <c r="K6" s="191"/>
      <c r="L6" s="191"/>
      <c r="M6" s="191"/>
      <c r="N6" s="191"/>
      <c r="O6" s="190"/>
      <c r="P6" s="190"/>
      <c r="Q6" s="190"/>
      <c r="S6">
        <v>2</v>
      </c>
      <c r="V6" s="87">
        <f t="shared" si="0"/>
        <v>5</v>
      </c>
      <c r="X6" s="214" t="s">
        <v>130</v>
      </c>
      <c r="Y6" s="104" t="s">
        <v>139</v>
      </c>
      <c r="Z6" s="305">
        <v>3</v>
      </c>
    </row>
    <row r="7" spans="1:26">
      <c r="A7" s="24" t="s">
        <v>189</v>
      </c>
      <c r="B7" s="191"/>
      <c r="C7" s="191"/>
      <c r="D7" s="191"/>
      <c r="E7" s="191"/>
      <c r="F7" s="191"/>
      <c r="G7" s="191">
        <v>1</v>
      </c>
      <c r="H7" s="191"/>
      <c r="I7" s="191">
        <v>4</v>
      </c>
      <c r="J7" s="191"/>
      <c r="K7" s="191"/>
      <c r="L7" s="191">
        <v>4</v>
      </c>
      <c r="M7" s="191"/>
      <c r="N7" s="191"/>
      <c r="O7" s="191"/>
      <c r="P7" s="191"/>
      <c r="Q7" s="191"/>
      <c r="R7" s="26">
        <v>4</v>
      </c>
      <c r="S7" s="26"/>
      <c r="T7" s="26"/>
      <c r="U7" s="26"/>
      <c r="V7" s="87">
        <f t="shared" si="0"/>
        <v>13</v>
      </c>
      <c r="X7" s="214" t="s">
        <v>279</v>
      </c>
      <c r="Y7" s="111" t="s">
        <v>492</v>
      </c>
      <c r="Z7" s="305">
        <v>3</v>
      </c>
    </row>
    <row r="8" spans="1:26">
      <c r="A8" s="24" t="s">
        <v>310</v>
      </c>
      <c r="B8" s="191"/>
      <c r="C8" s="191"/>
      <c r="D8" s="191">
        <v>4</v>
      </c>
      <c r="E8" s="191"/>
      <c r="F8" s="191"/>
      <c r="G8" s="191"/>
      <c r="H8" s="191"/>
      <c r="I8" s="191">
        <v>4</v>
      </c>
      <c r="J8" s="191"/>
      <c r="K8" s="191"/>
      <c r="L8" s="191"/>
      <c r="M8" s="191"/>
      <c r="N8" s="191"/>
      <c r="O8" s="191">
        <v>2</v>
      </c>
      <c r="P8" s="191"/>
      <c r="Q8" s="191"/>
      <c r="R8" s="26"/>
      <c r="S8" s="26">
        <v>3</v>
      </c>
      <c r="T8" s="26"/>
      <c r="U8" s="174"/>
      <c r="V8" s="87">
        <f t="shared" si="0"/>
        <v>13</v>
      </c>
      <c r="X8" s="2" t="s">
        <v>68</v>
      </c>
      <c r="Y8" s="104" t="s">
        <v>87</v>
      </c>
      <c r="Z8" s="305">
        <v>3</v>
      </c>
    </row>
    <row r="9" spans="1:26">
      <c r="A9" s="24" t="s">
        <v>279</v>
      </c>
      <c r="B9" s="191"/>
      <c r="C9" s="191"/>
      <c r="D9" s="191"/>
      <c r="E9" s="191">
        <v>0</v>
      </c>
      <c r="F9" s="191"/>
      <c r="G9" s="191"/>
      <c r="H9" s="191"/>
      <c r="I9" s="191">
        <v>0</v>
      </c>
      <c r="J9" s="191"/>
      <c r="K9" s="191">
        <v>3</v>
      </c>
      <c r="L9" s="191"/>
      <c r="M9" s="191"/>
      <c r="N9" s="191">
        <v>4</v>
      </c>
      <c r="O9" s="191"/>
      <c r="P9" s="191"/>
      <c r="Q9" s="191">
        <v>0</v>
      </c>
      <c r="R9" s="26"/>
      <c r="S9" s="26"/>
      <c r="T9" s="26"/>
      <c r="U9" s="26"/>
      <c r="V9" s="87">
        <f t="shared" si="0"/>
        <v>7</v>
      </c>
      <c r="X9" s="255" t="s">
        <v>1670</v>
      </c>
      <c r="Y9" s="111" t="s">
        <v>65</v>
      </c>
      <c r="Z9" s="305">
        <v>2</v>
      </c>
    </row>
    <row r="10" spans="1:26">
      <c r="A10" s="24" t="s">
        <v>130</v>
      </c>
      <c r="B10" s="191"/>
      <c r="C10" s="191"/>
      <c r="D10" s="191"/>
      <c r="E10" s="191"/>
      <c r="F10" s="191">
        <v>0</v>
      </c>
      <c r="G10" s="191"/>
      <c r="H10" s="191"/>
      <c r="I10" s="191"/>
      <c r="J10" s="191"/>
      <c r="K10" s="191">
        <v>3</v>
      </c>
      <c r="L10" s="191"/>
      <c r="M10" s="191"/>
      <c r="N10" s="191"/>
      <c r="O10" s="191">
        <v>0</v>
      </c>
      <c r="P10" s="191"/>
      <c r="Q10" s="191"/>
      <c r="R10" s="26"/>
      <c r="S10" s="26">
        <v>4</v>
      </c>
      <c r="T10" s="174"/>
      <c r="U10" s="26"/>
      <c r="V10" s="87">
        <f t="shared" si="0"/>
        <v>7</v>
      </c>
      <c r="X10" s="2" t="s">
        <v>34</v>
      </c>
      <c r="Y10" s="111" t="s">
        <v>797</v>
      </c>
      <c r="Z10" s="305">
        <v>2</v>
      </c>
    </row>
    <row r="11" spans="1:26">
      <c r="A11" s="24" t="s">
        <v>24</v>
      </c>
      <c r="B11" s="191"/>
      <c r="C11" s="191"/>
      <c r="D11" s="191">
        <v>1</v>
      </c>
      <c r="E11" s="191"/>
      <c r="F11" s="191"/>
      <c r="G11" s="191"/>
      <c r="H11" s="191">
        <v>3</v>
      </c>
      <c r="I11" s="191"/>
      <c r="J11" s="191"/>
      <c r="K11" s="191"/>
      <c r="L11" s="191"/>
      <c r="M11" s="191"/>
      <c r="N11" s="191"/>
      <c r="O11" s="191">
        <v>1</v>
      </c>
      <c r="P11" s="191"/>
      <c r="Q11" s="191"/>
      <c r="R11" s="26"/>
      <c r="S11" s="26"/>
      <c r="T11" s="26">
        <v>4</v>
      </c>
      <c r="U11" s="26"/>
      <c r="V11" s="87">
        <f t="shared" si="0"/>
        <v>9</v>
      </c>
      <c r="X11" s="256" t="s">
        <v>203</v>
      </c>
      <c r="Y11" s="104" t="s">
        <v>470</v>
      </c>
      <c r="Z11" s="305">
        <v>2</v>
      </c>
    </row>
    <row r="12" spans="1:26">
      <c r="A12" s="24" t="s">
        <v>393</v>
      </c>
      <c r="B12" s="191"/>
      <c r="C12" s="191"/>
      <c r="D12" s="191"/>
      <c r="E12" s="191"/>
      <c r="F12" s="191">
        <v>0</v>
      </c>
      <c r="G12" s="191"/>
      <c r="H12" s="191">
        <v>8</v>
      </c>
      <c r="I12" s="191"/>
      <c r="J12" s="191">
        <v>3</v>
      </c>
      <c r="K12" s="191"/>
      <c r="L12" s="191"/>
      <c r="M12" s="191"/>
      <c r="N12" s="191"/>
      <c r="O12" s="191"/>
      <c r="P12" s="191">
        <v>3</v>
      </c>
      <c r="Q12" s="191"/>
      <c r="R12" s="26"/>
      <c r="S12" s="26"/>
      <c r="T12" s="26">
        <v>1</v>
      </c>
      <c r="U12" s="26"/>
      <c r="V12" s="87">
        <f t="shared" si="0"/>
        <v>15</v>
      </c>
      <c r="X12" s="256" t="s">
        <v>121</v>
      </c>
      <c r="Y12" s="104" t="s">
        <v>1044</v>
      </c>
      <c r="Z12" s="305">
        <v>2</v>
      </c>
    </row>
    <row r="13" spans="1:26">
      <c r="A13" s="24" t="s">
        <v>161</v>
      </c>
      <c r="B13" s="191"/>
      <c r="C13" s="191"/>
      <c r="D13" s="191"/>
      <c r="E13" s="191"/>
      <c r="F13" s="191"/>
      <c r="G13" s="191">
        <v>3</v>
      </c>
      <c r="H13" s="191"/>
      <c r="I13" s="191"/>
      <c r="J13" s="191"/>
      <c r="K13" s="191">
        <v>2</v>
      </c>
      <c r="L13" s="191"/>
      <c r="M13" s="191"/>
      <c r="N13" s="191">
        <v>1</v>
      </c>
      <c r="O13" s="191"/>
      <c r="P13" s="191"/>
      <c r="Q13" s="191"/>
      <c r="R13" s="26"/>
      <c r="S13" s="26"/>
      <c r="T13" s="26">
        <v>1</v>
      </c>
      <c r="U13" s="26"/>
      <c r="V13" s="87">
        <f t="shared" si="0"/>
        <v>7</v>
      </c>
      <c r="X13" s="255" t="s">
        <v>174</v>
      </c>
      <c r="Y13" s="104" t="s">
        <v>236</v>
      </c>
      <c r="Z13" s="305">
        <v>2</v>
      </c>
    </row>
    <row r="14" spans="1:26">
      <c r="A14" s="24" t="s">
        <v>34</v>
      </c>
      <c r="B14" s="191"/>
      <c r="C14" s="191">
        <v>1</v>
      </c>
      <c r="D14" s="191"/>
      <c r="E14" s="191"/>
      <c r="F14" s="191"/>
      <c r="G14" s="191"/>
      <c r="H14" s="191">
        <v>1</v>
      </c>
      <c r="I14" s="191"/>
      <c r="J14" s="191"/>
      <c r="K14" s="191"/>
      <c r="L14" s="191">
        <v>3</v>
      </c>
      <c r="M14" s="191"/>
      <c r="N14" s="191"/>
      <c r="O14" s="191"/>
      <c r="P14" s="191"/>
      <c r="Q14" s="191"/>
      <c r="R14" s="26"/>
      <c r="S14" s="26"/>
      <c r="T14" s="186">
        <v>4</v>
      </c>
      <c r="U14" s="26"/>
      <c r="V14" s="87">
        <f t="shared" si="0"/>
        <v>9</v>
      </c>
      <c r="X14" s="102" t="s">
        <v>24</v>
      </c>
      <c r="Y14" s="102" t="s">
        <v>1602</v>
      </c>
      <c r="Z14" s="306">
        <v>2</v>
      </c>
    </row>
    <row r="15" spans="1:26">
      <c r="A15" s="24" t="s">
        <v>174</v>
      </c>
      <c r="B15" s="191"/>
      <c r="C15" s="191">
        <v>0</v>
      </c>
      <c r="D15" s="191"/>
      <c r="E15" s="191"/>
      <c r="F15" s="191"/>
      <c r="G15" s="191"/>
      <c r="H15" s="191"/>
      <c r="I15" s="191"/>
      <c r="J15" s="191">
        <v>1</v>
      </c>
      <c r="K15" s="191"/>
      <c r="L15" s="191"/>
      <c r="M15" s="191"/>
      <c r="N15" s="191"/>
      <c r="O15" s="191"/>
      <c r="P15" s="191">
        <v>4</v>
      </c>
      <c r="Q15" s="191"/>
      <c r="R15" s="26"/>
      <c r="S15" s="26">
        <v>4</v>
      </c>
      <c r="T15" s="26"/>
      <c r="U15" s="26"/>
      <c r="V15" s="87">
        <f t="shared" si="0"/>
        <v>9</v>
      </c>
      <c r="X15" s="215" t="s">
        <v>1106</v>
      </c>
      <c r="Y15" s="104" t="s">
        <v>488</v>
      </c>
      <c r="Z15" s="305">
        <v>2</v>
      </c>
    </row>
    <row r="16" spans="1:26">
      <c r="A16" s="24" t="s">
        <v>97</v>
      </c>
      <c r="B16" s="191"/>
      <c r="C16" s="191"/>
      <c r="D16" s="191">
        <v>4</v>
      </c>
      <c r="E16" s="191"/>
      <c r="F16" s="191"/>
      <c r="G16" s="191"/>
      <c r="H16" s="191">
        <v>4</v>
      </c>
      <c r="I16" s="191"/>
      <c r="J16" s="191"/>
      <c r="K16" s="191"/>
      <c r="L16" s="191">
        <v>4</v>
      </c>
      <c r="M16" s="191"/>
      <c r="N16" s="191"/>
      <c r="O16" s="191"/>
      <c r="P16" s="191"/>
      <c r="Q16" s="191"/>
      <c r="R16" s="26"/>
      <c r="S16" s="26">
        <v>4</v>
      </c>
      <c r="T16" s="26"/>
      <c r="U16" s="26"/>
      <c r="V16" s="87">
        <f t="shared" si="0"/>
        <v>16</v>
      </c>
      <c r="X16" s="214" t="s">
        <v>310</v>
      </c>
      <c r="Y16" s="104" t="s">
        <v>341</v>
      </c>
      <c r="Z16" s="305">
        <v>2</v>
      </c>
    </row>
    <row r="17" spans="1:26">
      <c r="A17" s="24" t="s">
        <v>254</v>
      </c>
      <c r="B17" s="190"/>
      <c r="C17" s="190"/>
      <c r="D17" s="190"/>
      <c r="E17" s="190"/>
      <c r="F17" s="190">
        <v>4</v>
      </c>
      <c r="G17" s="190"/>
      <c r="H17" s="190"/>
      <c r="I17" s="190"/>
      <c r="J17" s="190"/>
      <c r="K17" s="190">
        <v>2</v>
      </c>
      <c r="L17" s="190"/>
      <c r="M17" s="190"/>
      <c r="N17" s="190"/>
      <c r="O17" s="190"/>
      <c r="P17" s="190"/>
      <c r="Q17" s="190">
        <v>4</v>
      </c>
      <c r="T17">
        <v>2</v>
      </c>
      <c r="V17" s="87">
        <f t="shared" si="0"/>
        <v>12</v>
      </c>
      <c r="X17" s="214" t="s">
        <v>393</v>
      </c>
      <c r="Y17" s="111" t="s">
        <v>474</v>
      </c>
      <c r="Z17" s="305">
        <v>2</v>
      </c>
    </row>
    <row r="18" spans="1:26">
      <c r="A18" s="24" t="s">
        <v>203</v>
      </c>
      <c r="B18" s="191"/>
      <c r="C18" s="191">
        <v>2</v>
      </c>
      <c r="D18" s="191"/>
      <c r="E18" s="191"/>
      <c r="F18" s="191"/>
      <c r="G18" s="191"/>
      <c r="H18" s="191"/>
      <c r="I18" s="191"/>
      <c r="J18" s="191">
        <v>3</v>
      </c>
      <c r="K18" s="191"/>
      <c r="L18" s="191">
        <v>0</v>
      </c>
      <c r="M18" s="191"/>
      <c r="N18" s="191"/>
      <c r="O18" s="191"/>
      <c r="P18" s="191"/>
      <c r="Q18" s="191">
        <v>4</v>
      </c>
      <c r="R18" s="26">
        <v>2</v>
      </c>
      <c r="S18" s="26"/>
      <c r="T18" s="26">
        <v>3</v>
      </c>
      <c r="U18" s="186">
        <v>3</v>
      </c>
      <c r="V18" s="87">
        <f t="shared" si="0"/>
        <v>17</v>
      </c>
      <c r="X18" s="214" t="s">
        <v>1752</v>
      </c>
      <c r="Y18" s="104" t="s">
        <v>1840</v>
      </c>
      <c r="Z18" s="305">
        <v>2</v>
      </c>
    </row>
    <row r="19" spans="1:26">
      <c r="A19" s="24" t="s">
        <v>68</v>
      </c>
      <c r="B19" s="191"/>
      <c r="C19" s="191">
        <v>2</v>
      </c>
      <c r="D19" s="191"/>
      <c r="E19" s="191"/>
      <c r="F19" s="191"/>
      <c r="G19" s="191"/>
      <c r="H19" s="191"/>
      <c r="I19" s="191"/>
      <c r="J19" s="191"/>
      <c r="K19" s="191">
        <v>2</v>
      </c>
      <c r="L19" s="191"/>
      <c r="M19" s="191">
        <v>2</v>
      </c>
      <c r="N19" s="191"/>
      <c r="O19" s="191"/>
      <c r="P19" s="191">
        <v>5</v>
      </c>
      <c r="Q19" s="191"/>
      <c r="R19" s="26"/>
      <c r="S19" s="26"/>
      <c r="T19" s="26"/>
      <c r="U19" s="26"/>
      <c r="V19" s="87">
        <f t="shared" si="0"/>
        <v>11</v>
      </c>
      <c r="X19" s="2" t="s">
        <v>1783</v>
      </c>
      <c r="Y19" s="111" t="s">
        <v>1824</v>
      </c>
      <c r="Z19" s="305">
        <v>1</v>
      </c>
    </row>
    <row r="20" spans="1:26">
      <c r="A20" s="25" t="s">
        <v>500</v>
      </c>
      <c r="B20" s="27">
        <f>SUM(B4:B19)</f>
        <v>2</v>
      </c>
      <c r="C20" s="27">
        <f t="shared" ref="C20:U20" si="1">SUM(C4:C19)</f>
        <v>9</v>
      </c>
      <c r="D20" s="27">
        <f t="shared" si="1"/>
        <v>9</v>
      </c>
      <c r="E20" s="27">
        <f t="shared" si="1"/>
        <v>1</v>
      </c>
      <c r="F20" s="27">
        <f>SUM(F4:F19)</f>
        <v>4</v>
      </c>
      <c r="G20" s="27">
        <f>SUM(G4:G19)</f>
        <v>4</v>
      </c>
      <c r="H20" s="27">
        <f t="shared" si="1"/>
        <v>18</v>
      </c>
      <c r="I20" s="27">
        <f t="shared" si="1"/>
        <v>9</v>
      </c>
      <c r="J20" s="27">
        <f t="shared" si="1"/>
        <v>7</v>
      </c>
      <c r="K20" s="27">
        <f t="shared" si="1"/>
        <v>16</v>
      </c>
      <c r="L20" s="27">
        <f t="shared" si="1"/>
        <v>11</v>
      </c>
      <c r="M20" s="27">
        <f t="shared" si="1"/>
        <v>2</v>
      </c>
      <c r="N20" s="27">
        <f t="shared" si="1"/>
        <v>6</v>
      </c>
      <c r="O20" s="27">
        <f t="shared" si="1"/>
        <v>3</v>
      </c>
      <c r="P20" s="27">
        <f t="shared" si="1"/>
        <v>12</v>
      </c>
      <c r="Q20" s="27">
        <f t="shared" si="1"/>
        <v>12</v>
      </c>
      <c r="R20" s="27">
        <f t="shared" si="1"/>
        <v>8</v>
      </c>
      <c r="S20" s="27">
        <f t="shared" si="1"/>
        <v>17</v>
      </c>
      <c r="T20" s="27">
        <f t="shared" si="1"/>
        <v>15</v>
      </c>
      <c r="U20" s="27">
        <f t="shared" si="1"/>
        <v>3</v>
      </c>
      <c r="V20" s="27">
        <f t="shared" si="0"/>
        <v>168</v>
      </c>
      <c r="X20" s="255" t="s">
        <v>68</v>
      </c>
      <c r="Y20" s="111" t="s">
        <v>85</v>
      </c>
      <c r="Z20" s="305">
        <v>1</v>
      </c>
    </row>
    <row r="21" spans="1:26">
      <c r="X21" s="215" t="s">
        <v>24</v>
      </c>
      <c r="Y21" s="111" t="s">
        <v>1011</v>
      </c>
      <c r="Z21" s="305">
        <v>1</v>
      </c>
    </row>
    <row r="22" spans="1:26">
      <c r="A22" s="30" t="s">
        <v>504</v>
      </c>
      <c r="B22" s="28" t="s">
        <v>503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421" t="s">
        <v>501</v>
      </c>
      <c r="X22" s="215" t="s">
        <v>203</v>
      </c>
      <c r="Y22" s="111" t="s">
        <v>1586</v>
      </c>
      <c r="Z22" s="305">
        <v>1</v>
      </c>
    </row>
    <row r="23" spans="1:26">
      <c r="A23" s="29" t="s">
        <v>502</v>
      </c>
      <c r="B23" s="33">
        <v>43222</v>
      </c>
      <c r="C23" s="33">
        <v>43223</v>
      </c>
      <c r="D23" s="33">
        <v>43224</v>
      </c>
      <c r="E23" s="33">
        <v>43225</v>
      </c>
      <c r="F23" s="33">
        <v>43227</v>
      </c>
      <c r="G23" s="33">
        <v>43228</v>
      </c>
      <c r="H23" s="33">
        <v>43230</v>
      </c>
      <c r="I23" s="33">
        <v>43231</v>
      </c>
      <c r="J23" s="33">
        <v>43233</v>
      </c>
      <c r="K23" s="33">
        <v>43234</v>
      </c>
      <c r="L23" s="33">
        <v>43236</v>
      </c>
      <c r="M23" s="33">
        <v>43237</v>
      </c>
      <c r="N23" s="33">
        <v>43238</v>
      </c>
      <c r="O23" s="33">
        <v>43239</v>
      </c>
      <c r="P23" s="33">
        <v>43241</v>
      </c>
      <c r="Q23" s="33">
        <v>43242</v>
      </c>
      <c r="R23" s="33">
        <v>43244</v>
      </c>
      <c r="S23" s="33">
        <v>43245</v>
      </c>
      <c r="T23" s="33">
        <v>43248</v>
      </c>
      <c r="U23" s="33">
        <v>43249</v>
      </c>
      <c r="V23" s="422"/>
      <c r="X23" s="255" t="s">
        <v>121</v>
      </c>
      <c r="Y23" s="104" t="s">
        <v>151</v>
      </c>
      <c r="Z23" s="305">
        <v>1</v>
      </c>
    </row>
    <row r="24" spans="1:26">
      <c r="A24" s="24" t="s">
        <v>11</v>
      </c>
      <c r="B24" s="191">
        <v>3</v>
      </c>
      <c r="C24" s="191"/>
      <c r="D24" s="191"/>
      <c r="E24" s="191"/>
      <c r="F24" s="191"/>
      <c r="G24" s="191"/>
      <c r="H24" s="191"/>
      <c r="I24" s="191">
        <v>1</v>
      </c>
      <c r="J24" s="191"/>
      <c r="K24" s="191">
        <v>2</v>
      </c>
      <c r="L24" s="191"/>
      <c r="M24" s="191"/>
      <c r="N24" s="191">
        <v>2</v>
      </c>
      <c r="O24" s="191"/>
      <c r="P24" s="191">
        <v>4</v>
      </c>
      <c r="Q24" s="191"/>
      <c r="R24" s="26">
        <v>4</v>
      </c>
      <c r="S24" s="26"/>
      <c r="T24" s="26"/>
      <c r="U24" s="26"/>
      <c r="V24" s="177">
        <f t="shared" ref="V24:V40" si="2">SUM(B24:U24)</f>
        <v>16</v>
      </c>
      <c r="X24" s="257" t="s">
        <v>1570</v>
      </c>
      <c r="Y24" s="104" t="s">
        <v>151</v>
      </c>
      <c r="Z24" s="305">
        <v>1</v>
      </c>
    </row>
    <row r="25" spans="1:26">
      <c r="A25" s="24" t="s">
        <v>218</v>
      </c>
      <c r="B25" s="190"/>
      <c r="C25" s="190">
        <v>4</v>
      </c>
      <c r="D25" s="190"/>
      <c r="E25" s="190"/>
      <c r="F25" s="190"/>
      <c r="G25" s="190"/>
      <c r="H25" s="190"/>
      <c r="I25" s="190"/>
      <c r="J25" s="190"/>
      <c r="K25" s="190">
        <v>4</v>
      </c>
      <c r="L25" s="190"/>
      <c r="M25" s="190"/>
      <c r="N25" s="190"/>
      <c r="O25" s="190"/>
      <c r="P25" s="190"/>
      <c r="Q25" s="190">
        <v>4</v>
      </c>
      <c r="T25" s="175"/>
      <c r="U25">
        <v>1</v>
      </c>
      <c r="V25" s="177">
        <f t="shared" si="2"/>
        <v>13</v>
      </c>
      <c r="X25" s="214" t="s">
        <v>310</v>
      </c>
      <c r="Y25" s="111" t="s">
        <v>1950</v>
      </c>
      <c r="Z25" s="305">
        <v>1</v>
      </c>
    </row>
    <row r="26" spans="1:26">
      <c r="A26" s="24" t="s">
        <v>121</v>
      </c>
      <c r="B26" s="190"/>
      <c r="C26" s="190"/>
      <c r="D26" s="190"/>
      <c r="E26" s="190">
        <v>3</v>
      </c>
      <c r="F26" s="190"/>
      <c r="G26" s="190"/>
      <c r="H26" s="190">
        <v>2</v>
      </c>
      <c r="I26" s="190"/>
      <c r="J26" s="190"/>
      <c r="K26" s="190"/>
      <c r="L26" s="190"/>
      <c r="M26" s="190"/>
      <c r="N26" s="190"/>
      <c r="O26" s="190"/>
      <c r="P26" s="190"/>
      <c r="Q26" s="190"/>
      <c r="S26">
        <v>4</v>
      </c>
      <c r="V26" s="177">
        <f t="shared" si="2"/>
        <v>9</v>
      </c>
      <c r="X26" s="255" t="s">
        <v>203</v>
      </c>
      <c r="Y26" s="111" t="s">
        <v>611</v>
      </c>
      <c r="Z26" s="305">
        <v>1</v>
      </c>
    </row>
    <row r="27" spans="1:26">
      <c r="A27" s="24" t="s">
        <v>189</v>
      </c>
      <c r="B27" s="190"/>
      <c r="C27" s="190"/>
      <c r="D27" s="190"/>
      <c r="E27" s="190"/>
      <c r="F27" s="190"/>
      <c r="G27" s="190">
        <v>4</v>
      </c>
      <c r="H27" s="190"/>
      <c r="I27" s="190">
        <v>4</v>
      </c>
      <c r="J27" s="190"/>
      <c r="K27" s="190"/>
      <c r="L27" s="190">
        <v>4</v>
      </c>
      <c r="M27" s="190"/>
      <c r="N27" s="190"/>
      <c r="O27" s="190"/>
      <c r="P27" s="190"/>
      <c r="Q27" s="190"/>
      <c r="R27">
        <v>4</v>
      </c>
      <c r="V27" s="177">
        <f t="shared" si="2"/>
        <v>16</v>
      </c>
      <c r="X27" s="255" t="s">
        <v>203</v>
      </c>
      <c r="Y27" s="104" t="s">
        <v>245</v>
      </c>
      <c r="Z27" s="305">
        <v>1</v>
      </c>
    </row>
    <row r="28" spans="1:26">
      <c r="A28" s="24" t="s">
        <v>310</v>
      </c>
      <c r="B28" s="190"/>
      <c r="C28" s="190"/>
      <c r="D28" s="190">
        <v>4</v>
      </c>
      <c r="E28" s="190"/>
      <c r="F28" s="190"/>
      <c r="G28" s="190"/>
      <c r="H28" s="190"/>
      <c r="I28" s="190">
        <v>4</v>
      </c>
      <c r="J28" s="190"/>
      <c r="K28" s="190"/>
      <c r="L28" s="190"/>
      <c r="M28" s="190"/>
      <c r="N28" s="190"/>
      <c r="O28" s="190">
        <v>4</v>
      </c>
      <c r="P28" s="190"/>
      <c r="Q28" s="190"/>
      <c r="S28">
        <v>4</v>
      </c>
      <c r="U28" s="175"/>
      <c r="V28" s="177">
        <f t="shared" si="2"/>
        <v>16</v>
      </c>
      <c r="X28" s="214" t="s">
        <v>189</v>
      </c>
      <c r="Y28" s="104" t="s">
        <v>466</v>
      </c>
      <c r="Z28" s="305">
        <v>1</v>
      </c>
    </row>
    <row r="29" spans="1:26">
      <c r="A29" s="24" t="s">
        <v>279</v>
      </c>
      <c r="B29" s="190"/>
      <c r="C29" s="190"/>
      <c r="D29" s="190"/>
      <c r="E29" s="190">
        <v>4</v>
      </c>
      <c r="F29" s="190"/>
      <c r="G29" s="190"/>
      <c r="H29" s="190"/>
      <c r="I29" s="190">
        <v>4</v>
      </c>
      <c r="J29" s="190"/>
      <c r="K29" s="190">
        <v>4</v>
      </c>
      <c r="L29" s="190"/>
      <c r="M29" s="190"/>
      <c r="N29" s="190">
        <v>8</v>
      </c>
      <c r="O29" s="190"/>
      <c r="P29" s="190"/>
      <c r="Q29" s="190">
        <v>1</v>
      </c>
      <c r="S29">
        <v>3</v>
      </c>
      <c r="V29" s="177">
        <f t="shared" si="2"/>
        <v>24</v>
      </c>
      <c r="X29" s="255" t="s">
        <v>393</v>
      </c>
      <c r="Y29" s="104" t="s">
        <v>568</v>
      </c>
      <c r="Z29" s="305">
        <v>1</v>
      </c>
    </row>
    <row r="30" spans="1:26">
      <c r="A30" s="24" t="s">
        <v>130</v>
      </c>
      <c r="B30" s="190"/>
      <c r="C30" s="190"/>
      <c r="D30" s="190"/>
      <c r="E30" s="190"/>
      <c r="F30" s="190">
        <v>4</v>
      </c>
      <c r="G30" s="190"/>
      <c r="H30" s="190"/>
      <c r="I30" s="190"/>
      <c r="J30" s="190"/>
      <c r="K30" s="190">
        <v>4</v>
      </c>
      <c r="L30" s="190"/>
      <c r="M30" s="190"/>
      <c r="N30" s="190"/>
      <c r="O30" s="190">
        <v>3</v>
      </c>
      <c r="P30" s="190"/>
      <c r="Q30" s="190"/>
      <c r="S30">
        <v>4</v>
      </c>
      <c r="T30" s="175"/>
      <c r="V30" s="177">
        <f t="shared" si="2"/>
        <v>15</v>
      </c>
      <c r="X30" s="102" t="s">
        <v>174</v>
      </c>
      <c r="Y30" s="102" t="s">
        <v>796</v>
      </c>
      <c r="Z30" s="306">
        <v>1</v>
      </c>
    </row>
    <row r="31" spans="1:26">
      <c r="A31" s="24" t="s">
        <v>24</v>
      </c>
      <c r="B31" s="190"/>
      <c r="C31" s="190"/>
      <c r="D31" s="190">
        <v>4</v>
      </c>
      <c r="E31" s="190"/>
      <c r="F31" s="190"/>
      <c r="G31" s="190"/>
      <c r="H31" s="190">
        <v>3</v>
      </c>
      <c r="I31" s="190"/>
      <c r="J31" s="190"/>
      <c r="K31" s="190"/>
      <c r="L31" s="190"/>
      <c r="M31" s="190"/>
      <c r="N31" s="190"/>
      <c r="O31" s="190">
        <v>2</v>
      </c>
      <c r="P31" s="190"/>
      <c r="Q31" s="190"/>
      <c r="T31">
        <v>4</v>
      </c>
      <c r="V31" s="177">
        <f t="shared" si="2"/>
        <v>13</v>
      </c>
      <c r="X31" s="102" t="s">
        <v>1643</v>
      </c>
      <c r="Y31" s="102" t="s">
        <v>2102</v>
      </c>
      <c r="Z31" s="306">
        <v>1</v>
      </c>
    </row>
    <row r="32" spans="1:26">
      <c r="A32" s="24" t="s">
        <v>393</v>
      </c>
      <c r="B32" s="190"/>
      <c r="C32" s="190"/>
      <c r="D32" s="190"/>
      <c r="E32" s="190"/>
      <c r="F32" s="190">
        <v>4</v>
      </c>
      <c r="G32" s="190"/>
      <c r="H32" s="190">
        <v>8</v>
      </c>
      <c r="I32" s="190"/>
      <c r="J32" s="190">
        <v>4</v>
      </c>
      <c r="K32" s="190"/>
      <c r="L32" s="190"/>
      <c r="M32" s="190"/>
      <c r="N32" s="190"/>
      <c r="O32" s="190"/>
      <c r="P32" s="190">
        <v>4</v>
      </c>
      <c r="Q32" s="190"/>
      <c r="T32">
        <v>3</v>
      </c>
      <c r="V32" s="177">
        <f t="shared" si="2"/>
        <v>23</v>
      </c>
      <c r="X32" s="102" t="s">
        <v>1643</v>
      </c>
      <c r="Y32" s="102" t="s">
        <v>1254</v>
      </c>
      <c r="Z32" s="306">
        <v>1</v>
      </c>
    </row>
    <row r="33" spans="1:30">
      <c r="A33" s="20" t="s">
        <v>161</v>
      </c>
      <c r="B33" s="190"/>
      <c r="C33" s="190"/>
      <c r="D33" s="190"/>
      <c r="E33" s="190"/>
      <c r="F33" s="190"/>
      <c r="G33" s="190">
        <v>3</v>
      </c>
      <c r="H33" s="190"/>
      <c r="I33" s="190"/>
      <c r="J33" s="190"/>
      <c r="K33" s="190">
        <v>2</v>
      </c>
      <c r="L33" s="190"/>
      <c r="M33" s="190"/>
      <c r="N33" s="190">
        <v>1</v>
      </c>
      <c r="O33" s="190"/>
      <c r="P33" s="190"/>
      <c r="Q33" s="190"/>
      <c r="T33">
        <v>1</v>
      </c>
      <c r="V33" s="177">
        <f t="shared" si="2"/>
        <v>7</v>
      </c>
      <c r="X33" s="102" t="s">
        <v>927</v>
      </c>
      <c r="Y33" s="102" t="s">
        <v>147</v>
      </c>
      <c r="Z33" s="103">
        <v>1</v>
      </c>
    </row>
    <row r="34" spans="1:30">
      <c r="A34" s="24" t="s">
        <v>34</v>
      </c>
      <c r="B34" s="190"/>
      <c r="C34" s="190">
        <v>3</v>
      </c>
      <c r="D34" s="190"/>
      <c r="E34" s="190"/>
      <c r="F34" s="190"/>
      <c r="G34" s="190"/>
      <c r="H34" s="190">
        <v>4</v>
      </c>
      <c r="I34" s="190"/>
      <c r="J34" s="190"/>
      <c r="K34" s="190"/>
      <c r="L34" s="190">
        <v>4</v>
      </c>
      <c r="M34" s="190"/>
      <c r="N34" s="190"/>
      <c r="O34" s="190"/>
      <c r="P34" s="190"/>
      <c r="Q34" s="190"/>
      <c r="T34" s="187">
        <v>4</v>
      </c>
      <c r="V34" s="177">
        <f t="shared" si="2"/>
        <v>15</v>
      </c>
      <c r="X34" s="102" t="s">
        <v>189</v>
      </c>
      <c r="Y34" s="102" t="s">
        <v>1295</v>
      </c>
      <c r="Z34" s="103">
        <v>1</v>
      </c>
    </row>
    <row r="35" spans="1:30">
      <c r="A35" s="24" t="s">
        <v>174</v>
      </c>
      <c r="B35" s="190"/>
      <c r="C35" s="190">
        <v>4</v>
      </c>
      <c r="D35" s="190"/>
      <c r="E35" s="190"/>
      <c r="F35" s="190"/>
      <c r="G35" s="190"/>
      <c r="H35" s="190"/>
      <c r="I35" s="190"/>
      <c r="J35" s="190">
        <v>4</v>
      </c>
      <c r="K35" s="190"/>
      <c r="L35" s="190"/>
      <c r="M35" s="190"/>
      <c r="N35" s="190"/>
      <c r="O35" s="190"/>
      <c r="P35" s="190">
        <v>4</v>
      </c>
      <c r="Q35" s="190"/>
      <c r="S35">
        <v>4</v>
      </c>
      <c r="V35" s="177">
        <f t="shared" si="2"/>
        <v>16</v>
      </c>
      <c r="X35" s="102" t="s">
        <v>1670</v>
      </c>
      <c r="Y35" s="102" t="s">
        <v>1831</v>
      </c>
      <c r="Z35" s="103">
        <v>1</v>
      </c>
    </row>
    <row r="36" spans="1:30">
      <c r="A36" s="24" t="s">
        <v>97</v>
      </c>
      <c r="B36" s="190"/>
      <c r="C36" s="190"/>
      <c r="D36" s="190">
        <v>4</v>
      </c>
      <c r="E36" s="190"/>
      <c r="F36" s="190"/>
      <c r="G36" s="190"/>
      <c r="H36" s="190">
        <v>4</v>
      </c>
      <c r="I36" s="190"/>
      <c r="J36" s="190"/>
      <c r="K36" s="190"/>
      <c r="L36" s="190">
        <v>4</v>
      </c>
      <c r="M36" s="190"/>
      <c r="N36" s="190"/>
      <c r="O36" s="190"/>
      <c r="P36" s="190"/>
      <c r="Q36" s="190"/>
      <c r="S36">
        <v>4</v>
      </c>
      <c r="V36" s="177">
        <f t="shared" si="2"/>
        <v>16</v>
      </c>
      <c r="X36" s="102" t="s">
        <v>1783</v>
      </c>
      <c r="Y36" s="102" t="s">
        <v>1826</v>
      </c>
      <c r="Z36" s="103">
        <v>1</v>
      </c>
    </row>
    <row r="37" spans="1:30">
      <c r="A37" s="24" t="s">
        <v>254</v>
      </c>
      <c r="B37" s="190"/>
      <c r="C37" s="190"/>
      <c r="D37" s="190"/>
      <c r="E37" s="190"/>
      <c r="F37" s="190">
        <v>4</v>
      </c>
      <c r="G37" s="190"/>
      <c r="H37" s="190"/>
      <c r="I37" s="190"/>
      <c r="J37" s="190"/>
      <c r="K37" s="190">
        <v>3</v>
      </c>
      <c r="L37" s="190"/>
      <c r="M37" s="190"/>
      <c r="N37" s="190"/>
      <c r="O37" s="190"/>
      <c r="P37" s="190"/>
      <c r="Q37" s="190">
        <v>4</v>
      </c>
      <c r="T37">
        <v>3</v>
      </c>
      <c r="V37" s="177">
        <f t="shared" si="2"/>
        <v>14</v>
      </c>
      <c r="X37" s="102" t="s">
        <v>174</v>
      </c>
      <c r="Y37" s="102" t="s">
        <v>238</v>
      </c>
      <c r="Z37" s="103">
        <v>1</v>
      </c>
    </row>
    <row r="38" spans="1:30">
      <c r="A38" s="24" t="s">
        <v>203</v>
      </c>
      <c r="B38" s="190"/>
      <c r="C38" s="190">
        <v>4</v>
      </c>
      <c r="D38" s="190"/>
      <c r="E38" s="190"/>
      <c r="F38" s="190"/>
      <c r="G38" s="190"/>
      <c r="H38" s="190"/>
      <c r="I38" s="190"/>
      <c r="J38" s="190">
        <v>3</v>
      </c>
      <c r="K38" s="190"/>
      <c r="L38" s="190">
        <v>4</v>
      </c>
      <c r="M38" s="190"/>
      <c r="N38" s="190"/>
      <c r="O38" s="190"/>
      <c r="P38" s="190">
        <v>4</v>
      </c>
      <c r="Q38" s="190">
        <v>4</v>
      </c>
      <c r="R38">
        <v>4</v>
      </c>
      <c r="T38" s="310">
        <v>3</v>
      </c>
      <c r="U38" s="187">
        <v>4</v>
      </c>
      <c r="V38" s="177">
        <f t="shared" si="2"/>
        <v>30</v>
      </c>
      <c r="X38" s="102" t="s">
        <v>393</v>
      </c>
      <c r="Y38" s="10" t="s">
        <v>1817</v>
      </c>
      <c r="Z38" s="103">
        <v>1</v>
      </c>
    </row>
    <row r="39" spans="1:30">
      <c r="A39" s="24" t="s">
        <v>68</v>
      </c>
      <c r="B39" s="190"/>
      <c r="C39" s="190">
        <v>4</v>
      </c>
      <c r="D39" s="190"/>
      <c r="E39" s="190"/>
      <c r="F39" s="190"/>
      <c r="G39" s="190"/>
      <c r="H39" s="190"/>
      <c r="I39" s="190"/>
      <c r="J39" s="190"/>
      <c r="K39" s="190">
        <v>4</v>
      </c>
      <c r="L39" s="190"/>
      <c r="M39" s="190">
        <v>4</v>
      </c>
      <c r="N39" s="190"/>
      <c r="O39" s="190"/>
      <c r="P39" s="190">
        <v>5</v>
      </c>
      <c r="Q39" s="190"/>
      <c r="V39" s="177">
        <f t="shared" si="2"/>
        <v>17</v>
      </c>
      <c r="X39" s="67"/>
      <c r="Y39" s="68"/>
      <c r="Z39" s="86"/>
    </row>
    <row r="40" spans="1:30">
      <c r="A40" s="25" t="s">
        <v>500</v>
      </c>
      <c r="B40" s="27">
        <f>SUM(B24:B39)</f>
        <v>3</v>
      </c>
      <c r="C40" s="27">
        <f t="shared" ref="C40:U40" si="3">SUM(C24:C39)</f>
        <v>19</v>
      </c>
      <c r="D40" s="27">
        <f t="shared" si="3"/>
        <v>12</v>
      </c>
      <c r="E40" s="27">
        <f>SUM(E24:E39)</f>
        <v>7</v>
      </c>
      <c r="F40" s="27">
        <f t="shared" si="3"/>
        <v>12</v>
      </c>
      <c r="G40" s="27">
        <f t="shared" si="3"/>
        <v>7</v>
      </c>
      <c r="H40" s="27">
        <f t="shared" si="3"/>
        <v>21</v>
      </c>
      <c r="I40" s="27">
        <f t="shared" si="3"/>
        <v>13</v>
      </c>
      <c r="J40" s="27">
        <f t="shared" si="3"/>
        <v>11</v>
      </c>
      <c r="K40" s="27">
        <f t="shared" si="3"/>
        <v>23</v>
      </c>
      <c r="L40" s="27">
        <f t="shared" si="3"/>
        <v>16</v>
      </c>
      <c r="M40" s="27">
        <f t="shared" si="3"/>
        <v>4</v>
      </c>
      <c r="N40" s="27">
        <f t="shared" si="3"/>
        <v>11</v>
      </c>
      <c r="O40" s="27">
        <f t="shared" si="3"/>
        <v>9</v>
      </c>
      <c r="P40" s="27">
        <f t="shared" si="3"/>
        <v>21</v>
      </c>
      <c r="Q40" s="27">
        <f t="shared" si="3"/>
        <v>13</v>
      </c>
      <c r="R40" s="27">
        <f t="shared" si="3"/>
        <v>12</v>
      </c>
      <c r="S40" s="27">
        <f t="shared" si="3"/>
        <v>23</v>
      </c>
      <c r="T40" s="27">
        <f t="shared" si="3"/>
        <v>18</v>
      </c>
      <c r="U40" s="27">
        <f t="shared" si="3"/>
        <v>5</v>
      </c>
      <c r="V40" s="27">
        <f t="shared" si="2"/>
        <v>260</v>
      </c>
      <c r="X40" s="69"/>
      <c r="Y40" s="69"/>
      <c r="Z40" s="86"/>
    </row>
    <row r="41" spans="1:30">
      <c r="X41" s="69"/>
      <c r="Y41" s="69"/>
      <c r="Z41" s="86"/>
    </row>
    <row r="42" spans="1:30" ht="15">
      <c r="A42" s="423" t="s">
        <v>663</v>
      </c>
      <c r="B42" s="423"/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31"/>
      <c r="U42" s="31"/>
      <c r="V42" s="421" t="s">
        <v>663</v>
      </c>
    </row>
    <row r="43" spans="1:30" ht="24.75" customHeight="1">
      <c r="A43" s="38" t="s">
        <v>502</v>
      </c>
      <c r="B43" s="33">
        <v>43222</v>
      </c>
      <c r="C43" s="33">
        <v>43223</v>
      </c>
      <c r="D43" s="33">
        <v>43224</v>
      </c>
      <c r="E43" s="33">
        <v>43225</v>
      </c>
      <c r="F43" s="33">
        <v>43227</v>
      </c>
      <c r="G43" s="33">
        <v>43228</v>
      </c>
      <c r="H43" s="33">
        <v>43230</v>
      </c>
      <c r="I43" s="33">
        <v>43231</v>
      </c>
      <c r="J43" s="33">
        <v>43233</v>
      </c>
      <c r="K43" s="33">
        <v>43234</v>
      </c>
      <c r="L43" s="33">
        <v>43236</v>
      </c>
      <c r="M43" s="33">
        <v>43237</v>
      </c>
      <c r="N43" s="33">
        <v>43238</v>
      </c>
      <c r="O43" s="33">
        <v>43239</v>
      </c>
      <c r="P43" s="33">
        <v>43241</v>
      </c>
      <c r="Q43" s="33">
        <v>43242</v>
      </c>
      <c r="R43" s="33">
        <v>43244</v>
      </c>
      <c r="S43" s="33">
        <v>43245</v>
      </c>
      <c r="T43" s="33">
        <v>43248</v>
      </c>
      <c r="U43" s="33">
        <v>43249</v>
      </c>
      <c r="V43" s="421"/>
    </row>
    <row r="44" spans="1:30">
      <c r="A44" s="37" t="s">
        <v>11</v>
      </c>
      <c r="B44" s="35">
        <f>IFERROR(B4/B24," ")</f>
        <v>0.66666666666666663</v>
      </c>
      <c r="C44" s="35" t="str">
        <f t="shared" ref="C44:U59" si="4">IFERROR(C4/C24," ")</f>
        <v xml:space="preserve"> </v>
      </c>
      <c r="D44" s="35" t="str">
        <f t="shared" si="4"/>
        <v xml:space="preserve"> </v>
      </c>
      <c r="E44" s="35" t="str">
        <f>IFERROR(E4/E24," ")</f>
        <v xml:space="preserve"> </v>
      </c>
      <c r="F44" s="35" t="str">
        <f t="shared" si="4"/>
        <v xml:space="preserve"> </v>
      </c>
      <c r="G44" s="35" t="str">
        <f t="shared" si="4"/>
        <v xml:space="preserve"> </v>
      </c>
      <c r="H44" s="35" t="str">
        <f t="shared" si="4"/>
        <v xml:space="preserve"> </v>
      </c>
      <c r="I44" s="35">
        <f t="shared" si="4"/>
        <v>1</v>
      </c>
      <c r="J44" s="35" t="str">
        <f t="shared" si="4"/>
        <v xml:space="preserve"> </v>
      </c>
      <c r="K44" s="35">
        <f t="shared" si="4"/>
        <v>0.5</v>
      </c>
      <c r="L44" s="35" t="str">
        <f>IFERROR(L4/L24," ")</f>
        <v xml:space="preserve"> </v>
      </c>
      <c r="M44" s="35" t="str">
        <f>IFERROR(M4/M24," ")</f>
        <v xml:space="preserve"> </v>
      </c>
      <c r="N44" s="35">
        <f t="shared" si="4"/>
        <v>0.5</v>
      </c>
      <c r="O44" s="35" t="str">
        <f t="shared" si="4"/>
        <v xml:space="preserve"> </v>
      </c>
      <c r="P44" s="35">
        <f t="shared" si="4"/>
        <v>0</v>
      </c>
      <c r="Q44" s="35" t="str">
        <f t="shared" si="4"/>
        <v xml:space="preserve"> </v>
      </c>
      <c r="R44" s="35">
        <f t="shared" si="4"/>
        <v>0.5</v>
      </c>
      <c r="S44" s="35" t="str">
        <f t="shared" si="4"/>
        <v xml:space="preserve"> </v>
      </c>
      <c r="T44" s="35" t="str">
        <f t="shared" si="4"/>
        <v xml:space="preserve"> </v>
      </c>
      <c r="U44" s="35" t="str">
        <f t="shared" si="4"/>
        <v xml:space="preserve"> </v>
      </c>
      <c r="V44" s="35">
        <f>IFERROR(V4/V24," ")</f>
        <v>0.4375</v>
      </c>
      <c r="AC44" s="37"/>
      <c r="AD44" s="35"/>
    </row>
    <row r="45" spans="1:30">
      <c r="A45" s="37" t="s">
        <v>218</v>
      </c>
      <c r="B45" s="35" t="str">
        <f t="shared" ref="B45:S60" si="5">IFERROR(B5/B25," ")</f>
        <v xml:space="preserve"> </v>
      </c>
      <c r="C45" s="35">
        <f t="shared" si="5"/>
        <v>1</v>
      </c>
      <c r="D45" s="35" t="str">
        <f t="shared" si="5"/>
        <v xml:space="preserve"> </v>
      </c>
      <c r="E45" s="35" t="str">
        <f t="shared" si="5"/>
        <v xml:space="preserve"> </v>
      </c>
      <c r="F45" s="35" t="str">
        <f t="shared" si="5"/>
        <v xml:space="preserve"> </v>
      </c>
      <c r="G45" s="35" t="str">
        <f t="shared" si="5"/>
        <v xml:space="preserve"> </v>
      </c>
      <c r="H45" s="35" t="str">
        <f t="shared" si="5"/>
        <v xml:space="preserve"> </v>
      </c>
      <c r="I45" s="35" t="str">
        <f t="shared" si="5"/>
        <v xml:space="preserve"> </v>
      </c>
      <c r="J45" s="35" t="str">
        <f t="shared" si="5"/>
        <v xml:space="preserve"> </v>
      </c>
      <c r="K45" s="35">
        <f t="shared" si="5"/>
        <v>0.75</v>
      </c>
      <c r="L45" s="35" t="str">
        <f t="shared" si="5"/>
        <v xml:space="preserve"> </v>
      </c>
      <c r="M45" s="35" t="str">
        <f t="shared" si="5"/>
        <v xml:space="preserve"> </v>
      </c>
      <c r="N45" s="35" t="str">
        <f t="shared" si="5"/>
        <v xml:space="preserve"> </v>
      </c>
      <c r="O45" s="35" t="str">
        <f>IFERROR(O5/O25," ")</f>
        <v xml:space="preserve"> </v>
      </c>
      <c r="P45" s="35" t="str">
        <f t="shared" si="4"/>
        <v xml:space="preserve"> </v>
      </c>
      <c r="Q45" s="35">
        <f t="shared" si="4"/>
        <v>1</v>
      </c>
      <c r="R45" s="35" t="str">
        <f t="shared" si="4"/>
        <v xml:space="preserve"> </v>
      </c>
      <c r="S45" s="35" t="str">
        <f t="shared" si="4"/>
        <v xml:space="preserve"> </v>
      </c>
      <c r="T45" s="35" t="str">
        <f t="shared" si="4"/>
        <v xml:space="preserve"> </v>
      </c>
      <c r="U45" s="35">
        <f t="shared" si="4"/>
        <v>0</v>
      </c>
      <c r="V45" s="35">
        <f>IFERROR(V5/V25," ")</f>
        <v>0.84615384615384615</v>
      </c>
      <c r="AC45" s="37"/>
      <c r="AD45" s="35"/>
    </row>
    <row r="46" spans="1:30">
      <c r="A46" s="37" t="s">
        <v>121</v>
      </c>
      <c r="B46" s="35" t="str">
        <f t="shared" si="5"/>
        <v xml:space="preserve"> </v>
      </c>
      <c r="C46" s="35" t="str">
        <f t="shared" si="5"/>
        <v xml:space="preserve"> </v>
      </c>
      <c r="D46" s="35" t="str">
        <f t="shared" si="5"/>
        <v xml:space="preserve"> </v>
      </c>
      <c r="E46" s="35">
        <f t="shared" si="5"/>
        <v>0.33333333333333331</v>
      </c>
      <c r="F46" s="35" t="str">
        <f t="shared" si="5"/>
        <v xml:space="preserve"> </v>
      </c>
      <c r="G46" s="35" t="str">
        <f t="shared" si="5"/>
        <v xml:space="preserve"> </v>
      </c>
      <c r="H46" s="35">
        <f t="shared" si="5"/>
        <v>1</v>
      </c>
      <c r="I46" s="35" t="str">
        <f t="shared" si="5"/>
        <v xml:space="preserve"> </v>
      </c>
      <c r="J46" s="35" t="str">
        <f t="shared" si="5"/>
        <v xml:space="preserve"> </v>
      </c>
      <c r="K46" s="35" t="str">
        <f t="shared" si="5"/>
        <v xml:space="preserve"> </v>
      </c>
      <c r="L46" s="35" t="str">
        <f t="shared" si="5"/>
        <v xml:space="preserve"> </v>
      </c>
      <c r="M46" s="35" t="str">
        <f t="shared" si="5"/>
        <v xml:space="preserve"> </v>
      </c>
      <c r="N46" s="35" t="str">
        <f t="shared" si="5"/>
        <v xml:space="preserve"> </v>
      </c>
      <c r="O46" s="35" t="str">
        <f t="shared" si="5"/>
        <v xml:space="preserve"> </v>
      </c>
      <c r="P46" s="35" t="str">
        <f t="shared" si="5"/>
        <v xml:space="preserve"> </v>
      </c>
      <c r="Q46" s="35" t="str">
        <f t="shared" si="4"/>
        <v xml:space="preserve"> </v>
      </c>
      <c r="R46" s="35" t="str">
        <f t="shared" si="4"/>
        <v xml:space="preserve"> </v>
      </c>
      <c r="S46" s="35">
        <f t="shared" si="4"/>
        <v>0.5</v>
      </c>
      <c r="T46" s="35" t="str">
        <f t="shared" si="4"/>
        <v xml:space="preserve"> </v>
      </c>
      <c r="U46" s="35" t="str">
        <f t="shared" si="4"/>
        <v xml:space="preserve"> </v>
      </c>
      <c r="V46" s="35">
        <f t="shared" ref="V46:V50" si="6">IFERROR(V6/V26," ")</f>
        <v>0.55555555555555558</v>
      </c>
      <c r="AC46" s="37"/>
      <c r="AD46" s="35"/>
    </row>
    <row r="47" spans="1:30">
      <c r="A47" s="37" t="s">
        <v>189</v>
      </c>
      <c r="B47" s="35" t="str">
        <f t="shared" si="5"/>
        <v xml:space="preserve"> </v>
      </c>
      <c r="C47" s="35" t="str">
        <f t="shared" si="5"/>
        <v xml:space="preserve"> </v>
      </c>
      <c r="D47" s="35" t="str">
        <f t="shared" si="5"/>
        <v xml:space="preserve"> </v>
      </c>
      <c r="E47" s="35" t="str">
        <f t="shared" si="5"/>
        <v xml:space="preserve"> </v>
      </c>
      <c r="F47" s="35" t="str">
        <f t="shared" si="5"/>
        <v xml:space="preserve"> </v>
      </c>
      <c r="G47" s="35">
        <f t="shared" si="5"/>
        <v>0.25</v>
      </c>
      <c r="H47" s="35" t="str">
        <f t="shared" si="5"/>
        <v xml:space="preserve"> </v>
      </c>
      <c r="I47" s="35">
        <f t="shared" si="5"/>
        <v>1</v>
      </c>
      <c r="J47" s="35" t="str">
        <f t="shared" si="5"/>
        <v xml:space="preserve"> </v>
      </c>
      <c r="K47" s="35" t="str">
        <f t="shared" si="5"/>
        <v xml:space="preserve"> </v>
      </c>
      <c r="L47" s="35">
        <f t="shared" si="5"/>
        <v>1</v>
      </c>
      <c r="M47" s="35" t="str">
        <f t="shared" si="5"/>
        <v xml:space="preserve"> </v>
      </c>
      <c r="N47" s="35" t="str">
        <f t="shared" si="5"/>
        <v xml:space="preserve"> </v>
      </c>
      <c r="O47" s="35" t="str">
        <f t="shared" si="5"/>
        <v xml:space="preserve"> </v>
      </c>
      <c r="P47" s="35" t="str">
        <f t="shared" si="5"/>
        <v xml:space="preserve"> </v>
      </c>
      <c r="Q47" s="35" t="str">
        <f t="shared" si="4"/>
        <v xml:space="preserve"> </v>
      </c>
      <c r="R47" s="35">
        <f t="shared" si="4"/>
        <v>1</v>
      </c>
      <c r="S47" s="35" t="str">
        <f t="shared" si="4"/>
        <v xml:space="preserve"> </v>
      </c>
      <c r="T47" s="35" t="str">
        <f t="shared" si="4"/>
        <v xml:space="preserve"> </v>
      </c>
      <c r="U47" s="35" t="str">
        <f t="shared" si="4"/>
        <v xml:space="preserve"> </v>
      </c>
      <c r="V47" s="35">
        <f>IFERROR(V7/V27," ")</f>
        <v>0.8125</v>
      </c>
      <c r="AC47" s="37"/>
      <c r="AD47" s="35"/>
    </row>
    <row r="48" spans="1:30">
      <c r="A48" s="37" t="s">
        <v>310</v>
      </c>
      <c r="B48" s="35" t="str">
        <f t="shared" si="5"/>
        <v xml:space="preserve"> </v>
      </c>
      <c r="C48" s="35" t="str">
        <f t="shared" si="5"/>
        <v xml:space="preserve"> </v>
      </c>
      <c r="D48" s="35">
        <f t="shared" si="5"/>
        <v>1</v>
      </c>
      <c r="E48" s="35" t="str">
        <f t="shared" si="5"/>
        <v xml:space="preserve"> </v>
      </c>
      <c r="F48" s="35" t="str">
        <f t="shared" si="5"/>
        <v xml:space="preserve"> </v>
      </c>
      <c r="G48" s="35" t="str">
        <f t="shared" si="5"/>
        <v xml:space="preserve"> </v>
      </c>
      <c r="H48" s="35" t="str">
        <f t="shared" si="5"/>
        <v xml:space="preserve"> </v>
      </c>
      <c r="I48" s="35">
        <f t="shared" si="5"/>
        <v>1</v>
      </c>
      <c r="J48" s="35" t="str">
        <f t="shared" si="5"/>
        <v xml:space="preserve"> </v>
      </c>
      <c r="K48" s="35" t="str">
        <f t="shared" si="5"/>
        <v xml:space="preserve"> </v>
      </c>
      <c r="L48" s="35" t="str">
        <f t="shared" si="5"/>
        <v xml:space="preserve"> </v>
      </c>
      <c r="M48" s="35" t="str">
        <f t="shared" si="5"/>
        <v xml:space="preserve"> </v>
      </c>
      <c r="N48" s="35" t="str">
        <f t="shared" si="5"/>
        <v xml:space="preserve"> </v>
      </c>
      <c r="O48" s="35">
        <f t="shared" si="5"/>
        <v>0.5</v>
      </c>
      <c r="P48" s="35" t="str">
        <f t="shared" si="5"/>
        <v xml:space="preserve"> </v>
      </c>
      <c r="Q48" s="35" t="str">
        <f t="shared" si="4"/>
        <v xml:space="preserve"> </v>
      </c>
      <c r="R48" s="35" t="str">
        <f t="shared" si="4"/>
        <v xml:space="preserve"> </v>
      </c>
      <c r="S48" s="35">
        <f t="shared" si="4"/>
        <v>0.75</v>
      </c>
      <c r="T48" s="35" t="str">
        <f t="shared" si="4"/>
        <v xml:space="preserve"> </v>
      </c>
      <c r="U48" s="35" t="str">
        <f t="shared" si="4"/>
        <v xml:space="preserve"> </v>
      </c>
      <c r="V48" s="35">
        <f t="shared" si="6"/>
        <v>0.8125</v>
      </c>
      <c r="AC48" s="37"/>
      <c r="AD48" s="35"/>
    </row>
    <row r="49" spans="1:30">
      <c r="A49" s="37" t="s">
        <v>279</v>
      </c>
      <c r="B49" s="35" t="str">
        <f t="shared" si="5"/>
        <v xml:space="preserve"> </v>
      </c>
      <c r="C49" s="35" t="str">
        <f t="shared" si="5"/>
        <v xml:space="preserve"> </v>
      </c>
      <c r="D49" s="35" t="str">
        <f t="shared" si="5"/>
        <v xml:space="preserve"> </v>
      </c>
      <c r="E49" s="35">
        <f t="shared" si="5"/>
        <v>0</v>
      </c>
      <c r="F49" s="35" t="str">
        <f t="shared" si="5"/>
        <v xml:space="preserve"> </v>
      </c>
      <c r="G49" s="35" t="str">
        <f t="shared" si="5"/>
        <v xml:space="preserve"> </v>
      </c>
      <c r="H49" s="35" t="str">
        <f t="shared" si="5"/>
        <v xml:space="preserve"> </v>
      </c>
      <c r="I49" s="35">
        <f t="shared" si="5"/>
        <v>0</v>
      </c>
      <c r="J49" s="35" t="str">
        <f t="shared" si="5"/>
        <v xml:space="preserve"> </v>
      </c>
      <c r="K49" s="35">
        <f t="shared" si="5"/>
        <v>0.75</v>
      </c>
      <c r="L49" s="35" t="str">
        <f t="shared" si="5"/>
        <v xml:space="preserve"> </v>
      </c>
      <c r="M49" s="35" t="str">
        <f t="shared" si="5"/>
        <v xml:space="preserve"> </v>
      </c>
      <c r="N49" s="35">
        <f t="shared" si="5"/>
        <v>0.5</v>
      </c>
      <c r="O49" s="35" t="str">
        <f t="shared" si="5"/>
        <v xml:space="preserve"> </v>
      </c>
      <c r="P49" s="35" t="str">
        <f t="shared" si="5"/>
        <v xml:space="preserve"> </v>
      </c>
      <c r="Q49" s="35">
        <f>IFERROR(Q9/Q29," ")</f>
        <v>0</v>
      </c>
      <c r="R49" s="35" t="str">
        <f t="shared" si="4"/>
        <v xml:space="preserve"> </v>
      </c>
      <c r="S49" s="35">
        <f t="shared" si="4"/>
        <v>0</v>
      </c>
      <c r="T49" s="35" t="str">
        <f t="shared" si="4"/>
        <v xml:space="preserve"> </v>
      </c>
      <c r="U49" s="35" t="str">
        <f t="shared" si="4"/>
        <v xml:space="preserve"> </v>
      </c>
      <c r="V49" s="35">
        <f>IFERROR(V9/V29," ")</f>
        <v>0.29166666666666669</v>
      </c>
      <c r="AC49" s="37"/>
      <c r="AD49" s="35"/>
    </row>
    <row r="50" spans="1:30">
      <c r="A50" s="37" t="s">
        <v>130</v>
      </c>
      <c r="B50" s="35" t="str">
        <f t="shared" si="5"/>
        <v xml:space="preserve"> </v>
      </c>
      <c r="C50" s="35" t="str">
        <f t="shared" si="5"/>
        <v xml:space="preserve"> </v>
      </c>
      <c r="D50" s="35" t="str">
        <f t="shared" si="5"/>
        <v xml:space="preserve"> </v>
      </c>
      <c r="E50" s="35" t="str">
        <f t="shared" si="5"/>
        <v xml:space="preserve"> </v>
      </c>
      <c r="F50" s="35">
        <f t="shared" si="5"/>
        <v>0</v>
      </c>
      <c r="G50" s="35" t="str">
        <f t="shared" si="5"/>
        <v xml:space="preserve"> </v>
      </c>
      <c r="H50" s="35" t="str">
        <f t="shared" si="5"/>
        <v xml:space="preserve"> </v>
      </c>
      <c r="I50" s="35" t="str">
        <f t="shared" si="5"/>
        <v xml:space="preserve"> </v>
      </c>
      <c r="J50" s="35" t="str">
        <f t="shared" si="5"/>
        <v xml:space="preserve"> </v>
      </c>
      <c r="K50" s="35">
        <f t="shared" si="5"/>
        <v>0.75</v>
      </c>
      <c r="L50" s="35" t="str">
        <f t="shared" si="5"/>
        <v xml:space="preserve"> </v>
      </c>
      <c r="M50" s="35" t="str">
        <f t="shared" si="5"/>
        <v xml:space="preserve"> </v>
      </c>
      <c r="N50" s="35" t="str">
        <f t="shared" si="5"/>
        <v xml:space="preserve"> </v>
      </c>
      <c r="O50" s="35">
        <f t="shared" si="5"/>
        <v>0</v>
      </c>
      <c r="P50" s="35" t="str">
        <f t="shared" si="5"/>
        <v xml:space="preserve"> </v>
      </c>
      <c r="Q50" s="35" t="str">
        <f t="shared" si="4"/>
        <v xml:space="preserve"> </v>
      </c>
      <c r="R50" s="35" t="str">
        <f t="shared" si="4"/>
        <v xml:space="preserve"> </v>
      </c>
      <c r="S50" s="35">
        <f t="shared" si="4"/>
        <v>1</v>
      </c>
      <c r="T50" s="35" t="str">
        <f t="shared" si="4"/>
        <v xml:space="preserve"> </v>
      </c>
      <c r="U50" s="35" t="str">
        <f t="shared" si="4"/>
        <v xml:space="preserve"> </v>
      </c>
      <c r="V50" s="35">
        <f t="shared" si="6"/>
        <v>0.46666666666666667</v>
      </c>
      <c r="AC50" s="37"/>
      <c r="AD50" s="35"/>
    </row>
    <row r="51" spans="1:30">
      <c r="A51" s="37" t="s">
        <v>24</v>
      </c>
      <c r="B51" s="35" t="str">
        <f t="shared" si="5"/>
        <v xml:space="preserve"> </v>
      </c>
      <c r="C51" s="35" t="str">
        <f t="shared" si="5"/>
        <v xml:space="preserve"> </v>
      </c>
      <c r="D51" s="35">
        <f t="shared" si="5"/>
        <v>0.25</v>
      </c>
      <c r="E51" s="35" t="str">
        <f t="shared" si="5"/>
        <v xml:space="preserve"> </v>
      </c>
      <c r="F51" s="35" t="str">
        <f t="shared" si="5"/>
        <v xml:space="preserve"> </v>
      </c>
      <c r="G51" s="35" t="str">
        <f t="shared" si="5"/>
        <v xml:space="preserve"> </v>
      </c>
      <c r="H51" s="35">
        <f t="shared" si="5"/>
        <v>1</v>
      </c>
      <c r="I51" s="35" t="str">
        <f t="shared" si="5"/>
        <v xml:space="preserve"> </v>
      </c>
      <c r="J51" s="35" t="str">
        <f t="shared" si="5"/>
        <v xml:space="preserve"> </v>
      </c>
      <c r="K51" s="35" t="str">
        <f t="shared" si="5"/>
        <v xml:space="preserve"> </v>
      </c>
      <c r="L51" s="35" t="str">
        <f t="shared" si="5"/>
        <v xml:space="preserve"> </v>
      </c>
      <c r="M51" s="35" t="str">
        <f t="shared" si="5"/>
        <v xml:space="preserve"> </v>
      </c>
      <c r="N51" s="35" t="str">
        <f t="shared" si="5"/>
        <v xml:space="preserve"> </v>
      </c>
      <c r="O51" s="35">
        <f t="shared" si="5"/>
        <v>0.5</v>
      </c>
      <c r="P51" s="35" t="str">
        <f t="shared" si="5"/>
        <v xml:space="preserve"> </v>
      </c>
      <c r="Q51" s="35" t="str">
        <f t="shared" si="4"/>
        <v xml:space="preserve"> </v>
      </c>
      <c r="R51" s="35" t="str">
        <f t="shared" si="4"/>
        <v xml:space="preserve"> </v>
      </c>
      <c r="S51" s="35" t="str">
        <f t="shared" si="4"/>
        <v xml:space="preserve"> </v>
      </c>
      <c r="T51" s="35">
        <f t="shared" si="4"/>
        <v>1</v>
      </c>
      <c r="U51" s="35" t="str">
        <f t="shared" si="4"/>
        <v xml:space="preserve"> </v>
      </c>
      <c r="V51" s="35">
        <f>IFERROR(V11/V31," ")</f>
        <v>0.69230769230769229</v>
      </c>
      <c r="AC51" s="37"/>
      <c r="AD51" s="35"/>
    </row>
    <row r="52" spans="1:30">
      <c r="A52" s="37" t="s">
        <v>393</v>
      </c>
      <c r="B52" s="35" t="str">
        <f t="shared" si="5"/>
        <v xml:space="preserve"> </v>
      </c>
      <c r="C52" s="35" t="str">
        <f t="shared" si="5"/>
        <v xml:space="preserve"> </v>
      </c>
      <c r="D52" s="35" t="str">
        <f t="shared" si="5"/>
        <v xml:space="preserve"> </v>
      </c>
      <c r="E52" s="35" t="str">
        <f t="shared" si="5"/>
        <v xml:space="preserve"> </v>
      </c>
      <c r="F52" s="35">
        <f t="shared" si="5"/>
        <v>0</v>
      </c>
      <c r="G52" s="35" t="str">
        <f t="shared" si="5"/>
        <v xml:space="preserve"> </v>
      </c>
      <c r="H52" s="35">
        <f t="shared" si="5"/>
        <v>1</v>
      </c>
      <c r="I52" s="35" t="str">
        <f t="shared" si="5"/>
        <v xml:space="preserve"> </v>
      </c>
      <c r="J52" s="35">
        <f t="shared" si="5"/>
        <v>0.75</v>
      </c>
      <c r="K52" s="35" t="str">
        <f t="shared" si="5"/>
        <v xml:space="preserve"> </v>
      </c>
      <c r="L52" s="35" t="str">
        <f t="shared" si="5"/>
        <v xml:space="preserve"> </v>
      </c>
      <c r="M52" s="35" t="str">
        <f t="shared" si="5"/>
        <v xml:space="preserve"> </v>
      </c>
      <c r="N52" s="35" t="str">
        <f>IFERROR(N12/N32," ")</f>
        <v xml:space="preserve"> </v>
      </c>
      <c r="O52" s="35" t="str">
        <f t="shared" si="5"/>
        <v xml:space="preserve"> </v>
      </c>
      <c r="P52" s="35">
        <f t="shared" si="5"/>
        <v>0.75</v>
      </c>
      <c r="Q52" s="35" t="str">
        <f t="shared" si="4"/>
        <v xml:space="preserve"> </v>
      </c>
      <c r="R52" s="35" t="str">
        <f t="shared" si="4"/>
        <v xml:space="preserve"> </v>
      </c>
      <c r="S52" s="35" t="str">
        <f t="shared" si="4"/>
        <v xml:space="preserve"> </v>
      </c>
      <c r="T52" s="35">
        <f t="shared" si="4"/>
        <v>0.33333333333333331</v>
      </c>
      <c r="U52" s="35" t="str">
        <f>IFERROR(U12/U32," ")</f>
        <v xml:space="preserve"> </v>
      </c>
      <c r="V52" s="35">
        <f>IFERROR(V12/V32," ")</f>
        <v>0.65217391304347827</v>
      </c>
      <c r="AC52" s="37"/>
      <c r="AD52" s="35"/>
    </row>
    <row r="53" spans="1:30">
      <c r="A53" s="37" t="s">
        <v>161</v>
      </c>
      <c r="B53" s="35" t="str">
        <f t="shared" si="5"/>
        <v xml:space="preserve"> </v>
      </c>
      <c r="C53" s="35" t="str">
        <f t="shared" si="5"/>
        <v xml:space="preserve"> </v>
      </c>
      <c r="D53" s="35" t="str">
        <f t="shared" si="5"/>
        <v xml:space="preserve"> </v>
      </c>
      <c r="E53" s="35" t="str">
        <f t="shared" si="5"/>
        <v xml:space="preserve"> </v>
      </c>
      <c r="F53" s="35" t="str">
        <f t="shared" si="5"/>
        <v xml:space="preserve"> </v>
      </c>
      <c r="G53" s="35">
        <f t="shared" si="5"/>
        <v>1</v>
      </c>
      <c r="H53" s="35" t="str">
        <f t="shared" si="5"/>
        <v xml:space="preserve"> </v>
      </c>
      <c r="I53" s="35" t="str">
        <f t="shared" si="5"/>
        <v xml:space="preserve"> </v>
      </c>
      <c r="J53" s="35" t="str">
        <f t="shared" si="5"/>
        <v xml:space="preserve"> </v>
      </c>
      <c r="K53" s="35">
        <f t="shared" si="5"/>
        <v>1</v>
      </c>
      <c r="L53" s="35" t="str">
        <f t="shared" si="5"/>
        <v xml:space="preserve"> </v>
      </c>
      <c r="M53" s="35" t="str">
        <f t="shared" si="5"/>
        <v xml:space="preserve"> </v>
      </c>
      <c r="N53" s="35">
        <f t="shared" si="5"/>
        <v>1</v>
      </c>
      <c r="O53" s="35" t="str">
        <f t="shared" si="5"/>
        <v xml:space="preserve"> </v>
      </c>
      <c r="P53" s="35" t="str">
        <f t="shared" si="5"/>
        <v xml:space="preserve"> </v>
      </c>
      <c r="Q53" s="35" t="str">
        <f t="shared" si="4"/>
        <v xml:space="preserve"> </v>
      </c>
      <c r="R53" s="35" t="str">
        <f t="shared" si="4"/>
        <v xml:space="preserve"> </v>
      </c>
      <c r="S53" s="35" t="str">
        <f t="shared" si="4"/>
        <v xml:space="preserve"> </v>
      </c>
      <c r="T53" s="35">
        <f t="shared" si="4"/>
        <v>1</v>
      </c>
      <c r="U53" s="35" t="str">
        <f t="shared" si="4"/>
        <v xml:space="preserve"> </v>
      </c>
      <c r="V53" s="35">
        <f>IFERROR(V13/V33," ")</f>
        <v>1</v>
      </c>
      <c r="AC53" s="37"/>
      <c r="AD53" s="35"/>
    </row>
    <row r="54" spans="1:30">
      <c r="A54" s="37" t="s">
        <v>34</v>
      </c>
      <c r="B54" s="35" t="str">
        <f t="shared" si="5"/>
        <v xml:space="preserve"> </v>
      </c>
      <c r="C54" s="35">
        <f t="shared" si="5"/>
        <v>0.33333333333333331</v>
      </c>
      <c r="D54" s="35" t="str">
        <f t="shared" si="5"/>
        <v xml:space="preserve"> </v>
      </c>
      <c r="E54" s="35" t="str">
        <f t="shared" si="5"/>
        <v xml:space="preserve"> </v>
      </c>
      <c r="F54" s="35" t="str">
        <f t="shared" si="5"/>
        <v xml:space="preserve"> </v>
      </c>
      <c r="G54" s="35" t="str">
        <f t="shared" si="5"/>
        <v xml:space="preserve"> </v>
      </c>
      <c r="H54" s="35">
        <f t="shared" si="5"/>
        <v>0.25</v>
      </c>
      <c r="I54" s="35" t="str">
        <f t="shared" si="5"/>
        <v xml:space="preserve"> </v>
      </c>
      <c r="J54" s="35" t="str">
        <f t="shared" si="5"/>
        <v xml:space="preserve"> </v>
      </c>
      <c r="K54" s="35" t="str">
        <f t="shared" si="5"/>
        <v xml:space="preserve"> </v>
      </c>
      <c r="L54" s="35">
        <f t="shared" si="5"/>
        <v>0.75</v>
      </c>
      <c r="M54" s="35" t="str">
        <f t="shared" si="5"/>
        <v xml:space="preserve"> </v>
      </c>
      <c r="N54" s="35" t="str">
        <f t="shared" si="5"/>
        <v xml:space="preserve"> </v>
      </c>
      <c r="O54" s="35" t="str">
        <f t="shared" si="5"/>
        <v xml:space="preserve"> </v>
      </c>
      <c r="P54" s="35" t="str">
        <f t="shared" si="5"/>
        <v xml:space="preserve"> </v>
      </c>
      <c r="Q54" s="35" t="str">
        <f t="shared" si="4"/>
        <v xml:space="preserve"> </v>
      </c>
      <c r="R54" s="35" t="str">
        <f t="shared" si="4"/>
        <v xml:space="preserve"> </v>
      </c>
      <c r="S54" s="35" t="str">
        <f t="shared" si="4"/>
        <v xml:space="preserve"> </v>
      </c>
      <c r="T54" s="35">
        <f t="shared" si="4"/>
        <v>1</v>
      </c>
      <c r="U54" s="35" t="str">
        <f t="shared" si="4"/>
        <v xml:space="preserve"> </v>
      </c>
      <c r="V54" s="35">
        <f t="shared" ref="V54:V57" si="7">IFERROR(V14/V34," ")</f>
        <v>0.6</v>
      </c>
      <c r="AC54" s="37"/>
      <c r="AD54" s="35"/>
    </row>
    <row r="55" spans="1:30">
      <c r="A55" s="37" t="s">
        <v>174</v>
      </c>
      <c r="B55" s="35" t="str">
        <f t="shared" si="5"/>
        <v xml:space="preserve"> </v>
      </c>
      <c r="C55" s="35">
        <f t="shared" si="5"/>
        <v>0</v>
      </c>
      <c r="D55" s="35" t="str">
        <f t="shared" si="5"/>
        <v xml:space="preserve"> </v>
      </c>
      <c r="E55" s="35" t="str">
        <f t="shared" si="5"/>
        <v xml:space="preserve"> </v>
      </c>
      <c r="F55" s="35" t="str">
        <f t="shared" si="5"/>
        <v xml:space="preserve"> </v>
      </c>
      <c r="G55" s="35" t="str">
        <f t="shared" si="5"/>
        <v xml:space="preserve"> </v>
      </c>
      <c r="H55" s="35" t="str">
        <f t="shared" si="5"/>
        <v xml:space="preserve"> </v>
      </c>
      <c r="I55" s="35" t="str">
        <f t="shared" si="5"/>
        <v xml:space="preserve"> </v>
      </c>
      <c r="J55" s="35">
        <f t="shared" si="5"/>
        <v>0.25</v>
      </c>
      <c r="K55" s="35" t="str">
        <f t="shared" si="5"/>
        <v xml:space="preserve"> </v>
      </c>
      <c r="L55" s="35" t="str">
        <f t="shared" si="5"/>
        <v xml:space="preserve"> </v>
      </c>
      <c r="M55" s="35" t="str">
        <f t="shared" si="5"/>
        <v xml:space="preserve"> </v>
      </c>
      <c r="N55" s="35" t="str">
        <f>IFERROR(N15/N35," ")</f>
        <v xml:space="preserve"> </v>
      </c>
      <c r="O55" s="35" t="str">
        <f t="shared" si="5"/>
        <v xml:space="preserve"> </v>
      </c>
      <c r="P55" s="35">
        <f t="shared" si="5"/>
        <v>1</v>
      </c>
      <c r="Q55" s="35" t="str">
        <f t="shared" si="4"/>
        <v xml:space="preserve"> </v>
      </c>
      <c r="R55" s="35" t="str">
        <f t="shared" si="4"/>
        <v xml:space="preserve"> </v>
      </c>
      <c r="S55" s="35">
        <f t="shared" si="4"/>
        <v>1</v>
      </c>
      <c r="T55" s="35" t="str">
        <f t="shared" si="4"/>
        <v xml:space="preserve"> </v>
      </c>
      <c r="U55" s="35" t="str">
        <f t="shared" si="4"/>
        <v xml:space="preserve"> </v>
      </c>
      <c r="V55" s="35">
        <f t="shared" si="7"/>
        <v>0.5625</v>
      </c>
      <c r="AC55" s="37"/>
      <c r="AD55" s="35"/>
    </row>
    <row r="56" spans="1:30">
      <c r="A56" s="37" t="s">
        <v>97</v>
      </c>
      <c r="B56" s="35" t="str">
        <f t="shared" si="5"/>
        <v xml:space="preserve"> </v>
      </c>
      <c r="C56" s="35" t="str">
        <f t="shared" si="5"/>
        <v xml:space="preserve"> </v>
      </c>
      <c r="D56" s="35">
        <f t="shared" si="5"/>
        <v>1</v>
      </c>
      <c r="E56" s="35" t="str">
        <f t="shared" si="5"/>
        <v xml:space="preserve"> </v>
      </c>
      <c r="F56" s="35" t="str">
        <f t="shared" si="5"/>
        <v xml:space="preserve"> </v>
      </c>
      <c r="G56" s="35" t="str">
        <f t="shared" si="5"/>
        <v xml:space="preserve"> </v>
      </c>
      <c r="H56" s="35">
        <f t="shared" si="5"/>
        <v>1</v>
      </c>
      <c r="I56" s="35" t="str">
        <f t="shared" si="5"/>
        <v xml:space="preserve"> </v>
      </c>
      <c r="J56" s="35" t="str">
        <f t="shared" si="5"/>
        <v xml:space="preserve"> </v>
      </c>
      <c r="K56" s="35" t="str">
        <f t="shared" si="5"/>
        <v xml:space="preserve"> </v>
      </c>
      <c r="L56" s="35">
        <f t="shared" si="5"/>
        <v>1</v>
      </c>
      <c r="M56" s="35" t="str">
        <f t="shared" si="5"/>
        <v xml:space="preserve"> </v>
      </c>
      <c r="N56" s="35" t="str">
        <f t="shared" si="5"/>
        <v xml:space="preserve"> </v>
      </c>
      <c r="O56" s="35" t="str">
        <f t="shared" si="5"/>
        <v xml:space="preserve"> </v>
      </c>
      <c r="P56" s="35" t="str">
        <f t="shared" si="5"/>
        <v xml:space="preserve"> </v>
      </c>
      <c r="Q56" s="35" t="str">
        <f t="shared" si="4"/>
        <v xml:space="preserve"> </v>
      </c>
      <c r="R56" s="35" t="str">
        <f t="shared" si="4"/>
        <v xml:space="preserve"> </v>
      </c>
      <c r="S56" s="35">
        <f t="shared" si="4"/>
        <v>1</v>
      </c>
      <c r="T56" s="35" t="str">
        <f t="shared" si="4"/>
        <v xml:space="preserve"> </v>
      </c>
      <c r="U56" s="35" t="str">
        <f t="shared" si="4"/>
        <v xml:space="preserve"> </v>
      </c>
      <c r="V56" s="35">
        <f t="shared" si="7"/>
        <v>1</v>
      </c>
      <c r="AC56" s="37"/>
      <c r="AD56" s="35"/>
    </row>
    <row r="57" spans="1:30">
      <c r="A57" s="37" t="s">
        <v>254</v>
      </c>
      <c r="B57" s="35" t="str">
        <f t="shared" si="5"/>
        <v xml:space="preserve"> </v>
      </c>
      <c r="C57" s="35" t="str">
        <f t="shared" si="5"/>
        <v xml:space="preserve"> </v>
      </c>
      <c r="D57" s="35" t="str">
        <f t="shared" si="5"/>
        <v xml:space="preserve"> </v>
      </c>
      <c r="E57" s="35" t="str">
        <f t="shared" si="5"/>
        <v xml:space="preserve"> </v>
      </c>
      <c r="F57" s="35">
        <f t="shared" si="5"/>
        <v>1</v>
      </c>
      <c r="G57" s="35" t="str">
        <f t="shared" si="5"/>
        <v xml:space="preserve"> </v>
      </c>
      <c r="H57" s="35" t="str">
        <f t="shared" si="5"/>
        <v xml:space="preserve"> </v>
      </c>
      <c r="I57" s="35" t="str">
        <f t="shared" si="5"/>
        <v xml:space="preserve"> </v>
      </c>
      <c r="J57" s="35" t="str">
        <f t="shared" si="5"/>
        <v xml:space="preserve"> </v>
      </c>
      <c r="K57" s="35">
        <f t="shared" si="5"/>
        <v>0.66666666666666663</v>
      </c>
      <c r="L57" s="35" t="str">
        <f t="shared" si="5"/>
        <v xml:space="preserve"> </v>
      </c>
      <c r="M57" s="35" t="str">
        <f t="shared" si="5"/>
        <v xml:space="preserve"> </v>
      </c>
      <c r="N57" s="35" t="str">
        <f t="shared" si="5"/>
        <v xml:space="preserve"> </v>
      </c>
      <c r="O57" s="35" t="str">
        <f t="shared" si="5"/>
        <v xml:space="preserve"> </v>
      </c>
      <c r="P57" s="35" t="str">
        <f t="shared" si="5"/>
        <v xml:space="preserve"> </v>
      </c>
      <c r="Q57" s="35">
        <f t="shared" si="4"/>
        <v>1</v>
      </c>
      <c r="R57" s="35" t="str">
        <f t="shared" si="4"/>
        <v xml:space="preserve"> </v>
      </c>
      <c r="S57" s="35" t="str">
        <f t="shared" si="4"/>
        <v xml:space="preserve"> </v>
      </c>
      <c r="T57" s="35">
        <f t="shared" si="4"/>
        <v>0.66666666666666663</v>
      </c>
      <c r="U57" s="35" t="str">
        <f t="shared" si="4"/>
        <v xml:space="preserve"> </v>
      </c>
      <c r="V57" s="35">
        <f t="shared" si="7"/>
        <v>0.8571428571428571</v>
      </c>
      <c r="AC57" s="37"/>
      <c r="AD57" s="35"/>
    </row>
    <row r="58" spans="1:30">
      <c r="A58" s="37" t="s">
        <v>203</v>
      </c>
      <c r="B58" s="35" t="str">
        <f t="shared" si="5"/>
        <v xml:space="preserve"> </v>
      </c>
      <c r="C58" s="35">
        <f t="shared" si="5"/>
        <v>0.5</v>
      </c>
      <c r="D58" s="35" t="str">
        <f t="shared" si="5"/>
        <v xml:space="preserve"> </v>
      </c>
      <c r="E58" s="35" t="str">
        <f t="shared" si="5"/>
        <v xml:space="preserve"> </v>
      </c>
      <c r="F58" s="35" t="str">
        <f t="shared" si="5"/>
        <v xml:space="preserve"> </v>
      </c>
      <c r="G58" s="35" t="str">
        <f t="shared" si="5"/>
        <v xml:space="preserve"> </v>
      </c>
      <c r="H58" s="35" t="str">
        <f t="shared" si="5"/>
        <v xml:space="preserve"> </v>
      </c>
      <c r="I58" s="35" t="str">
        <f t="shared" si="5"/>
        <v xml:space="preserve"> </v>
      </c>
      <c r="J58" s="35">
        <f t="shared" si="5"/>
        <v>1</v>
      </c>
      <c r="K58" s="35" t="str">
        <f t="shared" si="5"/>
        <v xml:space="preserve"> </v>
      </c>
      <c r="L58" s="35">
        <f t="shared" si="5"/>
        <v>0</v>
      </c>
      <c r="M58" s="35" t="str">
        <f t="shared" si="5"/>
        <v xml:space="preserve"> </v>
      </c>
      <c r="N58" s="35" t="str">
        <f t="shared" si="5"/>
        <v xml:space="preserve"> </v>
      </c>
      <c r="O58" s="35" t="str">
        <f t="shared" si="5"/>
        <v xml:space="preserve"> </v>
      </c>
      <c r="P58" s="35">
        <f t="shared" si="5"/>
        <v>0</v>
      </c>
      <c r="Q58" s="35">
        <f t="shared" si="4"/>
        <v>1</v>
      </c>
      <c r="R58" s="35">
        <f t="shared" si="4"/>
        <v>0.5</v>
      </c>
      <c r="S58" s="35" t="str">
        <f t="shared" si="4"/>
        <v xml:space="preserve"> </v>
      </c>
      <c r="T58" s="35">
        <f t="shared" si="4"/>
        <v>1</v>
      </c>
      <c r="U58" s="35">
        <f t="shared" si="4"/>
        <v>0.75</v>
      </c>
      <c r="V58" s="35">
        <f>IFERROR(V18/V38,"")</f>
        <v>0.56666666666666665</v>
      </c>
      <c r="AC58" s="37"/>
      <c r="AD58" s="35"/>
    </row>
    <row r="59" spans="1:30">
      <c r="A59" s="37" t="s">
        <v>68</v>
      </c>
      <c r="B59" s="35" t="str">
        <f t="shared" si="5"/>
        <v xml:space="preserve"> </v>
      </c>
      <c r="C59" s="35">
        <f t="shared" si="5"/>
        <v>0.5</v>
      </c>
      <c r="D59" s="35" t="str">
        <f t="shared" si="5"/>
        <v xml:space="preserve"> </v>
      </c>
      <c r="E59" s="35" t="str">
        <f t="shared" si="5"/>
        <v xml:space="preserve"> </v>
      </c>
      <c r="F59" s="35" t="str">
        <f t="shared" si="5"/>
        <v xml:space="preserve"> </v>
      </c>
      <c r="G59" s="35" t="str">
        <f t="shared" si="5"/>
        <v xml:space="preserve"> </v>
      </c>
      <c r="H59" s="35" t="str">
        <f t="shared" si="5"/>
        <v xml:space="preserve"> </v>
      </c>
      <c r="I59" s="35" t="str">
        <f t="shared" si="5"/>
        <v xml:space="preserve"> </v>
      </c>
      <c r="J59" s="35" t="str">
        <f t="shared" si="5"/>
        <v xml:space="preserve"> </v>
      </c>
      <c r="K59" s="35">
        <f t="shared" si="5"/>
        <v>0.5</v>
      </c>
      <c r="L59" s="35" t="str">
        <f t="shared" si="5"/>
        <v xml:space="preserve"> </v>
      </c>
      <c r="M59" s="35">
        <f t="shared" si="5"/>
        <v>0.5</v>
      </c>
      <c r="N59" s="35" t="str">
        <f t="shared" si="5"/>
        <v xml:space="preserve"> </v>
      </c>
      <c r="O59" s="35" t="str">
        <f t="shared" si="5"/>
        <v xml:space="preserve"> </v>
      </c>
      <c r="P59" s="35">
        <f t="shared" si="5"/>
        <v>1</v>
      </c>
      <c r="Q59" s="35" t="str">
        <f t="shared" si="4"/>
        <v xml:space="preserve"> </v>
      </c>
      <c r="R59" s="35" t="str">
        <f t="shared" si="4"/>
        <v xml:space="preserve"> </v>
      </c>
      <c r="S59" s="35" t="str">
        <f t="shared" si="4"/>
        <v xml:space="preserve"> </v>
      </c>
      <c r="T59" s="35" t="str">
        <f t="shared" si="4"/>
        <v xml:space="preserve"> </v>
      </c>
      <c r="U59" s="35" t="str">
        <f t="shared" si="4"/>
        <v xml:space="preserve"> </v>
      </c>
      <c r="V59" s="35">
        <f>IFERROR(V19/V39," ")</f>
        <v>0.6470588235294118</v>
      </c>
      <c r="AC59" s="37"/>
      <c r="AD59" s="35"/>
    </row>
    <row r="60" spans="1:30">
      <c r="A60" s="32" t="s">
        <v>500</v>
      </c>
      <c r="B60" s="36">
        <f t="shared" si="5"/>
        <v>0.66666666666666663</v>
      </c>
      <c r="C60" s="36">
        <f t="shared" si="5"/>
        <v>0.47368421052631576</v>
      </c>
      <c r="D60" s="36">
        <f t="shared" si="5"/>
        <v>0.75</v>
      </c>
      <c r="E60" s="36">
        <f t="shared" si="5"/>
        <v>0.14285714285714285</v>
      </c>
      <c r="F60" s="36">
        <f t="shared" si="5"/>
        <v>0.33333333333333331</v>
      </c>
      <c r="G60" s="36">
        <f t="shared" si="5"/>
        <v>0.5714285714285714</v>
      </c>
      <c r="H60" s="36">
        <f t="shared" si="5"/>
        <v>0.8571428571428571</v>
      </c>
      <c r="I60" s="36">
        <f t="shared" si="5"/>
        <v>0.69230769230769229</v>
      </c>
      <c r="J60" s="36">
        <f t="shared" si="5"/>
        <v>0.63636363636363635</v>
      </c>
      <c r="K60" s="36">
        <f t="shared" si="5"/>
        <v>0.69565217391304346</v>
      </c>
      <c r="L60" s="36">
        <f t="shared" si="5"/>
        <v>0.6875</v>
      </c>
      <c r="M60" s="36">
        <f t="shared" si="5"/>
        <v>0.5</v>
      </c>
      <c r="N60" s="36">
        <f t="shared" si="5"/>
        <v>0.54545454545454541</v>
      </c>
      <c r="O60" s="36">
        <f t="shared" si="5"/>
        <v>0.33333333333333331</v>
      </c>
      <c r="P60" s="36">
        <f t="shared" si="5"/>
        <v>0.5714285714285714</v>
      </c>
      <c r="Q60" s="36">
        <f t="shared" si="5"/>
        <v>0.92307692307692313</v>
      </c>
      <c r="R60" s="36">
        <f t="shared" si="5"/>
        <v>0.66666666666666663</v>
      </c>
      <c r="S60" s="36">
        <f t="shared" si="5"/>
        <v>0.73913043478260865</v>
      </c>
      <c r="T60" s="36">
        <f t="shared" ref="T60:U60" si="8">IFERROR(T20/T40," ")</f>
        <v>0.83333333333333337</v>
      </c>
      <c r="U60" s="36">
        <f t="shared" si="8"/>
        <v>0.6</v>
      </c>
      <c r="V60" s="36">
        <f>IFERROR(V20/V40," ")</f>
        <v>0.64615384615384619</v>
      </c>
      <c r="AC60" s="232"/>
      <c r="AD60" s="233"/>
    </row>
  </sheetData>
  <mergeCells count="5">
    <mergeCell ref="V2:V3"/>
    <mergeCell ref="V22:V23"/>
    <mergeCell ref="A42:S42"/>
    <mergeCell ref="V42:V43"/>
    <mergeCell ref="X2:Z3"/>
  </mergeCells>
  <conditionalFormatting sqref="V44:V59">
    <cfRule type="colorScale" priority="3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AD44:AD59">
    <cfRule type="colorScale" priority="2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Z5:Z28">
    <cfRule type="colorScale" priority="1">
      <colorScale>
        <cfvo type="min"/>
        <cfvo type="max"/>
        <color rgb="FFFCFCFF"/>
        <color rgb="FFF8696B"/>
      </colorScale>
    </cfRule>
  </conditionalFormatting>
  <conditionalFormatting sqref="B44:U59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0"/>
  <sheetViews>
    <sheetView zoomScale="70" zoomScaleNormal="70" workbookViewId="0">
      <selection activeCell="A3" sqref="A3:M3"/>
    </sheetView>
  </sheetViews>
  <sheetFormatPr defaultColWidth="15.5703125" defaultRowHeight="12.75"/>
  <cols>
    <col min="2" max="2" width="16.28515625" bestFit="1" customWidth="1"/>
    <col min="3" max="3" width="35.5703125" customWidth="1"/>
    <col min="4" max="4" width="21.42578125" customWidth="1"/>
    <col min="5" max="5" width="28.140625" customWidth="1"/>
    <col min="6" max="9" width="14" customWidth="1"/>
    <col min="10" max="10" width="32.85546875" customWidth="1"/>
    <col min="11" max="11" width="41" customWidth="1"/>
    <col min="12" max="12" width="39.5703125" bestFit="1" customWidth="1"/>
    <col min="13" max="13" width="21.5703125" style="24" customWidth="1"/>
  </cols>
  <sheetData>
    <row r="1" spans="1:14" ht="38.25">
      <c r="A1" s="47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7" t="s">
        <v>9</v>
      </c>
      <c r="K1" s="312" t="s">
        <v>10</v>
      </c>
      <c r="L1" s="47" t="s">
        <v>44</v>
      </c>
      <c r="M1" s="47" t="s">
        <v>45</v>
      </c>
      <c r="N1" s="87"/>
    </row>
    <row r="2" spans="1:14" s="87" customFormat="1" ht="15" customHeight="1">
      <c r="A2" s="52">
        <v>43253</v>
      </c>
      <c r="B2" s="315" t="s">
        <v>189</v>
      </c>
      <c r="C2" s="315" t="s">
        <v>1612</v>
      </c>
      <c r="D2" s="315" t="s">
        <v>186</v>
      </c>
      <c r="E2" s="315" t="s">
        <v>2105</v>
      </c>
      <c r="F2" s="316">
        <v>0.80972222222222223</v>
      </c>
      <c r="G2" s="317" t="s">
        <v>14</v>
      </c>
      <c r="H2" s="317"/>
      <c r="I2" s="317"/>
      <c r="J2" s="318" t="s">
        <v>2106</v>
      </c>
      <c r="K2" s="62" t="s">
        <v>2107</v>
      </c>
      <c r="L2" s="10" t="s">
        <v>249</v>
      </c>
      <c r="M2" s="10">
        <v>89050497124</v>
      </c>
    </row>
    <row r="3" spans="1:14" s="87" customFormat="1" ht="15" customHeight="1">
      <c r="A3" s="52">
        <v>43253</v>
      </c>
      <c r="B3" s="315" t="s">
        <v>24</v>
      </c>
      <c r="C3" s="315" t="s">
        <v>1957</v>
      </c>
      <c r="D3" s="315" t="s">
        <v>1684</v>
      </c>
      <c r="E3" s="315" t="s">
        <v>1892</v>
      </c>
      <c r="F3" s="316">
        <v>0.8354166666666667</v>
      </c>
      <c r="G3" s="317" t="s">
        <v>71</v>
      </c>
      <c r="H3" s="317" t="s">
        <v>71</v>
      </c>
      <c r="I3" s="317" t="s">
        <v>71</v>
      </c>
      <c r="J3" s="318" t="str">
        <f>HYPERLINK("https://yadi.sk/d/hrIpC-xb3X47aD","https://yadi.sk/d/hrIpC-xb3X47aD")</f>
        <v>https://yadi.sk/d/hrIpC-xb3X47aD</v>
      </c>
      <c r="K3" s="62"/>
      <c r="L3" s="10" t="s">
        <v>1011</v>
      </c>
      <c r="M3" s="10">
        <v>89103188508</v>
      </c>
    </row>
    <row r="4" spans="1:14" s="87" customFormat="1" ht="15" customHeight="1">
      <c r="A4" s="52">
        <v>43253</v>
      </c>
      <c r="B4" s="315" t="s">
        <v>24</v>
      </c>
      <c r="C4" s="315" t="s">
        <v>2298</v>
      </c>
      <c r="D4" s="315" t="s">
        <v>1684</v>
      </c>
      <c r="E4" s="315" t="s">
        <v>2108</v>
      </c>
      <c r="F4" s="316">
        <v>0.81736111111111109</v>
      </c>
      <c r="G4" s="317" t="s">
        <v>71</v>
      </c>
      <c r="H4" s="317" t="s">
        <v>14</v>
      </c>
      <c r="I4" s="317" t="s">
        <v>71</v>
      </c>
      <c r="J4" s="318" t="str">
        <f>HYPERLINK("https://yadi.sk/d/GzieBpd33X47Eu","https://yadi.sk/d/GzieBpd33X47Eu")</f>
        <v>https://yadi.sk/d/GzieBpd33X47Eu</v>
      </c>
      <c r="K4" s="62"/>
      <c r="L4" s="10" t="s">
        <v>1602</v>
      </c>
      <c r="M4" s="10" t="s">
        <v>2299</v>
      </c>
    </row>
    <row r="5" spans="1:14" s="87" customFormat="1" ht="15" customHeight="1">
      <c r="A5" s="52">
        <v>43253</v>
      </c>
      <c r="B5" s="315" t="s">
        <v>174</v>
      </c>
      <c r="C5" s="315" t="s">
        <v>2311</v>
      </c>
      <c r="D5" s="315" t="s">
        <v>2109</v>
      </c>
      <c r="E5" s="315" t="s">
        <v>2110</v>
      </c>
      <c r="F5" s="316">
        <v>0.5625</v>
      </c>
      <c r="G5" s="317" t="s">
        <v>71</v>
      </c>
      <c r="H5" s="317" t="s">
        <v>71</v>
      </c>
      <c r="I5" s="317" t="s">
        <v>71</v>
      </c>
      <c r="J5" s="318" t="str">
        <f>HYPERLINK("https://yadi.sk/d/TlaJES8L3X47uu","https://yadi.sk/d/TlaJES8L3X47uu")</f>
        <v>https://yadi.sk/d/TlaJES8L3X47uu</v>
      </c>
      <c r="K5" s="62"/>
      <c r="L5" s="10" t="s">
        <v>236</v>
      </c>
      <c r="M5" s="10" t="s">
        <v>237</v>
      </c>
    </row>
    <row r="6" spans="1:14" s="87" customFormat="1" ht="15" customHeight="1">
      <c r="A6" s="52">
        <v>43253</v>
      </c>
      <c r="B6" s="315" t="s">
        <v>174</v>
      </c>
      <c r="C6" s="315" t="s">
        <v>2312</v>
      </c>
      <c r="D6" s="315" t="s">
        <v>2111</v>
      </c>
      <c r="E6" s="315" t="s">
        <v>2112</v>
      </c>
      <c r="F6" s="316">
        <v>0.6020833333333333</v>
      </c>
      <c r="G6" s="317" t="s">
        <v>71</v>
      </c>
      <c r="H6" s="317" t="s">
        <v>71</v>
      </c>
      <c r="I6" s="317" t="s">
        <v>71</v>
      </c>
      <c r="J6" s="318" t="str">
        <f>HYPERLINK("https://yadi.sk/d/UMMd3jHo3X48H6","https://yadi.sk/d/UMMd3jHo3X48H6")</f>
        <v>https://yadi.sk/d/UMMd3jHo3X48H6</v>
      </c>
      <c r="K6" s="62"/>
      <c r="L6" s="10" t="s">
        <v>236</v>
      </c>
      <c r="M6" s="10" t="s">
        <v>237</v>
      </c>
    </row>
    <row r="7" spans="1:14" s="87" customFormat="1" ht="15" customHeight="1">
      <c r="A7" s="52">
        <v>43253</v>
      </c>
      <c r="B7" s="315" t="s">
        <v>174</v>
      </c>
      <c r="C7" s="315" t="s">
        <v>1471</v>
      </c>
      <c r="D7" s="315" t="s">
        <v>1893</v>
      </c>
      <c r="E7" s="315" t="s">
        <v>2113</v>
      </c>
      <c r="F7" s="316">
        <v>0.75694444444444442</v>
      </c>
      <c r="G7" s="317" t="s">
        <v>71</v>
      </c>
      <c r="H7" s="317" t="s">
        <v>71</v>
      </c>
      <c r="I7" s="317" t="s">
        <v>71</v>
      </c>
      <c r="J7" s="318" t="str">
        <f>HYPERLINK("https://yadi.sk/d/ZG0EwLV53X48Vk","https://yadi.sk/d/ZG0EwLV53X48Vk")</f>
        <v>https://yadi.sk/d/ZG0EwLV53X48Vk</v>
      </c>
      <c r="K7" s="62"/>
      <c r="L7" s="10" t="s">
        <v>796</v>
      </c>
      <c r="M7" s="10">
        <v>89585696061</v>
      </c>
    </row>
    <row r="8" spans="1:14" s="87" customFormat="1" ht="15" customHeight="1">
      <c r="A8" s="49">
        <v>43254</v>
      </c>
      <c r="B8" s="315" t="s">
        <v>97</v>
      </c>
      <c r="C8" s="315" t="s">
        <v>1630</v>
      </c>
      <c r="D8" s="315" t="s">
        <v>1893</v>
      </c>
      <c r="E8" s="315" t="s">
        <v>2114</v>
      </c>
      <c r="F8" s="316">
        <v>0.74097222222222225</v>
      </c>
      <c r="G8" s="317" t="s">
        <v>71</v>
      </c>
      <c r="H8" s="317" t="s">
        <v>14</v>
      </c>
      <c r="I8" s="317" t="s">
        <v>71</v>
      </c>
      <c r="J8" s="318" t="s">
        <v>2115</v>
      </c>
      <c r="K8" s="62"/>
      <c r="L8" s="10" t="s">
        <v>1084</v>
      </c>
      <c r="M8" s="10" t="s">
        <v>1085</v>
      </c>
    </row>
    <row r="9" spans="1:14" s="87" customFormat="1" ht="15" customHeight="1">
      <c r="A9" s="49">
        <v>43254</v>
      </c>
      <c r="B9" s="315" t="s">
        <v>97</v>
      </c>
      <c r="C9" s="315" t="s">
        <v>2314</v>
      </c>
      <c r="D9" s="315" t="s">
        <v>119</v>
      </c>
      <c r="E9" s="315" t="s">
        <v>2116</v>
      </c>
      <c r="F9" s="316">
        <v>0.78333333333333333</v>
      </c>
      <c r="G9" s="317" t="s">
        <v>71</v>
      </c>
      <c r="H9" s="317" t="s">
        <v>71</v>
      </c>
      <c r="I9" s="317" t="s">
        <v>71</v>
      </c>
      <c r="J9" s="318" t="s">
        <v>2117</v>
      </c>
      <c r="K9" s="62"/>
      <c r="L9" s="10" t="s">
        <v>1631</v>
      </c>
      <c r="M9" s="10" t="s">
        <v>143</v>
      </c>
    </row>
    <row r="10" spans="1:14" s="87" customFormat="1" ht="15" customHeight="1">
      <c r="A10" s="49">
        <v>43254</v>
      </c>
      <c r="B10" s="315" t="s">
        <v>97</v>
      </c>
      <c r="C10" s="315" t="s">
        <v>579</v>
      </c>
      <c r="D10" s="315" t="s">
        <v>119</v>
      </c>
      <c r="E10" s="315" t="s">
        <v>2118</v>
      </c>
      <c r="F10" s="316">
        <v>0.7729166666666667</v>
      </c>
      <c r="G10" s="317" t="s">
        <v>71</v>
      </c>
      <c r="H10" s="317" t="s">
        <v>71</v>
      </c>
      <c r="I10" s="317" t="s">
        <v>71</v>
      </c>
      <c r="J10" s="318" t="s">
        <v>2119</v>
      </c>
      <c r="K10" s="62" t="s">
        <v>2120</v>
      </c>
      <c r="L10" s="10" t="s">
        <v>142</v>
      </c>
      <c r="M10" s="10" t="s">
        <v>143</v>
      </c>
    </row>
    <row r="11" spans="1:14" s="87" customFormat="1" ht="15" customHeight="1">
      <c r="A11" s="49">
        <v>43254</v>
      </c>
      <c r="B11" s="315" t="s">
        <v>97</v>
      </c>
      <c r="C11" s="315" t="s">
        <v>1002</v>
      </c>
      <c r="D11" s="315" t="s">
        <v>1046</v>
      </c>
      <c r="E11" s="315" t="s">
        <v>2121</v>
      </c>
      <c r="F11" s="316">
        <v>0.75555555555555554</v>
      </c>
      <c r="G11" s="317" t="s">
        <v>71</v>
      </c>
      <c r="H11" s="317" t="s">
        <v>71</v>
      </c>
      <c r="I11" s="317" t="s">
        <v>71</v>
      </c>
      <c r="J11" s="318" t="s">
        <v>2122</v>
      </c>
      <c r="K11" s="62"/>
      <c r="L11" s="10" t="s">
        <v>142</v>
      </c>
      <c r="M11" s="10" t="s">
        <v>143</v>
      </c>
    </row>
    <row r="12" spans="1:14" s="87" customFormat="1" ht="15" customHeight="1">
      <c r="A12" s="49">
        <v>43254</v>
      </c>
      <c r="B12" s="315" t="s">
        <v>310</v>
      </c>
      <c r="C12" s="315" t="s">
        <v>2287</v>
      </c>
      <c r="D12" s="315" t="s">
        <v>1887</v>
      </c>
      <c r="E12" s="315" t="s">
        <v>2123</v>
      </c>
      <c r="F12" s="316">
        <v>0.7895833333333333</v>
      </c>
      <c r="G12" s="317" t="s">
        <v>71</v>
      </c>
      <c r="H12" s="317" t="s">
        <v>71</v>
      </c>
      <c r="I12" s="317" t="s">
        <v>14</v>
      </c>
      <c r="J12" s="318" t="str">
        <f>HYPERLINK("https://yadi.sk/d/WCQDlgN73X3xQp","https://yadi.sk/d/WCQDlgN73X3xQp")</f>
        <v>https://yadi.sk/d/WCQDlgN73X3xQp</v>
      </c>
      <c r="K12" s="62"/>
      <c r="L12" s="10" t="s">
        <v>2290</v>
      </c>
      <c r="M12" s="10" t="s">
        <v>2291</v>
      </c>
    </row>
    <row r="13" spans="1:14" s="87" customFormat="1" ht="15" customHeight="1">
      <c r="A13" s="49">
        <v>43254</v>
      </c>
      <c r="B13" s="315" t="s">
        <v>310</v>
      </c>
      <c r="C13" s="315" t="s">
        <v>2288</v>
      </c>
      <c r="D13" s="315" t="s">
        <v>1887</v>
      </c>
      <c r="E13" s="315" t="s">
        <v>2123</v>
      </c>
      <c r="F13" s="316">
        <v>0.79166666666666663</v>
      </c>
      <c r="G13" s="317" t="s">
        <v>71</v>
      </c>
      <c r="H13" s="317" t="s">
        <v>71</v>
      </c>
      <c r="I13" s="317" t="s">
        <v>14</v>
      </c>
      <c r="J13" s="318" t="str">
        <f>HYPERLINK("https://yadi.sk/d/G09_U8d23X3x97","https://yadi.sk/d/G09_U8d23X3x97")</f>
        <v>https://yadi.sk/d/G09_U8d23X3x97</v>
      </c>
      <c r="K13" s="62"/>
      <c r="L13" s="10" t="s">
        <v>2290</v>
      </c>
      <c r="M13" s="10" t="s">
        <v>2291</v>
      </c>
    </row>
    <row r="14" spans="1:14" s="87" customFormat="1" ht="15" customHeight="1">
      <c r="A14" s="49">
        <v>43254</v>
      </c>
      <c r="B14" s="315" t="s">
        <v>310</v>
      </c>
      <c r="C14" s="315" t="s">
        <v>336</v>
      </c>
      <c r="D14" s="315" t="s">
        <v>1887</v>
      </c>
      <c r="E14" s="315" t="s">
        <v>2124</v>
      </c>
      <c r="F14" s="316">
        <v>0.75</v>
      </c>
      <c r="G14" s="317" t="s">
        <v>14</v>
      </c>
      <c r="H14" s="317"/>
      <c r="I14" s="317"/>
      <c r="J14" s="318" t="str">
        <f>HYPERLINK("https://yadi.sk/i/gQeR6Zp13X3wdA","https://yadi.sk/i/gQeR6Zp13X3wdA")</f>
        <v>https://yadi.sk/i/gQeR6Zp13X3wdA</v>
      </c>
      <c r="K14" s="62" t="s">
        <v>2125</v>
      </c>
      <c r="L14" s="10" t="s">
        <v>2290</v>
      </c>
      <c r="M14" s="10" t="s">
        <v>2291</v>
      </c>
    </row>
    <row r="15" spans="1:14" s="87" customFormat="1" ht="15" customHeight="1">
      <c r="A15" s="49">
        <v>43254</v>
      </c>
      <c r="B15" s="315" t="s">
        <v>310</v>
      </c>
      <c r="C15" s="315" t="s">
        <v>2289</v>
      </c>
      <c r="D15" s="315" t="s">
        <v>2126</v>
      </c>
      <c r="E15" s="315" t="s">
        <v>2127</v>
      </c>
      <c r="F15" s="316">
        <v>0.76111111111111107</v>
      </c>
      <c r="G15" s="317" t="s">
        <v>71</v>
      </c>
      <c r="H15" s="317" t="s">
        <v>71</v>
      </c>
      <c r="I15" s="317" t="s">
        <v>71</v>
      </c>
      <c r="J15" s="318" t="str">
        <f>HYPERLINK("https://yadi.sk/i/gQeR6Zp13X3wdA","https://yadi.sk/i/gQeR6Zp13X3wdA")</f>
        <v>https://yadi.sk/i/gQeR6Zp13X3wdA</v>
      </c>
      <c r="K15" s="62"/>
      <c r="L15" s="10" t="s">
        <v>341</v>
      </c>
      <c r="M15" s="10" t="s">
        <v>342</v>
      </c>
    </row>
    <row r="16" spans="1:14" s="87" customFormat="1" ht="15" customHeight="1">
      <c r="A16" s="49">
        <v>43254</v>
      </c>
      <c r="B16" s="315" t="s">
        <v>121</v>
      </c>
      <c r="C16" s="315" t="s">
        <v>2093</v>
      </c>
      <c r="D16" s="315" t="s">
        <v>1029</v>
      </c>
      <c r="E16" s="315" t="s">
        <v>2128</v>
      </c>
      <c r="F16" s="316">
        <v>0.79166666666666663</v>
      </c>
      <c r="G16" s="317" t="s">
        <v>71</v>
      </c>
      <c r="H16" s="317" t="s">
        <v>71</v>
      </c>
      <c r="I16" s="317" t="s">
        <v>71</v>
      </c>
      <c r="J16" s="318" t="str">
        <f>HYPERLINK("https://yadi.sk/d/95Maij6a3X3vnS","https://yadi.sk/d/95Maij6a3X3vnS")</f>
        <v>https://yadi.sk/d/95Maij6a3X3vnS</v>
      </c>
      <c r="K16" s="62"/>
      <c r="L16" s="319" t="s">
        <v>1044</v>
      </c>
      <c r="M16" s="319">
        <v>89051409222</v>
      </c>
    </row>
    <row r="17" spans="1:13" s="87" customFormat="1" ht="15" customHeight="1">
      <c r="A17" s="49">
        <v>43254</v>
      </c>
      <c r="B17" s="315" t="s">
        <v>121</v>
      </c>
      <c r="C17" s="315" t="s">
        <v>2092</v>
      </c>
      <c r="D17" s="315" t="s">
        <v>1666</v>
      </c>
      <c r="E17" s="315" t="s">
        <v>2129</v>
      </c>
      <c r="F17" s="316">
        <v>0.77083333333333337</v>
      </c>
      <c r="G17" s="317" t="s">
        <v>14</v>
      </c>
      <c r="H17" s="317"/>
      <c r="I17" s="317"/>
      <c r="J17" s="318" t="str">
        <f>HYPERLINK("https://yadi.sk/i/kEKSoh6e3X3uqy","https://yadi.sk/i/kEKSoh6e3X3uqy")</f>
        <v>https://yadi.sk/i/kEKSoh6e3X3uqy</v>
      </c>
      <c r="K17" s="62" t="s">
        <v>2130</v>
      </c>
      <c r="L17" s="319" t="s">
        <v>1044</v>
      </c>
      <c r="M17" s="319">
        <v>89051409222</v>
      </c>
    </row>
    <row r="18" spans="1:13" s="87" customFormat="1" ht="15" customHeight="1">
      <c r="A18" s="49">
        <v>43254</v>
      </c>
      <c r="B18" s="315" t="s">
        <v>121</v>
      </c>
      <c r="C18" s="315" t="s">
        <v>476</v>
      </c>
      <c r="D18" s="315" t="s">
        <v>2131</v>
      </c>
      <c r="E18" s="315" t="s">
        <v>2132</v>
      </c>
      <c r="F18" s="316">
        <v>0.6875</v>
      </c>
      <c r="G18" s="317" t="s">
        <v>71</v>
      </c>
      <c r="H18" s="317" t="s">
        <v>71</v>
      </c>
      <c r="I18" s="317" t="s">
        <v>71</v>
      </c>
      <c r="J18" s="318" t="str">
        <f>HYPERLINK("https://yadi.sk/d/u-0Q9aHA3X3uVs","https://yadi.sk/d/u-0Q9aHA3X3uVs")</f>
        <v>https://yadi.sk/d/u-0Q9aHA3X3uVs</v>
      </c>
      <c r="K18" s="62"/>
      <c r="L18" s="319" t="s">
        <v>1044</v>
      </c>
      <c r="M18" s="319">
        <v>89051409222</v>
      </c>
    </row>
    <row r="19" spans="1:13" s="87" customFormat="1" ht="15" customHeight="1">
      <c r="A19" s="49">
        <v>43254</v>
      </c>
      <c r="B19" s="315" t="s">
        <v>121</v>
      </c>
      <c r="C19" s="315" t="s">
        <v>2284</v>
      </c>
      <c r="D19" s="315" t="s">
        <v>857</v>
      </c>
      <c r="E19" s="315" t="s">
        <v>2133</v>
      </c>
      <c r="F19" s="316">
        <v>0.80208333333333337</v>
      </c>
      <c r="G19" s="317" t="s">
        <v>71</v>
      </c>
      <c r="H19" s="317" t="s">
        <v>71</v>
      </c>
      <c r="I19" s="317" t="s">
        <v>71</v>
      </c>
      <c r="J19" s="318" t="str">
        <f>HYPERLINK("https://yadi.sk/d/ltSqbFBv3X3vHc","https://yadi.sk/d/ltSqbFBv3X3vHc")</f>
        <v>https://yadi.sk/d/ltSqbFBv3X3vHc</v>
      </c>
      <c r="K19" s="62"/>
      <c r="L19" s="319" t="s">
        <v>1044</v>
      </c>
      <c r="M19" s="319">
        <v>89051409222</v>
      </c>
    </row>
    <row r="20" spans="1:13" s="87" customFormat="1" ht="15" customHeight="1">
      <c r="A20" s="52">
        <v>43255</v>
      </c>
      <c r="B20" s="73" t="s">
        <v>254</v>
      </c>
      <c r="C20" s="73" t="s">
        <v>1635</v>
      </c>
      <c r="D20" s="73" t="s">
        <v>1233</v>
      </c>
      <c r="E20" s="320" t="s">
        <v>2134</v>
      </c>
      <c r="F20" s="321">
        <v>0.75694444444444442</v>
      </c>
      <c r="G20" s="322" t="s">
        <v>71</v>
      </c>
      <c r="H20" s="322" t="s">
        <v>71</v>
      </c>
      <c r="I20" s="322" t="s">
        <v>71</v>
      </c>
      <c r="J20" s="323" t="str">
        <f>HYPERLINK("https://yadi.sk/d/Rv2K69iX3X5Vmk","https://yadi.sk/d/Rv2K69iX3X5Vmk")</f>
        <v>https://yadi.sk/d/Rv2K69iX3X5Vmk</v>
      </c>
      <c r="K20" s="327"/>
      <c r="L20" s="319" t="s">
        <v>769</v>
      </c>
      <c r="M20" s="319" t="s">
        <v>770</v>
      </c>
    </row>
    <row r="21" spans="1:13" s="87" customFormat="1" ht="15" customHeight="1">
      <c r="A21" s="52">
        <v>43255</v>
      </c>
      <c r="B21" s="74" t="s">
        <v>254</v>
      </c>
      <c r="C21" s="324" t="s">
        <v>2135</v>
      </c>
      <c r="D21" s="324" t="s">
        <v>116</v>
      </c>
      <c r="E21" s="324" t="s">
        <v>2136</v>
      </c>
      <c r="F21" s="316">
        <v>0.80208333333333337</v>
      </c>
      <c r="G21" s="317" t="s">
        <v>71</v>
      </c>
      <c r="H21" s="317" t="s">
        <v>14</v>
      </c>
      <c r="I21" s="317" t="s">
        <v>71</v>
      </c>
      <c r="J21" s="318" t="str">
        <f>HYPERLINK("https://yadi.sk/d/VTjWOO5u3X5YB7","https://yadi.sk/d/VTjWOO5u3X5YB7")</f>
        <v>https://yadi.sk/d/VTjWOO5u3X5YB7</v>
      </c>
      <c r="K21" s="327"/>
      <c r="L21" s="319" t="s">
        <v>1847</v>
      </c>
      <c r="M21" s="319" t="s">
        <v>2317</v>
      </c>
    </row>
    <row r="22" spans="1:13" s="87" customFormat="1" ht="15" customHeight="1">
      <c r="A22" s="52">
        <v>43255</v>
      </c>
      <c r="B22" s="74" t="s">
        <v>161</v>
      </c>
      <c r="C22" s="324" t="s">
        <v>2137</v>
      </c>
      <c r="D22" s="324" t="s">
        <v>1025</v>
      </c>
      <c r="E22" s="324" t="s">
        <v>2138</v>
      </c>
      <c r="F22" s="316">
        <v>0.75694444444444442</v>
      </c>
      <c r="G22" s="317" t="s">
        <v>71</v>
      </c>
      <c r="H22" s="317" t="s">
        <v>71</v>
      </c>
      <c r="I22" s="317" t="s">
        <v>71</v>
      </c>
      <c r="J22" s="318" t="str">
        <f>HYPERLINK("https://yadi.sk/d/8wNK9pSs3X5X5v","https://yadi.sk/d/8wNK9pSs3X5X5v")</f>
        <v>https://yadi.sk/d/8wNK9pSs3X5X5v</v>
      </c>
      <c r="K22" s="327"/>
      <c r="L22" s="319" t="s">
        <v>570</v>
      </c>
      <c r="M22" s="319">
        <v>89534771666</v>
      </c>
    </row>
    <row r="23" spans="1:13" s="87" customFormat="1" ht="15" customHeight="1">
      <c r="A23" s="52">
        <v>43255</v>
      </c>
      <c r="B23" s="74" t="s">
        <v>161</v>
      </c>
      <c r="C23" s="324" t="s">
        <v>229</v>
      </c>
      <c r="D23" s="324" t="s">
        <v>2139</v>
      </c>
      <c r="E23" s="324" t="s">
        <v>2140</v>
      </c>
      <c r="F23" s="316">
        <v>0.84027777777777779</v>
      </c>
      <c r="G23" s="317" t="s">
        <v>71</v>
      </c>
      <c r="H23" s="317" t="s">
        <v>71</v>
      </c>
      <c r="I23" s="317" t="s">
        <v>71</v>
      </c>
      <c r="J23" s="318" t="str">
        <f>HYPERLINK("https://yadi.sk/d/xEiGYnUZ3X5k4U","https://yadi.sk/d/xEiGYnUZ3X5k4U")</f>
        <v>https://yadi.sk/d/xEiGYnUZ3X5k4U</v>
      </c>
      <c r="K23" s="327"/>
      <c r="L23" s="319" t="s">
        <v>999</v>
      </c>
      <c r="M23" s="319">
        <v>89192648797</v>
      </c>
    </row>
    <row r="24" spans="1:13" s="87" customFormat="1" ht="15" customHeight="1">
      <c r="A24" s="52">
        <v>43255</v>
      </c>
      <c r="B24" s="74" t="s">
        <v>927</v>
      </c>
      <c r="C24" s="324" t="s">
        <v>2279</v>
      </c>
      <c r="D24" s="324" t="s">
        <v>1512</v>
      </c>
      <c r="E24" s="74" t="s">
        <v>2141</v>
      </c>
      <c r="F24" s="316">
        <v>0.78749999999999998</v>
      </c>
      <c r="G24" s="317" t="s">
        <v>14</v>
      </c>
      <c r="H24" s="317"/>
      <c r="I24" s="317"/>
      <c r="J24" s="318" t="str">
        <f>HYPERLINK("https://yadi.sk/d/OWImFkzd3X5Ywv","https://yadi.sk/d/OWImFkzd3X5Ywv")</f>
        <v>https://yadi.sk/d/OWImFkzd3X5Ywv</v>
      </c>
      <c r="K24" s="327" t="s">
        <v>2142</v>
      </c>
      <c r="L24" s="319" t="s">
        <v>1293</v>
      </c>
      <c r="M24" s="319" t="s">
        <v>434</v>
      </c>
    </row>
    <row r="25" spans="1:13" s="87" customFormat="1" ht="15" customHeight="1">
      <c r="A25" s="52">
        <v>43255</v>
      </c>
      <c r="B25" s="74" t="s">
        <v>927</v>
      </c>
      <c r="C25" s="324" t="s">
        <v>2280</v>
      </c>
      <c r="D25" s="324" t="s">
        <v>1514</v>
      </c>
      <c r="E25" s="74" t="s">
        <v>2143</v>
      </c>
      <c r="F25" s="316">
        <v>0.80208333333333337</v>
      </c>
      <c r="G25" s="317" t="s">
        <v>71</v>
      </c>
      <c r="H25" s="317" t="s">
        <v>71</v>
      </c>
      <c r="I25" s="317" t="s">
        <v>71</v>
      </c>
      <c r="J25" s="318" t="str">
        <f>HYPERLINK("https://yadi.sk/d/Zvvio8UP3X5cus","https://yadi.sk/d/Zvvio8UP3X5cus")</f>
        <v>https://yadi.sk/d/Zvvio8UP3X5cus</v>
      </c>
      <c r="K25" s="327"/>
      <c r="L25" s="319" t="s">
        <v>786</v>
      </c>
      <c r="M25" s="319" t="s">
        <v>146</v>
      </c>
    </row>
    <row r="26" spans="1:13" s="87" customFormat="1" ht="15" customHeight="1">
      <c r="A26" s="52">
        <v>43255</v>
      </c>
      <c r="B26" s="74" t="s">
        <v>393</v>
      </c>
      <c r="C26" s="324" t="s">
        <v>566</v>
      </c>
      <c r="D26" s="324" t="s">
        <v>186</v>
      </c>
      <c r="E26" s="74" t="s">
        <v>2144</v>
      </c>
      <c r="F26" s="316">
        <v>0.81944444444444442</v>
      </c>
      <c r="G26" s="317" t="s">
        <v>14</v>
      </c>
      <c r="H26" s="317"/>
      <c r="I26" s="317"/>
      <c r="J26" s="318" t="s">
        <v>2145</v>
      </c>
      <c r="K26" s="62" t="s">
        <v>2146</v>
      </c>
      <c r="L26" s="319" t="s">
        <v>568</v>
      </c>
      <c r="M26" s="319" t="s">
        <v>569</v>
      </c>
    </row>
    <row r="27" spans="1:13" s="87" customFormat="1" ht="15" customHeight="1">
      <c r="A27" s="52">
        <v>43255</v>
      </c>
      <c r="B27" s="74" t="s">
        <v>393</v>
      </c>
      <c r="C27" s="324" t="s">
        <v>2302</v>
      </c>
      <c r="D27" s="324" t="s">
        <v>186</v>
      </c>
      <c r="E27" s="74" t="s">
        <v>2144</v>
      </c>
      <c r="F27" s="316">
        <v>0.81944444444444442</v>
      </c>
      <c r="G27" s="317" t="s">
        <v>14</v>
      </c>
      <c r="H27" s="317"/>
      <c r="I27" s="317"/>
      <c r="J27" s="318" t="s">
        <v>2145</v>
      </c>
      <c r="K27" s="62" t="s">
        <v>2146</v>
      </c>
      <c r="L27" s="319" t="s">
        <v>568</v>
      </c>
      <c r="M27" s="319" t="s">
        <v>569</v>
      </c>
    </row>
    <row r="28" spans="1:13" s="87" customFormat="1" ht="15" customHeight="1">
      <c r="A28" s="52">
        <v>43255</v>
      </c>
      <c r="B28" s="74" t="s">
        <v>393</v>
      </c>
      <c r="C28" s="324" t="s">
        <v>2303</v>
      </c>
      <c r="D28" s="324" t="s">
        <v>186</v>
      </c>
      <c r="E28" s="74" t="s">
        <v>2147</v>
      </c>
      <c r="F28" s="316">
        <v>0.80972222222222223</v>
      </c>
      <c r="G28" s="317" t="s">
        <v>71</v>
      </c>
      <c r="H28" s="317" t="s">
        <v>71</v>
      </c>
      <c r="I28" s="317" t="s">
        <v>71</v>
      </c>
      <c r="J28" s="318" t="s">
        <v>2148</v>
      </c>
      <c r="K28" s="327"/>
      <c r="L28" s="319" t="s">
        <v>568</v>
      </c>
      <c r="M28" s="319" t="s">
        <v>569</v>
      </c>
    </row>
    <row r="29" spans="1:13" s="87" customFormat="1" ht="15" customHeight="1">
      <c r="A29" s="52">
        <v>43255</v>
      </c>
      <c r="B29" s="74" t="s">
        <v>393</v>
      </c>
      <c r="C29" s="324" t="s">
        <v>2304</v>
      </c>
      <c r="D29" s="324" t="s">
        <v>186</v>
      </c>
      <c r="E29" s="74" t="s">
        <v>2149</v>
      </c>
      <c r="F29" s="316">
        <v>0.83611111111111114</v>
      </c>
      <c r="G29" s="317" t="s">
        <v>71</v>
      </c>
      <c r="H29" s="317" t="s">
        <v>14</v>
      </c>
      <c r="I29" s="317" t="s">
        <v>71</v>
      </c>
      <c r="J29" s="318" t="s">
        <v>2150</v>
      </c>
      <c r="K29" s="62" t="s">
        <v>2151</v>
      </c>
      <c r="L29" s="319" t="s">
        <v>568</v>
      </c>
      <c r="M29" s="319" t="s">
        <v>569</v>
      </c>
    </row>
    <row r="30" spans="1:13" s="87" customFormat="1" ht="15" customHeight="1">
      <c r="A30" s="52">
        <v>43255</v>
      </c>
      <c r="B30" s="74" t="s">
        <v>279</v>
      </c>
      <c r="C30" s="324" t="s">
        <v>2152</v>
      </c>
      <c r="D30" s="324" t="s">
        <v>186</v>
      </c>
      <c r="E30" s="74" t="s">
        <v>2153</v>
      </c>
      <c r="F30" s="316">
        <v>0.79791666666666672</v>
      </c>
      <c r="G30" s="317" t="s">
        <v>71</v>
      </c>
      <c r="H30" s="317" t="s">
        <v>14</v>
      </c>
      <c r="I30" s="317" t="s">
        <v>71</v>
      </c>
      <c r="J30" s="318" t="s">
        <v>2154</v>
      </c>
      <c r="K30" s="62"/>
      <c r="L30" s="319" t="s">
        <v>1954</v>
      </c>
      <c r="M30" s="319">
        <v>89065071106</v>
      </c>
    </row>
    <row r="31" spans="1:13" s="87" customFormat="1" ht="15" customHeight="1">
      <c r="A31" s="52">
        <v>43255</v>
      </c>
      <c r="B31" s="74" t="s">
        <v>279</v>
      </c>
      <c r="C31" s="324" t="s">
        <v>2155</v>
      </c>
      <c r="D31" s="324" t="s">
        <v>186</v>
      </c>
      <c r="E31" s="74" t="s">
        <v>2156</v>
      </c>
      <c r="F31" s="316">
        <v>0.8</v>
      </c>
      <c r="G31" s="317" t="s">
        <v>71</v>
      </c>
      <c r="H31" s="317" t="s">
        <v>71</v>
      </c>
      <c r="I31" s="317" t="s">
        <v>71</v>
      </c>
      <c r="J31" s="318" t="s">
        <v>2157</v>
      </c>
      <c r="K31" s="62"/>
      <c r="L31" s="319" t="s">
        <v>1954</v>
      </c>
      <c r="M31" s="319">
        <v>89065071106</v>
      </c>
    </row>
    <row r="32" spans="1:13" s="87" customFormat="1" ht="15" customHeight="1">
      <c r="A32" s="52">
        <v>43255</v>
      </c>
      <c r="B32" s="74" t="s">
        <v>279</v>
      </c>
      <c r="C32" s="324" t="s">
        <v>2295</v>
      </c>
      <c r="D32" s="324" t="s">
        <v>186</v>
      </c>
      <c r="E32" s="74" t="s">
        <v>2158</v>
      </c>
      <c r="F32" s="316">
        <v>0.84305555555555556</v>
      </c>
      <c r="G32" s="317" t="s">
        <v>71</v>
      </c>
      <c r="H32" s="317" t="s">
        <v>71</v>
      </c>
      <c r="I32" s="317" t="s">
        <v>71</v>
      </c>
      <c r="J32" s="318" t="s">
        <v>2159</v>
      </c>
      <c r="K32" s="62"/>
      <c r="L32" s="319" t="s">
        <v>2294</v>
      </c>
      <c r="M32" s="319">
        <v>89106066115</v>
      </c>
    </row>
    <row r="33" spans="1:13" s="87" customFormat="1" ht="15" customHeight="1">
      <c r="A33" s="52">
        <v>43255</v>
      </c>
      <c r="B33" s="74" t="s">
        <v>279</v>
      </c>
      <c r="C33" s="324" t="s">
        <v>2160</v>
      </c>
      <c r="D33" s="324" t="s">
        <v>186</v>
      </c>
      <c r="E33" s="74" t="s">
        <v>2161</v>
      </c>
      <c r="F33" s="316">
        <v>0.83958333333333335</v>
      </c>
      <c r="G33" s="317" t="s">
        <v>71</v>
      </c>
      <c r="H33" s="317" t="s">
        <v>71</v>
      </c>
      <c r="I33" s="317" t="s">
        <v>71</v>
      </c>
      <c r="J33" s="318" t="s">
        <v>2162</v>
      </c>
      <c r="K33" s="62"/>
      <c r="L33" s="319" t="s">
        <v>2294</v>
      </c>
      <c r="M33" s="319">
        <v>89106066115</v>
      </c>
    </row>
    <row r="34" spans="1:13" s="87" customFormat="1" ht="15" customHeight="1">
      <c r="A34" s="52">
        <v>43255</v>
      </c>
      <c r="B34" s="74" t="s">
        <v>203</v>
      </c>
      <c r="C34" s="324" t="s">
        <v>2308</v>
      </c>
      <c r="D34" s="324" t="s">
        <v>857</v>
      </c>
      <c r="E34" s="74" t="s">
        <v>2163</v>
      </c>
      <c r="F34" s="316">
        <v>0.78541666666666665</v>
      </c>
      <c r="G34" s="317" t="s">
        <v>14</v>
      </c>
      <c r="H34" s="317"/>
      <c r="I34" s="317"/>
      <c r="J34" s="318" t="s">
        <v>2164</v>
      </c>
      <c r="K34" s="62" t="s">
        <v>2165</v>
      </c>
      <c r="L34" s="319" t="s">
        <v>470</v>
      </c>
      <c r="M34" s="319">
        <v>89109484749</v>
      </c>
    </row>
    <row r="35" spans="1:13" s="87" customFormat="1" ht="15" customHeight="1">
      <c r="A35" s="52">
        <v>43255</v>
      </c>
      <c r="B35" s="74" t="s">
        <v>203</v>
      </c>
      <c r="C35" s="324" t="s">
        <v>1850</v>
      </c>
      <c r="D35" s="324" t="s">
        <v>857</v>
      </c>
      <c r="E35" s="74" t="s">
        <v>2166</v>
      </c>
      <c r="F35" s="316">
        <v>0.77083333333333337</v>
      </c>
      <c r="G35" s="317" t="s">
        <v>14</v>
      </c>
      <c r="H35" s="317"/>
      <c r="I35" s="317"/>
      <c r="J35" s="318" t="s">
        <v>2167</v>
      </c>
      <c r="K35" s="62" t="s">
        <v>2168</v>
      </c>
      <c r="L35" s="319" t="s">
        <v>470</v>
      </c>
      <c r="M35" s="319">
        <v>89109484749</v>
      </c>
    </row>
    <row r="36" spans="1:13" s="87" customFormat="1" ht="15" customHeight="1">
      <c r="A36" s="52">
        <v>43255</v>
      </c>
      <c r="B36" s="74" t="s">
        <v>203</v>
      </c>
      <c r="C36" s="324" t="s">
        <v>2082</v>
      </c>
      <c r="D36" s="324" t="s">
        <v>857</v>
      </c>
      <c r="E36" s="74" t="s">
        <v>2169</v>
      </c>
      <c r="F36" s="316">
        <v>0.8041666666666667</v>
      </c>
      <c r="G36" s="317" t="s">
        <v>71</v>
      </c>
      <c r="H36" s="317" t="s">
        <v>14</v>
      </c>
      <c r="I36" s="317" t="s">
        <v>71</v>
      </c>
      <c r="J36" s="318" t="s">
        <v>2170</v>
      </c>
      <c r="K36" s="62"/>
      <c r="L36" s="319" t="s">
        <v>1586</v>
      </c>
      <c r="M36" s="319">
        <v>89038450071</v>
      </c>
    </row>
    <row r="37" spans="1:13" s="87" customFormat="1" ht="15" customHeight="1">
      <c r="A37" s="52">
        <v>43255</v>
      </c>
      <c r="B37" s="74" t="s">
        <v>203</v>
      </c>
      <c r="C37" s="324" t="s">
        <v>1088</v>
      </c>
      <c r="D37" s="324" t="s">
        <v>857</v>
      </c>
      <c r="E37" s="74" t="s">
        <v>2171</v>
      </c>
      <c r="F37" s="316">
        <v>0.77430555555555558</v>
      </c>
      <c r="G37" s="317" t="s">
        <v>14</v>
      </c>
      <c r="H37" s="317"/>
      <c r="I37" s="317"/>
      <c r="J37" s="318" t="s">
        <v>2172</v>
      </c>
      <c r="K37" s="62" t="s">
        <v>2173</v>
      </c>
      <c r="L37" s="319" t="s">
        <v>245</v>
      </c>
      <c r="M37" s="319" t="s">
        <v>246</v>
      </c>
    </row>
    <row r="38" spans="1:13" s="87" customFormat="1" ht="15" customHeight="1">
      <c r="A38" s="52">
        <v>43255</v>
      </c>
      <c r="B38" s="74" t="s">
        <v>218</v>
      </c>
      <c r="C38" s="324" t="s">
        <v>1806</v>
      </c>
      <c r="D38" s="324" t="s">
        <v>544</v>
      </c>
      <c r="E38" s="74" t="s">
        <v>2174</v>
      </c>
      <c r="F38" s="316">
        <v>0.7729166666666667</v>
      </c>
      <c r="G38" s="317" t="s">
        <v>71</v>
      </c>
      <c r="H38" s="317" t="s">
        <v>71</v>
      </c>
      <c r="I38" s="317" t="s">
        <v>71</v>
      </c>
      <c r="J38" s="318" t="s">
        <v>2175</v>
      </c>
      <c r="K38" s="62"/>
      <c r="L38" s="319" t="s">
        <v>2281</v>
      </c>
      <c r="M38" s="319">
        <v>89605557819</v>
      </c>
    </row>
    <row r="39" spans="1:13" s="87" customFormat="1" ht="15" customHeight="1">
      <c r="A39" s="52">
        <v>43255</v>
      </c>
      <c r="B39" s="74" t="s">
        <v>218</v>
      </c>
      <c r="C39" s="324" t="s">
        <v>1248</v>
      </c>
      <c r="D39" s="324" t="s">
        <v>544</v>
      </c>
      <c r="E39" s="74" t="s">
        <v>2176</v>
      </c>
      <c r="F39" s="316">
        <v>0.78125</v>
      </c>
      <c r="G39" s="317" t="s">
        <v>71</v>
      </c>
      <c r="H39" s="317" t="s">
        <v>71</v>
      </c>
      <c r="I39" s="317" t="s">
        <v>71</v>
      </c>
      <c r="J39" s="318" t="s">
        <v>2177</v>
      </c>
      <c r="K39" s="62"/>
      <c r="L39" s="319" t="s">
        <v>2281</v>
      </c>
      <c r="M39" s="319">
        <v>89605557819</v>
      </c>
    </row>
    <row r="40" spans="1:13" s="87" customFormat="1" ht="15" customHeight="1">
      <c r="A40" s="52">
        <v>43255</v>
      </c>
      <c r="B40" s="74" t="s">
        <v>218</v>
      </c>
      <c r="C40" s="324" t="s">
        <v>2282</v>
      </c>
      <c r="D40" s="324" t="s">
        <v>544</v>
      </c>
      <c r="E40" s="74" t="s">
        <v>2178</v>
      </c>
      <c r="F40" s="316">
        <v>0.78402777777777777</v>
      </c>
      <c r="G40" s="317" t="s">
        <v>71</v>
      </c>
      <c r="H40" s="317" t="s">
        <v>71</v>
      </c>
      <c r="I40" s="317" t="s">
        <v>71</v>
      </c>
      <c r="J40" s="318" t="s">
        <v>2179</v>
      </c>
      <c r="K40" s="62"/>
      <c r="L40" s="319" t="s">
        <v>2281</v>
      </c>
      <c r="M40" s="319">
        <v>89605557819</v>
      </c>
    </row>
    <row r="41" spans="1:13" s="87" customFormat="1" ht="15" customHeight="1">
      <c r="A41" s="52">
        <v>43255</v>
      </c>
      <c r="B41" s="74" t="s">
        <v>218</v>
      </c>
      <c r="C41" s="324" t="s">
        <v>2283</v>
      </c>
      <c r="D41" s="324" t="s">
        <v>544</v>
      </c>
      <c r="E41" s="74" t="s">
        <v>2180</v>
      </c>
      <c r="F41" s="316">
        <v>0.79861111111111116</v>
      </c>
      <c r="G41" s="317" t="s">
        <v>71</v>
      </c>
      <c r="H41" s="317" t="s">
        <v>14</v>
      </c>
      <c r="I41" s="317" t="s">
        <v>71</v>
      </c>
      <c r="J41" s="318" t="s">
        <v>2181</v>
      </c>
      <c r="K41" s="327"/>
      <c r="L41" s="319" t="s">
        <v>2281</v>
      </c>
      <c r="M41" s="319">
        <v>89605557819</v>
      </c>
    </row>
    <row r="42" spans="1:13" s="87" customFormat="1" ht="15" customHeight="1">
      <c r="A42" s="52">
        <v>43255</v>
      </c>
      <c r="B42" s="74" t="s">
        <v>68</v>
      </c>
      <c r="C42" s="324" t="s">
        <v>1595</v>
      </c>
      <c r="D42" s="74" t="s">
        <v>107</v>
      </c>
      <c r="E42" s="74" t="s">
        <v>2275</v>
      </c>
      <c r="F42" s="316">
        <v>0.76736111111111116</v>
      </c>
      <c r="G42" s="317" t="s">
        <v>71</v>
      </c>
      <c r="H42" s="317" t="s">
        <v>71</v>
      </c>
      <c r="I42" s="317" t="s">
        <v>71</v>
      </c>
      <c r="J42" s="313" t="s">
        <v>309</v>
      </c>
      <c r="K42" s="327"/>
      <c r="L42" s="319" t="s">
        <v>87</v>
      </c>
      <c r="M42" s="319"/>
    </row>
    <row r="43" spans="1:13" s="87" customFormat="1" ht="15" customHeight="1">
      <c r="A43" s="52">
        <v>43255</v>
      </c>
      <c r="B43" s="74" t="s">
        <v>68</v>
      </c>
      <c r="C43" s="324" t="s">
        <v>1941</v>
      </c>
      <c r="D43" s="74" t="s">
        <v>107</v>
      </c>
      <c r="E43" s="74" t="s">
        <v>2276</v>
      </c>
      <c r="F43" s="316">
        <v>0.77986111111111101</v>
      </c>
      <c r="G43" s="317" t="s">
        <v>71</v>
      </c>
      <c r="H43" s="317" t="s">
        <v>71</v>
      </c>
      <c r="I43" s="317" t="s">
        <v>71</v>
      </c>
      <c r="J43" s="313" t="s">
        <v>309</v>
      </c>
      <c r="K43" s="327"/>
      <c r="L43" s="319" t="s">
        <v>87</v>
      </c>
      <c r="M43" s="319"/>
    </row>
    <row r="44" spans="1:13" s="87" customFormat="1" ht="15" customHeight="1">
      <c r="A44" s="52">
        <v>43255</v>
      </c>
      <c r="B44" s="74" t="s">
        <v>68</v>
      </c>
      <c r="C44" s="324" t="s">
        <v>1852</v>
      </c>
      <c r="D44" s="74" t="s">
        <v>107</v>
      </c>
      <c r="E44" s="74" t="s">
        <v>2277</v>
      </c>
      <c r="F44" s="316">
        <v>0.79999999999999993</v>
      </c>
      <c r="G44" s="317" t="s">
        <v>71</v>
      </c>
      <c r="H44" s="317" t="s">
        <v>71</v>
      </c>
      <c r="I44" s="317" t="s">
        <v>71</v>
      </c>
      <c r="J44" s="313" t="s">
        <v>309</v>
      </c>
      <c r="K44" s="327"/>
      <c r="L44" s="319" t="s">
        <v>87</v>
      </c>
      <c r="M44" s="319"/>
    </row>
    <row r="45" spans="1:13" s="87" customFormat="1" ht="15" customHeight="1">
      <c r="A45" s="52">
        <v>43255</v>
      </c>
      <c r="B45" s="74" t="s">
        <v>68</v>
      </c>
      <c r="C45" s="324" t="s">
        <v>2321</v>
      </c>
      <c r="D45" s="74" t="s">
        <v>107</v>
      </c>
      <c r="E45" s="74" t="s">
        <v>2278</v>
      </c>
      <c r="F45" s="316">
        <v>0.81180555555555556</v>
      </c>
      <c r="G45" s="317" t="s">
        <v>71</v>
      </c>
      <c r="H45" s="317" t="s">
        <v>71</v>
      </c>
      <c r="I45" s="317" t="s">
        <v>71</v>
      </c>
      <c r="J45" s="313" t="s">
        <v>309</v>
      </c>
      <c r="K45" s="327"/>
      <c r="L45" s="319" t="s">
        <v>85</v>
      </c>
      <c r="M45" s="319"/>
    </row>
    <row r="46" spans="1:13" s="87" customFormat="1" ht="15" customHeight="1">
      <c r="A46" s="49">
        <v>43258</v>
      </c>
      <c r="B46" s="325" t="s">
        <v>927</v>
      </c>
      <c r="C46" s="325" t="s">
        <v>1947</v>
      </c>
      <c r="D46" s="73" t="s">
        <v>1512</v>
      </c>
      <c r="E46" s="73" t="s">
        <v>2182</v>
      </c>
      <c r="F46" s="321">
        <v>0.79513888888888884</v>
      </c>
      <c r="G46" s="322" t="s">
        <v>71</v>
      </c>
      <c r="H46" s="322" t="s">
        <v>71</v>
      </c>
      <c r="I46" s="322" t="s">
        <v>71</v>
      </c>
      <c r="J46" s="323" t="str">
        <f>HYPERLINK("https://yadi.sk/d/VEtAEuhr3XRc96","https://yadi.sk/d/VEtAEuhr3XRc96")</f>
        <v>https://yadi.sk/d/VEtAEuhr3XRc96</v>
      </c>
      <c r="K46" s="62"/>
      <c r="L46" s="319" t="s">
        <v>1293</v>
      </c>
      <c r="M46" s="319" t="s">
        <v>434</v>
      </c>
    </row>
    <row r="47" spans="1:13" s="87" customFormat="1" ht="15" customHeight="1">
      <c r="A47" s="49">
        <v>43258</v>
      </c>
      <c r="B47" s="74" t="s">
        <v>121</v>
      </c>
      <c r="C47" s="74" t="s">
        <v>1610</v>
      </c>
      <c r="D47" s="74" t="s">
        <v>1666</v>
      </c>
      <c r="E47" s="74" t="s">
        <v>2183</v>
      </c>
      <c r="F47" s="316">
        <v>0.75694444444444442</v>
      </c>
      <c r="G47" s="317" t="s">
        <v>71</v>
      </c>
      <c r="H47" s="317" t="s">
        <v>71</v>
      </c>
      <c r="I47" s="317" t="s">
        <v>71</v>
      </c>
      <c r="J47" s="318" t="str">
        <f>HYPERLINK("https://yadi.sk/d/ADyGr8F63XRdAh","https://yadi.sk/d/ADyGr8F63XRdAh")</f>
        <v>https://yadi.sk/d/ADyGr8F63XRdAh</v>
      </c>
      <c r="K47" s="62"/>
      <c r="L47" s="319" t="s">
        <v>151</v>
      </c>
      <c r="M47" s="319">
        <v>89588618343</v>
      </c>
    </row>
    <row r="48" spans="1:13" s="87" customFormat="1" ht="15" customHeight="1">
      <c r="A48" s="49">
        <v>43258</v>
      </c>
      <c r="B48" s="74" t="s">
        <v>121</v>
      </c>
      <c r="C48" s="74" t="s">
        <v>2285</v>
      </c>
      <c r="D48" s="74" t="s">
        <v>2184</v>
      </c>
      <c r="E48" s="74" t="s">
        <v>2185</v>
      </c>
      <c r="F48" s="316">
        <v>0.76388888888888884</v>
      </c>
      <c r="G48" s="317" t="s">
        <v>14</v>
      </c>
      <c r="H48" s="317"/>
      <c r="I48" s="317"/>
      <c r="J48" s="318" t="str">
        <f>HYPERLINK("https://yadi.sk/i/Ed5btLUq3XRduk","https://yadi.sk/i/Ed5btLUq3XRduk")</f>
        <v>https://yadi.sk/i/Ed5btLUq3XRduk</v>
      </c>
      <c r="K48" s="62" t="s">
        <v>2186</v>
      </c>
      <c r="L48" s="319" t="s">
        <v>151</v>
      </c>
      <c r="M48" s="319">
        <v>89588618343</v>
      </c>
    </row>
    <row r="49" spans="1:13" s="87" customFormat="1" ht="15" customHeight="1">
      <c r="A49" s="49">
        <v>43258</v>
      </c>
      <c r="B49" s="74" t="s">
        <v>121</v>
      </c>
      <c r="C49" s="74" t="s">
        <v>1042</v>
      </c>
      <c r="D49" s="74" t="s">
        <v>2187</v>
      </c>
      <c r="E49" s="74" t="s">
        <v>2188</v>
      </c>
      <c r="F49" s="316">
        <v>0.78472222222222221</v>
      </c>
      <c r="G49" s="317" t="s">
        <v>71</v>
      </c>
      <c r="H49" s="317" t="s">
        <v>14</v>
      </c>
      <c r="I49" s="317" t="s">
        <v>71</v>
      </c>
      <c r="J49" s="318" t="str">
        <f>HYPERLINK("https://yadi.sk/d/vY3xNxre3XRiFU","https://yadi.sk/d/vY3xNxre3XRiFU")</f>
        <v>https://yadi.sk/d/vY3xNxre3XRiFU</v>
      </c>
      <c r="K49" s="62"/>
      <c r="L49" s="319" t="s">
        <v>1044</v>
      </c>
      <c r="M49" s="319">
        <v>89051409222</v>
      </c>
    </row>
    <row r="50" spans="1:13" s="87" customFormat="1" ht="15" customHeight="1">
      <c r="A50" s="49">
        <v>43258</v>
      </c>
      <c r="B50" s="74" t="s">
        <v>121</v>
      </c>
      <c r="C50" s="74" t="s">
        <v>152</v>
      </c>
      <c r="D50" s="74" t="s">
        <v>2189</v>
      </c>
      <c r="E50" s="74" t="s">
        <v>2190</v>
      </c>
      <c r="F50" s="316">
        <v>0.8125</v>
      </c>
      <c r="G50" s="317" t="s">
        <v>14</v>
      </c>
      <c r="H50" s="317"/>
      <c r="I50" s="317"/>
      <c r="J50" s="318" t="str">
        <f>HYPERLINK("https://yadi.sk/d/PsHE6X4E3XRj8i","https://yadi.sk/d/PsHE6X4E3XRj8i")</f>
        <v>https://yadi.sk/d/PsHE6X4E3XRj8i</v>
      </c>
      <c r="K50" s="62" t="s">
        <v>2191</v>
      </c>
      <c r="L50" s="319" t="s">
        <v>151</v>
      </c>
      <c r="M50" s="319">
        <v>89588618343</v>
      </c>
    </row>
    <row r="51" spans="1:13" s="87" customFormat="1" ht="15" customHeight="1">
      <c r="A51" s="49">
        <v>43258</v>
      </c>
      <c r="B51" s="74" t="s">
        <v>2192</v>
      </c>
      <c r="C51" s="74" t="s">
        <v>2289</v>
      </c>
      <c r="D51" s="74" t="s">
        <v>1887</v>
      </c>
      <c r="E51" s="74" t="s">
        <v>2193</v>
      </c>
      <c r="F51" s="316">
        <v>0.77083333333333337</v>
      </c>
      <c r="G51" s="317" t="s">
        <v>71</v>
      </c>
      <c r="H51" s="317" t="s">
        <v>14</v>
      </c>
      <c r="I51" s="317" t="s">
        <v>71</v>
      </c>
      <c r="J51" s="318" t="str">
        <f>HYPERLINK("https://yadi.sk/d/k4rBJjSP3XRotC","https://yadi.sk/d/k4rBJjSP3XRotC")</f>
        <v>https://yadi.sk/d/k4rBJjSP3XRotC</v>
      </c>
      <c r="K51" s="62"/>
      <c r="L51" s="326" t="s">
        <v>341</v>
      </c>
      <c r="M51" s="326" t="s">
        <v>342</v>
      </c>
    </row>
    <row r="52" spans="1:13" s="87" customFormat="1" ht="15" customHeight="1">
      <c r="A52" s="49">
        <v>43258</v>
      </c>
      <c r="B52" s="74" t="s">
        <v>310</v>
      </c>
      <c r="C52" s="74" t="s">
        <v>1597</v>
      </c>
      <c r="D52" s="74" t="s">
        <v>1887</v>
      </c>
      <c r="E52" s="74" t="s">
        <v>2194</v>
      </c>
      <c r="F52" s="316">
        <v>0.77500000000000002</v>
      </c>
      <c r="G52" s="317" t="s">
        <v>71</v>
      </c>
      <c r="H52" s="317" t="s">
        <v>71</v>
      </c>
      <c r="I52" s="317" t="s">
        <v>71</v>
      </c>
      <c r="J52" s="318" t="str">
        <f>HYPERLINK("https://yadi.sk/d/twKe1dJ93XRpKi","https://yadi.sk/d/twKe1dJ93XRpKi")</f>
        <v>https://yadi.sk/d/twKe1dJ93XRpKi</v>
      </c>
      <c r="K52" s="62"/>
      <c r="L52" s="326" t="s">
        <v>341</v>
      </c>
      <c r="M52" s="326" t="s">
        <v>342</v>
      </c>
    </row>
    <row r="53" spans="1:13" s="87" customFormat="1" ht="15" customHeight="1">
      <c r="A53" s="49">
        <v>43258</v>
      </c>
      <c r="B53" s="74" t="s">
        <v>310</v>
      </c>
      <c r="C53" s="74" t="s">
        <v>2288</v>
      </c>
      <c r="D53" s="74" t="s">
        <v>2195</v>
      </c>
      <c r="E53" s="74" t="s">
        <v>2196</v>
      </c>
      <c r="F53" s="316">
        <v>0.79166666666666663</v>
      </c>
      <c r="G53" s="317" t="s">
        <v>71</v>
      </c>
      <c r="H53" s="317" t="s">
        <v>71</v>
      </c>
      <c r="I53" s="317" t="s">
        <v>71</v>
      </c>
      <c r="J53" s="318" t="str">
        <f>HYPERLINK("https://yadi.sk/i/xFBD7WHL3XRpt4","https://yadi.sk/i/xFBD7WHL3XRpt4")</f>
        <v>https://yadi.sk/i/xFBD7WHL3XRpt4</v>
      </c>
      <c r="K53" s="62"/>
      <c r="L53" s="326" t="s">
        <v>2290</v>
      </c>
      <c r="M53" s="326" t="s">
        <v>2291</v>
      </c>
    </row>
    <row r="54" spans="1:13" s="87" customFormat="1" ht="15" customHeight="1">
      <c r="A54" s="49">
        <v>43258</v>
      </c>
      <c r="B54" s="74" t="s">
        <v>310</v>
      </c>
      <c r="C54" s="74" t="s">
        <v>336</v>
      </c>
      <c r="D54" s="74" t="s">
        <v>2195</v>
      </c>
      <c r="E54" s="74" t="s">
        <v>2197</v>
      </c>
      <c r="F54" s="316">
        <v>0.81597222222222221</v>
      </c>
      <c r="G54" s="317" t="s">
        <v>14</v>
      </c>
      <c r="H54" s="317"/>
      <c r="I54" s="317"/>
      <c r="J54" s="318" t="str">
        <f>HYPERLINK("https://yadi.sk/i/VG-g63QI3XRr6B","https://yadi.sk/i/VG-g63QI3XRr6B")</f>
        <v>https://yadi.sk/i/VG-g63QI3XRr6B</v>
      </c>
      <c r="K54" s="62" t="s">
        <v>2198</v>
      </c>
      <c r="L54" s="326" t="s">
        <v>2290</v>
      </c>
      <c r="M54" s="326" t="s">
        <v>2291</v>
      </c>
    </row>
    <row r="55" spans="1:13" s="87" customFormat="1" ht="15" customHeight="1">
      <c r="A55" s="49">
        <v>43258</v>
      </c>
      <c r="B55" s="74" t="s">
        <v>174</v>
      </c>
      <c r="C55" s="74" t="s">
        <v>1471</v>
      </c>
      <c r="D55" s="74" t="s">
        <v>635</v>
      </c>
      <c r="E55" s="324" t="s">
        <v>2199</v>
      </c>
      <c r="F55" s="316">
        <v>0.8125</v>
      </c>
      <c r="G55" s="317" t="s">
        <v>71</v>
      </c>
      <c r="H55" s="317" t="s">
        <v>71</v>
      </c>
      <c r="I55" s="317" t="s">
        <v>71</v>
      </c>
      <c r="J55" s="318" t="str">
        <f>HYPERLINK("https://yadi.sk/d/XJGSlNBN3XRrS5","https://yadi.sk/d/XJGSlNBN3XRrS5")</f>
        <v>https://yadi.sk/d/XJGSlNBN3XRrS5</v>
      </c>
      <c r="K55" s="62"/>
      <c r="L55" s="326" t="s">
        <v>796</v>
      </c>
      <c r="M55" s="326">
        <v>89585696061</v>
      </c>
    </row>
    <row r="56" spans="1:13" s="87" customFormat="1" ht="15" customHeight="1">
      <c r="A56" s="49">
        <v>43258</v>
      </c>
      <c r="B56" s="74" t="s">
        <v>174</v>
      </c>
      <c r="C56" s="74" t="s">
        <v>2313</v>
      </c>
      <c r="D56" s="324" t="s">
        <v>635</v>
      </c>
      <c r="E56" s="74" t="s">
        <v>2200</v>
      </c>
      <c r="F56" s="316">
        <v>0.81944444444444442</v>
      </c>
      <c r="G56" s="317" t="s">
        <v>71</v>
      </c>
      <c r="H56" s="317" t="s">
        <v>71</v>
      </c>
      <c r="I56" s="317" t="s">
        <v>71</v>
      </c>
      <c r="J56" s="318" t="str">
        <f>HYPERLINK("https://yadi.sk/d/hSOAavcR3XRrnJ","https://yadi.sk/d/hSOAavcR3XRrnJ")</f>
        <v>https://yadi.sk/d/hSOAavcR3XRrnJ</v>
      </c>
      <c r="K56" s="62"/>
      <c r="L56" s="326" t="s">
        <v>796</v>
      </c>
      <c r="M56" s="326">
        <v>89585696061</v>
      </c>
    </row>
    <row r="57" spans="1:13" s="87" customFormat="1" ht="15" customHeight="1">
      <c r="A57" s="49">
        <v>43258</v>
      </c>
      <c r="B57" s="74" t="s">
        <v>174</v>
      </c>
      <c r="C57" s="74" t="s">
        <v>460</v>
      </c>
      <c r="D57" s="74" t="s">
        <v>107</v>
      </c>
      <c r="E57" s="74" t="s">
        <v>2201</v>
      </c>
      <c r="F57" s="316">
        <v>0.82638888888888884</v>
      </c>
      <c r="G57" s="317" t="s">
        <v>71</v>
      </c>
      <c r="H57" s="317" t="s">
        <v>71</v>
      </c>
      <c r="I57" s="317" t="s">
        <v>71</v>
      </c>
      <c r="J57" s="318" t="str">
        <f>HYPERLINK("https://yadi.sk/d/4Mp3wrIL3XRsaG","https://yadi.sk/d/4Mp3wrIL3XRsaG")</f>
        <v>https://yadi.sk/d/4Mp3wrIL3XRsaG</v>
      </c>
      <c r="K57" s="62"/>
      <c r="L57" s="326" t="s">
        <v>238</v>
      </c>
      <c r="M57" s="326">
        <v>89043682092</v>
      </c>
    </row>
    <row r="58" spans="1:13" s="87" customFormat="1" ht="15" customHeight="1">
      <c r="A58" s="49">
        <v>43258</v>
      </c>
      <c r="B58" s="74" t="s">
        <v>174</v>
      </c>
      <c r="C58" s="74" t="s">
        <v>240</v>
      </c>
      <c r="D58" s="74" t="s">
        <v>107</v>
      </c>
      <c r="E58" s="74" t="s">
        <v>2201</v>
      </c>
      <c r="F58" s="316">
        <v>0.83333333333333337</v>
      </c>
      <c r="G58" s="317" t="s">
        <v>71</v>
      </c>
      <c r="H58" s="317" t="s">
        <v>71</v>
      </c>
      <c r="I58" s="317" t="s">
        <v>71</v>
      </c>
      <c r="J58" s="318" t="str">
        <f>HYPERLINK("https://yadi.sk/d/PWV-NKGX3XRskk","https://yadi.sk/d/PWV-NKGX3XRskk")</f>
        <v>https://yadi.sk/d/PWV-NKGX3XRskk</v>
      </c>
      <c r="K58" s="62"/>
      <c r="L58" s="326" t="s">
        <v>238</v>
      </c>
      <c r="M58" s="326">
        <v>89043682092</v>
      </c>
    </row>
    <row r="59" spans="1:13" s="87" customFormat="1" ht="15" customHeight="1">
      <c r="A59" s="52">
        <v>43259</v>
      </c>
      <c r="B59" s="73" t="s">
        <v>1783</v>
      </c>
      <c r="C59" s="73" t="s">
        <v>2099</v>
      </c>
      <c r="D59" s="73" t="s">
        <v>2202</v>
      </c>
      <c r="E59" s="73" t="s">
        <v>2203</v>
      </c>
      <c r="F59" s="321">
        <v>0.75208333333333333</v>
      </c>
      <c r="G59" s="322" t="s">
        <v>71</v>
      </c>
      <c r="H59" s="322" t="s">
        <v>71</v>
      </c>
      <c r="I59" s="322" t="s">
        <v>71</v>
      </c>
      <c r="J59" s="323" t="str">
        <f>HYPERLINK("https://yadi.sk/d/PsHEikAe3XoquW","https://yadi.sk/d/PsHEikAe3XoquW")</f>
        <v>https://yadi.sk/d/PsHEikAe3XoquW</v>
      </c>
      <c r="K59" s="62"/>
      <c r="L59" s="326" t="s">
        <v>1824</v>
      </c>
      <c r="M59" s="326" t="s">
        <v>1825</v>
      </c>
    </row>
    <row r="60" spans="1:13" s="87" customFormat="1" ht="15" customHeight="1">
      <c r="A60" s="52">
        <v>43259</v>
      </c>
      <c r="B60" s="74" t="s">
        <v>1783</v>
      </c>
      <c r="C60" s="74" t="s">
        <v>2100</v>
      </c>
      <c r="D60" s="324" t="s">
        <v>2202</v>
      </c>
      <c r="E60" s="324" t="s">
        <v>2204</v>
      </c>
      <c r="F60" s="316">
        <v>0.7583333333333333</v>
      </c>
      <c r="G60" s="317" t="s">
        <v>71</v>
      </c>
      <c r="H60" s="317" t="s">
        <v>71</v>
      </c>
      <c r="I60" s="317" t="s">
        <v>71</v>
      </c>
      <c r="J60" s="318" t="str">
        <f>HYPERLINK("https://yadi.sk/d/Efvm8Aop3XorBU","https://yadi.sk/d/Efvm8Aop3XorBU")</f>
        <v>https://yadi.sk/d/Efvm8Aop3XorBU</v>
      </c>
      <c r="K60" s="62"/>
      <c r="L60" s="326" t="s">
        <v>1824</v>
      </c>
      <c r="M60" s="326" t="s">
        <v>1825</v>
      </c>
    </row>
    <row r="61" spans="1:13" s="87" customFormat="1" ht="15" customHeight="1">
      <c r="A61" s="52">
        <v>43259</v>
      </c>
      <c r="B61" s="74" t="s">
        <v>1783</v>
      </c>
      <c r="C61" s="74" t="s">
        <v>2306</v>
      </c>
      <c r="D61" s="324" t="s">
        <v>2202</v>
      </c>
      <c r="E61" s="324" t="s">
        <v>2205</v>
      </c>
      <c r="F61" s="316">
        <v>0.77013888888888893</v>
      </c>
      <c r="G61" s="317" t="s">
        <v>71</v>
      </c>
      <c r="H61" s="317" t="s">
        <v>71</v>
      </c>
      <c r="I61" s="317" t="s">
        <v>71</v>
      </c>
      <c r="J61" s="318" t="str">
        <f>HYPERLINK("https://yadi.sk/d/ZkFI4c-O3XorMU","https://yadi.sk/d/ZkFI4c-O3XorMU")</f>
        <v>https://yadi.sk/d/ZkFI4c-O3XorMU</v>
      </c>
      <c r="K61" s="62"/>
      <c r="L61" s="326" t="s">
        <v>1824</v>
      </c>
      <c r="M61" s="326" t="s">
        <v>1825</v>
      </c>
    </row>
    <row r="62" spans="1:13" s="87" customFormat="1" ht="15" customHeight="1">
      <c r="A62" s="52">
        <v>43259</v>
      </c>
      <c r="B62" s="74" t="s">
        <v>1783</v>
      </c>
      <c r="C62" s="74" t="s">
        <v>2307</v>
      </c>
      <c r="D62" s="324" t="s">
        <v>2202</v>
      </c>
      <c r="E62" s="324" t="s">
        <v>2206</v>
      </c>
      <c r="F62" s="316">
        <v>0.77777777777777779</v>
      </c>
      <c r="G62" s="317" t="s">
        <v>71</v>
      </c>
      <c r="H62" s="317" t="s">
        <v>71</v>
      </c>
      <c r="I62" s="317" t="s">
        <v>71</v>
      </c>
      <c r="J62" s="318" t="str">
        <f>HYPERLINK("https://yadi.sk/d/AqKQpTDm3Xorbr","https://yadi.sk/d/AqKQpTDm3Xorbr")</f>
        <v>https://yadi.sk/d/AqKQpTDm3Xorbr</v>
      </c>
      <c r="K62" s="62"/>
      <c r="L62" s="326" t="s">
        <v>1824</v>
      </c>
      <c r="M62" s="326" t="s">
        <v>1825</v>
      </c>
    </row>
    <row r="63" spans="1:13" s="87" customFormat="1" ht="15" customHeight="1">
      <c r="A63" s="52">
        <v>43259</v>
      </c>
      <c r="B63" s="74" t="s">
        <v>24</v>
      </c>
      <c r="C63" s="74" t="s">
        <v>2097</v>
      </c>
      <c r="D63" s="324" t="s">
        <v>658</v>
      </c>
      <c r="E63" s="324" t="s">
        <v>2207</v>
      </c>
      <c r="F63" s="316">
        <v>0.80555555555555558</v>
      </c>
      <c r="G63" s="317" t="s">
        <v>71</v>
      </c>
      <c r="H63" s="317" t="s">
        <v>71</v>
      </c>
      <c r="I63" s="317" t="s">
        <v>71</v>
      </c>
      <c r="J63" s="318" t="str">
        <f>HYPERLINK("https://yadi.sk/d/rnm-if0N3Xos8n","https://yadi.sk/d/rnm-if0N3Xos8n")</f>
        <v>https://yadi.sk/d/rnm-if0N3Xos8n</v>
      </c>
      <c r="K63" s="62"/>
      <c r="L63" s="326" t="s">
        <v>1011</v>
      </c>
      <c r="M63" s="326">
        <v>89103188508</v>
      </c>
    </row>
    <row r="64" spans="1:13" s="87" customFormat="1" ht="15" customHeight="1">
      <c r="A64" s="52">
        <v>43259</v>
      </c>
      <c r="B64" s="74" t="s">
        <v>24</v>
      </c>
      <c r="C64" s="74" t="s">
        <v>844</v>
      </c>
      <c r="D64" s="324" t="s">
        <v>658</v>
      </c>
      <c r="E64" s="324" t="s">
        <v>2207</v>
      </c>
      <c r="F64" s="316">
        <v>0.80833333333333335</v>
      </c>
      <c r="G64" s="317" t="s">
        <v>71</v>
      </c>
      <c r="H64" s="317" t="s">
        <v>71</v>
      </c>
      <c r="I64" s="317" t="s">
        <v>71</v>
      </c>
      <c r="J64" s="318" t="str">
        <f>HYPERLINK("https://yadi.sk/d/qZksbR5_3XosLU","https://yadi.sk/d/qZksbR5_3XosLU")</f>
        <v>https://yadi.sk/d/qZksbR5_3XosLU</v>
      </c>
      <c r="K64" s="62"/>
      <c r="L64" s="326" t="s">
        <v>1011</v>
      </c>
      <c r="M64" s="326">
        <v>89103188508</v>
      </c>
    </row>
    <row r="65" spans="1:13" s="87" customFormat="1" ht="15" customHeight="1">
      <c r="A65" s="52">
        <v>43259</v>
      </c>
      <c r="B65" s="74" t="s">
        <v>24</v>
      </c>
      <c r="C65" s="74" t="s">
        <v>2300</v>
      </c>
      <c r="D65" s="324" t="s">
        <v>658</v>
      </c>
      <c r="E65" s="324" t="s">
        <v>2207</v>
      </c>
      <c r="F65" s="316">
        <v>0.8125</v>
      </c>
      <c r="G65" s="317" t="s">
        <v>71</v>
      </c>
      <c r="H65" s="317" t="s">
        <v>71</v>
      </c>
      <c r="I65" s="317" t="s">
        <v>71</v>
      </c>
      <c r="J65" s="318" t="str">
        <f>HYPERLINK("https://yadi.sk/d/QXoQlb7r3XosUm","https://yadi.sk/d/QXoQlb7r3XosUm")</f>
        <v>https://yadi.sk/d/QXoQlb7r3XosUm</v>
      </c>
      <c r="K65" s="62"/>
      <c r="L65" s="326" t="s">
        <v>1011</v>
      </c>
      <c r="M65" s="326">
        <v>89103188508</v>
      </c>
    </row>
    <row r="66" spans="1:13" s="87" customFormat="1" ht="15" customHeight="1">
      <c r="A66" s="52">
        <v>43259</v>
      </c>
      <c r="B66" s="74" t="s">
        <v>24</v>
      </c>
      <c r="C66" s="74" t="s">
        <v>2301</v>
      </c>
      <c r="D66" s="324" t="s">
        <v>1684</v>
      </c>
      <c r="E66" s="324" t="s">
        <v>2208</v>
      </c>
      <c r="F66" s="316">
        <v>0.83333333333333337</v>
      </c>
      <c r="G66" s="317" t="s">
        <v>71</v>
      </c>
      <c r="H66" s="317" t="s">
        <v>71</v>
      </c>
      <c r="I66" s="317" t="s">
        <v>71</v>
      </c>
      <c r="J66" s="318" t="str">
        <f>HYPERLINK("https://yadi.sk/d/flVMuu2i3XosiV","https://yadi.sk/d/flVMuu2i3XosiV")</f>
        <v>https://yadi.sk/d/flVMuu2i3XosiV</v>
      </c>
      <c r="K66" s="62"/>
      <c r="L66" s="326" t="s">
        <v>1011</v>
      </c>
      <c r="M66" s="326">
        <v>89103188508</v>
      </c>
    </row>
    <row r="67" spans="1:13" s="87" customFormat="1" ht="15" customHeight="1">
      <c r="A67" s="52">
        <v>43259</v>
      </c>
      <c r="B67" s="74" t="s">
        <v>34</v>
      </c>
      <c r="C67" s="74" t="s">
        <v>559</v>
      </c>
      <c r="D67" s="324" t="s">
        <v>186</v>
      </c>
      <c r="E67" s="74" t="s">
        <v>2209</v>
      </c>
      <c r="F67" s="316">
        <v>0.81527777777777777</v>
      </c>
      <c r="G67" s="317" t="s">
        <v>71</v>
      </c>
      <c r="H67" s="317" t="s">
        <v>71</v>
      </c>
      <c r="I67" s="317" t="s">
        <v>71</v>
      </c>
      <c r="J67" s="318" t="str">
        <f>HYPERLINK("https://yadi.sk/d/tkr_YHNw3XotNr","https://yadi.sk/d/tkr_YHNw3XotNr")</f>
        <v>https://yadi.sk/d/tkr_YHNw3XotNr</v>
      </c>
      <c r="K67" s="62"/>
      <c r="L67" s="326" t="s">
        <v>65</v>
      </c>
      <c r="M67" s="326">
        <v>89997648473</v>
      </c>
    </row>
    <row r="68" spans="1:13" s="87" customFormat="1" ht="15" customHeight="1">
      <c r="A68" s="52">
        <v>43259</v>
      </c>
      <c r="B68" s="74" t="s">
        <v>34</v>
      </c>
      <c r="C68" s="74" t="s">
        <v>1829</v>
      </c>
      <c r="D68" s="324" t="s">
        <v>186</v>
      </c>
      <c r="E68" s="324" t="s">
        <v>2210</v>
      </c>
      <c r="F68" s="316">
        <v>0.83750000000000002</v>
      </c>
      <c r="G68" s="317" t="s">
        <v>71</v>
      </c>
      <c r="H68" s="317" t="s">
        <v>71</v>
      </c>
      <c r="I68" s="317" t="s">
        <v>71</v>
      </c>
      <c r="J68" s="318" t="str">
        <f>HYPERLINK("https://yadi.sk/d/3iW1KL0j3Xotiv","https://yadi.sk/d/3iW1KL0j3Xotiv")</f>
        <v>https://yadi.sk/d/3iW1KL0j3Xotiv</v>
      </c>
      <c r="K68" s="62"/>
      <c r="L68" s="326" t="s">
        <v>1831</v>
      </c>
      <c r="M68" s="326">
        <v>89537411329</v>
      </c>
    </row>
    <row r="69" spans="1:13" s="87" customFormat="1" ht="15" customHeight="1">
      <c r="A69" s="52">
        <v>43259</v>
      </c>
      <c r="B69" s="74" t="s">
        <v>34</v>
      </c>
      <c r="C69" s="74" t="s">
        <v>2310</v>
      </c>
      <c r="D69" s="324" t="s">
        <v>186</v>
      </c>
      <c r="E69" s="324" t="s">
        <v>2210</v>
      </c>
      <c r="F69" s="316">
        <v>0.84027777777777779</v>
      </c>
      <c r="G69" s="317" t="s">
        <v>71</v>
      </c>
      <c r="H69" s="317" t="s">
        <v>71</v>
      </c>
      <c r="I69" s="317" t="s">
        <v>71</v>
      </c>
      <c r="J69" s="318" t="str">
        <f>HYPERLINK("https://yadi.sk/d/QZtsMUW73Xou3D","https://yadi.sk/d/QZtsMUW73Xou3D")</f>
        <v>https://yadi.sk/d/QZtsMUW73Xou3D</v>
      </c>
      <c r="K69" s="62"/>
      <c r="L69" s="326" t="s">
        <v>1831</v>
      </c>
      <c r="M69" s="326">
        <v>89537411329</v>
      </c>
    </row>
    <row r="70" spans="1:13" s="87" customFormat="1" ht="15" customHeight="1">
      <c r="A70" s="52">
        <v>43259</v>
      </c>
      <c r="B70" s="74" t="s">
        <v>34</v>
      </c>
      <c r="C70" s="74" t="s">
        <v>561</v>
      </c>
      <c r="D70" s="324" t="s">
        <v>186</v>
      </c>
      <c r="E70" s="324" t="s">
        <v>2211</v>
      </c>
      <c r="F70" s="316">
        <v>0.85416666666666663</v>
      </c>
      <c r="G70" s="317" t="s">
        <v>14</v>
      </c>
      <c r="H70" s="317"/>
      <c r="I70" s="317"/>
      <c r="J70" s="318" t="str">
        <f>HYPERLINK("https://yadi.sk/d/K2djBsRZ3XouRx","https://yadi.sk/d/K2djBsRZ3XouRx")</f>
        <v>https://yadi.sk/d/K2djBsRZ3XouRx</v>
      </c>
      <c r="K70" s="62" t="s">
        <v>2212</v>
      </c>
      <c r="L70" s="326" t="s">
        <v>797</v>
      </c>
      <c r="M70" s="326">
        <v>89206346464</v>
      </c>
    </row>
    <row r="71" spans="1:13" s="87" customFormat="1" ht="15" customHeight="1">
      <c r="A71" s="52">
        <v>43259</v>
      </c>
      <c r="B71" s="74" t="s">
        <v>97</v>
      </c>
      <c r="C71" s="74" t="s">
        <v>2088</v>
      </c>
      <c r="D71" s="324" t="s">
        <v>119</v>
      </c>
      <c r="E71" s="324" t="s">
        <v>2213</v>
      </c>
      <c r="F71" s="316">
        <v>0.80138888888888893</v>
      </c>
      <c r="G71" s="317" t="s">
        <v>71</v>
      </c>
      <c r="H71" s="317" t="s">
        <v>71</v>
      </c>
      <c r="I71" s="317" t="s">
        <v>14</v>
      </c>
      <c r="J71" s="318" t="s">
        <v>2214</v>
      </c>
      <c r="K71" s="62"/>
      <c r="L71" s="326" t="s">
        <v>1631</v>
      </c>
      <c r="M71" s="326" t="s">
        <v>2316</v>
      </c>
    </row>
    <row r="72" spans="1:13" s="87" customFormat="1" ht="15" customHeight="1">
      <c r="A72" s="52">
        <v>43259</v>
      </c>
      <c r="B72" s="74" t="s">
        <v>97</v>
      </c>
      <c r="C72" s="74" t="s">
        <v>2315</v>
      </c>
      <c r="D72" s="324" t="s">
        <v>119</v>
      </c>
      <c r="E72" s="324" t="s">
        <v>2215</v>
      </c>
      <c r="F72" s="316">
        <v>0.78263888888888888</v>
      </c>
      <c r="G72" s="317" t="s">
        <v>71</v>
      </c>
      <c r="H72" s="317" t="s">
        <v>14</v>
      </c>
      <c r="I72" s="317" t="s">
        <v>71</v>
      </c>
      <c r="J72" s="318" t="s">
        <v>2216</v>
      </c>
      <c r="K72" s="62" t="s">
        <v>2217</v>
      </c>
      <c r="L72" s="326" t="s">
        <v>1631</v>
      </c>
      <c r="M72" s="326" t="s">
        <v>2316</v>
      </c>
    </row>
    <row r="73" spans="1:13" s="87" customFormat="1" ht="15" customHeight="1">
      <c r="A73" s="52">
        <v>43259</v>
      </c>
      <c r="B73" s="74" t="s">
        <v>97</v>
      </c>
      <c r="C73" s="74" t="s">
        <v>581</v>
      </c>
      <c r="D73" s="324" t="s">
        <v>119</v>
      </c>
      <c r="E73" s="324" t="s">
        <v>1555</v>
      </c>
      <c r="F73" s="316">
        <v>0.79722222222222228</v>
      </c>
      <c r="G73" s="317" t="s">
        <v>71</v>
      </c>
      <c r="H73" s="317" t="s">
        <v>71</v>
      </c>
      <c r="I73" s="317" t="s">
        <v>71</v>
      </c>
      <c r="J73" s="318" t="s">
        <v>2218</v>
      </c>
      <c r="K73" s="62"/>
      <c r="L73" s="326" t="s">
        <v>142</v>
      </c>
      <c r="M73" s="326" t="s">
        <v>143</v>
      </c>
    </row>
    <row r="74" spans="1:13" s="87" customFormat="1" ht="15" customHeight="1">
      <c r="A74" s="52">
        <v>43259</v>
      </c>
      <c r="B74" s="74" t="s">
        <v>97</v>
      </c>
      <c r="C74" s="74" t="s">
        <v>580</v>
      </c>
      <c r="D74" s="324" t="s">
        <v>119</v>
      </c>
      <c r="E74" s="324" t="s">
        <v>2219</v>
      </c>
      <c r="F74" s="316">
        <v>0.80555555555555558</v>
      </c>
      <c r="G74" s="317" t="s">
        <v>71</v>
      </c>
      <c r="H74" s="317" t="s">
        <v>71</v>
      </c>
      <c r="I74" s="317" t="s">
        <v>71</v>
      </c>
      <c r="J74" s="318" t="s">
        <v>2220</v>
      </c>
      <c r="K74" s="62"/>
      <c r="L74" s="326" t="s">
        <v>142</v>
      </c>
      <c r="M74" s="326" t="s">
        <v>143</v>
      </c>
    </row>
    <row r="75" spans="1:13" s="87" customFormat="1" ht="15" customHeight="1">
      <c r="A75" s="49">
        <v>43260</v>
      </c>
      <c r="B75" s="74" t="s">
        <v>203</v>
      </c>
      <c r="C75" s="74" t="s">
        <v>2085</v>
      </c>
      <c r="D75" s="324" t="s">
        <v>857</v>
      </c>
      <c r="E75" s="324" t="s">
        <v>2221</v>
      </c>
      <c r="F75" s="316">
        <v>0.79305555555555551</v>
      </c>
      <c r="G75" s="317" t="s">
        <v>71</v>
      </c>
      <c r="H75" s="317" t="s">
        <v>71</v>
      </c>
      <c r="I75" s="317" t="s">
        <v>71</v>
      </c>
      <c r="J75" s="318" t="s">
        <v>2222</v>
      </c>
      <c r="K75" s="62"/>
      <c r="L75" s="326" t="s">
        <v>470</v>
      </c>
      <c r="M75" s="326">
        <v>89109484749</v>
      </c>
    </row>
    <row r="76" spans="1:13" s="87" customFormat="1" ht="15" customHeight="1">
      <c r="A76" s="49">
        <v>43260</v>
      </c>
      <c r="B76" s="74" t="s">
        <v>203</v>
      </c>
      <c r="C76" s="74" t="s">
        <v>2308</v>
      </c>
      <c r="D76" s="324" t="s">
        <v>857</v>
      </c>
      <c r="E76" s="324" t="s">
        <v>2223</v>
      </c>
      <c r="F76" s="316">
        <v>0.77430555555555558</v>
      </c>
      <c r="G76" s="317" t="s">
        <v>14</v>
      </c>
      <c r="H76" s="317"/>
      <c r="I76" s="317"/>
      <c r="J76" s="318" t="s">
        <v>2224</v>
      </c>
      <c r="K76" s="62" t="s">
        <v>2225</v>
      </c>
      <c r="L76" s="326" t="s">
        <v>470</v>
      </c>
      <c r="M76" s="326">
        <v>89109484749</v>
      </c>
    </row>
    <row r="77" spans="1:13" s="87" customFormat="1" ht="15" customHeight="1">
      <c r="A77" s="49">
        <v>43260</v>
      </c>
      <c r="B77" s="74" t="s">
        <v>393</v>
      </c>
      <c r="C77" s="74" t="s">
        <v>1622</v>
      </c>
      <c r="D77" s="324" t="s">
        <v>1321</v>
      </c>
      <c r="E77" s="324" t="s">
        <v>2226</v>
      </c>
      <c r="F77" s="316">
        <v>0.82777777777777772</v>
      </c>
      <c r="G77" s="317" t="s">
        <v>71</v>
      </c>
      <c r="H77" s="317" t="s">
        <v>71</v>
      </c>
      <c r="I77" s="317" t="s">
        <v>71</v>
      </c>
      <c r="J77" s="318" t="s">
        <v>2227</v>
      </c>
      <c r="K77" s="62"/>
      <c r="L77" s="326" t="s">
        <v>776</v>
      </c>
      <c r="M77" s="326" t="s">
        <v>1819</v>
      </c>
    </row>
    <row r="78" spans="1:13" s="87" customFormat="1" ht="15" customHeight="1">
      <c r="A78" s="49">
        <v>43260</v>
      </c>
      <c r="B78" s="74" t="s">
        <v>393</v>
      </c>
      <c r="C78" s="74" t="s">
        <v>2305</v>
      </c>
      <c r="D78" s="324" t="s">
        <v>2228</v>
      </c>
      <c r="E78" s="324" t="s">
        <v>2229</v>
      </c>
      <c r="F78" s="316">
        <v>0.78819444444444442</v>
      </c>
      <c r="G78" s="317" t="s">
        <v>14</v>
      </c>
      <c r="H78" s="317"/>
      <c r="I78" s="317"/>
      <c r="J78" s="318" t="s">
        <v>2230</v>
      </c>
      <c r="K78" s="62" t="s">
        <v>2231</v>
      </c>
      <c r="L78" s="326" t="s">
        <v>1817</v>
      </c>
      <c r="M78" s="326" t="s">
        <v>1818</v>
      </c>
    </row>
    <row r="79" spans="1:13" s="87" customFormat="1" ht="15" customHeight="1">
      <c r="A79" s="49">
        <v>43260</v>
      </c>
      <c r="B79" s="74" t="s">
        <v>189</v>
      </c>
      <c r="C79" s="74" t="s">
        <v>2286</v>
      </c>
      <c r="D79" s="324" t="s">
        <v>186</v>
      </c>
      <c r="E79" s="324" t="s">
        <v>2232</v>
      </c>
      <c r="F79" s="316">
        <v>0.84166666666666667</v>
      </c>
      <c r="G79" s="317" t="s">
        <v>71</v>
      </c>
      <c r="H79" s="317" t="s">
        <v>71</v>
      </c>
      <c r="I79" s="317" t="s">
        <v>71</v>
      </c>
      <c r="J79" s="318" t="s">
        <v>2233</v>
      </c>
      <c r="K79" s="62"/>
      <c r="L79" s="326" t="s">
        <v>1242</v>
      </c>
      <c r="M79" s="326" t="s">
        <v>565</v>
      </c>
    </row>
    <row r="80" spans="1:13" s="87" customFormat="1" ht="15" customHeight="1">
      <c r="A80" s="49">
        <v>43260</v>
      </c>
      <c r="B80" s="74" t="s">
        <v>189</v>
      </c>
      <c r="C80" s="74" t="s">
        <v>1294</v>
      </c>
      <c r="D80" s="324" t="s">
        <v>186</v>
      </c>
      <c r="E80" s="324" t="s">
        <v>2234</v>
      </c>
      <c r="F80" s="316">
        <v>0.82013888888888886</v>
      </c>
      <c r="G80" s="317" t="s">
        <v>71</v>
      </c>
      <c r="H80" s="317" t="s">
        <v>71</v>
      </c>
      <c r="I80" s="317" t="s">
        <v>71</v>
      </c>
      <c r="J80" s="318" t="s">
        <v>2235</v>
      </c>
      <c r="K80" s="62"/>
      <c r="L80" s="326" t="s">
        <v>251</v>
      </c>
      <c r="M80" s="326" t="s">
        <v>669</v>
      </c>
    </row>
    <row r="81" spans="1:13" s="87" customFormat="1" ht="15" customHeight="1">
      <c r="A81" s="49">
        <v>43260</v>
      </c>
      <c r="B81" s="74" t="s">
        <v>189</v>
      </c>
      <c r="C81" s="74" t="s">
        <v>2080</v>
      </c>
      <c r="D81" s="324" t="s">
        <v>186</v>
      </c>
      <c r="E81" s="324" t="s">
        <v>2236</v>
      </c>
      <c r="F81" s="316">
        <v>0.80625000000000002</v>
      </c>
      <c r="G81" s="317" t="s">
        <v>71</v>
      </c>
      <c r="H81" s="317" t="s">
        <v>71</v>
      </c>
      <c r="I81" s="317" t="s">
        <v>71</v>
      </c>
      <c r="J81" s="318" t="s">
        <v>2237</v>
      </c>
      <c r="K81" s="62"/>
      <c r="L81" s="326" t="s">
        <v>251</v>
      </c>
      <c r="M81" s="326" t="s">
        <v>669</v>
      </c>
    </row>
    <row r="82" spans="1:13" s="87" customFormat="1" ht="15" customHeight="1">
      <c r="A82" s="49">
        <v>43260</v>
      </c>
      <c r="B82" s="74" t="s">
        <v>189</v>
      </c>
      <c r="C82" s="74" t="s">
        <v>563</v>
      </c>
      <c r="D82" s="324" t="s">
        <v>186</v>
      </c>
      <c r="E82" s="324" t="s">
        <v>2236</v>
      </c>
      <c r="F82" s="316">
        <v>0.80625000000000002</v>
      </c>
      <c r="G82" s="317" t="s">
        <v>71</v>
      </c>
      <c r="H82" s="317" t="s">
        <v>71</v>
      </c>
      <c r="I82" s="317" t="s">
        <v>71</v>
      </c>
      <c r="J82" s="318" t="s">
        <v>2238</v>
      </c>
      <c r="K82" s="62"/>
      <c r="L82" s="326" t="s">
        <v>466</v>
      </c>
      <c r="M82" s="326">
        <v>89204191919</v>
      </c>
    </row>
    <row r="83" spans="1:13" s="87" customFormat="1" ht="15" customHeight="1">
      <c r="A83" s="52">
        <v>43262</v>
      </c>
      <c r="B83" s="74" t="s">
        <v>161</v>
      </c>
      <c r="C83" s="74" t="s">
        <v>2309</v>
      </c>
      <c r="D83" s="324" t="s">
        <v>2239</v>
      </c>
      <c r="E83" s="74" t="s">
        <v>2240</v>
      </c>
      <c r="F83" s="316">
        <v>0.64166666666666672</v>
      </c>
      <c r="G83" s="317" t="s">
        <v>14</v>
      </c>
      <c r="H83" s="317"/>
      <c r="I83" s="317"/>
      <c r="J83" s="318" t="str">
        <f>HYPERLINK("https://yadi.sk/i/r1t-uZyb3XovXz","https://yadi.sk/i/r1t-uZyb3XovXz")</f>
        <v>https://yadi.sk/i/r1t-uZyb3XovXz</v>
      </c>
      <c r="K83" s="62" t="s">
        <v>2241</v>
      </c>
      <c r="L83" s="326" t="s">
        <v>570</v>
      </c>
      <c r="M83" s="326">
        <v>89534771666</v>
      </c>
    </row>
    <row r="84" spans="1:13" s="87" customFormat="1" ht="15" customHeight="1">
      <c r="A84" s="52">
        <v>43262</v>
      </c>
      <c r="B84" s="74" t="s">
        <v>254</v>
      </c>
      <c r="C84" s="74" t="s">
        <v>2318</v>
      </c>
      <c r="D84" s="324" t="s">
        <v>2242</v>
      </c>
      <c r="E84" s="324" t="s">
        <v>2243</v>
      </c>
      <c r="F84" s="316">
        <v>0.69444444444444442</v>
      </c>
      <c r="G84" s="317" t="s">
        <v>71</v>
      </c>
      <c r="H84" s="317" t="s">
        <v>71</v>
      </c>
      <c r="I84" s="317" t="s">
        <v>71</v>
      </c>
      <c r="J84" s="318" t="str">
        <f>HYPERLINK("https://yadi.sk/d/0z2ymCLI3XowFK","https://yadi.sk/d/0z2ymCLI3XowFK")</f>
        <v>https://yadi.sk/d/0z2ymCLI3XowFK</v>
      </c>
      <c r="K84" s="62"/>
      <c r="L84" s="326" t="s">
        <v>769</v>
      </c>
      <c r="M84" s="326" t="s">
        <v>770</v>
      </c>
    </row>
    <row r="85" spans="1:13" s="87" customFormat="1" ht="15" customHeight="1">
      <c r="A85" s="52">
        <v>43262</v>
      </c>
      <c r="B85" s="74" t="s">
        <v>254</v>
      </c>
      <c r="C85" s="74" t="s">
        <v>2319</v>
      </c>
      <c r="D85" s="324" t="s">
        <v>2242</v>
      </c>
      <c r="E85" s="324" t="s">
        <v>2243</v>
      </c>
      <c r="F85" s="316">
        <v>0.69791666666666663</v>
      </c>
      <c r="G85" s="317" t="s">
        <v>71</v>
      </c>
      <c r="H85" s="317" t="s">
        <v>71</v>
      </c>
      <c r="I85" s="317" t="s">
        <v>71</v>
      </c>
      <c r="J85" s="318" t="str">
        <f>HYPERLINK("https://yadi.sk/d/JpTT2Zjn3XowWc","https://yadi.sk/d/JpTT2Zjn3XowWc")</f>
        <v>https://yadi.sk/d/JpTT2Zjn3XowWc</v>
      </c>
      <c r="K85" s="62"/>
      <c r="L85" s="326" t="s">
        <v>769</v>
      </c>
      <c r="M85" s="326" t="s">
        <v>770</v>
      </c>
    </row>
    <row r="86" spans="1:13" s="87" customFormat="1" ht="15" customHeight="1">
      <c r="A86" s="52">
        <v>43262</v>
      </c>
      <c r="B86" s="74" t="s">
        <v>254</v>
      </c>
      <c r="C86" s="74" t="s">
        <v>1633</v>
      </c>
      <c r="D86" s="324" t="s">
        <v>2242</v>
      </c>
      <c r="E86" s="324" t="s">
        <v>2244</v>
      </c>
      <c r="F86" s="316">
        <v>0.72222222222222221</v>
      </c>
      <c r="G86" s="317" t="s">
        <v>71</v>
      </c>
      <c r="H86" s="317" t="s">
        <v>71</v>
      </c>
      <c r="I86" s="317" t="s">
        <v>71</v>
      </c>
      <c r="J86" s="318" t="str">
        <f>HYPERLINK("https://yadi.sk/d/FMgIJyVS3Xowtk","https://yadi.sk/d/FMgIJyVS3Xowtk")</f>
        <v>https://yadi.sk/d/FMgIJyVS3Xowtk</v>
      </c>
      <c r="K86" s="62"/>
      <c r="L86" s="326" t="s">
        <v>769</v>
      </c>
      <c r="M86" s="326" t="s">
        <v>770</v>
      </c>
    </row>
    <row r="87" spans="1:13" s="87" customFormat="1" ht="15" customHeight="1">
      <c r="A87" s="52">
        <v>43262</v>
      </c>
      <c r="B87" s="74" t="s">
        <v>254</v>
      </c>
      <c r="C87" s="74" t="s">
        <v>2135</v>
      </c>
      <c r="D87" s="324" t="s">
        <v>2245</v>
      </c>
      <c r="E87" s="324" t="s">
        <v>2246</v>
      </c>
      <c r="F87" s="316">
        <v>0.81805555555555554</v>
      </c>
      <c r="G87" s="317" t="s">
        <v>14</v>
      </c>
      <c r="H87" s="317"/>
      <c r="I87" s="317"/>
      <c r="J87" s="318" t="str">
        <f>HYPERLINK("https://yadi.sk/i/cs7XQL-T3XoxD4","https://yadi.sk/i/cs7XQL-T3XoxD4")</f>
        <v>https://yadi.sk/i/cs7XQL-T3XoxD4</v>
      </c>
      <c r="K87" s="62" t="s">
        <v>2247</v>
      </c>
      <c r="L87" s="326" t="s">
        <v>2102</v>
      </c>
      <c r="M87" s="326" t="s">
        <v>2320</v>
      </c>
    </row>
    <row r="88" spans="1:13" s="87" customFormat="1" ht="15" customHeight="1">
      <c r="A88" s="52">
        <v>43262</v>
      </c>
      <c r="B88" s="74" t="s">
        <v>130</v>
      </c>
      <c r="C88" s="74" t="s">
        <v>613</v>
      </c>
      <c r="D88" s="324" t="s">
        <v>186</v>
      </c>
      <c r="E88" s="324" t="s">
        <v>2248</v>
      </c>
      <c r="F88" s="316">
        <v>0.7944444444444444</v>
      </c>
      <c r="G88" s="317" t="s">
        <v>71</v>
      </c>
      <c r="H88" s="317" t="s">
        <v>71</v>
      </c>
      <c r="I88" s="317" t="s">
        <v>71</v>
      </c>
      <c r="J88" s="318" t="s">
        <v>2249</v>
      </c>
      <c r="K88" s="62"/>
      <c r="L88" s="326" t="s">
        <v>139</v>
      </c>
      <c r="M88" s="326" t="s">
        <v>1618</v>
      </c>
    </row>
    <row r="89" spans="1:13" s="87" customFormat="1" ht="15" customHeight="1">
      <c r="A89" s="52">
        <v>43262</v>
      </c>
      <c r="B89" s="74" t="s">
        <v>130</v>
      </c>
      <c r="C89" s="74" t="s">
        <v>2296</v>
      </c>
      <c r="D89" s="324" t="s">
        <v>186</v>
      </c>
      <c r="E89" s="324" t="s">
        <v>2248</v>
      </c>
      <c r="F89" s="316">
        <v>0.7944444444444444</v>
      </c>
      <c r="G89" s="317" t="s">
        <v>71</v>
      </c>
      <c r="H89" s="317" t="s">
        <v>71</v>
      </c>
      <c r="I89" s="317" t="s">
        <v>71</v>
      </c>
      <c r="J89" s="318" t="s">
        <v>2250</v>
      </c>
      <c r="K89" s="62"/>
      <c r="L89" s="326" t="s">
        <v>139</v>
      </c>
      <c r="M89" s="326" t="s">
        <v>1618</v>
      </c>
    </row>
    <row r="90" spans="1:13" s="87" customFormat="1" ht="15" customHeight="1">
      <c r="A90" s="52">
        <v>43262</v>
      </c>
      <c r="B90" s="74" t="s">
        <v>130</v>
      </c>
      <c r="C90" s="74" t="s">
        <v>2297</v>
      </c>
      <c r="D90" s="324" t="s">
        <v>186</v>
      </c>
      <c r="E90" s="324" t="s">
        <v>2251</v>
      </c>
      <c r="F90" s="316">
        <v>0.80555555555555558</v>
      </c>
      <c r="G90" s="317" t="s">
        <v>71</v>
      </c>
      <c r="H90" s="317" t="s">
        <v>71</v>
      </c>
      <c r="I90" s="317" t="s">
        <v>14</v>
      </c>
      <c r="J90" s="318" t="s">
        <v>2252</v>
      </c>
      <c r="K90" s="62"/>
      <c r="L90" s="326" t="s">
        <v>139</v>
      </c>
      <c r="M90" s="326" t="s">
        <v>1618</v>
      </c>
    </row>
    <row r="91" spans="1:13" s="87" customFormat="1" ht="15" customHeight="1">
      <c r="A91" s="52">
        <v>43262</v>
      </c>
      <c r="B91" s="74" t="s">
        <v>130</v>
      </c>
      <c r="C91" s="74" t="s">
        <v>1955</v>
      </c>
      <c r="D91" s="324" t="s">
        <v>186</v>
      </c>
      <c r="E91" s="324" t="s">
        <v>2251</v>
      </c>
      <c r="F91" s="316">
        <v>0.80555555555555558</v>
      </c>
      <c r="G91" s="317" t="s">
        <v>71</v>
      </c>
      <c r="H91" s="317" t="s">
        <v>71</v>
      </c>
      <c r="I91" s="317" t="s">
        <v>14</v>
      </c>
      <c r="J91" s="318" t="s">
        <v>2253</v>
      </c>
      <c r="K91" s="62"/>
      <c r="L91" s="326" t="s">
        <v>139</v>
      </c>
      <c r="M91" s="326" t="s">
        <v>1618</v>
      </c>
    </row>
    <row r="92" spans="1:13" s="87" customFormat="1" ht="15" customHeight="1">
      <c r="A92" s="52">
        <v>43262</v>
      </c>
      <c r="B92" s="74" t="s">
        <v>1106</v>
      </c>
      <c r="C92" s="74" t="s">
        <v>484</v>
      </c>
      <c r="D92" s="324" t="s">
        <v>544</v>
      </c>
      <c r="E92" s="324" t="s">
        <v>2254</v>
      </c>
      <c r="F92" s="316">
        <v>0.78680555555555554</v>
      </c>
      <c r="G92" s="317" t="s">
        <v>71</v>
      </c>
      <c r="H92" s="317" t="s">
        <v>71</v>
      </c>
      <c r="I92" s="317" t="s">
        <v>71</v>
      </c>
      <c r="J92" s="318" t="s">
        <v>2255</v>
      </c>
      <c r="K92" s="62"/>
      <c r="L92" s="326" t="s">
        <v>488</v>
      </c>
      <c r="M92" s="326">
        <v>89803020082</v>
      </c>
    </row>
    <row r="93" spans="1:13" s="87" customFormat="1" ht="15" customHeight="1">
      <c r="A93" s="52">
        <v>43262</v>
      </c>
      <c r="B93" s="74" t="s">
        <v>1106</v>
      </c>
      <c r="C93" s="74" t="s">
        <v>836</v>
      </c>
      <c r="D93" s="324" t="s">
        <v>544</v>
      </c>
      <c r="E93" s="324" t="s">
        <v>2256</v>
      </c>
      <c r="F93" s="316">
        <v>0.81874999999999998</v>
      </c>
      <c r="G93" s="317" t="s">
        <v>71</v>
      </c>
      <c r="H93" s="317" t="s">
        <v>71</v>
      </c>
      <c r="I93" s="317" t="s">
        <v>71</v>
      </c>
      <c r="J93" s="318" t="s">
        <v>2257</v>
      </c>
      <c r="K93" s="62"/>
      <c r="L93" s="326" t="s">
        <v>488</v>
      </c>
      <c r="M93" s="326">
        <v>89803020082</v>
      </c>
    </row>
    <row r="94" spans="1:13" s="87" customFormat="1" ht="15" customHeight="1">
      <c r="A94" s="52">
        <v>43262</v>
      </c>
      <c r="B94" s="74" t="s">
        <v>1106</v>
      </c>
      <c r="C94" s="74" t="s">
        <v>486</v>
      </c>
      <c r="D94" s="324" t="s">
        <v>544</v>
      </c>
      <c r="E94" s="324" t="s">
        <v>2258</v>
      </c>
      <c r="F94" s="316">
        <v>0.77152777777777781</v>
      </c>
      <c r="G94" s="317" t="s">
        <v>71</v>
      </c>
      <c r="H94" s="317" t="s">
        <v>71</v>
      </c>
      <c r="I94" s="317" t="s">
        <v>71</v>
      </c>
      <c r="J94" s="318" t="s">
        <v>2259</v>
      </c>
      <c r="K94" s="62"/>
      <c r="L94" s="326" t="s">
        <v>488</v>
      </c>
      <c r="M94" s="326">
        <v>89803020082</v>
      </c>
    </row>
    <row r="95" spans="1:13" s="87" customFormat="1" ht="15" customHeight="1">
      <c r="A95" s="52">
        <v>43262</v>
      </c>
      <c r="B95" s="74" t="s">
        <v>1106</v>
      </c>
      <c r="C95" s="74" t="s">
        <v>1805</v>
      </c>
      <c r="D95" s="324" t="s">
        <v>544</v>
      </c>
      <c r="E95" s="324" t="s">
        <v>2260</v>
      </c>
      <c r="F95" s="316">
        <v>0.78263888888888888</v>
      </c>
      <c r="G95" s="317" t="s">
        <v>71</v>
      </c>
      <c r="H95" s="317" t="s">
        <v>71</v>
      </c>
      <c r="I95" s="317" t="s">
        <v>71</v>
      </c>
      <c r="J95" s="318" t="s">
        <v>2261</v>
      </c>
      <c r="K95" s="62"/>
      <c r="L95" s="326" t="s">
        <v>488</v>
      </c>
      <c r="M95" s="326">
        <v>89803020082</v>
      </c>
    </row>
    <row r="96" spans="1:13" ht="15" customHeight="1">
      <c r="A96" s="49">
        <v>43264</v>
      </c>
      <c r="B96" s="73" t="s">
        <v>310</v>
      </c>
      <c r="C96" s="320" t="s">
        <v>2289</v>
      </c>
      <c r="D96" s="320" t="s">
        <v>317</v>
      </c>
      <c r="E96" s="320" t="s">
        <v>2262</v>
      </c>
      <c r="F96" s="321">
        <v>0.77430555555555558</v>
      </c>
      <c r="G96" s="322" t="s">
        <v>71</v>
      </c>
      <c r="H96" s="322" t="s">
        <v>71</v>
      </c>
      <c r="I96" s="322" t="s">
        <v>71</v>
      </c>
      <c r="J96" s="323" t="str">
        <f>HYPERLINK("https://yadi.sk/d/HNWcB8dY3XqMBF","https://yadi.sk/d/HNWcB8dY3XqMBF")</f>
        <v>https://yadi.sk/d/HNWcB8dY3XqMBF</v>
      </c>
      <c r="K96" s="327"/>
      <c r="L96" s="10" t="s">
        <v>341</v>
      </c>
      <c r="M96" s="10" t="s">
        <v>342</v>
      </c>
    </row>
    <row r="97" spans="1:13" ht="15" customHeight="1">
      <c r="A97" s="49">
        <v>43264</v>
      </c>
      <c r="B97" s="74" t="s">
        <v>310</v>
      </c>
      <c r="C97" s="74" t="s">
        <v>1597</v>
      </c>
      <c r="D97" s="94" t="s">
        <v>936</v>
      </c>
      <c r="E97" s="74" t="s">
        <v>2263</v>
      </c>
      <c r="F97" s="316">
        <v>0.79374999999999996</v>
      </c>
      <c r="G97" s="317" t="s">
        <v>71</v>
      </c>
      <c r="H97" s="317" t="s">
        <v>71</v>
      </c>
      <c r="I97" s="317" t="s">
        <v>71</v>
      </c>
      <c r="J97" s="318" t="str">
        <f>HYPERLINK("https://yadi.sk/d/TbM60PJ13XqMSw","https://yadi.sk/d/TbM60PJ13XqMSw")</f>
        <v>https://yadi.sk/d/TbM60PJ13XqMSw</v>
      </c>
      <c r="K97" s="327"/>
      <c r="L97" s="10" t="s">
        <v>341</v>
      </c>
      <c r="M97" s="10" t="s">
        <v>342</v>
      </c>
    </row>
    <row r="98" spans="1:13" ht="15" customHeight="1">
      <c r="A98" s="49">
        <v>43264</v>
      </c>
      <c r="B98" s="74" t="s">
        <v>310</v>
      </c>
      <c r="C98" s="74" t="s">
        <v>2292</v>
      </c>
      <c r="D98" s="94" t="s">
        <v>1789</v>
      </c>
      <c r="E98" s="74" t="s">
        <v>2264</v>
      </c>
      <c r="F98" s="316">
        <v>0.81041666666666667</v>
      </c>
      <c r="G98" s="317" t="s">
        <v>71</v>
      </c>
      <c r="H98" s="317" t="s">
        <v>71</v>
      </c>
      <c r="I98" s="317" t="s">
        <v>71</v>
      </c>
      <c r="J98" s="318" t="str">
        <f>HYPERLINK("https://yadi.sk/d/4nWzvZ6U3XqMZC","https://yadi.sk/d/4nWzvZ6U3XqMZC")</f>
        <v>https://yadi.sk/d/4nWzvZ6U3XqMZC</v>
      </c>
      <c r="K98" s="327"/>
      <c r="L98" s="10" t="s">
        <v>2290</v>
      </c>
      <c r="M98" s="10" t="s">
        <v>2291</v>
      </c>
    </row>
    <row r="99" spans="1:13" ht="15" customHeight="1">
      <c r="A99" s="49">
        <v>43264</v>
      </c>
      <c r="B99" s="74" t="s">
        <v>310</v>
      </c>
      <c r="C99" s="74" t="s">
        <v>2293</v>
      </c>
      <c r="D99" s="94" t="s">
        <v>1789</v>
      </c>
      <c r="E99" s="74" t="s">
        <v>2264</v>
      </c>
      <c r="F99" s="316">
        <v>0.8125</v>
      </c>
      <c r="G99" s="317" t="s">
        <v>71</v>
      </c>
      <c r="H99" s="317" t="s">
        <v>71</v>
      </c>
      <c r="I99" s="317" t="s">
        <v>71</v>
      </c>
      <c r="J99" s="318" t="str">
        <f>HYPERLINK("https://yadi.sk/d/yR01rySx3XqMzu","https://yadi.sk/d/yR01rySx3XqMzu")</f>
        <v>https://yadi.sk/d/yR01rySx3XqMzu</v>
      </c>
      <c r="K99" s="327"/>
      <c r="L99" s="10" t="s">
        <v>2290</v>
      </c>
      <c r="M99" s="10" t="s">
        <v>2291</v>
      </c>
    </row>
    <row r="100" spans="1:13" ht="15" customHeight="1">
      <c r="A100" s="49">
        <v>43264</v>
      </c>
      <c r="B100" s="74" t="s">
        <v>97</v>
      </c>
      <c r="C100" s="74" t="s">
        <v>1136</v>
      </c>
      <c r="D100" s="94" t="s">
        <v>1893</v>
      </c>
      <c r="E100" s="74" t="s">
        <v>2265</v>
      </c>
      <c r="F100" s="316">
        <v>0.74791666666666667</v>
      </c>
      <c r="G100" s="317" t="s">
        <v>71</v>
      </c>
      <c r="H100" s="317" t="s">
        <v>71</v>
      </c>
      <c r="I100" s="317" t="s">
        <v>71</v>
      </c>
      <c r="J100" s="318" t="s">
        <v>2266</v>
      </c>
      <c r="K100" s="327"/>
      <c r="L100" s="10" t="s">
        <v>1084</v>
      </c>
      <c r="M100" s="10" t="s">
        <v>1085</v>
      </c>
    </row>
    <row r="101" spans="1:13" ht="15" customHeight="1">
      <c r="A101" s="49">
        <v>43264</v>
      </c>
      <c r="B101" s="74" t="s">
        <v>97</v>
      </c>
      <c r="C101" s="74" t="s">
        <v>1630</v>
      </c>
      <c r="D101" s="94" t="s">
        <v>1893</v>
      </c>
      <c r="E101" s="74" t="s">
        <v>2267</v>
      </c>
      <c r="F101" s="316">
        <v>0.76249999999999996</v>
      </c>
      <c r="G101" s="317" t="s">
        <v>71</v>
      </c>
      <c r="H101" s="317" t="s">
        <v>71</v>
      </c>
      <c r="I101" s="317" t="s">
        <v>71</v>
      </c>
      <c r="J101" s="318" t="s">
        <v>2268</v>
      </c>
      <c r="K101" s="62" t="s">
        <v>2269</v>
      </c>
      <c r="L101" s="10" t="s">
        <v>1084</v>
      </c>
      <c r="M101" s="10" t="s">
        <v>1085</v>
      </c>
    </row>
    <row r="102" spans="1:13" ht="15" customHeight="1">
      <c r="A102" s="49">
        <v>43264</v>
      </c>
      <c r="B102" s="74" t="s">
        <v>97</v>
      </c>
      <c r="C102" s="74" t="s">
        <v>2090</v>
      </c>
      <c r="D102" s="94" t="s">
        <v>119</v>
      </c>
      <c r="E102" s="74" t="s">
        <v>2270</v>
      </c>
      <c r="F102" s="316">
        <v>0.78541666666666665</v>
      </c>
      <c r="G102" s="317" t="s">
        <v>71</v>
      </c>
      <c r="H102" s="317" t="s">
        <v>71</v>
      </c>
      <c r="I102" s="317" t="s">
        <v>71</v>
      </c>
      <c r="J102" s="318" t="s">
        <v>2271</v>
      </c>
      <c r="K102" s="62"/>
      <c r="L102" s="10" t="s">
        <v>142</v>
      </c>
      <c r="M102" s="10" t="s">
        <v>143</v>
      </c>
    </row>
    <row r="103" spans="1:13" ht="15" customHeight="1">
      <c r="A103" s="49">
        <v>43264</v>
      </c>
      <c r="B103" s="74" t="s">
        <v>97</v>
      </c>
      <c r="C103" s="74" t="s">
        <v>581</v>
      </c>
      <c r="D103" s="94" t="s">
        <v>119</v>
      </c>
      <c r="E103" s="74" t="s">
        <v>2272</v>
      </c>
      <c r="F103" s="316">
        <v>0.75277777777777777</v>
      </c>
      <c r="G103" s="317" t="s">
        <v>14</v>
      </c>
      <c r="H103" s="317"/>
      <c r="I103" s="317"/>
      <c r="J103" s="318" t="s">
        <v>2273</v>
      </c>
      <c r="K103" s="62" t="s">
        <v>2274</v>
      </c>
      <c r="L103" s="10" t="s">
        <v>142</v>
      </c>
      <c r="M103" s="10" t="s">
        <v>143</v>
      </c>
    </row>
    <row r="104" spans="1:13" ht="15" customHeight="1">
      <c r="A104" s="52">
        <v>43265</v>
      </c>
      <c r="B104" s="73" t="s">
        <v>1783</v>
      </c>
      <c r="C104" s="320" t="s">
        <v>2099</v>
      </c>
      <c r="D104" s="320" t="s">
        <v>2322</v>
      </c>
      <c r="E104" s="73" t="s">
        <v>2203</v>
      </c>
      <c r="F104" s="321">
        <v>0.7055555555555556</v>
      </c>
      <c r="G104" s="322" t="s">
        <v>71</v>
      </c>
      <c r="H104" s="322" t="s">
        <v>14</v>
      </c>
      <c r="I104" s="322" t="s">
        <v>71</v>
      </c>
      <c r="J104" s="71" t="str">
        <f>HYPERLINK("https://yadi.sk/d/Ip-a9Q2t3XtFya","https://yadi.sk/d/Ip-a9Q2t3XtFya")</f>
        <v>https://yadi.sk/d/Ip-a9Q2t3XtFya</v>
      </c>
      <c r="K104" s="328"/>
      <c r="L104" s="10" t="s">
        <v>1824</v>
      </c>
      <c r="M104" s="10" t="s">
        <v>1825</v>
      </c>
    </row>
    <row r="105" spans="1:13" ht="15" customHeight="1">
      <c r="A105" s="52">
        <v>43265</v>
      </c>
      <c r="B105" s="74" t="s">
        <v>1783</v>
      </c>
      <c r="C105" s="74" t="s">
        <v>2306</v>
      </c>
      <c r="D105" s="324" t="s">
        <v>2323</v>
      </c>
      <c r="E105" s="74" t="s">
        <v>2324</v>
      </c>
      <c r="F105" s="316">
        <v>0.72083333333333333</v>
      </c>
      <c r="G105" s="317" t="s">
        <v>71</v>
      </c>
      <c r="H105" s="317" t="s">
        <v>71</v>
      </c>
      <c r="I105" s="317" t="s">
        <v>71</v>
      </c>
      <c r="J105" s="72" t="str">
        <f>HYPERLINK("https://yadi.sk/d/MjiOnDRB3XtGGG","https://yadi.sk/d/MjiOnDRB3XtGGG")</f>
        <v>https://yadi.sk/d/MjiOnDRB3XtGGG</v>
      </c>
      <c r="K105" s="329"/>
      <c r="L105" s="10" t="s">
        <v>1824</v>
      </c>
      <c r="M105" s="10" t="s">
        <v>1825</v>
      </c>
    </row>
    <row r="106" spans="1:13" ht="15" customHeight="1">
      <c r="A106" s="52">
        <v>43265</v>
      </c>
      <c r="B106" s="74" t="s">
        <v>1783</v>
      </c>
      <c r="C106" s="74" t="s">
        <v>2307</v>
      </c>
      <c r="D106" s="324" t="s">
        <v>2323</v>
      </c>
      <c r="E106" s="74" t="s">
        <v>2324</v>
      </c>
      <c r="F106" s="316">
        <v>0.7270833333333333</v>
      </c>
      <c r="G106" s="317" t="s">
        <v>71</v>
      </c>
      <c r="H106" s="317" t="s">
        <v>71</v>
      </c>
      <c r="I106" s="317" t="s">
        <v>71</v>
      </c>
      <c r="J106" s="72" t="str">
        <f>HYPERLINK("https://yadi.sk/d/hoT5FpQe3XtGQm","https://yadi.sk/d/hoT5FpQe3XtGQm")</f>
        <v>https://yadi.sk/d/hoT5FpQe3XtGQm</v>
      </c>
      <c r="K106" s="329"/>
      <c r="L106" s="10" t="s">
        <v>1824</v>
      </c>
      <c r="M106" s="10" t="s">
        <v>1825</v>
      </c>
    </row>
    <row r="107" spans="1:13" ht="15" customHeight="1">
      <c r="A107" s="52">
        <v>43265</v>
      </c>
      <c r="B107" s="74" t="s">
        <v>174</v>
      </c>
      <c r="C107" s="324" t="s">
        <v>240</v>
      </c>
      <c r="D107" s="324" t="s">
        <v>107</v>
      </c>
      <c r="E107" s="324" t="s">
        <v>2325</v>
      </c>
      <c r="F107" s="316">
        <v>0.76736111111111116</v>
      </c>
      <c r="G107" s="317" t="s">
        <v>71</v>
      </c>
      <c r="H107" s="317" t="s">
        <v>71</v>
      </c>
      <c r="I107" s="317" t="s">
        <v>71</v>
      </c>
      <c r="J107" s="72" t="str">
        <f>HYPERLINK("https://yadi.sk/d/rbdunfQr3XtGef","https://yadi.sk/d/rbdunfQr3XtGef")</f>
        <v>https://yadi.sk/d/rbdunfQr3XtGef</v>
      </c>
      <c r="K107" s="329"/>
      <c r="L107" s="10" t="s">
        <v>238</v>
      </c>
      <c r="M107" s="10">
        <v>89043682092</v>
      </c>
    </row>
    <row r="108" spans="1:13" ht="15" customHeight="1">
      <c r="A108" s="52">
        <v>43265</v>
      </c>
      <c r="B108" s="74" t="s">
        <v>174</v>
      </c>
      <c r="C108" s="324" t="s">
        <v>1471</v>
      </c>
      <c r="D108" s="324" t="s">
        <v>119</v>
      </c>
      <c r="E108" s="74" t="s">
        <v>2326</v>
      </c>
      <c r="F108" s="316">
        <v>0.78611111111111109</v>
      </c>
      <c r="G108" s="317" t="s">
        <v>71</v>
      </c>
      <c r="H108" s="317" t="s">
        <v>71</v>
      </c>
      <c r="I108" s="317" t="s">
        <v>71</v>
      </c>
      <c r="J108" s="72" t="str">
        <f>HYPERLINK("https://yadi.sk/d/jJ2E4zSY3XtGpE","https://yadi.sk/d/jJ2E4zSY3XtGpE")</f>
        <v>https://yadi.sk/d/jJ2E4zSY3XtGpE</v>
      </c>
      <c r="K108" s="329"/>
      <c r="L108" s="10" t="s">
        <v>796</v>
      </c>
      <c r="M108" s="10">
        <v>89585696061</v>
      </c>
    </row>
    <row r="109" spans="1:13" ht="15" customHeight="1">
      <c r="A109" s="52">
        <v>43265</v>
      </c>
      <c r="B109" s="74" t="s">
        <v>174</v>
      </c>
      <c r="C109" s="324" t="s">
        <v>1239</v>
      </c>
      <c r="D109" s="74" t="s">
        <v>1896</v>
      </c>
      <c r="E109" s="74" t="s">
        <v>2327</v>
      </c>
      <c r="F109" s="316">
        <v>0.80208333333333337</v>
      </c>
      <c r="G109" s="317" t="s">
        <v>71</v>
      </c>
      <c r="H109" s="317" t="s">
        <v>71</v>
      </c>
      <c r="I109" s="317" t="s">
        <v>71</v>
      </c>
      <c r="J109" s="72" t="str">
        <f>HYPERLINK("https://yadi.sk/d/oGZtBIw63XtGwT","https://yadi.sk/d/oGZtBIw63XtGwT")</f>
        <v>https://yadi.sk/d/oGZtBIw63XtGwT</v>
      </c>
      <c r="K109" s="329"/>
      <c r="L109" s="10" t="s">
        <v>796</v>
      </c>
      <c r="M109" s="10">
        <v>89585696061</v>
      </c>
    </row>
    <row r="110" spans="1:13" ht="15" customHeight="1">
      <c r="A110" s="52">
        <v>43265</v>
      </c>
      <c r="B110" s="74" t="s">
        <v>174</v>
      </c>
      <c r="C110" s="74" t="s">
        <v>2338</v>
      </c>
      <c r="D110" s="74" t="s">
        <v>1896</v>
      </c>
      <c r="E110" s="74" t="s">
        <v>2328</v>
      </c>
      <c r="F110" s="316">
        <v>0.80902777777777779</v>
      </c>
      <c r="G110" s="317" t="s">
        <v>71</v>
      </c>
      <c r="H110" s="317" t="s">
        <v>71</v>
      </c>
      <c r="I110" s="317" t="s">
        <v>71</v>
      </c>
      <c r="J110" s="72" t="str">
        <f>HYPERLINK("https://yadi.sk/d/VS1PePPU3XtHGd","https://yadi.sk/d/VS1PePPU3XtHGd")</f>
        <v>https://yadi.sk/d/VS1PePPU3XtHGd</v>
      </c>
      <c r="K110" s="329"/>
      <c r="L110" s="10" t="s">
        <v>796</v>
      </c>
      <c r="M110" s="10">
        <v>89585696061</v>
      </c>
    </row>
    <row r="111" spans="1:13" ht="15" customHeight="1">
      <c r="A111" s="52">
        <v>43265</v>
      </c>
      <c r="B111" s="74" t="s">
        <v>189</v>
      </c>
      <c r="C111" s="74" t="s">
        <v>463</v>
      </c>
      <c r="D111" s="74" t="s">
        <v>2329</v>
      </c>
      <c r="E111" s="74" t="s">
        <v>2330</v>
      </c>
      <c r="F111" s="316">
        <v>0.8305555555555556</v>
      </c>
      <c r="G111" s="317" t="s">
        <v>71</v>
      </c>
      <c r="H111" s="317" t="s">
        <v>71</v>
      </c>
      <c r="I111" s="317" t="s">
        <v>71</v>
      </c>
      <c r="J111" s="72" t="s">
        <v>2331</v>
      </c>
      <c r="K111" s="329"/>
      <c r="L111" s="10" t="s">
        <v>466</v>
      </c>
      <c r="M111" s="10">
        <v>89204191919</v>
      </c>
    </row>
    <row r="112" spans="1:13" ht="15" customHeight="1">
      <c r="A112" s="52">
        <v>43265</v>
      </c>
      <c r="B112" s="74" t="s">
        <v>189</v>
      </c>
      <c r="C112" s="74" t="s">
        <v>1009</v>
      </c>
      <c r="D112" s="74" t="s">
        <v>2329</v>
      </c>
      <c r="E112" s="74" t="s">
        <v>2332</v>
      </c>
      <c r="F112" s="316">
        <v>0.82291666666666663</v>
      </c>
      <c r="G112" s="317" t="s">
        <v>71</v>
      </c>
      <c r="H112" s="317" t="s">
        <v>71</v>
      </c>
      <c r="I112" s="317" t="s">
        <v>71</v>
      </c>
      <c r="J112" s="72" t="s">
        <v>2333</v>
      </c>
      <c r="K112" s="329"/>
      <c r="L112" s="10" t="s">
        <v>466</v>
      </c>
      <c r="M112" s="10">
        <v>89204191919</v>
      </c>
    </row>
    <row r="113" spans="1:13" ht="15" customHeight="1">
      <c r="A113" s="52">
        <v>43265</v>
      </c>
      <c r="B113" s="74" t="s">
        <v>189</v>
      </c>
      <c r="C113" s="74" t="s">
        <v>2079</v>
      </c>
      <c r="D113" s="74" t="s">
        <v>2329</v>
      </c>
      <c r="E113" s="74" t="s">
        <v>2334</v>
      </c>
      <c r="F113" s="316">
        <v>0.81597222222222221</v>
      </c>
      <c r="G113" s="317" t="s">
        <v>71</v>
      </c>
      <c r="H113" s="317" t="s">
        <v>71</v>
      </c>
      <c r="I113" s="317" t="s">
        <v>71</v>
      </c>
      <c r="J113" s="72" t="s">
        <v>2335</v>
      </c>
      <c r="K113" s="329"/>
      <c r="L113" s="10" t="s">
        <v>251</v>
      </c>
      <c r="M113" s="10" t="s">
        <v>669</v>
      </c>
    </row>
    <row r="114" spans="1:13" ht="15" customHeight="1">
      <c r="A114" s="52">
        <v>43265</v>
      </c>
      <c r="B114" s="74" t="s">
        <v>189</v>
      </c>
      <c r="C114" s="74" t="s">
        <v>2339</v>
      </c>
      <c r="D114" s="74" t="s">
        <v>2329</v>
      </c>
      <c r="E114" s="74" t="s">
        <v>2336</v>
      </c>
      <c r="F114" s="316">
        <v>0.8125</v>
      </c>
      <c r="G114" s="317" t="s">
        <v>71</v>
      </c>
      <c r="H114" s="317" t="s">
        <v>71</v>
      </c>
      <c r="I114" s="317" t="s">
        <v>71</v>
      </c>
      <c r="J114" s="72" t="s">
        <v>2337</v>
      </c>
      <c r="K114" s="329"/>
      <c r="L114" s="10" t="s">
        <v>251</v>
      </c>
      <c r="M114" s="10" t="s">
        <v>669</v>
      </c>
    </row>
    <row r="115" spans="1:13" ht="13.5" customHeight="1">
      <c r="A115" s="49">
        <v>43266</v>
      </c>
      <c r="B115" s="236" t="s">
        <v>927</v>
      </c>
      <c r="C115" s="236" t="s">
        <v>2279</v>
      </c>
      <c r="D115" s="330" t="s">
        <v>1975</v>
      </c>
      <c r="E115" s="236" t="s">
        <v>2340</v>
      </c>
      <c r="F115" s="75">
        <v>0.75694444444444442</v>
      </c>
      <c r="G115" s="76" t="s">
        <v>71</v>
      </c>
      <c r="H115" s="76" t="s">
        <v>14</v>
      </c>
      <c r="I115" s="76" t="s">
        <v>71</v>
      </c>
      <c r="J115" s="71" t="str">
        <f>HYPERLINK("https://yadi.sk/d/Kh_jJ7_G3XxVGm","https://yadi.sk/d/Kh_jJ7_G3XxVGm")</f>
        <v>https://yadi.sk/d/Kh_jJ7_G3XxVGm</v>
      </c>
      <c r="K115" s="328"/>
      <c r="L115" s="104" t="s">
        <v>1293</v>
      </c>
      <c r="M115" s="111" t="s">
        <v>434</v>
      </c>
    </row>
    <row r="116" spans="1:13" ht="13.5" customHeight="1">
      <c r="A116" s="49">
        <v>43266</v>
      </c>
      <c r="B116" s="205" t="s">
        <v>927</v>
      </c>
      <c r="C116" s="205" t="s">
        <v>2447</v>
      </c>
      <c r="D116" s="308" t="s">
        <v>1975</v>
      </c>
      <c r="E116" s="205" t="s">
        <v>2341</v>
      </c>
      <c r="F116" s="77">
        <v>0.76388888888888884</v>
      </c>
      <c r="G116" s="78" t="s">
        <v>71</v>
      </c>
      <c r="H116" s="78" t="s">
        <v>71</v>
      </c>
      <c r="I116" s="78" t="s">
        <v>71</v>
      </c>
      <c r="J116" s="72" t="str">
        <f>HYPERLINK("https://yadi.sk/d/zUqG8Dhv3XxVUK","https://yadi.sk/d/zUqG8Dhv3XxVUK")</f>
        <v>https://yadi.sk/d/zUqG8Dhv3XxVUK</v>
      </c>
      <c r="K116" s="329"/>
      <c r="L116" s="104" t="s">
        <v>786</v>
      </c>
      <c r="M116" s="111" t="s">
        <v>146</v>
      </c>
    </row>
    <row r="117" spans="1:13" ht="13.5" customHeight="1">
      <c r="A117" s="49">
        <v>43266</v>
      </c>
      <c r="B117" s="205" t="s">
        <v>927</v>
      </c>
      <c r="C117" s="205" t="s">
        <v>2448</v>
      </c>
      <c r="D117" s="331" t="s">
        <v>1975</v>
      </c>
      <c r="E117" s="205" t="s">
        <v>2342</v>
      </c>
      <c r="F117" s="77">
        <v>0.76875000000000004</v>
      </c>
      <c r="G117" s="78" t="s">
        <v>14</v>
      </c>
      <c r="H117" s="78"/>
      <c r="I117" s="78"/>
      <c r="J117" s="72" t="str">
        <f>HYPERLINK("https://yadi.sk/i/XB7JxwIH3XxVdV","https://yadi.sk/i/XB7JxwIH3XxVdV")</f>
        <v>https://yadi.sk/i/XB7JxwIH3XxVdV</v>
      </c>
      <c r="K117" s="329" t="s">
        <v>2343</v>
      </c>
      <c r="L117" s="104" t="s">
        <v>147</v>
      </c>
      <c r="M117" s="111" t="s">
        <v>788</v>
      </c>
    </row>
    <row r="118" spans="1:13" ht="13.5" customHeight="1">
      <c r="A118" s="49">
        <v>43266</v>
      </c>
      <c r="B118" s="205" t="s">
        <v>24</v>
      </c>
      <c r="C118" s="205" t="s">
        <v>2097</v>
      </c>
      <c r="D118" s="205" t="s">
        <v>658</v>
      </c>
      <c r="E118" s="205" t="s">
        <v>2344</v>
      </c>
      <c r="F118" s="77">
        <v>0.79166666666666663</v>
      </c>
      <c r="G118" s="78" t="s">
        <v>71</v>
      </c>
      <c r="H118" s="78" t="s">
        <v>71</v>
      </c>
      <c r="I118" s="78" t="s">
        <v>71</v>
      </c>
      <c r="J118" s="72" t="str">
        <f>HYPERLINK("https://yadi.sk/d/3gD8HLHX3XxVzN","https://yadi.sk/d/3gD8HLHX3XxVzN")</f>
        <v>https://yadi.sk/d/3gD8HLHX3XxVzN</v>
      </c>
      <c r="K118" s="329"/>
      <c r="L118" s="104" t="s">
        <v>1011</v>
      </c>
      <c r="M118" s="111">
        <v>89103188508</v>
      </c>
    </row>
    <row r="119" spans="1:13" ht="13.5" customHeight="1">
      <c r="A119" s="49">
        <v>43266</v>
      </c>
      <c r="B119" s="205" t="s">
        <v>34</v>
      </c>
      <c r="C119" s="205" t="s">
        <v>2104</v>
      </c>
      <c r="D119" s="205" t="s">
        <v>186</v>
      </c>
      <c r="E119" s="205" t="s">
        <v>2345</v>
      </c>
      <c r="F119" s="77">
        <v>0.80138888888888893</v>
      </c>
      <c r="G119" s="78" t="s">
        <v>71</v>
      </c>
      <c r="H119" s="78" t="s">
        <v>71</v>
      </c>
      <c r="I119" s="78" t="s">
        <v>71</v>
      </c>
      <c r="J119" s="72" t="str">
        <f>HYPERLINK("https://yadi.sk/d/2sah4Tky3XxXTw","https://yadi.sk/d/2sah4Tky3XxXTw")</f>
        <v>https://yadi.sk/d/2sah4Tky3XxXTw</v>
      </c>
      <c r="K119" s="329"/>
      <c r="L119" s="104" t="s">
        <v>797</v>
      </c>
      <c r="M119" s="111">
        <v>89206346464</v>
      </c>
    </row>
    <row r="120" spans="1:13" ht="13.5" customHeight="1">
      <c r="A120" s="49">
        <v>43266</v>
      </c>
      <c r="B120" s="205" t="s">
        <v>34</v>
      </c>
      <c r="C120" s="205" t="s">
        <v>2449</v>
      </c>
      <c r="D120" s="308" t="s">
        <v>186</v>
      </c>
      <c r="E120" s="205" t="s">
        <v>970</v>
      </c>
      <c r="F120" s="77">
        <v>0.82222222222222219</v>
      </c>
      <c r="G120" s="78" t="s">
        <v>71</v>
      </c>
      <c r="H120" s="78" t="s">
        <v>71</v>
      </c>
      <c r="I120" s="78" t="s">
        <v>71</v>
      </c>
      <c r="J120" s="72" t="str">
        <f>HYPERLINK("https://yadi.sk/d/KbOKRTTu3XxXhQ","https://yadi.sk/d/KbOKRTTu3XxXhQ")</f>
        <v>https://yadi.sk/d/KbOKRTTu3XxXhQ</v>
      </c>
      <c r="K120" s="329"/>
      <c r="L120" s="104" t="s">
        <v>65</v>
      </c>
      <c r="M120" s="111">
        <v>89997648473</v>
      </c>
    </row>
    <row r="121" spans="1:13" ht="13.5" customHeight="1">
      <c r="A121" s="49">
        <v>43266</v>
      </c>
      <c r="B121" s="205" t="s">
        <v>34</v>
      </c>
      <c r="C121" s="205" t="s">
        <v>1830</v>
      </c>
      <c r="D121" s="205" t="s">
        <v>186</v>
      </c>
      <c r="E121" s="205" t="s">
        <v>970</v>
      </c>
      <c r="F121" s="77">
        <v>0.82361111111111107</v>
      </c>
      <c r="G121" s="78" t="s">
        <v>71</v>
      </c>
      <c r="H121" s="78" t="s">
        <v>71</v>
      </c>
      <c r="I121" s="78" t="s">
        <v>71</v>
      </c>
      <c r="J121" s="72" t="str">
        <f>HYPERLINK("https://yadi.sk/d/uTDi9wfj3XxXmV","https://yadi.sk/d/uTDi9wfj3XxXmV")</f>
        <v>https://yadi.sk/d/uTDi9wfj3XxXmV</v>
      </c>
      <c r="K121" s="329"/>
      <c r="L121" s="104" t="s">
        <v>65</v>
      </c>
      <c r="M121" s="111">
        <v>89997648473</v>
      </c>
    </row>
    <row r="122" spans="1:13" ht="13.5" customHeight="1">
      <c r="A122" s="49">
        <v>43266</v>
      </c>
      <c r="B122" s="205" t="s">
        <v>34</v>
      </c>
      <c r="C122" s="205" t="s">
        <v>559</v>
      </c>
      <c r="D122" s="308" t="s">
        <v>186</v>
      </c>
      <c r="E122" s="308" t="s">
        <v>2346</v>
      </c>
      <c r="F122" s="77">
        <v>0.85555555555555551</v>
      </c>
      <c r="G122" s="78" t="s">
        <v>71</v>
      </c>
      <c r="H122" s="78" t="s">
        <v>71</v>
      </c>
      <c r="I122" s="78" t="s">
        <v>71</v>
      </c>
      <c r="J122" s="72" t="str">
        <f>HYPERLINK("https://yadi.sk/d/ToElZRvm3XxXxd","https://yadi.sk/d/ToElZRvm3XxXxd")</f>
        <v>https://yadi.sk/d/ToElZRvm3XxXxd</v>
      </c>
      <c r="K122" s="329"/>
      <c r="L122" s="104" t="s">
        <v>65</v>
      </c>
      <c r="M122" s="111">
        <v>89997648473</v>
      </c>
    </row>
    <row r="123" spans="1:13" ht="13.5" customHeight="1">
      <c r="A123" s="49">
        <v>43266</v>
      </c>
      <c r="B123" s="205" t="s">
        <v>121</v>
      </c>
      <c r="C123" s="205" t="s">
        <v>2092</v>
      </c>
      <c r="D123" s="205" t="s">
        <v>2030</v>
      </c>
      <c r="E123" s="205" t="s">
        <v>2347</v>
      </c>
      <c r="F123" s="77">
        <v>0.78819444444444442</v>
      </c>
      <c r="G123" s="78" t="s">
        <v>14</v>
      </c>
      <c r="H123" s="78"/>
      <c r="I123" s="78"/>
      <c r="J123" s="72" t="str">
        <f>HYPERLINK("https://yadi.sk/i/i1m9f_TZ3XxWTx","https://yadi.sk/i/i1m9f_TZ3XxWTx")</f>
        <v>https://yadi.sk/i/i1m9f_TZ3XxWTx</v>
      </c>
      <c r="K123" s="329" t="s">
        <v>2348</v>
      </c>
      <c r="L123" s="104" t="s">
        <v>1044</v>
      </c>
      <c r="M123" s="111">
        <v>89005844050</v>
      </c>
    </row>
    <row r="124" spans="1:13" ht="13.5" customHeight="1">
      <c r="A124" s="49">
        <v>43266</v>
      </c>
      <c r="B124" s="205" t="s">
        <v>121</v>
      </c>
      <c r="C124" s="205" t="s">
        <v>476</v>
      </c>
      <c r="D124" s="331" t="s">
        <v>2030</v>
      </c>
      <c r="E124" s="205" t="s">
        <v>2349</v>
      </c>
      <c r="F124" s="77">
        <v>0.79861111111111116</v>
      </c>
      <c r="G124" s="78" t="s">
        <v>71</v>
      </c>
      <c r="H124" s="78" t="s">
        <v>71</v>
      </c>
      <c r="I124" s="78" t="s">
        <v>71</v>
      </c>
      <c r="J124" s="72" t="str">
        <f>HYPERLINK("https://yadi.sk/d/eWMTSoxA3XxWk2","https://yadi.sk/d/eWMTSoxA3XxWk2")</f>
        <v>https://yadi.sk/d/eWMTSoxA3XxWk2</v>
      </c>
      <c r="K124" s="329"/>
      <c r="L124" s="104" t="s">
        <v>1044</v>
      </c>
      <c r="M124" s="111">
        <v>89005844050</v>
      </c>
    </row>
    <row r="125" spans="1:13" ht="13.5" customHeight="1">
      <c r="A125" s="49">
        <v>43266</v>
      </c>
      <c r="B125" s="205" t="s">
        <v>121</v>
      </c>
      <c r="C125" s="205" t="s">
        <v>2093</v>
      </c>
      <c r="D125" s="331" t="s">
        <v>2030</v>
      </c>
      <c r="E125" s="205" t="s">
        <v>2350</v>
      </c>
      <c r="F125" s="77">
        <v>0.80555555555555558</v>
      </c>
      <c r="G125" s="78" t="s">
        <v>14</v>
      </c>
      <c r="H125" s="78"/>
      <c r="I125" s="78"/>
      <c r="J125" s="72" t="str">
        <f>HYPERLINK("https://yadi.sk/i/h0SzF7aP3XxWxD","https://yadi.sk/i/h0SzF7aP3XxWxD")</f>
        <v>https://yadi.sk/i/h0SzF7aP3XxWxD</v>
      </c>
      <c r="K125" s="329" t="s">
        <v>2351</v>
      </c>
      <c r="L125" s="104" t="s">
        <v>1044</v>
      </c>
      <c r="M125" s="111">
        <v>89005844050</v>
      </c>
    </row>
    <row r="126" spans="1:13" ht="13.5" customHeight="1">
      <c r="A126" s="49">
        <v>43266</v>
      </c>
      <c r="B126" s="205" t="s">
        <v>121</v>
      </c>
      <c r="C126" s="205" t="s">
        <v>2450</v>
      </c>
      <c r="D126" s="331" t="s">
        <v>2030</v>
      </c>
      <c r="E126" s="205" t="s">
        <v>2352</v>
      </c>
      <c r="F126" s="77">
        <v>0.81597222222222221</v>
      </c>
      <c r="G126" s="78" t="s">
        <v>14</v>
      </c>
      <c r="H126" s="78"/>
      <c r="I126" s="78"/>
      <c r="J126" s="72" t="str">
        <f>HYPERLINK("https://yadi.sk/i/eEtZv8XO3XxX7E","https://yadi.sk/i/eEtZv8XO3XxX7E")</f>
        <v>https://yadi.sk/i/eEtZv8XO3XxX7E</v>
      </c>
      <c r="K126" s="329" t="s">
        <v>2353</v>
      </c>
      <c r="L126" s="104" t="s">
        <v>1044</v>
      </c>
      <c r="M126" s="111">
        <v>89005844050</v>
      </c>
    </row>
    <row r="127" spans="1:13" ht="13.5" customHeight="1">
      <c r="A127" s="49">
        <v>43266</v>
      </c>
      <c r="B127" s="205" t="s">
        <v>1900</v>
      </c>
      <c r="C127" s="205" t="s">
        <v>2452</v>
      </c>
      <c r="D127" s="205" t="s">
        <v>1901</v>
      </c>
      <c r="E127" s="205" t="s">
        <v>2354</v>
      </c>
      <c r="F127" s="77">
        <v>0.78402777777777777</v>
      </c>
      <c r="G127" s="78" t="s">
        <v>14</v>
      </c>
      <c r="H127" s="78"/>
      <c r="I127" s="78"/>
      <c r="J127" s="72" t="s">
        <v>2355</v>
      </c>
      <c r="K127" s="329" t="s">
        <v>2356</v>
      </c>
      <c r="L127" s="104" t="s">
        <v>1840</v>
      </c>
      <c r="M127" s="111" t="s">
        <v>1841</v>
      </c>
    </row>
    <row r="128" spans="1:13" ht="13.5" customHeight="1">
      <c r="A128" s="49">
        <v>43266</v>
      </c>
      <c r="B128" s="205" t="s">
        <v>1900</v>
      </c>
      <c r="C128" s="205" t="s">
        <v>2453</v>
      </c>
      <c r="D128" s="205" t="s">
        <v>1901</v>
      </c>
      <c r="E128" s="205" t="s">
        <v>2357</v>
      </c>
      <c r="F128" s="77">
        <v>0.8</v>
      </c>
      <c r="G128" s="78" t="s">
        <v>14</v>
      </c>
      <c r="H128" s="78"/>
      <c r="I128" s="78"/>
      <c r="J128" s="72" t="s">
        <v>2358</v>
      </c>
      <c r="K128" s="329" t="s">
        <v>2359</v>
      </c>
      <c r="L128" s="104" t="s">
        <v>1840</v>
      </c>
      <c r="M128" s="111" t="s">
        <v>1841</v>
      </c>
    </row>
    <row r="129" spans="1:13" ht="13.5" customHeight="1">
      <c r="A129" s="52">
        <v>43268</v>
      </c>
      <c r="B129" s="205" t="s">
        <v>203</v>
      </c>
      <c r="C129" s="205" t="s">
        <v>1851</v>
      </c>
      <c r="D129" s="205" t="s">
        <v>2239</v>
      </c>
      <c r="E129" s="205" t="s">
        <v>2360</v>
      </c>
      <c r="F129" s="77">
        <v>0.60486111111111107</v>
      </c>
      <c r="G129" s="78" t="s">
        <v>71</v>
      </c>
      <c r="H129" s="78" t="s">
        <v>14</v>
      </c>
      <c r="I129" s="78" t="s">
        <v>71</v>
      </c>
      <c r="J129" s="72" t="s">
        <v>2361</v>
      </c>
      <c r="K129" s="329"/>
      <c r="L129" s="104" t="s">
        <v>1586</v>
      </c>
      <c r="M129" s="111">
        <v>89038450071</v>
      </c>
    </row>
    <row r="130" spans="1:13" ht="13.5" customHeight="1">
      <c r="A130" s="52">
        <v>43268</v>
      </c>
      <c r="B130" s="205" t="s">
        <v>218</v>
      </c>
      <c r="C130" s="84" t="s">
        <v>484</v>
      </c>
      <c r="D130" s="205" t="s">
        <v>2362</v>
      </c>
      <c r="E130" s="205" t="s">
        <v>2363</v>
      </c>
      <c r="F130" s="77">
        <v>0.61944444444444446</v>
      </c>
      <c r="G130" s="78" t="s">
        <v>71</v>
      </c>
      <c r="H130" s="78" t="s">
        <v>71</v>
      </c>
      <c r="I130" s="78" t="s">
        <v>71</v>
      </c>
      <c r="J130" s="72" t="s">
        <v>2364</v>
      </c>
      <c r="K130" s="329"/>
      <c r="L130" s="104" t="s">
        <v>488</v>
      </c>
      <c r="M130" s="111">
        <v>89803020082</v>
      </c>
    </row>
    <row r="131" spans="1:13" ht="13.5" customHeight="1">
      <c r="A131" s="52">
        <v>43268</v>
      </c>
      <c r="B131" s="205" t="s">
        <v>218</v>
      </c>
      <c r="C131" s="84" t="s">
        <v>486</v>
      </c>
      <c r="D131" s="205" t="s">
        <v>2362</v>
      </c>
      <c r="E131" s="205" t="s">
        <v>2365</v>
      </c>
      <c r="F131" s="77">
        <v>0.60972222222222228</v>
      </c>
      <c r="G131" s="78" t="s">
        <v>71</v>
      </c>
      <c r="H131" s="78" t="s">
        <v>71</v>
      </c>
      <c r="I131" s="78" t="s">
        <v>71</v>
      </c>
      <c r="J131" s="72" t="s">
        <v>2366</v>
      </c>
      <c r="K131" s="329"/>
      <c r="L131" s="104" t="s">
        <v>488</v>
      </c>
      <c r="M131" s="111">
        <v>89803020082</v>
      </c>
    </row>
    <row r="132" spans="1:13" ht="13.5" customHeight="1">
      <c r="A132" s="52">
        <v>43268</v>
      </c>
      <c r="B132" s="205" t="s">
        <v>218</v>
      </c>
      <c r="C132" s="84" t="s">
        <v>1805</v>
      </c>
      <c r="D132" s="205" t="s">
        <v>2362</v>
      </c>
      <c r="E132" s="205" t="s">
        <v>2367</v>
      </c>
      <c r="F132" s="77">
        <v>0.62569444444444444</v>
      </c>
      <c r="G132" s="78" t="s">
        <v>71</v>
      </c>
      <c r="H132" s="78" t="s">
        <v>71</v>
      </c>
      <c r="I132" s="78" t="s">
        <v>71</v>
      </c>
      <c r="J132" s="72" t="s">
        <v>2368</v>
      </c>
      <c r="K132" s="329"/>
      <c r="L132" s="104" t="s">
        <v>488</v>
      </c>
      <c r="M132" s="111">
        <v>89803020082</v>
      </c>
    </row>
    <row r="133" spans="1:13" ht="13.5" customHeight="1">
      <c r="A133" s="52">
        <v>43268</v>
      </c>
      <c r="B133" s="205" t="s">
        <v>218</v>
      </c>
      <c r="C133" s="84" t="s">
        <v>582</v>
      </c>
      <c r="D133" s="205" t="s">
        <v>2369</v>
      </c>
      <c r="E133" s="205" t="s">
        <v>2370</v>
      </c>
      <c r="F133" s="77">
        <v>0.56944444444444442</v>
      </c>
      <c r="G133" s="78" t="s">
        <v>71</v>
      </c>
      <c r="H133" s="78" t="s">
        <v>71</v>
      </c>
      <c r="I133" s="78" t="s">
        <v>71</v>
      </c>
      <c r="J133" s="72" t="s">
        <v>2371</v>
      </c>
      <c r="K133" s="329"/>
      <c r="L133" s="104" t="s">
        <v>487</v>
      </c>
      <c r="M133" s="111">
        <v>89036440803</v>
      </c>
    </row>
    <row r="134" spans="1:13" ht="13.5" customHeight="1">
      <c r="A134" s="49">
        <v>43269</v>
      </c>
      <c r="B134" s="236" t="s">
        <v>254</v>
      </c>
      <c r="C134" s="236" t="s">
        <v>1633</v>
      </c>
      <c r="D134" s="236" t="s">
        <v>1233</v>
      </c>
      <c r="E134" s="236" t="s">
        <v>2372</v>
      </c>
      <c r="F134" s="75">
        <v>0.76458333333333328</v>
      </c>
      <c r="G134" s="76" t="s">
        <v>71</v>
      </c>
      <c r="H134" s="76" t="s">
        <v>71</v>
      </c>
      <c r="I134" s="76" t="s">
        <v>71</v>
      </c>
      <c r="J134" s="71" t="s">
        <v>2373</v>
      </c>
      <c r="K134" s="328"/>
      <c r="L134" s="104" t="s">
        <v>769</v>
      </c>
      <c r="M134" s="111" t="s">
        <v>770</v>
      </c>
    </row>
    <row r="135" spans="1:13" ht="13.5" customHeight="1">
      <c r="A135" s="49">
        <v>43269</v>
      </c>
      <c r="B135" s="205" t="s">
        <v>254</v>
      </c>
      <c r="C135" s="205" t="s">
        <v>2319</v>
      </c>
      <c r="D135" s="205" t="s">
        <v>1233</v>
      </c>
      <c r="E135" s="205" t="s">
        <v>2372</v>
      </c>
      <c r="F135" s="77">
        <v>0.76458333333333328</v>
      </c>
      <c r="G135" s="78" t="s">
        <v>71</v>
      </c>
      <c r="H135" s="78" t="s">
        <v>71</v>
      </c>
      <c r="I135" s="78" t="s">
        <v>71</v>
      </c>
      <c r="J135" s="72" t="s">
        <v>2374</v>
      </c>
      <c r="K135" s="329"/>
      <c r="L135" s="104" t="s">
        <v>769</v>
      </c>
      <c r="M135" s="111" t="s">
        <v>770</v>
      </c>
    </row>
    <row r="136" spans="1:13" ht="13.5" customHeight="1">
      <c r="A136" s="49">
        <v>43269</v>
      </c>
      <c r="B136" s="205" t="s">
        <v>254</v>
      </c>
      <c r="C136" s="205" t="s">
        <v>2454</v>
      </c>
      <c r="D136" s="205" t="s">
        <v>1303</v>
      </c>
      <c r="E136" s="205" t="s">
        <v>2375</v>
      </c>
      <c r="F136" s="77">
        <v>0.79305555555555551</v>
      </c>
      <c r="G136" s="78" t="s">
        <v>71</v>
      </c>
      <c r="H136" s="78" t="s">
        <v>71</v>
      </c>
      <c r="I136" s="78" t="s">
        <v>71</v>
      </c>
      <c r="J136" s="72" t="s">
        <v>2376</v>
      </c>
      <c r="K136" s="329"/>
      <c r="L136" s="104" t="s">
        <v>1254</v>
      </c>
      <c r="M136" s="111" t="s">
        <v>1255</v>
      </c>
    </row>
    <row r="137" spans="1:13" ht="13.5" customHeight="1">
      <c r="A137" s="49">
        <v>43269</v>
      </c>
      <c r="B137" s="205" t="s">
        <v>254</v>
      </c>
      <c r="C137" s="205" t="s">
        <v>2455</v>
      </c>
      <c r="D137" s="205" t="s">
        <v>1303</v>
      </c>
      <c r="E137" s="205" t="s">
        <v>2375</v>
      </c>
      <c r="F137" s="77">
        <v>0.79305555555555551</v>
      </c>
      <c r="G137" s="78" t="s">
        <v>71</v>
      </c>
      <c r="H137" s="78" t="s">
        <v>71</v>
      </c>
      <c r="I137" s="78" t="s">
        <v>71</v>
      </c>
      <c r="J137" s="72" t="s">
        <v>2377</v>
      </c>
      <c r="K137" s="329"/>
      <c r="L137" s="104" t="s">
        <v>1254</v>
      </c>
      <c r="M137" s="111" t="s">
        <v>1255</v>
      </c>
    </row>
    <row r="138" spans="1:13" ht="13.5" customHeight="1">
      <c r="A138" s="49">
        <v>43269</v>
      </c>
      <c r="B138" s="205" t="s">
        <v>2378</v>
      </c>
      <c r="C138" s="205" t="s">
        <v>2456</v>
      </c>
      <c r="D138" s="205" t="s">
        <v>1025</v>
      </c>
      <c r="E138" s="205" t="s">
        <v>2379</v>
      </c>
      <c r="F138" s="77">
        <v>0.75902777777777775</v>
      </c>
      <c r="G138" s="78" t="s">
        <v>71</v>
      </c>
      <c r="H138" s="78" t="s">
        <v>71</v>
      </c>
      <c r="I138" s="78" t="s">
        <v>71</v>
      </c>
      <c r="J138" s="72" t="s">
        <v>2380</v>
      </c>
      <c r="K138" s="329"/>
      <c r="L138" s="104" t="s">
        <v>570</v>
      </c>
      <c r="M138" s="111">
        <v>89534771666</v>
      </c>
    </row>
    <row r="139" spans="1:13" ht="13.5" customHeight="1">
      <c r="A139" s="49">
        <v>43269</v>
      </c>
      <c r="B139" s="205" t="s">
        <v>2378</v>
      </c>
      <c r="C139" s="205" t="s">
        <v>2457</v>
      </c>
      <c r="D139" s="205" t="s">
        <v>1025</v>
      </c>
      <c r="E139" s="205" t="s">
        <v>2379</v>
      </c>
      <c r="F139" s="77">
        <v>0.76180555555555551</v>
      </c>
      <c r="G139" s="78" t="s">
        <v>71</v>
      </c>
      <c r="H139" s="78" t="s">
        <v>71</v>
      </c>
      <c r="I139" s="78" t="s">
        <v>71</v>
      </c>
      <c r="J139" s="72" t="s">
        <v>2381</v>
      </c>
      <c r="K139" s="329"/>
      <c r="L139" s="104" t="s">
        <v>570</v>
      </c>
      <c r="M139" s="111">
        <v>89534771666</v>
      </c>
    </row>
    <row r="140" spans="1:13" ht="13.5" customHeight="1">
      <c r="A140" s="49">
        <v>43269</v>
      </c>
      <c r="B140" s="205" t="s">
        <v>393</v>
      </c>
      <c r="C140" s="205" t="s">
        <v>2458</v>
      </c>
      <c r="D140" s="205" t="s">
        <v>984</v>
      </c>
      <c r="E140" s="205" t="s">
        <v>2382</v>
      </c>
      <c r="F140" s="77">
        <v>0.80138888888888893</v>
      </c>
      <c r="G140" s="78" t="s">
        <v>71</v>
      </c>
      <c r="H140" s="78" t="s">
        <v>71</v>
      </c>
      <c r="I140" s="78" t="s">
        <v>71</v>
      </c>
      <c r="J140" s="72" t="s">
        <v>2383</v>
      </c>
      <c r="K140" s="329"/>
      <c r="L140" s="104" t="s">
        <v>776</v>
      </c>
      <c r="M140" s="111" t="s">
        <v>1819</v>
      </c>
    </row>
    <row r="141" spans="1:13" ht="13.5" customHeight="1">
      <c r="A141" s="49">
        <v>43269</v>
      </c>
      <c r="B141" s="205" t="s">
        <v>393</v>
      </c>
      <c r="C141" s="205" t="s">
        <v>1622</v>
      </c>
      <c r="D141" s="205" t="s">
        <v>984</v>
      </c>
      <c r="E141" s="205" t="s">
        <v>2384</v>
      </c>
      <c r="F141" s="77">
        <v>0.80347222222222225</v>
      </c>
      <c r="G141" s="78" t="s">
        <v>71</v>
      </c>
      <c r="H141" s="78" t="s">
        <v>71</v>
      </c>
      <c r="I141" s="78" t="s">
        <v>71</v>
      </c>
      <c r="J141" s="72" t="s">
        <v>2385</v>
      </c>
      <c r="K141" s="329"/>
      <c r="L141" s="104" t="s">
        <v>776</v>
      </c>
      <c r="M141" s="111" t="s">
        <v>1819</v>
      </c>
    </row>
    <row r="142" spans="1:13" ht="13.5" customHeight="1">
      <c r="A142" s="49">
        <v>43269</v>
      </c>
      <c r="B142" s="205" t="s">
        <v>393</v>
      </c>
      <c r="C142" s="205" t="s">
        <v>1816</v>
      </c>
      <c r="D142" s="205" t="s">
        <v>984</v>
      </c>
      <c r="E142" s="205" t="s">
        <v>2386</v>
      </c>
      <c r="F142" s="77">
        <v>0.84513888888888888</v>
      </c>
      <c r="G142" s="78" t="s">
        <v>71</v>
      </c>
      <c r="H142" s="78" t="s">
        <v>14</v>
      </c>
      <c r="I142" s="78" t="s">
        <v>71</v>
      </c>
      <c r="J142" s="72" t="s">
        <v>2387</v>
      </c>
      <c r="K142" s="333" t="s">
        <v>2388</v>
      </c>
      <c r="L142" s="104" t="s">
        <v>1817</v>
      </c>
      <c r="M142" s="111" t="s">
        <v>1818</v>
      </c>
    </row>
    <row r="143" spans="1:13" ht="13.5" customHeight="1">
      <c r="A143" s="49">
        <v>43269</v>
      </c>
      <c r="B143" s="205" t="s">
        <v>279</v>
      </c>
      <c r="C143" s="205" t="s">
        <v>489</v>
      </c>
      <c r="D143" s="205" t="s">
        <v>984</v>
      </c>
      <c r="E143" s="205" t="s">
        <v>2389</v>
      </c>
      <c r="F143" s="77">
        <v>0.78888888888888886</v>
      </c>
      <c r="G143" s="78" t="s">
        <v>71</v>
      </c>
      <c r="H143" s="78" t="s">
        <v>71</v>
      </c>
      <c r="I143" s="78" t="s">
        <v>71</v>
      </c>
      <c r="J143" s="72" t="s">
        <v>2390</v>
      </c>
      <c r="K143" s="333"/>
      <c r="L143" s="104" t="s">
        <v>2294</v>
      </c>
      <c r="M143" s="111">
        <v>89106066115</v>
      </c>
    </row>
    <row r="144" spans="1:13" ht="13.5" customHeight="1">
      <c r="A144" s="49">
        <v>43269</v>
      </c>
      <c r="B144" s="205" t="s">
        <v>279</v>
      </c>
      <c r="C144" s="205" t="s">
        <v>2160</v>
      </c>
      <c r="D144" s="205" t="s">
        <v>984</v>
      </c>
      <c r="E144" s="205" t="s">
        <v>2391</v>
      </c>
      <c r="F144" s="77">
        <v>0.8354166666666667</v>
      </c>
      <c r="G144" s="78" t="s">
        <v>71</v>
      </c>
      <c r="H144" s="78" t="s">
        <v>71</v>
      </c>
      <c r="I144" s="78" t="s">
        <v>71</v>
      </c>
      <c r="J144" s="72" t="s">
        <v>2392</v>
      </c>
      <c r="K144" s="333"/>
      <c r="L144" s="104" t="s">
        <v>2294</v>
      </c>
      <c r="M144" s="111">
        <v>89106066115</v>
      </c>
    </row>
    <row r="145" spans="1:13" ht="13.5" customHeight="1">
      <c r="A145" s="49">
        <v>43269</v>
      </c>
      <c r="B145" s="205" t="s">
        <v>279</v>
      </c>
      <c r="C145" s="205" t="s">
        <v>1952</v>
      </c>
      <c r="D145" s="205" t="s">
        <v>984</v>
      </c>
      <c r="E145" s="205" t="s">
        <v>2393</v>
      </c>
      <c r="F145" s="77">
        <v>0.81944444444444442</v>
      </c>
      <c r="G145" s="78" t="s">
        <v>14</v>
      </c>
      <c r="H145" s="78"/>
      <c r="I145" s="78"/>
      <c r="J145" s="72" t="s">
        <v>2394</v>
      </c>
      <c r="K145" s="333" t="s">
        <v>2395</v>
      </c>
      <c r="L145" s="104" t="s">
        <v>2451</v>
      </c>
      <c r="M145" s="111">
        <v>89005804818</v>
      </c>
    </row>
    <row r="146" spans="1:13" ht="13.5" customHeight="1">
      <c r="A146" s="49">
        <v>43269</v>
      </c>
      <c r="B146" s="205" t="s">
        <v>279</v>
      </c>
      <c r="C146" s="205" t="s">
        <v>2155</v>
      </c>
      <c r="D146" s="205" t="s">
        <v>984</v>
      </c>
      <c r="E146" s="205" t="s">
        <v>2396</v>
      </c>
      <c r="F146" s="77">
        <v>0.80902777777777779</v>
      </c>
      <c r="G146" s="78" t="s">
        <v>71</v>
      </c>
      <c r="H146" s="78" t="s">
        <v>71</v>
      </c>
      <c r="I146" s="78" t="s">
        <v>71</v>
      </c>
      <c r="J146" s="72" t="s">
        <v>2397</v>
      </c>
      <c r="K146" s="329"/>
      <c r="L146" s="104" t="s">
        <v>1954</v>
      </c>
      <c r="M146" s="111">
        <v>89065071106</v>
      </c>
    </row>
    <row r="147" spans="1:13" ht="13.5" customHeight="1">
      <c r="A147" s="52">
        <v>43271</v>
      </c>
      <c r="B147" s="236" t="s">
        <v>189</v>
      </c>
      <c r="C147" s="236" t="s">
        <v>1294</v>
      </c>
      <c r="D147" s="236" t="s">
        <v>2329</v>
      </c>
      <c r="E147" s="236" t="s">
        <v>2398</v>
      </c>
      <c r="F147" s="75">
        <v>0.80347222222222225</v>
      </c>
      <c r="G147" s="76" t="s">
        <v>71</v>
      </c>
      <c r="H147" s="76" t="s">
        <v>71</v>
      </c>
      <c r="I147" s="76" t="s">
        <v>71</v>
      </c>
      <c r="J147" s="71" t="s">
        <v>2399</v>
      </c>
      <c r="K147" s="334"/>
      <c r="L147" s="104" t="s">
        <v>251</v>
      </c>
      <c r="M147" s="111" t="s">
        <v>669</v>
      </c>
    </row>
    <row r="148" spans="1:13" ht="13.5" customHeight="1">
      <c r="A148" s="52">
        <v>43271</v>
      </c>
      <c r="B148" s="205" t="s">
        <v>189</v>
      </c>
      <c r="C148" s="205" t="s">
        <v>2459</v>
      </c>
      <c r="D148" s="205" t="s">
        <v>2329</v>
      </c>
      <c r="E148" s="205" t="s">
        <v>2400</v>
      </c>
      <c r="F148" s="77">
        <v>0.81805555555555554</v>
      </c>
      <c r="G148" s="78" t="s">
        <v>71</v>
      </c>
      <c r="H148" s="78" t="s">
        <v>14</v>
      </c>
      <c r="I148" s="78" t="s">
        <v>71</v>
      </c>
      <c r="J148" s="72" t="s">
        <v>2401</v>
      </c>
      <c r="K148" s="333"/>
      <c r="L148" s="104" t="s">
        <v>249</v>
      </c>
      <c r="M148" s="111">
        <v>89050497124</v>
      </c>
    </row>
    <row r="149" spans="1:13" ht="13.5" customHeight="1">
      <c r="A149" s="52">
        <v>43271</v>
      </c>
      <c r="B149" s="205" t="s">
        <v>189</v>
      </c>
      <c r="C149" s="205" t="s">
        <v>2460</v>
      </c>
      <c r="D149" s="205" t="s">
        <v>2329</v>
      </c>
      <c r="E149" s="205" t="s">
        <v>2402</v>
      </c>
      <c r="F149" s="77">
        <v>0.82291666666666663</v>
      </c>
      <c r="G149" s="78" t="s">
        <v>14</v>
      </c>
      <c r="H149" s="78"/>
      <c r="I149" s="78"/>
      <c r="J149" s="72" t="s">
        <v>2403</v>
      </c>
      <c r="K149" s="333" t="s">
        <v>2404</v>
      </c>
      <c r="L149" s="104" t="s">
        <v>1242</v>
      </c>
      <c r="M149" s="111" t="s">
        <v>565</v>
      </c>
    </row>
    <row r="150" spans="1:13" ht="13.5" customHeight="1">
      <c r="A150" s="52">
        <v>43271</v>
      </c>
      <c r="B150" s="205" t="s">
        <v>189</v>
      </c>
      <c r="C150" s="205" t="s">
        <v>2461</v>
      </c>
      <c r="D150" s="205" t="s">
        <v>2329</v>
      </c>
      <c r="E150" s="205" t="s">
        <v>2405</v>
      </c>
      <c r="F150" s="77">
        <v>0.82638888888888884</v>
      </c>
      <c r="G150" s="76" t="s">
        <v>71</v>
      </c>
      <c r="H150" s="76" t="s">
        <v>71</v>
      </c>
      <c r="I150" s="76" t="s">
        <v>71</v>
      </c>
      <c r="J150" s="72" t="s">
        <v>2406</v>
      </c>
      <c r="K150" s="333" t="s">
        <v>2407</v>
      </c>
      <c r="L150" s="104" t="s">
        <v>799</v>
      </c>
      <c r="M150" s="111">
        <v>89204077318</v>
      </c>
    </row>
    <row r="151" spans="1:13" ht="13.5" customHeight="1">
      <c r="A151" s="52">
        <v>43271</v>
      </c>
      <c r="B151" s="205" t="s">
        <v>130</v>
      </c>
      <c r="C151" s="205" t="s">
        <v>2462</v>
      </c>
      <c r="D151" s="205" t="s">
        <v>2408</v>
      </c>
      <c r="E151" s="205" t="s">
        <v>2409</v>
      </c>
      <c r="F151" s="77">
        <v>0.78611111111111109</v>
      </c>
      <c r="G151" s="78" t="s">
        <v>71</v>
      </c>
      <c r="H151" s="78" t="s">
        <v>71</v>
      </c>
      <c r="I151" s="78" t="s">
        <v>71</v>
      </c>
      <c r="J151" s="72" t="s">
        <v>2410</v>
      </c>
      <c r="K151" s="333"/>
      <c r="L151" s="104" t="s">
        <v>2465</v>
      </c>
      <c r="M151" s="111" t="s">
        <v>2466</v>
      </c>
    </row>
    <row r="152" spans="1:13" ht="13.5" customHeight="1">
      <c r="A152" s="52">
        <v>43271</v>
      </c>
      <c r="B152" s="205" t="s">
        <v>130</v>
      </c>
      <c r="C152" s="205" t="s">
        <v>2463</v>
      </c>
      <c r="D152" s="205" t="s">
        <v>2408</v>
      </c>
      <c r="E152" s="84" t="s">
        <v>2411</v>
      </c>
      <c r="F152" s="77">
        <v>0.81944444444444442</v>
      </c>
      <c r="G152" s="78" t="s">
        <v>71</v>
      </c>
      <c r="H152" s="78" t="s">
        <v>71</v>
      </c>
      <c r="I152" s="78" t="s">
        <v>14</v>
      </c>
      <c r="J152" s="72" t="s">
        <v>2412</v>
      </c>
      <c r="K152" s="333"/>
      <c r="L152" s="104" t="s">
        <v>2465</v>
      </c>
      <c r="M152" s="111" t="s">
        <v>2466</v>
      </c>
    </row>
    <row r="153" spans="1:13" ht="13.5" customHeight="1">
      <c r="A153" s="52">
        <v>43271</v>
      </c>
      <c r="B153" s="205" t="s">
        <v>130</v>
      </c>
      <c r="C153" s="205" t="s">
        <v>1004</v>
      </c>
      <c r="D153" s="205" t="s">
        <v>2408</v>
      </c>
      <c r="E153" s="205" t="s">
        <v>2413</v>
      </c>
      <c r="F153" s="77">
        <v>0.84791666666666665</v>
      </c>
      <c r="G153" s="78" t="s">
        <v>14</v>
      </c>
      <c r="H153" s="78"/>
      <c r="I153" s="78"/>
      <c r="J153" s="72" t="s">
        <v>2414</v>
      </c>
      <c r="K153" s="333" t="s">
        <v>2415</v>
      </c>
      <c r="L153" s="104" t="s">
        <v>139</v>
      </c>
      <c r="M153" s="111" t="s">
        <v>1618</v>
      </c>
    </row>
    <row r="154" spans="1:13" ht="13.5" customHeight="1">
      <c r="A154" s="52">
        <v>43271</v>
      </c>
      <c r="B154" s="205" t="s">
        <v>130</v>
      </c>
      <c r="C154" s="205" t="s">
        <v>2464</v>
      </c>
      <c r="D154" s="205" t="s">
        <v>2408</v>
      </c>
      <c r="E154" s="205" t="s">
        <v>2416</v>
      </c>
      <c r="F154" s="77">
        <v>0.83819444444444446</v>
      </c>
      <c r="G154" s="78" t="s">
        <v>71</v>
      </c>
      <c r="H154" s="78" t="s">
        <v>71</v>
      </c>
      <c r="I154" s="78" t="s">
        <v>71</v>
      </c>
      <c r="J154" s="72" t="s">
        <v>2417</v>
      </c>
      <c r="K154" s="333"/>
      <c r="L154" s="104" t="s">
        <v>139</v>
      </c>
      <c r="M154" s="111" t="s">
        <v>1618</v>
      </c>
    </row>
    <row r="155" spans="1:13" ht="13.5" customHeight="1">
      <c r="A155" s="52">
        <v>43271</v>
      </c>
      <c r="B155" s="205" t="s">
        <v>310</v>
      </c>
      <c r="C155" s="205" t="s">
        <v>1007</v>
      </c>
      <c r="D155" s="205" t="s">
        <v>2418</v>
      </c>
      <c r="E155" s="205" t="s">
        <v>2419</v>
      </c>
      <c r="F155" s="77">
        <v>0.80347222222222225</v>
      </c>
      <c r="G155" s="78" t="s">
        <v>71</v>
      </c>
      <c r="H155" s="78" t="s">
        <v>71</v>
      </c>
      <c r="I155" s="78" t="s">
        <v>71</v>
      </c>
      <c r="J155" s="72" t="s">
        <v>2420</v>
      </c>
      <c r="K155" s="333"/>
      <c r="L155" s="104" t="s">
        <v>341</v>
      </c>
      <c r="M155" s="111" t="s">
        <v>342</v>
      </c>
    </row>
    <row r="156" spans="1:13" ht="13.5" customHeight="1">
      <c r="A156" s="52">
        <v>43271</v>
      </c>
      <c r="B156" s="205" t="s">
        <v>310</v>
      </c>
      <c r="C156" s="205" t="s">
        <v>2289</v>
      </c>
      <c r="D156" s="205" t="s">
        <v>2418</v>
      </c>
      <c r="E156" s="205" t="s">
        <v>2421</v>
      </c>
      <c r="F156" s="77">
        <v>0.77500000000000002</v>
      </c>
      <c r="G156" s="78" t="s">
        <v>14</v>
      </c>
      <c r="H156" s="78"/>
      <c r="I156" s="78"/>
      <c r="J156" s="72" t="s">
        <v>2422</v>
      </c>
      <c r="K156" s="333" t="s">
        <v>2423</v>
      </c>
      <c r="L156" s="104" t="s">
        <v>341</v>
      </c>
      <c r="M156" s="111" t="s">
        <v>342</v>
      </c>
    </row>
    <row r="157" spans="1:13" ht="13.5" customHeight="1">
      <c r="A157" s="52">
        <v>43271</v>
      </c>
      <c r="B157" s="205" t="s">
        <v>310</v>
      </c>
      <c r="C157" s="205" t="s">
        <v>480</v>
      </c>
      <c r="D157" s="205" t="s">
        <v>2418</v>
      </c>
      <c r="E157" s="205" t="s">
        <v>2424</v>
      </c>
      <c r="F157" s="77">
        <v>0.82708333333333328</v>
      </c>
      <c r="G157" s="78" t="s">
        <v>71</v>
      </c>
      <c r="H157" s="78" t="s">
        <v>14</v>
      </c>
      <c r="I157" s="78" t="s">
        <v>71</v>
      </c>
      <c r="J157" s="72" t="s">
        <v>2425</v>
      </c>
      <c r="K157" s="333"/>
      <c r="L157" s="104" t="s">
        <v>341</v>
      </c>
      <c r="M157" s="111" t="s">
        <v>342</v>
      </c>
    </row>
    <row r="158" spans="1:13" ht="13.5" customHeight="1">
      <c r="A158" s="52">
        <v>43271</v>
      </c>
      <c r="B158" s="205" t="s">
        <v>310</v>
      </c>
      <c r="C158" s="205" t="s">
        <v>2287</v>
      </c>
      <c r="D158" s="205" t="s">
        <v>2426</v>
      </c>
      <c r="E158" s="205" t="s">
        <v>2427</v>
      </c>
      <c r="F158" s="77">
        <v>0.84652777777777777</v>
      </c>
      <c r="G158" s="78" t="s">
        <v>14</v>
      </c>
      <c r="H158" s="78"/>
      <c r="I158" s="78"/>
      <c r="J158" s="72" t="s">
        <v>2428</v>
      </c>
      <c r="K158" s="333" t="s">
        <v>2429</v>
      </c>
      <c r="L158" s="104" t="s">
        <v>2290</v>
      </c>
      <c r="M158" s="111" t="s">
        <v>2291</v>
      </c>
    </row>
    <row r="159" spans="1:13" ht="13.5" customHeight="1">
      <c r="A159" s="52">
        <v>43271</v>
      </c>
      <c r="B159" s="205" t="s">
        <v>97</v>
      </c>
      <c r="C159" s="205" t="s">
        <v>579</v>
      </c>
      <c r="D159" s="205" t="s">
        <v>2430</v>
      </c>
      <c r="E159" s="205" t="s">
        <v>2431</v>
      </c>
      <c r="F159" s="77">
        <v>0.80625000000000002</v>
      </c>
      <c r="G159" s="78" t="s">
        <v>71</v>
      </c>
      <c r="H159" s="78" t="s">
        <v>71</v>
      </c>
      <c r="I159" s="78" t="s">
        <v>71</v>
      </c>
      <c r="J159" s="72" t="s">
        <v>2432</v>
      </c>
      <c r="K159" s="333"/>
      <c r="L159" s="104" t="s">
        <v>142</v>
      </c>
      <c r="M159" s="111" t="s">
        <v>143</v>
      </c>
    </row>
    <row r="160" spans="1:13" ht="13.5" customHeight="1">
      <c r="A160" s="52">
        <v>43271</v>
      </c>
      <c r="B160" s="205" t="s">
        <v>97</v>
      </c>
      <c r="C160" s="205" t="s">
        <v>156</v>
      </c>
      <c r="D160" s="205" t="s">
        <v>2430</v>
      </c>
      <c r="E160" s="205" t="s">
        <v>2433</v>
      </c>
      <c r="F160" s="77">
        <v>0.79305555555555551</v>
      </c>
      <c r="G160" s="78" t="s">
        <v>71</v>
      </c>
      <c r="H160" s="78" t="s">
        <v>14</v>
      </c>
      <c r="I160" s="78" t="s">
        <v>71</v>
      </c>
      <c r="J160" s="72" t="s">
        <v>2434</v>
      </c>
      <c r="K160" s="333"/>
      <c r="L160" s="104" t="s">
        <v>142</v>
      </c>
      <c r="M160" s="111" t="s">
        <v>143</v>
      </c>
    </row>
    <row r="161" spans="1:13" ht="13.5" customHeight="1">
      <c r="A161" s="52">
        <v>43271</v>
      </c>
      <c r="B161" s="205" t="s">
        <v>97</v>
      </c>
      <c r="C161" s="205" t="s">
        <v>1136</v>
      </c>
      <c r="D161" s="205" t="s">
        <v>1046</v>
      </c>
      <c r="E161" s="205" t="s">
        <v>2435</v>
      </c>
      <c r="F161" s="77">
        <v>0.76249999999999996</v>
      </c>
      <c r="G161" s="78" t="s">
        <v>71</v>
      </c>
      <c r="H161" s="78" t="s">
        <v>71</v>
      </c>
      <c r="I161" s="78" t="s">
        <v>71</v>
      </c>
      <c r="J161" s="72" t="s">
        <v>2436</v>
      </c>
      <c r="K161" s="333"/>
      <c r="L161" s="104" t="s">
        <v>1084</v>
      </c>
      <c r="M161" s="111" t="s">
        <v>1085</v>
      </c>
    </row>
    <row r="162" spans="1:13" ht="13.5" customHeight="1">
      <c r="A162" s="52">
        <v>43271</v>
      </c>
      <c r="B162" s="205" t="s">
        <v>97</v>
      </c>
      <c r="C162" s="205" t="s">
        <v>1630</v>
      </c>
      <c r="D162" s="205" t="s">
        <v>1046</v>
      </c>
      <c r="E162" s="205" t="s">
        <v>2437</v>
      </c>
      <c r="F162" s="77">
        <v>0.77222222222222225</v>
      </c>
      <c r="G162" s="78" t="s">
        <v>71</v>
      </c>
      <c r="H162" s="78" t="s">
        <v>71</v>
      </c>
      <c r="I162" s="78" t="s">
        <v>71</v>
      </c>
      <c r="J162" s="72" t="s">
        <v>2438</v>
      </c>
      <c r="K162" s="333"/>
      <c r="L162" s="104" t="s">
        <v>1084</v>
      </c>
      <c r="M162" s="111" t="s">
        <v>1085</v>
      </c>
    </row>
    <row r="163" spans="1:13" ht="13.5" customHeight="1">
      <c r="A163" s="52">
        <v>43271</v>
      </c>
      <c r="B163" s="205" t="s">
        <v>68</v>
      </c>
      <c r="C163" s="205" t="s">
        <v>1595</v>
      </c>
      <c r="D163" s="205" t="s">
        <v>107</v>
      </c>
      <c r="E163" s="205" t="s">
        <v>2439</v>
      </c>
      <c r="F163" s="77">
        <v>0.82847222222222228</v>
      </c>
      <c r="G163" s="78" t="s">
        <v>71</v>
      </c>
      <c r="H163" s="78" t="s">
        <v>71</v>
      </c>
      <c r="I163" s="78" t="s">
        <v>71</v>
      </c>
      <c r="J163" s="72" t="s">
        <v>2440</v>
      </c>
      <c r="K163" s="333"/>
      <c r="L163" s="104" t="s">
        <v>87</v>
      </c>
      <c r="M163" s="111">
        <v>89159739231</v>
      </c>
    </row>
    <row r="164" spans="1:13" ht="13.5" customHeight="1">
      <c r="A164" s="52">
        <v>43271</v>
      </c>
      <c r="B164" s="205" t="s">
        <v>68</v>
      </c>
      <c r="C164" s="205" t="s">
        <v>1941</v>
      </c>
      <c r="D164" s="205" t="s">
        <v>2408</v>
      </c>
      <c r="E164" s="205" t="s">
        <v>2441</v>
      </c>
      <c r="F164" s="77">
        <v>0.80347222222222225</v>
      </c>
      <c r="G164" s="78" t="s">
        <v>71</v>
      </c>
      <c r="H164" s="78" t="s">
        <v>71</v>
      </c>
      <c r="I164" s="78" t="s">
        <v>71</v>
      </c>
      <c r="J164" s="72" t="s">
        <v>2442</v>
      </c>
      <c r="K164" s="333"/>
      <c r="L164" s="104" t="s">
        <v>87</v>
      </c>
      <c r="M164" s="111">
        <v>89159739231</v>
      </c>
    </row>
    <row r="165" spans="1:13" ht="13.5" customHeight="1">
      <c r="A165" s="52">
        <v>43271</v>
      </c>
      <c r="B165" s="205" t="s">
        <v>68</v>
      </c>
      <c r="C165" s="205" t="s">
        <v>1852</v>
      </c>
      <c r="D165" s="205" t="s">
        <v>107</v>
      </c>
      <c r="E165" s="205" t="s">
        <v>2443</v>
      </c>
      <c r="F165" s="77">
        <v>0.77708333333333335</v>
      </c>
      <c r="G165" s="78" t="s">
        <v>71</v>
      </c>
      <c r="H165" s="78" t="s">
        <v>71</v>
      </c>
      <c r="I165" s="78" t="s">
        <v>71</v>
      </c>
      <c r="J165" s="72" t="s">
        <v>2444</v>
      </c>
      <c r="K165" s="333"/>
      <c r="L165" s="104" t="s">
        <v>87</v>
      </c>
      <c r="M165" s="111">
        <v>89159739231</v>
      </c>
    </row>
    <row r="166" spans="1:13" ht="13.5" customHeight="1">
      <c r="A166" s="52">
        <v>43271</v>
      </c>
      <c r="B166" s="205" t="s">
        <v>68</v>
      </c>
      <c r="C166" s="205" t="s">
        <v>2321</v>
      </c>
      <c r="D166" s="205" t="s">
        <v>107</v>
      </c>
      <c r="E166" s="205" t="s">
        <v>2445</v>
      </c>
      <c r="F166" s="77">
        <v>0.7895833333333333</v>
      </c>
      <c r="G166" s="78" t="s">
        <v>71</v>
      </c>
      <c r="H166" s="78" t="s">
        <v>71</v>
      </c>
      <c r="I166" s="78" t="s">
        <v>71</v>
      </c>
      <c r="J166" s="72" t="s">
        <v>2446</v>
      </c>
      <c r="K166" s="333"/>
      <c r="L166" s="104" t="s">
        <v>87</v>
      </c>
      <c r="M166" s="111">
        <v>89159739231</v>
      </c>
    </row>
    <row r="167" spans="1:13" ht="15" customHeight="1">
      <c r="A167" s="49">
        <v>43272</v>
      </c>
      <c r="B167" s="350" t="s">
        <v>121</v>
      </c>
      <c r="C167" s="350" t="s">
        <v>1610</v>
      </c>
      <c r="D167" s="350" t="s">
        <v>857</v>
      </c>
      <c r="E167" s="350" t="s">
        <v>2467</v>
      </c>
      <c r="F167" s="355">
        <v>0.76388888888888884</v>
      </c>
      <c r="G167" s="356" t="s">
        <v>71</v>
      </c>
      <c r="H167" s="356" t="s">
        <v>71</v>
      </c>
      <c r="I167" s="356" t="s">
        <v>71</v>
      </c>
      <c r="J167" s="347" t="s">
        <v>2468</v>
      </c>
      <c r="K167" s="359"/>
      <c r="L167" s="104" t="s">
        <v>151</v>
      </c>
      <c r="M167" s="111">
        <v>89588618343</v>
      </c>
    </row>
    <row r="168" spans="1:13" ht="15" customHeight="1">
      <c r="A168" s="49">
        <v>43272</v>
      </c>
      <c r="B168" s="351" t="s">
        <v>121</v>
      </c>
      <c r="C168" s="351" t="s">
        <v>152</v>
      </c>
      <c r="D168" s="351" t="s">
        <v>857</v>
      </c>
      <c r="E168" s="351" t="s">
        <v>2469</v>
      </c>
      <c r="F168" s="357">
        <v>0.77777777777777779</v>
      </c>
      <c r="G168" s="358" t="s">
        <v>71</v>
      </c>
      <c r="H168" s="358" t="s">
        <v>71</v>
      </c>
      <c r="I168" s="358" t="s">
        <v>71</v>
      </c>
      <c r="J168" s="349" t="s">
        <v>2470</v>
      </c>
      <c r="K168" s="360"/>
      <c r="L168" s="104" t="s">
        <v>151</v>
      </c>
      <c r="M168" s="111">
        <v>89588618343</v>
      </c>
    </row>
    <row r="169" spans="1:13" ht="15" customHeight="1">
      <c r="A169" s="49">
        <v>43272</v>
      </c>
      <c r="B169" s="351" t="s">
        <v>121</v>
      </c>
      <c r="C169" s="351" t="s">
        <v>2573</v>
      </c>
      <c r="D169" s="351" t="s">
        <v>857</v>
      </c>
      <c r="E169" s="351" t="s">
        <v>2471</v>
      </c>
      <c r="F169" s="357">
        <v>0.79861111111111116</v>
      </c>
      <c r="G169" s="358" t="s">
        <v>71</v>
      </c>
      <c r="H169" s="358" t="s">
        <v>71</v>
      </c>
      <c r="I169" s="358" t="s">
        <v>71</v>
      </c>
      <c r="J169" s="349" t="s">
        <v>2472</v>
      </c>
      <c r="K169" s="360"/>
      <c r="L169" s="104" t="s">
        <v>151</v>
      </c>
      <c r="M169" s="111">
        <v>89588618343</v>
      </c>
    </row>
    <row r="170" spans="1:13" ht="15" customHeight="1">
      <c r="A170" s="49">
        <v>43272</v>
      </c>
      <c r="B170" s="351" t="s">
        <v>121</v>
      </c>
      <c r="C170" s="351" t="s">
        <v>2574</v>
      </c>
      <c r="D170" s="351" t="s">
        <v>857</v>
      </c>
      <c r="E170" s="351" t="s">
        <v>2473</v>
      </c>
      <c r="F170" s="357">
        <v>0.78819444444444442</v>
      </c>
      <c r="G170" s="358" t="s">
        <v>71</v>
      </c>
      <c r="H170" s="358" t="s">
        <v>71</v>
      </c>
      <c r="I170" s="358" t="s">
        <v>71</v>
      </c>
      <c r="J170" s="349" t="s">
        <v>2474</v>
      </c>
      <c r="K170" s="360"/>
      <c r="L170" s="104" t="s">
        <v>151</v>
      </c>
      <c r="M170" s="111">
        <v>89588618343</v>
      </c>
    </row>
    <row r="171" spans="1:13" ht="15" customHeight="1">
      <c r="A171" s="49">
        <v>43272</v>
      </c>
      <c r="B171" s="351" t="s">
        <v>2475</v>
      </c>
      <c r="C171" s="351" t="s">
        <v>2099</v>
      </c>
      <c r="D171" s="351" t="s">
        <v>2076</v>
      </c>
      <c r="E171" s="351" t="s">
        <v>2476</v>
      </c>
      <c r="F171" s="357">
        <v>0.73611111111111116</v>
      </c>
      <c r="G171" s="358" t="s">
        <v>71</v>
      </c>
      <c r="H171" s="358" t="s">
        <v>71</v>
      </c>
      <c r="I171" s="358" t="s">
        <v>71</v>
      </c>
      <c r="J171" s="349" t="s">
        <v>2477</v>
      </c>
      <c r="K171" s="360"/>
      <c r="L171" s="104" t="s">
        <v>1824</v>
      </c>
      <c r="M171" s="111" t="s">
        <v>1825</v>
      </c>
    </row>
    <row r="172" spans="1:13" ht="15" customHeight="1">
      <c r="A172" s="49">
        <v>43272</v>
      </c>
      <c r="B172" s="351" t="s">
        <v>2475</v>
      </c>
      <c r="C172" s="351" t="s">
        <v>2576</v>
      </c>
      <c r="D172" s="351" t="s">
        <v>2478</v>
      </c>
      <c r="E172" s="351" t="s">
        <v>2479</v>
      </c>
      <c r="F172" s="357">
        <v>0.79861111111111116</v>
      </c>
      <c r="G172" s="358" t="s">
        <v>14</v>
      </c>
      <c r="H172" s="358"/>
      <c r="I172" s="358"/>
      <c r="J172" s="349" t="s">
        <v>2480</v>
      </c>
      <c r="K172" s="361" t="s">
        <v>2481</v>
      </c>
      <c r="L172" s="104" t="s">
        <v>1826</v>
      </c>
      <c r="M172" s="111" t="s">
        <v>1827</v>
      </c>
    </row>
    <row r="173" spans="1:13" ht="15" customHeight="1">
      <c r="A173" s="49">
        <v>43272</v>
      </c>
      <c r="B173" s="351" t="s">
        <v>2475</v>
      </c>
      <c r="C173" s="351" t="s">
        <v>2577</v>
      </c>
      <c r="D173" s="351" t="s">
        <v>2478</v>
      </c>
      <c r="E173" s="351" t="s">
        <v>2482</v>
      </c>
      <c r="F173" s="357">
        <v>0.79861111111111116</v>
      </c>
      <c r="G173" s="358" t="s">
        <v>14</v>
      </c>
      <c r="H173" s="358"/>
      <c r="I173" s="358"/>
      <c r="J173" s="349" t="s">
        <v>2483</v>
      </c>
      <c r="K173" s="361" t="s">
        <v>2484</v>
      </c>
      <c r="L173" s="104" t="s">
        <v>1826</v>
      </c>
      <c r="M173" s="111" t="s">
        <v>1827</v>
      </c>
    </row>
    <row r="174" spans="1:13" ht="15" customHeight="1">
      <c r="A174" s="49">
        <v>43272</v>
      </c>
      <c r="B174" s="352" t="s">
        <v>174</v>
      </c>
      <c r="C174" s="352" t="s">
        <v>2578</v>
      </c>
      <c r="D174" s="352" t="s">
        <v>635</v>
      </c>
      <c r="E174" s="352" t="s">
        <v>2485</v>
      </c>
      <c r="F174" s="357">
        <v>0.81388888888888888</v>
      </c>
      <c r="G174" s="358" t="s">
        <v>71</v>
      </c>
      <c r="H174" s="358" t="s">
        <v>71</v>
      </c>
      <c r="I174" s="358" t="s">
        <v>71</v>
      </c>
      <c r="J174" s="349" t="s">
        <v>2486</v>
      </c>
      <c r="K174" s="361"/>
      <c r="L174" s="104" t="s">
        <v>796</v>
      </c>
      <c r="M174" s="111">
        <v>89585696061</v>
      </c>
    </row>
    <row r="175" spans="1:13" ht="15" customHeight="1">
      <c r="A175" s="49">
        <v>43272</v>
      </c>
      <c r="B175" s="352" t="s">
        <v>174</v>
      </c>
      <c r="C175" s="352" t="s">
        <v>2094</v>
      </c>
      <c r="D175" s="352" t="s">
        <v>116</v>
      </c>
      <c r="E175" s="352" t="s">
        <v>2487</v>
      </c>
      <c r="F175" s="357">
        <v>0.81944444444444442</v>
      </c>
      <c r="G175" s="358" t="s">
        <v>71</v>
      </c>
      <c r="H175" s="358" t="s">
        <v>71</v>
      </c>
      <c r="I175" s="358" t="s">
        <v>71</v>
      </c>
      <c r="J175" s="349" t="s">
        <v>2488</v>
      </c>
      <c r="K175" s="361"/>
      <c r="L175" s="104" t="s">
        <v>238</v>
      </c>
      <c r="M175" s="111">
        <v>89043682092</v>
      </c>
    </row>
    <row r="176" spans="1:13" ht="15" customHeight="1">
      <c r="A176" s="49">
        <v>43272</v>
      </c>
      <c r="B176" s="352" t="s">
        <v>174</v>
      </c>
      <c r="C176" s="352" t="s">
        <v>2579</v>
      </c>
      <c r="D176" s="352" t="s">
        <v>116</v>
      </c>
      <c r="E176" s="352" t="s">
        <v>2489</v>
      </c>
      <c r="F176" s="357">
        <v>0.82986111111111116</v>
      </c>
      <c r="G176" s="358" t="s">
        <v>71</v>
      </c>
      <c r="H176" s="358" t="s">
        <v>14</v>
      </c>
      <c r="I176" s="358" t="s">
        <v>71</v>
      </c>
      <c r="J176" s="349" t="s">
        <v>2490</v>
      </c>
      <c r="K176" s="361"/>
      <c r="L176" s="104" t="s">
        <v>238</v>
      </c>
      <c r="M176" s="111">
        <v>89043682092</v>
      </c>
    </row>
    <row r="177" spans="1:13" ht="15" customHeight="1">
      <c r="A177" s="49">
        <v>43272</v>
      </c>
      <c r="B177" s="352" t="s">
        <v>174</v>
      </c>
      <c r="C177" s="352" t="s">
        <v>240</v>
      </c>
      <c r="D177" s="352" t="s">
        <v>107</v>
      </c>
      <c r="E177" s="352" t="s">
        <v>2491</v>
      </c>
      <c r="F177" s="357">
        <v>0.80277777777777781</v>
      </c>
      <c r="G177" s="358" t="s">
        <v>71</v>
      </c>
      <c r="H177" s="358" t="s">
        <v>71</v>
      </c>
      <c r="I177" s="358" t="s">
        <v>71</v>
      </c>
      <c r="J177" s="349" t="s">
        <v>2492</v>
      </c>
      <c r="K177" s="361"/>
      <c r="L177" s="104" t="s">
        <v>238</v>
      </c>
      <c r="M177" s="111">
        <v>89043682092</v>
      </c>
    </row>
    <row r="178" spans="1:13" ht="15" customHeight="1">
      <c r="A178" s="49">
        <v>43272</v>
      </c>
      <c r="B178" s="352" t="s">
        <v>2493</v>
      </c>
      <c r="C178" s="352" t="s">
        <v>2580</v>
      </c>
      <c r="D178" s="352" t="s">
        <v>186</v>
      </c>
      <c r="E178" s="352" t="s">
        <v>2494</v>
      </c>
      <c r="F178" s="357">
        <v>0.84722222222222221</v>
      </c>
      <c r="G178" s="358" t="s">
        <v>71</v>
      </c>
      <c r="H178" s="358" t="s">
        <v>71</v>
      </c>
      <c r="I178" s="358" t="s">
        <v>71</v>
      </c>
      <c r="J178" s="349" t="s">
        <v>2495</v>
      </c>
      <c r="K178" s="361"/>
      <c r="L178" s="104" t="s">
        <v>797</v>
      </c>
      <c r="M178" s="111">
        <v>89997648473</v>
      </c>
    </row>
    <row r="179" spans="1:13" ht="15" customHeight="1">
      <c r="A179" s="49">
        <v>43272</v>
      </c>
      <c r="B179" s="352" t="s">
        <v>2493</v>
      </c>
      <c r="C179" s="352" t="s">
        <v>561</v>
      </c>
      <c r="D179" s="352" t="s">
        <v>635</v>
      </c>
      <c r="E179" s="352" t="s">
        <v>2496</v>
      </c>
      <c r="F179" s="357">
        <v>0.8569444444444444</v>
      </c>
      <c r="G179" s="358" t="s">
        <v>14</v>
      </c>
      <c r="H179" s="358"/>
      <c r="I179" s="358"/>
      <c r="J179" s="349" t="s">
        <v>2497</v>
      </c>
      <c r="K179" s="361" t="s">
        <v>2498</v>
      </c>
      <c r="L179" s="104" t="s">
        <v>65</v>
      </c>
      <c r="M179" s="111">
        <v>89997648473</v>
      </c>
    </row>
    <row r="180" spans="1:13" ht="15" customHeight="1">
      <c r="A180" s="49">
        <v>43272</v>
      </c>
      <c r="B180" s="352" t="s">
        <v>2493</v>
      </c>
      <c r="C180" s="352" t="s">
        <v>293</v>
      </c>
      <c r="D180" s="352" t="s">
        <v>186</v>
      </c>
      <c r="E180" s="352" t="s">
        <v>2496</v>
      </c>
      <c r="F180" s="357">
        <v>0.8569444444444444</v>
      </c>
      <c r="G180" s="358" t="s">
        <v>14</v>
      </c>
      <c r="H180" s="358"/>
      <c r="I180" s="358"/>
      <c r="J180" s="349" t="s">
        <v>2497</v>
      </c>
      <c r="K180" s="361" t="s">
        <v>2498</v>
      </c>
      <c r="L180" s="104" t="s">
        <v>65</v>
      </c>
      <c r="M180" s="111">
        <v>89997648473</v>
      </c>
    </row>
    <row r="181" spans="1:13" ht="15" customHeight="1">
      <c r="A181" s="49">
        <v>43272</v>
      </c>
      <c r="B181" s="352" t="s">
        <v>2493</v>
      </c>
      <c r="C181" s="352" t="s">
        <v>1829</v>
      </c>
      <c r="D181" s="352" t="s">
        <v>186</v>
      </c>
      <c r="E181" s="352" t="s">
        <v>2499</v>
      </c>
      <c r="F181" s="357">
        <v>0.80833333333333335</v>
      </c>
      <c r="G181" s="358" t="s">
        <v>71</v>
      </c>
      <c r="H181" s="358" t="s">
        <v>71</v>
      </c>
      <c r="I181" s="358" t="s">
        <v>71</v>
      </c>
      <c r="J181" s="349" t="s">
        <v>2500</v>
      </c>
      <c r="K181" s="361"/>
      <c r="L181" s="104" t="s">
        <v>1831</v>
      </c>
      <c r="M181" s="111">
        <v>89537411329</v>
      </c>
    </row>
    <row r="182" spans="1:13" ht="15" customHeight="1">
      <c r="A182" s="52">
        <v>43275</v>
      </c>
      <c r="B182" s="353" t="s">
        <v>130</v>
      </c>
      <c r="C182" s="353" t="s">
        <v>1619</v>
      </c>
      <c r="D182" s="353" t="s">
        <v>2408</v>
      </c>
      <c r="E182" s="353" t="s">
        <v>2501</v>
      </c>
      <c r="F182" s="355">
        <v>0.83263888888888893</v>
      </c>
      <c r="G182" s="356" t="s">
        <v>14</v>
      </c>
      <c r="H182" s="356"/>
      <c r="I182" s="356"/>
      <c r="J182" s="347" t="s">
        <v>2502</v>
      </c>
      <c r="K182" s="362" t="s">
        <v>1291</v>
      </c>
      <c r="L182" s="104" t="s">
        <v>139</v>
      </c>
      <c r="M182" s="111" t="s">
        <v>1618</v>
      </c>
    </row>
    <row r="183" spans="1:13" ht="15" customHeight="1">
      <c r="A183" s="52">
        <v>43275</v>
      </c>
      <c r="B183" s="352" t="s">
        <v>130</v>
      </c>
      <c r="C183" s="352" t="s">
        <v>895</v>
      </c>
      <c r="D183" s="352" t="s">
        <v>2408</v>
      </c>
      <c r="E183" s="352" t="s">
        <v>2503</v>
      </c>
      <c r="F183" s="357">
        <v>0.82222222222222219</v>
      </c>
      <c r="G183" s="358" t="s">
        <v>14</v>
      </c>
      <c r="H183" s="358"/>
      <c r="I183" s="358"/>
      <c r="J183" s="349" t="s">
        <v>2504</v>
      </c>
      <c r="K183" s="361" t="s">
        <v>2505</v>
      </c>
      <c r="L183" s="104" t="s">
        <v>139</v>
      </c>
      <c r="M183" s="111" t="s">
        <v>1618</v>
      </c>
    </row>
    <row r="184" spans="1:13" ht="15" customHeight="1">
      <c r="A184" s="52">
        <v>43275</v>
      </c>
      <c r="B184" s="352" t="s">
        <v>130</v>
      </c>
      <c r="C184" s="352" t="s">
        <v>2583</v>
      </c>
      <c r="D184" s="352" t="s">
        <v>2408</v>
      </c>
      <c r="E184" s="352" t="s">
        <v>2506</v>
      </c>
      <c r="F184" s="357">
        <v>0.79513888888888884</v>
      </c>
      <c r="G184" s="358" t="s">
        <v>14</v>
      </c>
      <c r="H184" s="358"/>
      <c r="I184" s="358"/>
      <c r="J184" s="348"/>
      <c r="K184" s="361" t="s">
        <v>2507</v>
      </c>
      <c r="L184" s="104" t="s">
        <v>2465</v>
      </c>
      <c r="M184" s="111" t="s">
        <v>2466</v>
      </c>
    </row>
    <row r="185" spans="1:13" ht="15" customHeight="1">
      <c r="A185" s="52">
        <v>43275</v>
      </c>
      <c r="B185" s="352" t="s">
        <v>130</v>
      </c>
      <c r="C185" s="352" t="s">
        <v>2584</v>
      </c>
      <c r="D185" s="352" t="s">
        <v>2408</v>
      </c>
      <c r="E185" s="352" t="s">
        <v>2508</v>
      </c>
      <c r="F185" s="357">
        <v>0.80347222222222225</v>
      </c>
      <c r="G185" s="358" t="s">
        <v>71</v>
      </c>
      <c r="H185" s="358" t="s">
        <v>71</v>
      </c>
      <c r="I185" s="358" t="s">
        <v>14</v>
      </c>
      <c r="J185" s="349" t="s">
        <v>2509</v>
      </c>
      <c r="K185" s="361"/>
      <c r="L185" s="104" t="s">
        <v>2465</v>
      </c>
      <c r="M185" s="111" t="s">
        <v>2466</v>
      </c>
    </row>
    <row r="186" spans="1:13" ht="15" customHeight="1">
      <c r="A186" s="52">
        <v>43275</v>
      </c>
      <c r="B186" s="351" t="s">
        <v>927</v>
      </c>
      <c r="C186" s="351" t="s">
        <v>2280</v>
      </c>
      <c r="D186" s="352" t="s">
        <v>2510</v>
      </c>
      <c r="E186" s="352" t="s">
        <v>2511</v>
      </c>
      <c r="F186" s="357">
        <v>0.72916666666666663</v>
      </c>
      <c r="G186" s="358" t="s">
        <v>14</v>
      </c>
      <c r="H186" s="358"/>
      <c r="I186" s="358"/>
      <c r="J186" s="349" t="str">
        <f>HYPERLINK("https://yadi.sk/i/zjdAjIK53YMr2b","https://yadi.sk/i/zjdAjIK53YMr2b")</f>
        <v>https://yadi.sk/i/zjdAjIK53YMr2b</v>
      </c>
      <c r="K186" s="361" t="s">
        <v>2512</v>
      </c>
      <c r="L186" s="104" t="s">
        <v>786</v>
      </c>
      <c r="M186" s="111" t="s">
        <v>146</v>
      </c>
    </row>
    <row r="187" spans="1:13" ht="15" customHeight="1">
      <c r="A187" s="52">
        <v>43275</v>
      </c>
      <c r="B187" s="351" t="s">
        <v>927</v>
      </c>
      <c r="C187" s="351" t="s">
        <v>1139</v>
      </c>
      <c r="D187" s="352" t="s">
        <v>1975</v>
      </c>
      <c r="E187" s="352" t="s">
        <v>2513</v>
      </c>
      <c r="F187" s="357">
        <v>0.7631944444444444</v>
      </c>
      <c r="G187" s="358" t="s">
        <v>14</v>
      </c>
      <c r="H187" s="358"/>
      <c r="I187" s="358"/>
      <c r="J187" s="349" t="str">
        <f>HYPERLINK("https://yadi.sk/i/Rj0FhMQt3YMr4U","https://yadi.sk/i/Rj0FhMQt3YMr4U")</f>
        <v>https://yadi.sk/i/Rj0FhMQt3YMr4U</v>
      </c>
      <c r="K187" s="361" t="s">
        <v>2514</v>
      </c>
      <c r="L187" s="104" t="s">
        <v>147</v>
      </c>
      <c r="M187" s="111" t="s">
        <v>788</v>
      </c>
    </row>
    <row r="188" spans="1:13" ht="15" customHeight="1">
      <c r="A188" s="52">
        <v>43275</v>
      </c>
      <c r="B188" s="351" t="s">
        <v>927</v>
      </c>
      <c r="C188" s="351" t="s">
        <v>2447</v>
      </c>
      <c r="D188" s="352" t="s">
        <v>1514</v>
      </c>
      <c r="E188" s="352" t="s">
        <v>2515</v>
      </c>
      <c r="F188" s="357">
        <v>0.80208333333333337</v>
      </c>
      <c r="G188" s="358" t="s">
        <v>71</v>
      </c>
      <c r="H188" s="358" t="s">
        <v>71</v>
      </c>
      <c r="I188" s="358" t="s">
        <v>71</v>
      </c>
      <c r="J188" s="349" t="str">
        <f>HYPERLINK("https://yadi.sk/d/4DkNhYEM3YMr64","https://yadi.sk/d/4DkNhYEM3YMr64")</f>
        <v>https://yadi.sk/d/4DkNhYEM3YMr64</v>
      </c>
      <c r="K188" s="361"/>
      <c r="L188" s="104" t="s">
        <v>786</v>
      </c>
      <c r="M188" s="111" t="s">
        <v>146</v>
      </c>
    </row>
    <row r="189" spans="1:13" ht="15" customHeight="1">
      <c r="A189" s="49">
        <v>43276</v>
      </c>
      <c r="B189" s="350" t="s">
        <v>2516</v>
      </c>
      <c r="C189" s="350" t="s">
        <v>91</v>
      </c>
      <c r="D189" s="353" t="s">
        <v>2517</v>
      </c>
      <c r="E189" s="353" t="s">
        <v>2518</v>
      </c>
      <c r="F189" s="355">
        <v>0.83333333333333337</v>
      </c>
      <c r="G189" s="356" t="s">
        <v>71</v>
      </c>
      <c r="H189" s="356" t="s">
        <v>71</v>
      </c>
      <c r="I189" s="356" t="s">
        <v>71</v>
      </c>
      <c r="J189" s="347" t="s">
        <v>2519</v>
      </c>
      <c r="K189" s="362" t="s">
        <v>2520</v>
      </c>
      <c r="L189" s="104" t="s">
        <v>87</v>
      </c>
      <c r="M189" s="111">
        <v>89159739231</v>
      </c>
    </row>
    <row r="190" spans="1:13" ht="15" customHeight="1">
      <c r="A190" s="49">
        <v>43276</v>
      </c>
      <c r="B190" s="351" t="s">
        <v>2516</v>
      </c>
      <c r="C190" s="351" t="s">
        <v>1595</v>
      </c>
      <c r="D190" s="352" t="s">
        <v>2517</v>
      </c>
      <c r="E190" s="352" t="s">
        <v>2521</v>
      </c>
      <c r="F190" s="357">
        <v>0.84375</v>
      </c>
      <c r="G190" s="358" t="s">
        <v>71</v>
      </c>
      <c r="H190" s="358" t="s">
        <v>71</v>
      </c>
      <c r="I190" s="358" t="s">
        <v>71</v>
      </c>
      <c r="J190" s="349" t="s">
        <v>2522</v>
      </c>
      <c r="K190" s="361"/>
      <c r="L190" s="104" t="s">
        <v>87</v>
      </c>
      <c r="M190" s="111">
        <v>89159739231</v>
      </c>
    </row>
    <row r="191" spans="1:13" ht="15" customHeight="1">
      <c r="A191" s="49">
        <v>43276</v>
      </c>
      <c r="B191" s="351" t="s">
        <v>2516</v>
      </c>
      <c r="C191" s="351" t="s">
        <v>1941</v>
      </c>
      <c r="D191" s="352" t="s">
        <v>2517</v>
      </c>
      <c r="E191" s="352" t="s">
        <v>2523</v>
      </c>
      <c r="F191" s="357">
        <v>0.82916666666666672</v>
      </c>
      <c r="G191" s="358" t="s">
        <v>71</v>
      </c>
      <c r="H191" s="358" t="s">
        <v>71</v>
      </c>
      <c r="I191" s="358" t="s">
        <v>71</v>
      </c>
      <c r="J191" s="349" t="s">
        <v>2524</v>
      </c>
      <c r="K191" s="361"/>
      <c r="L191" s="104" t="s">
        <v>87</v>
      </c>
      <c r="M191" s="111">
        <v>89159739231</v>
      </c>
    </row>
    <row r="192" spans="1:13" ht="15" customHeight="1">
      <c r="A192" s="49">
        <v>43276</v>
      </c>
      <c r="B192" s="351" t="s">
        <v>2516</v>
      </c>
      <c r="C192" s="351" t="s">
        <v>1852</v>
      </c>
      <c r="D192" s="352" t="s">
        <v>2517</v>
      </c>
      <c r="E192" s="352" t="s">
        <v>2525</v>
      </c>
      <c r="F192" s="357">
        <v>0.82013888888888886</v>
      </c>
      <c r="G192" s="358" t="s">
        <v>71</v>
      </c>
      <c r="H192" s="358" t="s">
        <v>71</v>
      </c>
      <c r="I192" s="358" t="s">
        <v>71</v>
      </c>
      <c r="J192" s="349" t="s">
        <v>2526</v>
      </c>
      <c r="K192" s="361"/>
      <c r="L192" s="104" t="s">
        <v>87</v>
      </c>
      <c r="M192" s="111">
        <v>89159739231</v>
      </c>
    </row>
    <row r="193" spans="1:13" ht="15" customHeight="1">
      <c r="A193" s="49">
        <v>43276</v>
      </c>
      <c r="B193" s="352" t="s">
        <v>203</v>
      </c>
      <c r="C193" s="352" t="s">
        <v>2082</v>
      </c>
      <c r="D193" s="352" t="s">
        <v>857</v>
      </c>
      <c r="E193" s="352" t="s">
        <v>2527</v>
      </c>
      <c r="F193" s="357">
        <v>0.81111111111111112</v>
      </c>
      <c r="G193" s="358" t="s">
        <v>71</v>
      </c>
      <c r="H193" s="358" t="s">
        <v>14</v>
      </c>
      <c r="I193" s="358" t="s">
        <v>71</v>
      </c>
      <c r="J193" s="349" t="s">
        <v>2528</v>
      </c>
      <c r="K193" s="361"/>
      <c r="L193" s="104" t="s">
        <v>1586</v>
      </c>
      <c r="M193" s="111">
        <v>89038450071</v>
      </c>
    </row>
    <row r="194" spans="1:13" ht="15" customHeight="1">
      <c r="A194" s="49">
        <v>43276</v>
      </c>
      <c r="B194" s="352" t="s">
        <v>203</v>
      </c>
      <c r="C194" s="352" t="s">
        <v>2581</v>
      </c>
      <c r="D194" s="352" t="s">
        <v>857</v>
      </c>
      <c r="E194" s="352" t="s">
        <v>2529</v>
      </c>
      <c r="F194" s="357">
        <v>0.8125</v>
      </c>
      <c r="G194" s="358" t="s">
        <v>71</v>
      </c>
      <c r="H194" s="358" t="s">
        <v>14</v>
      </c>
      <c r="I194" s="358" t="s">
        <v>71</v>
      </c>
      <c r="J194" s="349" t="s">
        <v>2530</v>
      </c>
      <c r="K194" s="361"/>
      <c r="L194" s="104" t="s">
        <v>1586</v>
      </c>
      <c r="M194" s="111">
        <v>89038450071</v>
      </c>
    </row>
    <row r="195" spans="1:13" ht="15" customHeight="1">
      <c r="A195" s="49">
        <v>43276</v>
      </c>
      <c r="B195" s="352" t="s">
        <v>203</v>
      </c>
      <c r="C195" s="352" t="s">
        <v>1088</v>
      </c>
      <c r="D195" s="352" t="s">
        <v>1233</v>
      </c>
      <c r="E195" s="352" t="s">
        <v>2531</v>
      </c>
      <c r="F195" s="357">
        <v>0.76944444444444449</v>
      </c>
      <c r="G195" s="358" t="s">
        <v>71</v>
      </c>
      <c r="H195" s="358" t="s">
        <v>71</v>
      </c>
      <c r="I195" s="358" t="s">
        <v>71</v>
      </c>
      <c r="J195" s="349" t="s">
        <v>2532</v>
      </c>
      <c r="K195" s="361"/>
      <c r="L195" s="104" t="s">
        <v>245</v>
      </c>
      <c r="M195" s="111" t="s">
        <v>246</v>
      </c>
    </row>
    <row r="196" spans="1:13" ht="15" customHeight="1">
      <c r="A196" s="49">
        <v>43276</v>
      </c>
      <c r="B196" s="352" t="s">
        <v>203</v>
      </c>
      <c r="C196" s="352" t="s">
        <v>2582</v>
      </c>
      <c r="D196" s="352" t="s">
        <v>2533</v>
      </c>
      <c r="E196" s="352" t="s">
        <v>2534</v>
      </c>
      <c r="F196" s="357">
        <v>0.78749999999999998</v>
      </c>
      <c r="G196" s="358" t="s">
        <v>71</v>
      </c>
      <c r="H196" s="358" t="s">
        <v>71</v>
      </c>
      <c r="I196" s="358" t="s">
        <v>71</v>
      </c>
      <c r="J196" s="349" t="s">
        <v>2535</v>
      </c>
      <c r="K196" s="361"/>
      <c r="L196" s="104" t="s">
        <v>611</v>
      </c>
      <c r="M196" s="111">
        <v>89585707077</v>
      </c>
    </row>
    <row r="197" spans="1:13" ht="15" customHeight="1">
      <c r="A197" s="49">
        <v>43276</v>
      </c>
      <c r="B197" s="352" t="s">
        <v>393</v>
      </c>
      <c r="C197" s="352" t="s">
        <v>1958</v>
      </c>
      <c r="D197" s="352" t="s">
        <v>186</v>
      </c>
      <c r="E197" s="352" t="s">
        <v>2536</v>
      </c>
      <c r="F197" s="357">
        <v>0.80555555555555558</v>
      </c>
      <c r="G197" s="358" t="s">
        <v>71</v>
      </c>
      <c r="H197" s="358" t="s">
        <v>14</v>
      </c>
      <c r="I197" s="358" t="s">
        <v>71</v>
      </c>
      <c r="J197" s="349" t="s">
        <v>2537</v>
      </c>
      <c r="K197" s="361"/>
      <c r="L197" s="104" t="s">
        <v>1817</v>
      </c>
      <c r="M197" s="111" t="s">
        <v>1818</v>
      </c>
    </row>
    <row r="198" spans="1:13" ht="15" customHeight="1">
      <c r="A198" s="49">
        <v>43276</v>
      </c>
      <c r="B198" s="352" t="s">
        <v>393</v>
      </c>
      <c r="C198" s="352" t="s">
        <v>2303</v>
      </c>
      <c r="D198" s="352" t="s">
        <v>186</v>
      </c>
      <c r="E198" s="352" t="s">
        <v>2536</v>
      </c>
      <c r="F198" s="357">
        <v>0.80694444444444446</v>
      </c>
      <c r="G198" s="358" t="s">
        <v>71</v>
      </c>
      <c r="H198" s="358" t="s">
        <v>14</v>
      </c>
      <c r="I198" s="358" t="s">
        <v>71</v>
      </c>
      <c r="J198" s="349" t="s">
        <v>2538</v>
      </c>
      <c r="K198" s="361"/>
      <c r="L198" s="104" t="s">
        <v>568</v>
      </c>
      <c r="M198" s="111" t="s">
        <v>569</v>
      </c>
    </row>
    <row r="199" spans="1:13" ht="15" customHeight="1">
      <c r="A199" s="49">
        <v>43276</v>
      </c>
      <c r="B199" s="352" t="s">
        <v>393</v>
      </c>
      <c r="C199" s="352" t="s">
        <v>2095</v>
      </c>
      <c r="D199" s="352" t="s">
        <v>186</v>
      </c>
      <c r="E199" s="352" t="s">
        <v>2539</v>
      </c>
      <c r="F199" s="357">
        <v>0.79722222222222228</v>
      </c>
      <c r="G199" s="358" t="s">
        <v>71</v>
      </c>
      <c r="H199" s="358" t="s">
        <v>14</v>
      </c>
      <c r="I199" s="358" t="s">
        <v>71</v>
      </c>
      <c r="J199" s="349" t="s">
        <v>2540</v>
      </c>
      <c r="K199" s="361"/>
      <c r="L199" s="104" t="s">
        <v>1817</v>
      </c>
      <c r="M199" s="111" t="s">
        <v>1818</v>
      </c>
    </row>
    <row r="200" spans="1:13" ht="15" customHeight="1">
      <c r="A200" s="49">
        <v>43276</v>
      </c>
      <c r="B200" s="352" t="s">
        <v>393</v>
      </c>
      <c r="C200" s="352" t="s">
        <v>2575</v>
      </c>
      <c r="D200" s="352" t="s">
        <v>186</v>
      </c>
      <c r="E200" s="352" t="s">
        <v>2541</v>
      </c>
      <c r="F200" s="357">
        <v>0.81597222222222221</v>
      </c>
      <c r="G200" s="358" t="s">
        <v>71</v>
      </c>
      <c r="H200" s="358" t="s">
        <v>71</v>
      </c>
      <c r="I200" s="358" t="s">
        <v>71</v>
      </c>
      <c r="J200" s="349" t="s">
        <v>2542</v>
      </c>
      <c r="K200" s="361"/>
      <c r="L200" s="104" t="s">
        <v>1817</v>
      </c>
      <c r="M200" s="111" t="s">
        <v>1818</v>
      </c>
    </row>
    <row r="201" spans="1:13" ht="15" customHeight="1">
      <c r="A201" s="49">
        <v>43276</v>
      </c>
      <c r="B201" s="352" t="s">
        <v>279</v>
      </c>
      <c r="C201" s="352" t="s">
        <v>2155</v>
      </c>
      <c r="D201" s="352" t="s">
        <v>2543</v>
      </c>
      <c r="E201" s="352" t="s">
        <v>2544</v>
      </c>
      <c r="F201" s="357">
        <v>0.83611111111111114</v>
      </c>
      <c r="G201" s="358" t="s">
        <v>71</v>
      </c>
      <c r="H201" s="358" t="s">
        <v>71</v>
      </c>
      <c r="I201" s="358" t="s">
        <v>71</v>
      </c>
      <c r="J201" s="349" t="s">
        <v>2545</v>
      </c>
      <c r="K201" s="361"/>
      <c r="L201" s="104" t="s">
        <v>1954</v>
      </c>
      <c r="M201" s="111">
        <v>89065071106</v>
      </c>
    </row>
    <row r="202" spans="1:13" ht="15" customHeight="1">
      <c r="A202" s="49">
        <v>43276</v>
      </c>
      <c r="B202" s="352" t="s">
        <v>279</v>
      </c>
      <c r="C202" s="352" t="s">
        <v>2585</v>
      </c>
      <c r="D202" s="352" t="s">
        <v>2543</v>
      </c>
      <c r="E202" s="352" t="s">
        <v>2546</v>
      </c>
      <c r="F202" s="357">
        <v>0.82847222222222228</v>
      </c>
      <c r="G202" s="358" t="s">
        <v>71</v>
      </c>
      <c r="H202" s="358" t="s">
        <v>71</v>
      </c>
      <c r="I202" s="358" t="s">
        <v>71</v>
      </c>
      <c r="J202" s="349" t="s">
        <v>2547</v>
      </c>
      <c r="K202" s="361"/>
      <c r="L202" s="104" t="s">
        <v>1954</v>
      </c>
      <c r="M202" s="111">
        <v>89065071106</v>
      </c>
    </row>
    <row r="203" spans="1:13" ht="15" customHeight="1">
      <c r="A203" s="49">
        <v>43276</v>
      </c>
      <c r="B203" s="352" t="s">
        <v>279</v>
      </c>
      <c r="C203" s="352" t="s">
        <v>2586</v>
      </c>
      <c r="D203" s="352" t="s">
        <v>2543</v>
      </c>
      <c r="E203" s="352" t="s">
        <v>2548</v>
      </c>
      <c r="F203" s="357">
        <v>0.84930555555555554</v>
      </c>
      <c r="G203" s="358" t="s">
        <v>71</v>
      </c>
      <c r="H203" s="358" t="s">
        <v>71</v>
      </c>
      <c r="I203" s="358" t="s">
        <v>71</v>
      </c>
      <c r="J203" s="349" t="s">
        <v>2549</v>
      </c>
      <c r="K203" s="361"/>
      <c r="L203" s="104" t="s">
        <v>2451</v>
      </c>
      <c r="M203" s="111">
        <v>89005804819</v>
      </c>
    </row>
    <row r="204" spans="1:13" ht="15" customHeight="1">
      <c r="A204" s="49">
        <v>43276</v>
      </c>
      <c r="B204" s="352" t="s">
        <v>279</v>
      </c>
      <c r="C204" s="352" t="s">
        <v>1141</v>
      </c>
      <c r="D204" s="352" t="s">
        <v>2543</v>
      </c>
      <c r="E204" s="352" t="s">
        <v>2550</v>
      </c>
      <c r="F204" s="357">
        <v>0.84583333333333333</v>
      </c>
      <c r="G204" s="358" t="s">
        <v>71</v>
      </c>
      <c r="H204" s="358" t="s">
        <v>71</v>
      </c>
      <c r="I204" s="358" t="s">
        <v>71</v>
      </c>
      <c r="J204" s="349" t="s">
        <v>2551</v>
      </c>
      <c r="K204" s="361"/>
      <c r="L204" s="104" t="s">
        <v>2451</v>
      </c>
      <c r="M204" s="111">
        <v>89005804819</v>
      </c>
    </row>
    <row r="205" spans="1:13" ht="15" customHeight="1">
      <c r="A205" s="49">
        <v>43276</v>
      </c>
      <c r="B205" s="352" t="s">
        <v>1106</v>
      </c>
      <c r="C205" s="352" t="s">
        <v>486</v>
      </c>
      <c r="D205" s="352" t="s">
        <v>544</v>
      </c>
      <c r="E205" s="352" t="s">
        <v>2552</v>
      </c>
      <c r="F205" s="357">
        <v>0.80486111111111114</v>
      </c>
      <c r="G205" s="358" t="s">
        <v>71</v>
      </c>
      <c r="H205" s="358" t="s">
        <v>71</v>
      </c>
      <c r="I205" s="358" t="s">
        <v>71</v>
      </c>
      <c r="J205" s="349" t="s">
        <v>2553</v>
      </c>
      <c r="K205" s="361"/>
      <c r="L205" s="104" t="s">
        <v>488</v>
      </c>
      <c r="M205" s="111">
        <v>89803020082</v>
      </c>
    </row>
    <row r="206" spans="1:13" ht="15" customHeight="1">
      <c r="A206" s="49">
        <v>43276</v>
      </c>
      <c r="B206" s="352" t="s">
        <v>1106</v>
      </c>
      <c r="C206" s="352" t="s">
        <v>2587</v>
      </c>
      <c r="D206" s="352" t="s">
        <v>544</v>
      </c>
      <c r="E206" s="352" t="s">
        <v>2554</v>
      </c>
      <c r="F206" s="357">
        <v>0.79861111111111116</v>
      </c>
      <c r="G206" s="358" t="s">
        <v>71</v>
      </c>
      <c r="H206" s="358" t="s">
        <v>71</v>
      </c>
      <c r="I206" s="358" t="s">
        <v>71</v>
      </c>
      <c r="J206" s="349" t="s">
        <v>2555</v>
      </c>
      <c r="K206" s="361"/>
      <c r="L206" s="104" t="s">
        <v>488</v>
      </c>
      <c r="M206" s="111">
        <v>89803020082</v>
      </c>
    </row>
    <row r="207" spans="1:13" ht="15" customHeight="1">
      <c r="A207" s="49">
        <v>43276</v>
      </c>
      <c r="B207" s="352" t="s">
        <v>1106</v>
      </c>
      <c r="C207" s="352" t="s">
        <v>1589</v>
      </c>
      <c r="D207" s="352" t="s">
        <v>427</v>
      </c>
      <c r="E207" s="352" t="s">
        <v>2556</v>
      </c>
      <c r="F207" s="357">
        <v>0.76111111111111107</v>
      </c>
      <c r="G207" s="358" t="s">
        <v>71</v>
      </c>
      <c r="H207" s="358" t="s">
        <v>71</v>
      </c>
      <c r="I207" s="358" t="s">
        <v>71</v>
      </c>
      <c r="J207" s="349" t="s">
        <v>2557</v>
      </c>
      <c r="K207" s="361"/>
      <c r="L207" s="104" t="s">
        <v>2281</v>
      </c>
      <c r="M207" s="111">
        <v>89605557819</v>
      </c>
    </row>
    <row r="208" spans="1:13" ht="15" customHeight="1">
      <c r="A208" s="49">
        <v>43276</v>
      </c>
      <c r="B208" s="352" t="s">
        <v>1106</v>
      </c>
      <c r="C208" s="352" t="s">
        <v>836</v>
      </c>
      <c r="D208" s="352" t="s">
        <v>2558</v>
      </c>
      <c r="E208" s="352" t="s">
        <v>2559</v>
      </c>
      <c r="F208" s="357">
        <v>0.74027777777777781</v>
      </c>
      <c r="G208" s="358" t="s">
        <v>71</v>
      </c>
      <c r="H208" s="358" t="s">
        <v>71</v>
      </c>
      <c r="I208" s="358" t="s">
        <v>71</v>
      </c>
      <c r="J208" s="349" t="s">
        <v>2560</v>
      </c>
      <c r="K208" s="361"/>
      <c r="L208" s="104" t="s">
        <v>488</v>
      </c>
      <c r="M208" s="111">
        <v>89803020082</v>
      </c>
    </row>
    <row r="209" spans="1:13" ht="15" customHeight="1">
      <c r="A209" s="52">
        <v>43277</v>
      </c>
      <c r="B209" s="350" t="s">
        <v>254</v>
      </c>
      <c r="C209" s="350" t="s">
        <v>2588</v>
      </c>
      <c r="D209" s="350" t="s">
        <v>113</v>
      </c>
      <c r="E209" s="353" t="s">
        <v>2561</v>
      </c>
      <c r="F209" s="355">
        <v>0.72916666666666663</v>
      </c>
      <c r="G209" s="356" t="s">
        <v>71</v>
      </c>
      <c r="H209" s="356" t="s">
        <v>71</v>
      </c>
      <c r="I209" s="356" t="s">
        <v>71</v>
      </c>
      <c r="J209" s="347" t="str">
        <f>HYPERLINK("https://yadi.sk/d/kGOsJYRt3YU5KF","https://yadi.sk/d/kGOsJYRt3YU5KF")</f>
        <v>https://yadi.sk/d/kGOsJYRt3YU5KF</v>
      </c>
      <c r="K209" s="359"/>
      <c r="L209" s="104" t="s">
        <v>575</v>
      </c>
      <c r="M209" s="111" t="s">
        <v>2591</v>
      </c>
    </row>
    <row r="210" spans="1:13" ht="15" customHeight="1">
      <c r="A210" s="52">
        <v>43277</v>
      </c>
      <c r="B210" s="351" t="s">
        <v>254</v>
      </c>
      <c r="C210" s="351" t="s">
        <v>2589</v>
      </c>
      <c r="D210" s="351" t="s">
        <v>1258</v>
      </c>
      <c r="E210" s="354" t="s">
        <v>2562</v>
      </c>
      <c r="F210" s="357">
        <v>0.77013888888888893</v>
      </c>
      <c r="G210" s="358" t="s">
        <v>71</v>
      </c>
      <c r="H210" s="358" t="s">
        <v>71</v>
      </c>
      <c r="I210" s="358" t="s">
        <v>71</v>
      </c>
      <c r="J210" s="349" t="str">
        <f>HYPERLINK("https://yadi.sk/d/us_LnOlq3YU5Hs","https://yadi.sk/d/us_LnOlq3YU5Hs")</f>
        <v>https://yadi.sk/d/us_LnOlq3YU5Hs</v>
      </c>
      <c r="K210" s="360"/>
      <c r="L210" s="104" t="s">
        <v>769</v>
      </c>
      <c r="M210" s="111" t="s">
        <v>770</v>
      </c>
    </row>
    <row r="211" spans="1:13" ht="15" customHeight="1">
      <c r="A211" s="52">
        <v>43277</v>
      </c>
      <c r="B211" s="351" t="s">
        <v>254</v>
      </c>
      <c r="C211" s="351" t="s">
        <v>2455</v>
      </c>
      <c r="D211" s="351" t="s">
        <v>1303</v>
      </c>
      <c r="E211" s="352" t="s">
        <v>2563</v>
      </c>
      <c r="F211" s="357">
        <v>0.79166666666666663</v>
      </c>
      <c r="G211" s="358" t="s">
        <v>71</v>
      </c>
      <c r="H211" s="358" t="s">
        <v>71</v>
      </c>
      <c r="I211" s="358" t="s">
        <v>71</v>
      </c>
      <c r="J211" s="349" t="str">
        <f>HYPERLINK("https://yadi.sk/d/jCnI58OW3YU5Ft","https://yadi.sk/d/jCnI58OW3YU5Ft")</f>
        <v>https://yadi.sk/d/jCnI58OW3YU5Ft</v>
      </c>
      <c r="K211" s="360"/>
      <c r="L211" s="104" t="s">
        <v>1254</v>
      </c>
      <c r="M211" s="111" t="s">
        <v>1255</v>
      </c>
    </row>
    <row r="212" spans="1:13" ht="15" customHeight="1">
      <c r="A212" s="52">
        <v>43277</v>
      </c>
      <c r="B212" s="351" t="s">
        <v>254</v>
      </c>
      <c r="C212" s="351" t="s">
        <v>2590</v>
      </c>
      <c r="D212" s="351" t="s">
        <v>1303</v>
      </c>
      <c r="E212" s="352" t="s">
        <v>2563</v>
      </c>
      <c r="F212" s="357">
        <v>0.79652777777777772</v>
      </c>
      <c r="G212" s="358" t="s">
        <v>71</v>
      </c>
      <c r="H212" s="358" t="s">
        <v>71</v>
      </c>
      <c r="I212" s="358" t="s">
        <v>71</v>
      </c>
      <c r="J212" s="349" t="str">
        <f>HYPERLINK("https://yadi.sk/d/tEXvzcNr3YU5EC","https://yadi.sk/d/tEXvzcNr3YU5EC")</f>
        <v>https://yadi.sk/d/tEXvzcNr3YU5EC</v>
      </c>
      <c r="K212" s="361"/>
      <c r="L212" s="104" t="s">
        <v>1254</v>
      </c>
      <c r="M212" s="111" t="s">
        <v>1255</v>
      </c>
    </row>
    <row r="213" spans="1:13" ht="15" customHeight="1">
      <c r="A213" s="52">
        <v>43277</v>
      </c>
      <c r="B213" s="351" t="s">
        <v>161</v>
      </c>
      <c r="C213" s="351" t="s">
        <v>2592</v>
      </c>
      <c r="D213" s="351" t="s">
        <v>1025</v>
      </c>
      <c r="E213" s="352" t="s">
        <v>2564</v>
      </c>
      <c r="F213" s="357">
        <v>0.77083333333333337</v>
      </c>
      <c r="G213" s="358" t="s">
        <v>71</v>
      </c>
      <c r="H213" s="358" t="s">
        <v>14</v>
      </c>
      <c r="I213" s="358" t="s">
        <v>71</v>
      </c>
      <c r="J213" s="349" t="str">
        <f>HYPERLINK("https://yadi.sk/d/0J1Xdl5q3YU6eh","https://yadi.sk/d/0J1Xdl5q3YU6eh")</f>
        <v>https://yadi.sk/d/0J1Xdl5q3YU6eh</v>
      </c>
      <c r="K213" s="361" t="s">
        <v>2565</v>
      </c>
      <c r="L213" s="104" t="s">
        <v>999</v>
      </c>
      <c r="M213" s="111">
        <v>89192648797</v>
      </c>
    </row>
    <row r="214" spans="1:13" ht="15" customHeight="1">
      <c r="A214" s="52">
        <v>43277</v>
      </c>
      <c r="B214" s="351" t="s">
        <v>161</v>
      </c>
      <c r="C214" s="351" t="s">
        <v>1001</v>
      </c>
      <c r="D214" s="354" t="s">
        <v>1025</v>
      </c>
      <c r="E214" s="352" t="s">
        <v>2566</v>
      </c>
      <c r="F214" s="357">
        <v>0.77222222222222225</v>
      </c>
      <c r="G214" s="358" t="s">
        <v>14</v>
      </c>
      <c r="H214" s="358"/>
      <c r="I214" s="358"/>
      <c r="J214" s="349" t="str">
        <f>HYPERLINK("https://yadi.sk/i/J1lhH7XZ3YU6gN","https://yadi.sk/i/J1lhH7XZ3YU6gN")</f>
        <v>https://yadi.sk/i/J1lhH7XZ3YU6gN</v>
      </c>
      <c r="K214" s="361" t="s">
        <v>2567</v>
      </c>
      <c r="L214" s="104" t="s">
        <v>999</v>
      </c>
      <c r="M214" s="111">
        <v>89192648797</v>
      </c>
    </row>
    <row r="215" spans="1:13" ht="15" customHeight="1">
      <c r="A215" s="52">
        <v>43277</v>
      </c>
      <c r="B215" s="351" t="s">
        <v>161</v>
      </c>
      <c r="C215" s="351" t="s">
        <v>1828</v>
      </c>
      <c r="D215" s="351" t="s">
        <v>1025</v>
      </c>
      <c r="E215" s="352" t="s">
        <v>2568</v>
      </c>
      <c r="F215" s="357">
        <v>0.78125</v>
      </c>
      <c r="G215" s="358" t="s">
        <v>71</v>
      </c>
      <c r="H215" s="358" t="s">
        <v>71</v>
      </c>
      <c r="I215" s="358" t="s">
        <v>71</v>
      </c>
      <c r="J215" s="349" t="str">
        <f>HYPERLINK("https://yadi.sk/d/9g1NxSmo3YU6hk","https://yadi.sk/d/9g1NxSmo3YU6hk")</f>
        <v>https://yadi.sk/d/9g1NxSmo3YU6hk</v>
      </c>
      <c r="K215" s="361"/>
      <c r="L215" s="104" t="s">
        <v>570</v>
      </c>
      <c r="M215" s="111">
        <v>89534771666</v>
      </c>
    </row>
    <row r="216" spans="1:13" ht="15" customHeight="1">
      <c r="A216" s="52">
        <v>43277</v>
      </c>
      <c r="B216" s="351" t="s">
        <v>161</v>
      </c>
      <c r="C216" s="351" t="s">
        <v>2593</v>
      </c>
      <c r="D216" s="351" t="s">
        <v>2569</v>
      </c>
      <c r="E216" s="352" t="s">
        <v>2570</v>
      </c>
      <c r="F216" s="357">
        <v>0.81944444444444442</v>
      </c>
      <c r="G216" s="358" t="s">
        <v>71</v>
      </c>
      <c r="H216" s="358" t="s">
        <v>71</v>
      </c>
      <c r="I216" s="358" t="s">
        <v>71</v>
      </c>
      <c r="J216" s="349" t="str">
        <f>HYPERLINK("https://yadi.sk/d/6TsIr6S83YU6kD","https://yadi.sk/d/6TsIr6S83YU6kD")</f>
        <v>https://yadi.sk/d/6TsIr6S83YU6kD</v>
      </c>
      <c r="K216" s="361"/>
      <c r="L216" s="104" t="s">
        <v>570</v>
      </c>
      <c r="M216" s="111">
        <v>89534771666</v>
      </c>
    </row>
    <row r="217" spans="1:13" ht="15" customHeight="1">
      <c r="A217" s="52">
        <v>43277</v>
      </c>
      <c r="B217" s="351" t="s">
        <v>24</v>
      </c>
      <c r="C217" s="351" t="s">
        <v>2594</v>
      </c>
      <c r="D217" s="351" t="s">
        <v>1684</v>
      </c>
      <c r="E217" s="352" t="s">
        <v>2571</v>
      </c>
      <c r="F217" s="357">
        <v>0.80972222222222223</v>
      </c>
      <c r="G217" s="358" t="s">
        <v>14</v>
      </c>
      <c r="H217" s="358"/>
      <c r="I217" s="358"/>
      <c r="J217" s="349" t="str">
        <f>HYPERLINK("https://yadi.sk/i/L9kZugKX3YU7Bh","https://yadi.sk/i/L9kZugKX3YU7Bh")</f>
        <v>https://yadi.sk/i/L9kZugKX3YU7Bh</v>
      </c>
      <c r="K217" s="361" t="s">
        <v>2572</v>
      </c>
      <c r="L217" s="104" t="s">
        <v>2598</v>
      </c>
      <c r="M217" s="111">
        <v>89513373292</v>
      </c>
    </row>
    <row r="218" spans="1:13" ht="15" customHeight="1">
      <c r="A218" s="52">
        <v>43277</v>
      </c>
      <c r="B218" s="351" t="s">
        <v>24</v>
      </c>
      <c r="C218" s="351" t="s">
        <v>2595</v>
      </c>
      <c r="D218" s="351" t="s">
        <v>1684</v>
      </c>
      <c r="E218" s="352" t="s">
        <v>2571</v>
      </c>
      <c r="F218" s="357">
        <v>0.80972222222222223</v>
      </c>
      <c r="G218" s="358" t="s">
        <v>14</v>
      </c>
      <c r="H218" s="358"/>
      <c r="I218" s="358"/>
      <c r="J218" s="349" t="str">
        <f t="shared" ref="J218:J220" si="0">HYPERLINK("https://yadi.sk/i/L9kZugKX3YU7Bh","https://yadi.sk/i/L9kZugKX3YU7Bh")</f>
        <v>https://yadi.sk/i/L9kZugKX3YU7Bh</v>
      </c>
      <c r="K218" s="360"/>
      <c r="L218" s="104" t="s">
        <v>2598</v>
      </c>
      <c r="M218" s="111">
        <v>89513373292</v>
      </c>
    </row>
    <row r="219" spans="1:13" ht="15" customHeight="1">
      <c r="A219" s="52">
        <v>43277</v>
      </c>
      <c r="B219" s="351" t="s">
        <v>24</v>
      </c>
      <c r="C219" s="351" t="s">
        <v>2596</v>
      </c>
      <c r="D219" s="351" t="s">
        <v>1684</v>
      </c>
      <c r="E219" s="352" t="s">
        <v>2571</v>
      </c>
      <c r="F219" s="357">
        <v>0.80972222222222223</v>
      </c>
      <c r="G219" s="358" t="s">
        <v>14</v>
      </c>
      <c r="H219" s="358"/>
      <c r="I219" s="358"/>
      <c r="J219" s="349" t="str">
        <f t="shared" si="0"/>
        <v>https://yadi.sk/i/L9kZugKX3YU7Bh</v>
      </c>
      <c r="K219" s="360"/>
      <c r="L219" s="104" t="s">
        <v>2598</v>
      </c>
      <c r="M219" s="111">
        <v>89513373292</v>
      </c>
    </row>
    <row r="220" spans="1:13" ht="15" customHeight="1">
      <c r="A220" s="52">
        <v>43277</v>
      </c>
      <c r="B220" s="351" t="s">
        <v>24</v>
      </c>
      <c r="C220" s="351" t="s">
        <v>2597</v>
      </c>
      <c r="D220" s="351" t="s">
        <v>1684</v>
      </c>
      <c r="E220" s="352" t="s">
        <v>2571</v>
      </c>
      <c r="F220" s="357">
        <v>0.80972222222222223</v>
      </c>
      <c r="G220" s="358" t="s">
        <v>14</v>
      </c>
      <c r="H220" s="358"/>
      <c r="I220" s="358"/>
      <c r="J220" s="349" t="str">
        <f t="shared" si="0"/>
        <v>https://yadi.sk/i/L9kZugKX3YU7Bh</v>
      </c>
      <c r="K220" s="360"/>
      <c r="L220" s="104" t="s">
        <v>2598</v>
      </c>
      <c r="M220" s="111">
        <v>89513373292</v>
      </c>
    </row>
  </sheetData>
  <autoFilter ref="A1:M220"/>
  <hyperlinks>
    <hyperlink ref="J2" r:id="rId1"/>
    <hyperlink ref="J8" r:id="rId2"/>
    <hyperlink ref="J9" r:id="rId3"/>
    <hyperlink ref="J10" r:id="rId4"/>
    <hyperlink ref="J11" r:id="rId5"/>
    <hyperlink ref="J26" r:id="rId6"/>
    <hyperlink ref="J27" r:id="rId7"/>
    <hyperlink ref="J28" r:id="rId8"/>
    <hyperlink ref="J29" r:id="rId9"/>
    <hyperlink ref="J30" r:id="rId10"/>
    <hyperlink ref="J31" r:id="rId11"/>
    <hyperlink ref="J32" r:id="rId12"/>
    <hyperlink ref="J33" r:id="rId13"/>
    <hyperlink ref="J34" r:id="rId14"/>
    <hyperlink ref="J35" r:id="rId15"/>
    <hyperlink ref="J36" r:id="rId16"/>
    <hyperlink ref="J37" r:id="rId17"/>
    <hyperlink ref="J38" r:id="rId18"/>
    <hyperlink ref="J39" r:id="rId19"/>
    <hyperlink ref="J40" r:id="rId20"/>
    <hyperlink ref="J41" r:id="rId21"/>
    <hyperlink ref="J71" r:id="rId22"/>
    <hyperlink ref="J72" r:id="rId23"/>
    <hyperlink ref="J73" r:id="rId24"/>
    <hyperlink ref="J74" r:id="rId25"/>
    <hyperlink ref="J75" r:id="rId26"/>
    <hyperlink ref="J76" r:id="rId27"/>
    <hyperlink ref="J77" r:id="rId28"/>
    <hyperlink ref="J78" r:id="rId29"/>
    <hyperlink ref="J79" r:id="rId30"/>
    <hyperlink ref="J80" r:id="rId31"/>
    <hyperlink ref="J81" r:id="rId32"/>
    <hyperlink ref="J82" r:id="rId33"/>
    <hyperlink ref="J88" r:id="rId34"/>
    <hyperlink ref="J89" r:id="rId35"/>
    <hyperlink ref="J90" r:id="rId36"/>
    <hyperlink ref="J91" r:id="rId37"/>
    <hyperlink ref="J92" r:id="rId38"/>
    <hyperlink ref="J93" r:id="rId39"/>
    <hyperlink ref="J94" r:id="rId40"/>
    <hyperlink ref="J95" r:id="rId41"/>
    <hyperlink ref="J100" r:id="rId42"/>
    <hyperlink ref="J101" r:id="rId43"/>
    <hyperlink ref="J102" r:id="rId44"/>
    <hyperlink ref="J103" r:id="rId45"/>
    <hyperlink ref="J111" r:id="rId46"/>
    <hyperlink ref="J112" r:id="rId47"/>
    <hyperlink ref="J113" r:id="rId48"/>
    <hyperlink ref="J114" r:id="rId49"/>
    <hyperlink ref="J127" r:id="rId50"/>
    <hyperlink ref="J128" r:id="rId51"/>
    <hyperlink ref="J129" r:id="rId52"/>
    <hyperlink ref="J130" r:id="rId53"/>
    <hyperlink ref="J131" r:id="rId54"/>
    <hyperlink ref="J132" r:id="rId55"/>
    <hyperlink ref="J133" r:id="rId56"/>
    <hyperlink ref="J134" r:id="rId57"/>
    <hyperlink ref="J135" r:id="rId58"/>
    <hyperlink ref="J136" r:id="rId59"/>
    <hyperlink ref="J137" r:id="rId60"/>
    <hyperlink ref="J138" r:id="rId61"/>
    <hyperlink ref="J139" r:id="rId62"/>
    <hyperlink ref="J140" r:id="rId63"/>
    <hyperlink ref="J141" r:id="rId64"/>
    <hyperlink ref="J142" r:id="rId65"/>
    <hyperlink ref="J143" r:id="rId66"/>
    <hyperlink ref="J144" r:id="rId67"/>
    <hyperlink ref="J145" r:id="rId68"/>
    <hyperlink ref="J146" r:id="rId69"/>
    <hyperlink ref="J147" r:id="rId70"/>
    <hyperlink ref="J148" r:id="rId71"/>
    <hyperlink ref="J149" r:id="rId72"/>
    <hyperlink ref="J150" r:id="rId73"/>
    <hyperlink ref="J151" r:id="rId74"/>
    <hyperlink ref="J152" r:id="rId75"/>
    <hyperlink ref="J153" r:id="rId76"/>
    <hyperlink ref="J154" r:id="rId77"/>
    <hyperlink ref="J155" r:id="rId78"/>
    <hyperlink ref="J156" r:id="rId79"/>
    <hyperlink ref="J157" r:id="rId80"/>
    <hyperlink ref="J158" r:id="rId81"/>
    <hyperlink ref="J159" r:id="rId82"/>
    <hyperlink ref="J160" r:id="rId83"/>
    <hyperlink ref="J161" r:id="rId84"/>
    <hyperlink ref="J162" r:id="rId85"/>
    <hyperlink ref="J163" r:id="rId86"/>
    <hyperlink ref="J164" r:id="rId87"/>
    <hyperlink ref="J165" r:id="rId88"/>
    <hyperlink ref="J166" r:id="rId89"/>
    <hyperlink ref="J167" r:id="rId90"/>
    <hyperlink ref="J168" r:id="rId91"/>
    <hyperlink ref="J169" r:id="rId92"/>
    <hyperlink ref="J170" r:id="rId93"/>
    <hyperlink ref="J171" r:id="rId94"/>
    <hyperlink ref="J172" r:id="rId95"/>
    <hyperlink ref="J173" r:id="rId96"/>
    <hyperlink ref="J174" r:id="rId97"/>
    <hyperlink ref="J175" r:id="rId98"/>
    <hyperlink ref="J176" r:id="rId99"/>
    <hyperlink ref="J177" r:id="rId100"/>
    <hyperlink ref="J178" r:id="rId101"/>
    <hyperlink ref="J179" r:id="rId102"/>
    <hyperlink ref="J180" r:id="rId103"/>
    <hyperlink ref="J181" r:id="rId104"/>
    <hyperlink ref="J182" r:id="rId105"/>
    <hyperlink ref="J183" r:id="rId106"/>
    <hyperlink ref="J185" r:id="rId107"/>
    <hyperlink ref="J189" r:id="rId108"/>
    <hyperlink ref="J190" r:id="rId109"/>
    <hyperlink ref="J191" r:id="rId110"/>
    <hyperlink ref="J192" r:id="rId111"/>
    <hyperlink ref="J193" r:id="rId112"/>
    <hyperlink ref="J194" r:id="rId113"/>
    <hyperlink ref="J195" r:id="rId114"/>
    <hyperlink ref="J196" r:id="rId115"/>
    <hyperlink ref="J197" r:id="rId116"/>
    <hyperlink ref="J198" r:id="rId117"/>
    <hyperlink ref="J199" r:id="rId118"/>
    <hyperlink ref="J200" r:id="rId119"/>
    <hyperlink ref="J201" r:id="rId120"/>
    <hyperlink ref="J202" r:id="rId121"/>
    <hyperlink ref="J203" r:id="rId122"/>
    <hyperlink ref="J204" r:id="rId123"/>
    <hyperlink ref="J205" r:id="rId124"/>
    <hyperlink ref="J206" r:id="rId125"/>
    <hyperlink ref="J207" r:id="rId126"/>
    <hyperlink ref="J208" r:id="rId127"/>
  </hyperlinks>
  <pageMargins left="0.7" right="0.7" top="0.75" bottom="0.75" header="0.3" footer="0.3"/>
  <pageSetup paperSize="9" orientation="portrait" r:id="rId12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22" zoomScale="80" zoomScaleNormal="80" workbookViewId="0">
      <selection activeCell="K69" sqref="K69"/>
    </sheetView>
  </sheetViews>
  <sheetFormatPr defaultRowHeight="12.75"/>
  <cols>
    <col min="1" max="1" width="26.7109375" customWidth="1"/>
    <col min="2" max="4" width="7" customWidth="1"/>
    <col min="5" max="7" width="7.5703125" customWidth="1"/>
    <col min="8" max="8" width="9" customWidth="1"/>
    <col min="9" max="9" width="8" bestFit="1" customWidth="1"/>
    <col min="10" max="14" width="7.7109375" bestFit="1" customWidth="1"/>
    <col min="15" max="18" width="8" bestFit="1" customWidth="1"/>
    <col min="19" max="19" width="26.140625" customWidth="1"/>
    <col min="20" max="20" width="2.5703125" customWidth="1"/>
    <col min="21" max="21" width="17.85546875" customWidth="1"/>
    <col min="22" max="22" width="33.140625" bestFit="1" customWidth="1"/>
    <col min="23" max="23" width="8.7109375" style="87" bestFit="1" customWidth="1"/>
    <col min="25" max="25" width="13.85546875" customWidth="1"/>
    <col min="26" max="26" width="12.140625" customWidth="1"/>
  </cols>
  <sheetData>
    <row r="1" spans="1:23" ht="13.5" thickBot="1"/>
    <row r="2" spans="1:23" ht="15.75" customHeight="1">
      <c r="A2" s="30" t="s">
        <v>6</v>
      </c>
      <c r="B2" s="28" t="s">
        <v>503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421" t="s">
        <v>1045</v>
      </c>
      <c r="U2" s="424" t="s">
        <v>1642</v>
      </c>
      <c r="V2" s="425"/>
      <c r="W2" s="426"/>
    </row>
    <row r="3" spans="1:23" ht="15.75" customHeight="1">
      <c r="A3" s="29" t="s">
        <v>502</v>
      </c>
      <c r="B3" s="33">
        <v>43253</v>
      </c>
      <c r="C3" s="33">
        <v>43254</v>
      </c>
      <c r="D3" s="33">
        <v>43255</v>
      </c>
      <c r="E3" s="33">
        <v>43258</v>
      </c>
      <c r="F3" s="33">
        <v>43259</v>
      </c>
      <c r="G3" s="33">
        <v>43260</v>
      </c>
      <c r="H3" s="33">
        <v>43262</v>
      </c>
      <c r="I3" s="33">
        <v>43264</v>
      </c>
      <c r="J3" s="33">
        <v>43265</v>
      </c>
      <c r="K3" s="33">
        <v>43266</v>
      </c>
      <c r="L3" s="33">
        <v>43268</v>
      </c>
      <c r="M3" s="33">
        <v>43269</v>
      </c>
      <c r="N3" s="33">
        <v>43271</v>
      </c>
      <c r="O3" s="33">
        <v>43272</v>
      </c>
      <c r="P3" s="33">
        <v>43275</v>
      </c>
      <c r="Q3" s="33">
        <v>43276</v>
      </c>
      <c r="R3" s="33">
        <v>43277</v>
      </c>
      <c r="S3" s="422"/>
      <c r="U3" s="427"/>
      <c r="V3" s="428"/>
      <c r="W3" s="429"/>
    </row>
    <row r="4" spans="1:23" ht="13.5" thickBot="1">
      <c r="A4" s="24" t="s">
        <v>11</v>
      </c>
      <c r="B4" s="191"/>
      <c r="C4" s="191"/>
      <c r="D4" s="191">
        <v>1</v>
      </c>
      <c r="E4" s="191">
        <v>1</v>
      </c>
      <c r="F4" s="191"/>
      <c r="G4" s="191"/>
      <c r="H4" s="191"/>
      <c r="I4" s="191"/>
      <c r="J4" s="191"/>
      <c r="K4" s="191">
        <v>2</v>
      </c>
      <c r="L4" s="191"/>
      <c r="M4" s="191"/>
      <c r="N4" s="191"/>
      <c r="O4" s="191"/>
      <c r="P4" s="26">
        <v>1</v>
      </c>
      <c r="Q4" s="26"/>
      <c r="R4" s="26"/>
      <c r="S4" s="87">
        <f t="shared" ref="S4:S20" si="0">SUM(B4:R4)</f>
        <v>5</v>
      </c>
      <c r="U4" s="252" t="s">
        <v>502</v>
      </c>
      <c r="V4" s="253" t="s">
        <v>1641</v>
      </c>
      <c r="W4" s="254" t="s">
        <v>665</v>
      </c>
    </row>
    <row r="5" spans="1:23">
      <c r="A5" s="24" t="s">
        <v>218</v>
      </c>
      <c r="B5" s="191"/>
      <c r="C5" s="191"/>
      <c r="D5" s="191">
        <v>4</v>
      </c>
      <c r="E5" s="191"/>
      <c r="F5" s="191"/>
      <c r="G5" s="191"/>
      <c r="H5" s="191">
        <v>4</v>
      </c>
      <c r="I5" s="191"/>
      <c r="J5" s="191"/>
      <c r="K5" s="191"/>
      <c r="L5" s="191">
        <v>4</v>
      </c>
      <c r="M5" s="191"/>
      <c r="N5" s="191"/>
      <c r="O5" s="191"/>
      <c r="P5" s="26"/>
      <c r="Q5" s="26">
        <v>4</v>
      </c>
      <c r="R5" s="174"/>
      <c r="S5" s="87">
        <f t="shared" si="0"/>
        <v>16</v>
      </c>
      <c r="U5" s="363" t="s">
        <v>130</v>
      </c>
      <c r="V5" s="364" t="s">
        <v>139</v>
      </c>
      <c r="W5" s="365">
        <v>2</v>
      </c>
    </row>
    <row r="6" spans="1:23">
      <c r="A6" s="24" t="s">
        <v>121</v>
      </c>
      <c r="B6" s="191"/>
      <c r="C6" s="191">
        <v>3</v>
      </c>
      <c r="D6" s="191"/>
      <c r="E6" s="191">
        <v>2</v>
      </c>
      <c r="F6" s="191"/>
      <c r="G6" s="191"/>
      <c r="H6" s="191"/>
      <c r="I6" s="191"/>
      <c r="J6" s="191"/>
      <c r="K6" s="191">
        <v>1</v>
      </c>
      <c r="L6" s="191"/>
      <c r="M6" s="191"/>
      <c r="N6" s="190"/>
      <c r="O6" s="190">
        <v>4</v>
      </c>
      <c r="S6" s="87">
        <f t="shared" si="0"/>
        <v>10</v>
      </c>
      <c r="U6" s="337" t="s">
        <v>203</v>
      </c>
      <c r="V6" s="104" t="s">
        <v>470</v>
      </c>
      <c r="W6" s="336">
        <v>2</v>
      </c>
    </row>
    <row r="7" spans="1:23">
      <c r="A7" s="24" t="s">
        <v>189</v>
      </c>
      <c r="B7" s="191"/>
      <c r="C7" s="191"/>
      <c r="D7" s="191"/>
      <c r="E7" s="191"/>
      <c r="F7" s="191"/>
      <c r="G7" s="191">
        <v>4</v>
      </c>
      <c r="H7" s="191"/>
      <c r="I7" s="191"/>
      <c r="J7" s="191">
        <v>4</v>
      </c>
      <c r="K7" s="191"/>
      <c r="L7" s="191"/>
      <c r="M7" s="191"/>
      <c r="N7" s="191">
        <v>3</v>
      </c>
      <c r="O7" s="191"/>
      <c r="P7" s="26"/>
      <c r="Q7" s="26"/>
      <c r="R7" s="26"/>
      <c r="S7" s="87">
        <f t="shared" si="0"/>
        <v>11</v>
      </c>
      <c r="U7" s="337" t="s">
        <v>121</v>
      </c>
      <c r="V7" s="111" t="s">
        <v>1044</v>
      </c>
      <c r="W7" s="336">
        <v>2</v>
      </c>
    </row>
    <row r="8" spans="1:23">
      <c r="A8" s="24" t="s">
        <v>310</v>
      </c>
      <c r="B8" s="191"/>
      <c r="C8" s="191">
        <v>3</v>
      </c>
      <c r="D8" s="191"/>
      <c r="E8" s="191">
        <v>3</v>
      </c>
      <c r="F8" s="191"/>
      <c r="G8" s="191"/>
      <c r="H8" s="191"/>
      <c r="I8" s="191">
        <v>4</v>
      </c>
      <c r="J8" s="191"/>
      <c r="K8" s="191"/>
      <c r="L8" s="191"/>
      <c r="M8" s="191"/>
      <c r="N8" s="191">
        <v>2</v>
      </c>
      <c r="O8" s="191"/>
      <c r="P8" s="26"/>
      <c r="Q8" s="26"/>
      <c r="R8" s="26"/>
      <c r="S8" s="87">
        <f t="shared" si="0"/>
        <v>12</v>
      </c>
      <c r="U8" s="338" t="s">
        <v>927</v>
      </c>
      <c r="V8" s="104" t="s">
        <v>147</v>
      </c>
      <c r="W8" s="336">
        <v>2</v>
      </c>
    </row>
    <row r="9" spans="1:23">
      <c r="A9" s="24" t="s">
        <v>279</v>
      </c>
      <c r="B9" s="191"/>
      <c r="C9" s="191"/>
      <c r="D9" s="191">
        <v>4</v>
      </c>
      <c r="E9" s="191"/>
      <c r="F9" s="191"/>
      <c r="G9" s="191"/>
      <c r="H9" s="191"/>
      <c r="I9" s="191"/>
      <c r="J9" s="191"/>
      <c r="K9" s="191">
        <v>0</v>
      </c>
      <c r="L9" s="191"/>
      <c r="M9" s="191">
        <v>3</v>
      </c>
      <c r="N9" s="191"/>
      <c r="O9" s="191"/>
      <c r="P9" s="26"/>
      <c r="Q9" s="26">
        <v>4</v>
      </c>
      <c r="R9" s="26"/>
      <c r="S9" s="87">
        <f t="shared" si="0"/>
        <v>11</v>
      </c>
      <c r="U9" s="339" t="s">
        <v>310</v>
      </c>
      <c r="V9" s="111" t="s">
        <v>2290</v>
      </c>
      <c r="W9" s="336">
        <v>2</v>
      </c>
    </row>
    <row r="10" spans="1:23">
      <c r="A10" s="24" t="s">
        <v>130</v>
      </c>
      <c r="B10" s="191"/>
      <c r="C10" s="191"/>
      <c r="D10" s="191"/>
      <c r="E10" s="191"/>
      <c r="F10" s="191"/>
      <c r="G10" s="191"/>
      <c r="H10" s="191">
        <v>4</v>
      </c>
      <c r="I10" s="191"/>
      <c r="J10" s="191"/>
      <c r="K10" s="191"/>
      <c r="L10" s="191">
        <v>0</v>
      </c>
      <c r="M10" s="191"/>
      <c r="N10" s="191">
        <v>3</v>
      </c>
      <c r="O10" s="191"/>
      <c r="P10" s="26">
        <v>1</v>
      </c>
      <c r="Q10" s="26"/>
      <c r="R10" s="174"/>
      <c r="S10" s="87">
        <f t="shared" si="0"/>
        <v>8</v>
      </c>
      <c r="U10" s="338" t="s">
        <v>927</v>
      </c>
      <c r="V10" s="111" t="s">
        <v>1293</v>
      </c>
      <c r="W10" s="336">
        <v>1</v>
      </c>
    </row>
    <row r="11" spans="1:23">
      <c r="A11" s="24" t="s">
        <v>24</v>
      </c>
      <c r="B11" s="191">
        <v>2</v>
      </c>
      <c r="C11" s="191"/>
      <c r="D11" s="191"/>
      <c r="E11" s="191"/>
      <c r="F11" s="191">
        <v>4</v>
      </c>
      <c r="G11" s="191"/>
      <c r="H11" s="191"/>
      <c r="I11" s="191"/>
      <c r="J11" s="191"/>
      <c r="K11" s="191">
        <v>1</v>
      </c>
      <c r="L11" s="191"/>
      <c r="M11" s="191"/>
      <c r="N11" s="191"/>
      <c r="O11" s="191"/>
      <c r="P11" s="26"/>
      <c r="Q11" s="26"/>
      <c r="R11" s="26">
        <v>0</v>
      </c>
      <c r="S11" s="87">
        <f t="shared" si="0"/>
        <v>7</v>
      </c>
      <c r="U11" s="335" t="s">
        <v>2493</v>
      </c>
      <c r="V11" s="104" t="s">
        <v>65</v>
      </c>
      <c r="W11" s="336">
        <v>1</v>
      </c>
    </row>
    <row r="12" spans="1:23">
      <c r="A12" s="24" t="s">
        <v>393</v>
      </c>
      <c r="B12" s="191"/>
      <c r="C12" s="191"/>
      <c r="D12" s="191">
        <v>2</v>
      </c>
      <c r="E12" s="191"/>
      <c r="F12" s="191"/>
      <c r="G12" s="191">
        <v>1</v>
      </c>
      <c r="H12" s="191"/>
      <c r="I12" s="191"/>
      <c r="J12" s="191"/>
      <c r="K12" s="191"/>
      <c r="L12" s="191"/>
      <c r="M12" s="191">
        <v>3</v>
      </c>
      <c r="N12" s="191"/>
      <c r="O12" s="191"/>
      <c r="P12" s="26"/>
      <c r="Q12" s="26">
        <v>4</v>
      </c>
      <c r="R12" s="26"/>
      <c r="S12" s="87">
        <f t="shared" si="0"/>
        <v>10</v>
      </c>
      <c r="U12" s="335" t="s">
        <v>34</v>
      </c>
      <c r="V12" s="104" t="s">
        <v>797</v>
      </c>
      <c r="W12" s="336">
        <v>1</v>
      </c>
    </row>
    <row r="13" spans="1:23">
      <c r="A13" s="24" t="s">
        <v>161</v>
      </c>
      <c r="B13" s="191"/>
      <c r="C13" s="191"/>
      <c r="D13" s="191">
        <v>2</v>
      </c>
      <c r="E13" s="191"/>
      <c r="F13" s="191"/>
      <c r="G13" s="191"/>
      <c r="H13" s="191"/>
      <c r="I13" s="191"/>
      <c r="J13" s="191"/>
      <c r="K13" s="191"/>
      <c r="L13" s="191"/>
      <c r="M13" s="191">
        <v>2</v>
      </c>
      <c r="N13" s="191"/>
      <c r="O13" s="191"/>
      <c r="P13" s="26"/>
      <c r="Q13" s="26"/>
      <c r="R13" s="26">
        <v>3</v>
      </c>
      <c r="S13" s="87">
        <f t="shared" si="0"/>
        <v>7</v>
      </c>
      <c r="U13" s="339" t="s">
        <v>121</v>
      </c>
      <c r="V13" s="104" t="s">
        <v>151</v>
      </c>
      <c r="W13" s="336">
        <v>1</v>
      </c>
    </row>
    <row r="14" spans="1:23">
      <c r="A14" s="24" t="s">
        <v>34</v>
      </c>
      <c r="B14" s="191"/>
      <c r="C14" s="191"/>
      <c r="D14" s="191"/>
      <c r="E14" s="191"/>
      <c r="F14" s="191">
        <v>3</v>
      </c>
      <c r="G14" s="191"/>
      <c r="H14" s="191"/>
      <c r="I14" s="191"/>
      <c r="J14" s="191"/>
      <c r="K14" s="191">
        <v>4</v>
      </c>
      <c r="L14" s="191"/>
      <c r="M14" s="191"/>
      <c r="N14" s="191"/>
      <c r="O14" s="191">
        <v>2</v>
      </c>
      <c r="P14" s="26"/>
      <c r="Q14" s="26"/>
      <c r="R14" s="186"/>
      <c r="S14" s="87">
        <f t="shared" si="0"/>
        <v>9</v>
      </c>
      <c r="U14" s="340" t="s">
        <v>24</v>
      </c>
      <c r="V14" s="102" t="s">
        <v>2598</v>
      </c>
      <c r="W14" s="341">
        <v>1</v>
      </c>
    </row>
    <row r="15" spans="1:23">
      <c r="A15" s="24" t="s">
        <v>174</v>
      </c>
      <c r="B15" s="191">
        <v>3</v>
      </c>
      <c r="C15" s="191"/>
      <c r="D15" s="191"/>
      <c r="E15" s="191">
        <v>4</v>
      </c>
      <c r="F15" s="191"/>
      <c r="G15" s="191"/>
      <c r="H15" s="191"/>
      <c r="I15" s="191"/>
      <c r="J15" s="191">
        <v>4</v>
      </c>
      <c r="K15" s="191"/>
      <c r="L15" s="191"/>
      <c r="M15" s="191"/>
      <c r="N15" s="191"/>
      <c r="O15" s="191">
        <v>4</v>
      </c>
      <c r="P15" s="26"/>
      <c r="Q15" s="26"/>
      <c r="R15" s="26"/>
      <c r="S15" s="87">
        <f t="shared" si="0"/>
        <v>15</v>
      </c>
      <c r="U15" s="342" t="s">
        <v>203</v>
      </c>
      <c r="V15" s="104" t="s">
        <v>245</v>
      </c>
      <c r="W15" s="336">
        <v>1</v>
      </c>
    </row>
    <row r="16" spans="1:23">
      <c r="A16" s="24" t="s">
        <v>97</v>
      </c>
      <c r="B16" s="191"/>
      <c r="C16" s="191">
        <v>4</v>
      </c>
      <c r="D16" s="191"/>
      <c r="E16" s="191"/>
      <c r="F16" s="191">
        <v>4</v>
      </c>
      <c r="G16" s="191"/>
      <c r="H16" s="191"/>
      <c r="I16" s="191">
        <v>3</v>
      </c>
      <c r="J16" s="191"/>
      <c r="K16" s="191"/>
      <c r="L16" s="191"/>
      <c r="M16" s="191"/>
      <c r="N16" s="191">
        <v>4</v>
      </c>
      <c r="O16" s="191"/>
      <c r="P16" s="26"/>
      <c r="Q16" s="26"/>
      <c r="R16" s="26"/>
      <c r="S16" s="87">
        <f t="shared" si="0"/>
        <v>15</v>
      </c>
      <c r="U16" s="337" t="s">
        <v>927</v>
      </c>
      <c r="V16" s="104" t="s">
        <v>786</v>
      </c>
      <c r="W16" s="336">
        <v>1</v>
      </c>
    </row>
    <row r="17" spans="1:23">
      <c r="A17" s="24" t="s">
        <v>254</v>
      </c>
      <c r="B17" s="190"/>
      <c r="C17" s="190"/>
      <c r="D17" s="190">
        <v>2</v>
      </c>
      <c r="E17" s="190"/>
      <c r="F17" s="190"/>
      <c r="G17" s="190"/>
      <c r="H17" s="190">
        <v>3</v>
      </c>
      <c r="I17" s="190"/>
      <c r="J17" s="190"/>
      <c r="K17" s="190"/>
      <c r="L17" s="190"/>
      <c r="M17" s="190">
        <v>4</v>
      </c>
      <c r="N17" s="190"/>
      <c r="O17" s="190"/>
      <c r="R17">
        <v>4</v>
      </c>
      <c r="S17" s="87">
        <f t="shared" si="0"/>
        <v>13</v>
      </c>
      <c r="U17" s="337" t="s">
        <v>393</v>
      </c>
      <c r="V17" s="111" t="s">
        <v>568</v>
      </c>
      <c r="W17" s="336">
        <v>1</v>
      </c>
    </row>
    <row r="18" spans="1:23">
      <c r="A18" s="24" t="s">
        <v>203</v>
      </c>
      <c r="B18" s="191"/>
      <c r="C18" s="191"/>
      <c r="D18" s="191">
        <v>1</v>
      </c>
      <c r="E18" s="191"/>
      <c r="F18" s="191">
        <v>4</v>
      </c>
      <c r="G18" s="191">
        <v>1</v>
      </c>
      <c r="H18" s="191"/>
      <c r="I18" s="191"/>
      <c r="J18" s="191">
        <v>3</v>
      </c>
      <c r="K18" s="191"/>
      <c r="L18" s="191">
        <v>1</v>
      </c>
      <c r="M18" s="191"/>
      <c r="N18" s="191"/>
      <c r="O18" s="191">
        <v>1</v>
      </c>
      <c r="P18" s="26"/>
      <c r="Q18" s="26">
        <v>4</v>
      </c>
      <c r="R18" s="26"/>
      <c r="S18" s="87">
        <f t="shared" si="0"/>
        <v>15</v>
      </c>
      <c r="U18" s="337" t="s">
        <v>161</v>
      </c>
      <c r="V18" s="104" t="s">
        <v>570</v>
      </c>
      <c r="W18" s="336">
        <v>1</v>
      </c>
    </row>
    <row r="19" spans="1:23">
      <c r="A19" s="24" t="s">
        <v>68</v>
      </c>
      <c r="B19" s="191"/>
      <c r="C19" s="191"/>
      <c r="D19" s="191">
        <v>4</v>
      </c>
      <c r="E19" s="191"/>
      <c r="F19" s="191"/>
      <c r="G19" s="191"/>
      <c r="H19" s="191"/>
      <c r="I19" s="191"/>
      <c r="J19" s="191"/>
      <c r="K19" s="191"/>
      <c r="L19" s="191"/>
      <c r="M19" s="191"/>
      <c r="N19" s="191">
        <v>4</v>
      </c>
      <c r="O19" s="191"/>
      <c r="P19" s="26"/>
      <c r="Q19" s="26">
        <v>4</v>
      </c>
      <c r="R19" s="26"/>
      <c r="S19" s="87">
        <f t="shared" si="0"/>
        <v>12</v>
      </c>
      <c r="U19" s="338" t="s">
        <v>254</v>
      </c>
      <c r="V19" s="111" t="s">
        <v>2102</v>
      </c>
      <c r="W19" s="336">
        <v>1</v>
      </c>
    </row>
    <row r="20" spans="1:23">
      <c r="A20" s="25" t="s">
        <v>500</v>
      </c>
      <c r="B20" s="27">
        <f>SUM(B4:B19)</f>
        <v>5</v>
      </c>
      <c r="C20" s="27">
        <f t="shared" ref="C20:R20" si="1">SUM(C4:C19)</f>
        <v>10</v>
      </c>
      <c r="D20" s="27">
        <f t="shared" si="1"/>
        <v>20</v>
      </c>
      <c r="E20" s="27">
        <f>SUM(E4:E19)</f>
        <v>10</v>
      </c>
      <c r="F20" s="27">
        <f>SUM(F4:F19)</f>
        <v>15</v>
      </c>
      <c r="G20" s="27">
        <f t="shared" si="1"/>
        <v>6</v>
      </c>
      <c r="H20" s="27">
        <f t="shared" si="1"/>
        <v>11</v>
      </c>
      <c r="I20" s="27">
        <f t="shared" si="1"/>
        <v>7</v>
      </c>
      <c r="J20" s="27">
        <f t="shared" si="1"/>
        <v>11</v>
      </c>
      <c r="K20" s="27">
        <f t="shared" si="1"/>
        <v>8</v>
      </c>
      <c r="L20" s="27">
        <f t="shared" si="1"/>
        <v>5</v>
      </c>
      <c r="M20" s="27">
        <f t="shared" si="1"/>
        <v>12</v>
      </c>
      <c r="N20" s="27">
        <f t="shared" si="1"/>
        <v>16</v>
      </c>
      <c r="O20" s="27">
        <f t="shared" si="1"/>
        <v>11</v>
      </c>
      <c r="P20" s="27">
        <f t="shared" si="1"/>
        <v>2</v>
      </c>
      <c r="Q20" s="27">
        <f t="shared" si="1"/>
        <v>20</v>
      </c>
      <c r="R20" s="27">
        <f t="shared" si="1"/>
        <v>7</v>
      </c>
      <c r="S20" s="27">
        <f t="shared" si="0"/>
        <v>176</v>
      </c>
      <c r="U20" s="339" t="s">
        <v>189</v>
      </c>
      <c r="V20" s="111" t="s">
        <v>1242</v>
      </c>
      <c r="W20" s="336">
        <v>1</v>
      </c>
    </row>
    <row r="21" spans="1:23">
      <c r="U21" s="342" t="s">
        <v>310</v>
      </c>
      <c r="V21" s="111" t="s">
        <v>341</v>
      </c>
      <c r="W21" s="336">
        <v>1</v>
      </c>
    </row>
    <row r="22" spans="1:23">
      <c r="A22" s="30" t="s">
        <v>504</v>
      </c>
      <c r="B22" s="28" t="s">
        <v>503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421" t="s">
        <v>501</v>
      </c>
      <c r="U22" s="342" t="s">
        <v>279</v>
      </c>
      <c r="V22" s="111" t="s">
        <v>2451</v>
      </c>
      <c r="W22" s="336">
        <v>1</v>
      </c>
    </row>
    <row r="23" spans="1:23">
      <c r="A23" s="29" t="s">
        <v>502</v>
      </c>
      <c r="B23" s="33">
        <v>43253</v>
      </c>
      <c r="C23" s="33">
        <v>43254</v>
      </c>
      <c r="D23" s="33">
        <v>43255</v>
      </c>
      <c r="E23" s="33">
        <v>43258</v>
      </c>
      <c r="F23" s="33">
        <v>43259</v>
      </c>
      <c r="G23" s="33">
        <v>43260</v>
      </c>
      <c r="H23" s="33">
        <v>43262</v>
      </c>
      <c r="I23" s="33">
        <v>43264</v>
      </c>
      <c r="J23" s="33">
        <v>43265</v>
      </c>
      <c r="K23" s="33">
        <v>43266</v>
      </c>
      <c r="L23" s="33">
        <v>43268</v>
      </c>
      <c r="M23" s="33">
        <v>43269</v>
      </c>
      <c r="N23" s="33">
        <v>43271</v>
      </c>
      <c r="O23" s="33">
        <v>43272</v>
      </c>
      <c r="P23" s="33">
        <v>43275</v>
      </c>
      <c r="Q23" s="33">
        <v>43276</v>
      </c>
      <c r="R23" s="33">
        <v>43277</v>
      </c>
      <c r="S23" s="422"/>
      <c r="U23" s="339" t="s">
        <v>97</v>
      </c>
      <c r="V23" s="104" t="s">
        <v>142</v>
      </c>
      <c r="W23" s="336">
        <v>1</v>
      </c>
    </row>
    <row r="24" spans="1:23">
      <c r="A24" s="24" t="s">
        <v>11</v>
      </c>
      <c r="B24" s="191"/>
      <c r="C24" s="191"/>
      <c r="D24" s="191">
        <v>2</v>
      </c>
      <c r="E24" s="191">
        <v>1</v>
      </c>
      <c r="F24" s="191"/>
      <c r="G24" s="191"/>
      <c r="H24" s="191"/>
      <c r="I24" s="191"/>
      <c r="J24" s="191"/>
      <c r="K24" s="191">
        <v>3</v>
      </c>
      <c r="L24" s="191"/>
      <c r="M24" s="191"/>
      <c r="N24" s="191"/>
      <c r="O24" s="191"/>
      <c r="P24" s="26">
        <v>3</v>
      </c>
      <c r="Q24" s="26"/>
      <c r="R24" s="26"/>
      <c r="S24" s="177">
        <f t="shared" ref="S24:S40" si="2">SUM(B24:R24)</f>
        <v>9</v>
      </c>
      <c r="U24" s="366" t="s">
        <v>189</v>
      </c>
      <c r="V24" s="104" t="s">
        <v>249</v>
      </c>
      <c r="W24" s="336">
        <v>1</v>
      </c>
    </row>
    <row r="25" spans="1:23">
      <c r="A25" s="24" t="s">
        <v>218</v>
      </c>
      <c r="B25" s="190"/>
      <c r="C25" s="190"/>
      <c r="D25" s="190">
        <v>4</v>
      </c>
      <c r="E25" s="190"/>
      <c r="F25" s="190"/>
      <c r="G25" s="190"/>
      <c r="H25" s="190">
        <v>4</v>
      </c>
      <c r="I25" s="190"/>
      <c r="J25" s="190"/>
      <c r="K25" s="190"/>
      <c r="L25" s="190">
        <v>4</v>
      </c>
      <c r="M25" s="190"/>
      <c r="N25" s="190"/>
      <c r="O25" s="190"/>
      <c r="Q25">
        <v>4</v>
      </c>
      <c r="R25" s="175"/>
      <c r="S25" s="177">
        <f t="shared" si="2"/>
        <v>16</v>
      </c>
      <c r="U25" s="337" t="s">
        <v>2475</v>
      </c>
      <c r="V25" s="111" t="s">
        <v>1826</v>
      </c>
      <c r="W25" s="336">
        <v>1</v>
      </c>
    </row>
    <row r="26" spans="1:23">
      <c r="A26" s="24" t="s">
        <v>121</v>
      </c>
      <c r="B26" s="190"/>
      <c r="C26" s="190">
        <v>4</v>
      </c>
      <c r="D26" s="190"/>
      <c r="E26" s="190">
        <v>4</v>
      </c>
      <c r="F26" s="190"/>
      <c r="G26" s="190"/>
      <c r="H26" s="190"/>
      <c r="I26" s="190"/>
      <c r="J26" s="190"/>
      <c r="K26" s="190">
        <v>4</v>
      </c>
      <c r="L26" s="190"/>
      <c r="M26" s="190"/>
      <c r="N26" s="190"/>
      <c r="O26" s="190">
        <v>4</v>
      </c>
      <c r="S26" s="177">
        <f t="shared" si="2"/>
        <v>16</v>
      </c>
      <c r="U26" s="339" t="s">
        <v>130</v>
      </c>
      <c r="V26" s="111" t="s">
        <v>2465</v>
      </c>
      <c r="W26" s="336">
        <v>1</v>
      </c>
    </row>
    <row r="27" spans="1:23">
      <c r="A27" s="24" t="s">
        <v>189</v>
      </c>
      <c r="B27" s="190">
        <v>1</v>
      </c>
      <c r="C27" s="190"/>
      <c r="D27" s="190"/>
      <c r="E27" s="190"/>
      <c r="F27" s="190"/>
      <c r="G27" s="190">
        <v>4</v>
      </c>
      <c r="H27" s="190"/>
      <c r="I27" s="190"/>
      <c r="J27" s="190">
        <v>4</v>
      </c>
      <c r="K27" s="190"/>
      <c r="L27" s="190"/>
      <c r="M27" s="190"/>
      <c r="N27" s="190">
        <v>4</v>
      </c>
      <c r="O27" s="190"/>
      <c r="S27" s="177">
        <f t="shared" si="2"/>
        <v>13</v>
      </c>
      <c r="U27" s="339" t="s">
        <v>161</v>
      </c>
      <c r="V27" s="104" t="s">
        <v>999</v>
      </c>
      <c r="W27" s="336">
        <v>1</v>
      </c>
    </row>
    <row r="28" spans="1:23">
      <c r="A28" s="24" t="s">
        <v>310</v>
      </c>
      <c r="B28" s="190"/>
      <c r="C28" s="190">
        <v>4</v>
      </c>
      <c r="D28" s="190"/>
      <c r="E28" s="190">
        <v>4</v>
      </c>
      <c r="F28" s="190"/>
      <c r="G28" s="190"/>
      <c r="H28" s="190"/>
      <c r="I28" s="190">
        <v>4</v>
      </c>
      <c r="J28" s="190"/>
      <c r="K28" s="190"/>
      <c r="L28" s="190"/>
      <c r="M28" s="190"/>
      <c r="N28" s="190">
        <v>4</v>
      </c>
      <c r="O28" s="190"/>
      <c r="S28" s="177">
        <f t="shared" si="2"/>
        <v>16</v>
      </c>
      <c r="U28" s="337" t="s">
        <v>393</v>
      </c>
      <c r="V28" s="104" t="s">
        <v>1817</v>
      </c>
      <c r="W28" s="336">
        <v>1</v>
      </c>
    </row>
    <row r="29" spans="1:23" ht="13.5" thickBot="1">
      <c r="A29" s="24" t="s">
        <v>279</v>
      </c>
      <c r="B29" s="190"/>
      <c r="C29" s="190"/>
      <c r="D29" s="190">
        <v>4</v>
      </c>
      <c r="E29" s="190"/>
      <c r="F29" s="190"/>
      <c r="G29" s="190"/>
      <c r="H29" s="190"/>
      <c r="I29" s="190"/>
      <c r="J29" s="190"/>
      <c r="K29" s="190">
        <v>4</v>
      </c>
      <c r="L29" s="190"/>
      <c r="M29" s="190">
        <v>4</v>
      </c>
      <c r="N29" s="190"/>
      <c r="O29" s="190"/>
      <c r="Q29">
        <v>4</v>
      </c>
      <c r="S29" s="177">
        <f t="shared" si="2"/>
        <v>16</v>
      </c>
      <c r="U29" s="343" t="s">
        <v>1900</v>
      </c>
      <c r="V29" s="344" t="s">
        <v>1840</v>
      </c>
      <c r="W29" s="345">
        <v>1</v>
      </c>
    </row>
    <row r="30" spans="1:23">
      <c r="A30" s="24" t="s">
        <v>130</v>
      </c>
      <c r="B30" s="190"/>
      <c r="C30" s="190"/>
      <c r="D30" s="190"/>
      <c r="E30" s="190"/>
      <c r="F30" s="190"/>
      <c r="G30" s="190"/>
      <c r="H30" s="190">
        <v>4</v>
      </c>
      <c r="I30" s="190"/>
      <c r="J30" s="190"/>
      <c r="K30" s="190"/>
      <c r="L30" s="190">
        <v>4</v>
      </c>
      <c r="M30" s="190"/>
      <c r="N30" s="190">
        <v>4</v>
      </c>
      <c r="O30" s="190"/>
      <c r="P30">
        <v>4</v>
      </c>
      <c r="R30" s="175"/>
      <c r="S30" s="177">
        <f t="shared" si="2"/>
        <v>16</v>
      </c>
      <c r="U30" s="67"/>
      <c r="V30" s="67"/>
      <c r="W30" s="314"/>
    </row>
    <row r="31" spans="1:23">
      <c r="A31" s="24" t="s">
        <v>24</v>
      </c>
      <c r="B31" s="190">
        <v>2</v>
      </c>
      <c r="C31" s="190"/>
      <c r="D31" s="190"/>
      <c r="E31" s="190"/>
      <c r="F31" s="190">
        <v>4</v>
      </c>
      <c r="G31" s="190"/>
      <c r="H31" s="190"/>
      <c r="I31" s="190"/>
      <c r="J31" s="190">
        <v>4</v>
      </c>
      <c r="K31" s="190">
        <v>1</v>
      </c>
      <c r="L31" s="190"/>
      <c r="M31" s="190"/>
      <c r="N31" s="190"/>
      <c r="O31" s="190"/>
      <c r="R31">
        <v>4</v>
      </c>
      <c r="S31" s="177">
        <f t="shared" si="2"/>
        <v>15</v>
      </c>
      <c r="U31" s="67"/>
      <c r="V31" s="67"/>
      <c r="W31" s="314"/>
    </row>
    <row r="32" spans="1:23">
      <c r="A32" s="24" t="s">
        <v>393</v>
      </c>
      <c r="B32" s="190"/>
      <c r="C32" s="190"/>
      <c r="D32" s="190">
        <v>4</v>
      </c>
      <c r="E32" s="190"/>
      <c r="F32" s="190"/>
      <c r="G32" s="190">
        <v>2</v>
      </c>
      <c r="H32" s="190"/>
      <c r="I32" s="190"/>
      <c r="J32" s="190"/>
      <c r="K32" s="190"/>
      <c r="L32" s="190"/>
      <c r="M32" s="190">
        <v>3</v>
      </c>
      <c r="N32" s="190"/>
      <c r="O32" s="190"/>
      <c r="Q32">
        <v>4</v>
      </c>
      <c r="S32" s="177">
        <f t="shared" si="2"/>
        <v>13</v>
      </c>
      <c r="U32" s="67"/>
      <c r="V32" s="67"/>
      <c r="W32" s="314"/>
    </row>
    <row r="33" spans="1:26">
      <c r="A33" s="20" t="s">
        <v>161</v>
      </c>
      <c r="B33" s="190"/>
      <c r="C33" s="190"/>
      <c r="D33" s="190">
        <v>2</v>
      </c>
      <c r="E33" s="190"/>
      <c r="F33" s="190"/>
      <c r="G33" s="190"/>
      <c r="H33" s="190">
        <v>1</v>
      </c>
      <c r="I33" s="190"/>
      <c r="J33" s="190"/>
      <c r="K33" s="190"/>
      <c r="L33" s="190"/>
      <c r="M33" s="190">
        <v>2</v>
      </c>
      <c r="N33" s="190"/>
      <c r="O33" s="190"/>
      <c r="R33">
        <v>4</v>
      </c>
      <c r="S33" s="177">
        <f t="shared" si="2"/>
        <v>9</v>
      </c>
      <c r="U33" s="67"/>
      <c r="V33" s="67"/>
      <c r="W33" s="85"/>
    </row>
    <row r="34" spans="1:26">
      <c r="A34" s="24" t="s">
        <v>34</v>
      </c>
      <c r="B34" s="190"/>
      <c r="C34" s="190"/>
      <c r="D34" s="190"/>
      <c r="E34" s="190"/>
      <c r="F34" s="190">
        <v>4</v>
      </c>
      <c r="G34" s="190"/>
      <c r="H34" s="190"/>
      <c r="I34" s="190"/>
      <c r="J34" s="190"/>
      <c r="K34" s="190">
        <v>4</v>
      </c>
      <c r="L34" s="190"/>
      <c r="M34" s="190"/>
      <c r="N34" s="190"/>
      <c r="O34" s="190">
        <v>4</v>
      </c>
      <c r="R34" s="187"/>
      <c r="S34" s="177">
        <f t="shared" si="2"/>
        <v>12</v>
      </c>
      <c r="U34" s="67"/>
      <c r="V34" s="67"/>
      <c r="W34" s="85"/>
    </row>
    <row r="35" spans="1:26">
      <c r="A35" s="24" t="s">
        <v>174</v>
      </c>
      <c r="B35" s="190">
        <v>3</v>
      </c>
      <c r="C35" s="190"/>
      <c r="D35" s="190"/>
      <c r="E35" s="190">
        <v>4</v>
      </c>
      <c r="F35" s="190"/>
      <c r="G35" s="190"/>
      <c r="H35" s="190"/>
      <c r="I35" s="190"/>
      <c r="J35" s="190">
        <v>4</v>
      </c>
      <c r="K35" s="190"/>
      <c r="L35" s="190"/>
      <c r="M35" s="190"/>
      <c r="N35" s="190"/>
      <c r="O35" s="190">
        <v>4</v>
      </c>
      <c r="S35" s="177">
        <f t="shared" si="2"/>
        <v>15</v>
      </c>
      <c r="U35" s="67"/>
      <c r="V35" s="67"/>
      <c r="W35" s="85"/>
    </row>
    <row r="36" spans="1:26">
      <c r="A36" s="24" t="s">
        <v>97</v>
      </c>
      <c r="B36" s="190"/>
      <c r="C36" s="190">
        <v>4</v>
      </c>
      <c r="D36" s="190"/>
      <c r="E36" s="190"/>
      <c r="F36" s="190">
        <v>4</v>
      </c>
      <c r="G36" s="190"/>
      <c r="H36" s="190"/>
      <c r="I36" s="190">
        <v>4</v>
      </c>
      <c r="J36" s="190"/>
      <c r="K36" s="190"/>
      <c r="L36" s="190"/>
      <c r="M36" s="190"/>
      <c r="N36" s="190">
        <v>4</v>
      </c>
      <c r="O36" s="190"/>
      <c r="S36" s="177">
        <f t="shared" si="2"/>
        <v>16</v>
      </c>
      <c r="U36" s="67"/>
      <c r="V36" s="67"/>
      <c r="W36" s="85"/>
    </row>
    <row r="37" spans="1:26">
      <c r="A37" s="24" t="s">
        <v>254</v>
      </c>
      <c r="B37" s="190"/>
      <c r="C37" s="190"/>
      <c r="D37" s="190">
        <v>2</v>
      </c>
      <c r="E37" s="190"/>
      <c r="F37" s="190"/>
      <c r="G37" s="190"/>
      <c r="H37" s="190">
        <v>4</v>
      </c>
      <c r="I37" s="190"/>
      <c r="J37" s="190"/>
      <c r="K37" s="190"/>
      <c r="L37" s="190"/>
      <c r="M37" s="190">
        <v>4</v>
      </c>
      <c r="N37" s="190"/>
      <c r="O37" s="190"/>
      <c r="R37">
        <v>4</v>
      </c>
      <c r="S37" s="177">
        <f t="shared" si="2"/>
        <v>14</v>
      </c>
      <c r="U37" s="67"/>
      <c r="V37" s="67"/>
      <c r="W37" s="85"/>
    </row>
    <row r="38" spans="1:26">
      <c r="A38" s="24" t="s">
        <v>203</v>
      </c>
      <c r="B38" s="190"/>
      <c r="C38" s="190"/>
      <c r="D38" s="190">
        <v>4</v>
      </c>
      <c r="E38" s="190"/>
      <c r="F38" s="190">
        <v>4</v>
      </c>
      <c r="G38" s="190">
        <v>2</v>
      </c>
      <c r="H38" s="190"/>
      <c r="I38" s="190"/>
      <c r="J38" s="190">
        <v>3</v>
      </c>
      <c r="K38" s="190"/>
      <c r="L38" s="190">
        <v>1</v>
      </c>
      <c r="M38" s="190"/>
      <c r="N38" s="190"/>
      <c r="O38" s="190">
        <v>3</v>
      </c>
      <c r="Q38">
        <v>4</v>
      </c>
      <c r="R38" s="310"/>
      <c r="S38" s="177">
        <f t="shared" si="2"/>
        <v>21</v>
      </c>
      <c r="U38" s="67"/>
      <c r="V38" s="68"/>
      <c r="W38" s="85"/>
    </row>
    <row r="39" spans="1:26">
      <c r="A39" s="24" t="s">
        <v>68</v>
      </c>
      <c r="B39" s="190"/>
      <c r="C39" s="190"/>
      <c r="D39" s="190">
        <v>4</v>
      </c>
      <c r="E39" s="190"/>
      <c r="F39" s="190"/>
      <c r="G39" s="190"/>
      <c r="H39" s="190"/>
      <c r="I39" s="190"/>
      <c r="J39" s="190"/>
      <c r="K39" s="190"/>
      <c r="L39" s="190"/>
      <c r="M39" s="190"/>
      <c r="N39" s="190">
        <v>4</v>
      </c>
      <c r="O39" s="190"/>
      <c r="Q39">
        <v>4</v>
      </c>
      <c r="S39" s="177">
        <f t="shared" si="2"/>
        <v>12</v>
      </c>
      <c r="U39" s="67"/>
      <c r="V39" s="68"/>
      <c r="W39" s="86"/>
    </row>
    <row r="40" spans="1:26">
      <c r="A40" s="25" t="s">
        <v>500</v>
      </c>
      <c r="B40" s="27">
        <f>SUM(B24:B39)</f>
        <v>6</v>
      </c>
      <c r="C40" s="27">
        <f t="shared" ref="C40:R40" si="3">SUM(C24:C39)</f>
        <v>12</v>
      </c>
      <c r="D40" s="27">
        <f t="shared" si="3"/>
        <v>26</v>
      </c>
      <c r="E40" s="27">
        <f t="shared" si="3"/>
        <v>13</v>
      </c>
      <c r="F40" s="27">
        <f t="shared" si="3"/>
        <v>16</v>
      </c>
      <c r="G40" s="27">
        <f t="shared" si="3"/>
        <v>8</v>
      </c>
      <c r="H40" s="27">
        <f t="shared" si="3"/>
        <v>13</v>
      </c>
      <c r="I40" s="27">
        <f t="shared" si="3"/>
        <v>8</v>
      </c>
      <c r="J40" s="27">
        <f t="shared" si="3"/>
        <v>15</v>
      </c>
      <c r="K40" s="27">
        <f t="shared" si="3"/>
        <v>16</v>
      </c>
      <c r="L40" s="27">
        <f t="shared" si="3"/>
        <v>9</v>
      </c>
      <c r="M40" s="27">
        <f t="shared" si="3"/>
        <v>13</v>
      </c>
      <c r="N40" s="27">
        <f t="shared" si="3"/>
        <v>20</v>
      </c>
      <c r="O40" s="27">
        <f t="shared" si="3"/>
        <v>15</v>
      </c>
      <c r="P40" s="27">
        <f t="shared" si="3"/>
        <v>7</v>
      </c>
      <c r="Q40" s="27">
        <f t="shared" si="3"/>
        <v>20</v>
      </c>
      <c r="R40" s="27">
        <f t="shared" si="3"/>
        <v>12</v>
      </c>
      <c r="S40" s="27">
        <f t="shared" si="2"/>
        <v>229</v>
      </c>
      <c r="U40" s="69"/>
      <c r="V40" s="69"/>
      <c r="W40" s="86"/>
    </row>
    <row r="41" spans="1:26">
      <c r="U41" s="69"/>
      <c r="V41" s="69"/>
      <c r="W41" s="86"/>
    </row>
    <row r="42" spans="1:26" ht="15">
      <c r="A42" s="423" t="s">
        <v>663</v>
      </c>
      <c r="B42" s="423"/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31"/>
      <c r="S42" s="421" t="s">
        <v>663</v>
      </c>
      <c r="W42"/>
    </row>
    <row r="43" spans="1:26">
      <c r="A43" s="38" t="s">
        <v>502</v>
      </c>
      <c r="B43" s="33">
        <v>43253</v>
      </c>
      <c r="C43" s="33">
        <v>43254</v>
      </c>
      <c r="D43" s="33">
        <v>43255</v>
      </c>
      <c r="E43" s="33">
        <v>43258</v>
      </c>
      <c r="F43" s="33">
        <v>43259</v>
      </c>
      <c r="G43" s="33">
        <v>43260</v>
      </c>
      <c r="H43" s="33">
        <v>43262</v>
      </c>
      <c r="I43" s="33">
        <v>43264</v>
      </c>
      <c r="J43" s="33">
        <v>43265</v>
      </c>
      <c r="K43" s="33">
        <v>43266</v>
      </c>
      <c r="L43" s="33">
        <v>43268</v>
      </c>
      <c r="M43" s="33">
        <v>43269</v>
      </c>
      <c r="N43" s="33">
        <v>43271</v>
      </c>
      <c r="O43" s="33">
        <v>43272</v>
      </c>
      <c r="P43" s="33">
        <v>43275</v>
      </c>
      <c r="Q43" s="33">
        <v>43276</v>
      </c>
      <c r="R43" s="33">
        <v>43277</v>
      </c>
      <c r="S43" s="421"/>
    </row>
    <row r="44" spans="1:26">
      <c r="A44" s="37" t="s">
        <v>11</v>
      </c>
      <c r="B44" s="35" t="str">
        <f>IFERROR(B4/B24," ")</f>
        <v xml:space="preserve"> </v>
      </c>
      <c r="C44" s="35" t="str">
        <f t="shared" ref="C44:R59" si="4">IFERROR(C4/C24," ")</f>
        <v xml:space="preserve"> </v>
      </c>
      <c r="D44" s="35">
        <f t="shared" si="4"/>
        <v>0.5</v>
      </c>
      <c r="E44" s="35">
        <f t="shared" si="4"/>
        <v>1</v>
      </c>
      <c r="F44" s="35" t="str">
        <f t="shared" si="4"/>
        <v xml:space="preserve"> </v>
      </c>
      <c r="G44" s="35" t="str">
        <f t="shared" si="4"/>
        <v xml:space="preserve"> </v>
      </c>
      <c r="H44" s="35" t="str">
        <f t="shared" si="4"/>
        <v xml:space="preserve"> </v>
      </c>
      <c r="I44" s="35" t="str">
        <f t="shared" si="4"/>
        <v xml:space="preserve"> </v>
      </c>
      <c r="J44" s="35" t="str">
        <f t="shared" si="4"/>
        <v xml:space="preserve"> </v>
      </c>
      <c r="K44" s="35">
        <f>IFERROR(K4/K24," ")</f>
        <v>0.66666666666666663</v>
      </c>
      <c r="L44" s="35" t="str">
        <f>IFERROR(L4/L24," ")</f>
        <v xml:space="preserve"> </v>
      </c>
      <c r="M44" s="35" t="str">
        <f t="shared" si="4"/>
        <v xml:space="preserve"> </v>
      </c>
      <c r="N44" s="35" t="str">
        <f t="shared" si="4"/>
        <v xml:space="preserve"> </v>
      </c>
      <c r="O44" s="35" t="str">
        <f t="shared" si="4"/>
        <v xml:space="preserve"> </v>
      </c>
      <c r="P44" s="35">
        <f t="shared" si="4"/>
        <v>0.33333333333333331</v>
      </c>
      <c r="Q44" s="35" t="str">
        <f t="shared" si="4"/>
        <v xml:space="preserve"> </v>
      </c>
      <c r="R44" s="35" t="str">
        <f t="shared" si="4"/>
        <v xml:space="preserve"> </v>
      </c>
      <c r="S44" s="35">
        <f>IFERROR(S4/S24," ")</f>
        <v>0.55555555555555558</v>
      </c>
      <c r="V44" s="332"/>
      <c r="Z44" s="37"/>
    </row>
    <row r="45" spans="1:26">
      <c r="A45" s="37" t="s">
        <v>218</v>
      </c>
      <c r="B45" s="35" t="str">
        <f t="shared" ref="B45:Q60" si="5">IFERROR(B5/B25," ")</f>
        <v xml:space="preserve"> </v>
      </c>
      <c r="C45" s="35" t="str">
        <f t="shared" si="5"/>
        <v xml:space="preserve"> </v>
      </c>
      <c r="D45" s="35">
        <f t="shared" si="5"/>
        <v>1</v>
      </c>
      <c r="E45" s="35" t="str">
        <f t="shared" si="5"/>
        <v xml:space="preserve"> </v>
      </c>
      <c r="F45" s="35" t="str">
        <f t="shared" si="5"/>
        <v xml:space="preserve"> </v>
      </c>
      <c r="G45" s="35" t="str">
        <f t="shared" si="5"/>
        <v xml:space="preserve"> </v>
      </c>
      <c r="H45" s="35">
        <f t="shared" si="5"/>
        <v>1</v>
      </c>
      <c r="I45" s="35" t="str">
        <f t="shared" si="5"/>
        <v xml:space="preserve"> </v>
      </c>
      <c r="J45" s="35" t="str">
        <f t="shared" si="5"/>
        <v xml:space="preserve"> </v>
      </c>
      <c r="K45" s="35" t="str">
        <f t="shared" si="5"/>
        <v xml:space="preserve"> </v>
      </c>
      <c r="L45" s="35">
        <f t="shared" si="5"/>
        <v>1</v>
      </c>
      <c r="M45" s="35" t="str">
        <f t="shared" si="5"/>
        <v xml:space="preserve"> </v>
      </c>
      <c r="N45" s="35" t="str">
        <f>IFERROR(N5/N25," ")</f>
        <v xml:space="preserve"> </v>
      </c>
      <c r="O45" s="35" t="str">
        <f t="shared" si="4"/>
        <v xml:space="preserve"> </v>
      </c>
      <c r="P45" s="35" t="str">
        <f t="shared" si="4"/>
        <v xml:space="preserve"> </v>
      </c>
      <c r="Q45" s="35">
        <f t="shared" si="4"/>
        <v>1</v>
      </c>
      <c r="R45" s="35" t="str">
        <f t="shared" si="4"/>
        <v xml:space="preserve"> </v>
      </c>
      <c r="S45" s="35">
        <f>IFERROR(S5/S25," ")</f>
        <v>1</v>
      </c>
      <c r="V45" s="332"/>
      <c r="Z45" s="37"/>
    </row>
    <row r="46" spans="1:26">
      <c r="A46" s="37" t="s">
        <v>121</v>
      </c>
      <c r="B46" s="35" t="str">
        <f t="shared" si="5"/>
        <v xml:space="preserve"> </v>
      </c>
      <c r="C46" s="35">
        <f t="shared" si="5"/>
        <v>0.75</v>
      </c>
      <c r="D46" s="35" t="str">
        <f t="shared" si="5"/>
        <v xml:space="preserve"> </v>
      </c>
      <c r="E46" s="35">
        <f t="shared" si="5"/>
        <v>0.5</v>
      </c>
      <c r="F46" s="35" t="str">
        <f t="shared" si="5"/>
        <v xml:space="preserve"> </v>
      </c>
      <c r="G46" s="35" t="str">
        <f t="shared" si="5"/>
        <v xml:space="preserve"> </v>
      </c>
      <c r="H46" s="35" t="str">
        <f t="shared" si="5"/>
        <v xml:space="preserve"> </v>
      </c>
      <c r="I46" s="35" t="str">
        <f t="shared" si="5"/>
        <v xml:space="preserve"> </v>
      </c>
      <c r="J46" s="35" t="str">
        <f t="shared" si="5"/>
        <v xml:space="preserve"> </v>
      </c>
      <c r="K46" s="35">
        <f t="shared" si="5"/>
        <v>0.25</v>
      </c>
      <c r="L46" s="35" t="str">
        <f t="shared" si="5"/>
        <v xml:space="preserve"> </v>
      </c>
      <c r="M46" s="35" t="str">
        <f t="shared" si="5"/>
        <v xml:space="preserve"> </v>
      </c>
      <c r="N46" s="35" t="str">
        <f t="shared" si="5"/>
        <v xml:space="preserve"> </v>
      </c>
      <c r="O46" s="35">
        <f t="shared" si="4"/>
        <v>1</v>
      </c>
      <c r="P46" s="35" t="str">
        <f t="shared" si="4"/>
        <v xml:space="preserve"> </v>
      </c>
      <c r="Q46" s="35" t="str">
        <f t="shared" si="4"/>
        <v xml:space="preserve"> </v>
      </c>
      <c r="R46" s="35" t="str">
        <f t="shared" si="4"/>
        <v xml:space="preserve"> </v>
      </c>
      <c r="S46" s="35">
        <f t="shared" ref="S46:S50" si="6">IFERROR(S6/S26," ")</f>
        <v>0.625</v>
      </c>
      <c r="V46" s="332"/>
      <c r="Z46" s="37"/>
    </row>
    <row r="47" spans="1:26">
      <c r="A47" s="37" t="s">
        <v>189</v>
      </c>
      <c r="B47" s="35">
        <f t="shared" si="5"/>
        <v>0</v>
      </c>
      <c r="C47" s="35" t="str">
        <f t="shared" si="5"/>
        <v xml:space="preserve"> </v>
      </c>
      <c r="D47" s="35" t="str">
        <f t="shared" si="5"/>
        <v xml:space="preserve"> </v>
      </c>
      <c r="E47" s="35" t="str">
        <f t="shared" si="5"/>
        <v xml:space="preserve"> </v>
      </c>
      <c r="F47" s="35" t="str">
        <f t="shared" si="5"/>
        <v xml:space="preserve"> </v>
      </c>
      <c r="G47" s="35">
        <f t="shared" si="5"/>
        <v>1</v>
      </c>
      <c r="H47" s="35" t="str">
        <f t="shared" si="5"/>
        <v xml:space="preserve"> </v>
      </c>
      <c r="I47" s="35" t="str">
        <f t="shared" si="5"/>
        <v xml:space="preserve"> </v>
      </c>
      <c r="J47" s="35">
        <f t="shared" si="5"/>
        <v>1</v>
      </c>
      <c r="K47" s="35" t="str">
        <f t="shared" si="5"/>
        <v xml:space="preserve"> </v>
      </c>
      <c r="L47" s="35" t="str">
        <f t="shared" si="5"/>
        <v xml:space="preserve"> </v>
      </c>
      <c r="M47" s="35" t="str">
        <f t="shared" si="5"/>
        <v xml:space="preserve"> </v>
      </c>
      <c r="N47" s="35">
        <f t="shared" si="5"/>
        <v>0.75</v>
      </c>
      <c r="O47" s="35" t="str">
        <f t="shared" si="4"/>
        <v xml:space="preserve"> </v>
      </c>
      <c r="P47" s="35" t="str">
        <f t="shared" si="4"/>
        <v xml:space="preserve"> </v>
      </c>
      <c r="Q47" s="35" t="str">
        <f t="shared" si="4"/>
        <v xml:space="preserve"> </v>
      </c>
      <c r="R47" s="35" t="str">
        <f t="shared" si="4"/>
        <v xml:space="preserve"> </v>
      </c>
      <c r="S47" s="35">
        <f>IFERROR(S7/S27," ")</f>
        <v>0.84615384615384615</v>
      </c>
      <c r="U47" s="346"/>
      <c r="V47" s="332"/>
      <c r="Z47" s="37"/>
    </row>
    <row r="48" spans="1:26">
      <c r="A48" s="37" t="s">
        <v>310</v>
      </c>
      <c r="B48" s="35" t="str">
        <f t="shared" si="5"/>
        <v xml:space="preserve"> </v>
      </c>
      <c r="C48" s="35">
        <f t="shared" si="5"/>
        <v>0.75</v>
      </c>
      <c r="D48" s="35" t="str">
        <f t="shared" si="5"/>
        <v xml:space="preserve"> </v>
      </c>
      <c r="E48" s="35">
        <f t="shared" si="5"/>
        <v>0.75</v>
      </c>
      <c r="F48" s="35" t="str">
        <f t="shared" si="5"/>
        <v xml:space="preserve"> </v>
      </c>
      <c r="G48" s="35" t="str">
        <f t="shared" si="5"/>
        <v xml:space="preserve"> </v>
      </c>
      <c r="H48" s="35" t="str">
        <f t="shared" si="5"/>
        <v xml:space="preserve"> </v>
      </c>
      <c r="I48" s="35">
        <f t="shared" si="5"/>
        <v>1</v>
      </c>
      <c r="J48" s="35" t="str">
        <f t="shared" si="5"/>
        <v xml:space="preserve"> </v>
      </c>
      <c r="K48" s="35" t="str">
        <f t="shared" si="5"/>
        <v xml:space="preserve"> </v>
      </c>
      <c r="L48" s="35" t="str">
        <f t="shared" si="5"/>
        <v xml:space="preserve"> </v>
      </c>
      <c r="M48" s="35" t="str">
        <f t="shared" si="5"/>
        <v xml:space="preserve"> </v>
      </c>
      <c r="N48" s="35">
        <f t="shared" si="5"/>
        <v>0.5</v>
      </c>
      <c r="O48" s="35" t="str">
        <f t="shared" si="4"/>
        <v xml:space="preserve"> </v>
      </c>
      <c r="P48" s="35" t="str">
        <f t="shared" si="4"/>
        <v xml:space="preserve"> </v>
      </c>
      <c r="Q48" s="35" t="str">
        <f t="shared" si="4"/>
        <v xml:space="preserve"> </v>
      </c>
      <c r="R48" s="35" t="str">
        <f t="shared" si="4"/>
        <v xml:space="preserve"> </v>
      </c>
      <c r="S48" s="35">
        <f t="shared" si="6"/>
        <v>0.75</v>
      </c>
      <c r="V48" s="332"/>
      <c r="Z48" s="37"/>
    </row>
    <row r="49" spans="1:26">
      <c r="A49" s="37" t="s">
        <v>279</v>
      </c>
      <c r="B49" s="35" t="str">
        <f t="shared" si="5"/>
        <v xml:space="preserve"> </v>
      </c>
      <c r="C49" s="35" t="str">
        <f t="shared" si="5"/>
        <v xml:space="preserve"> </v>
      </c>
      <c r="D49" s="35">
        <f t="shared" si="5"/>
        <v>1</v>
      </c>
      <c r="E49" s="35" t="str">
        <f t="shared" si="5"/>
        <v xml:space="preserve"> </v>
      </c>
      <c r="F49" s="35" t="str">
        <f t="shared" si="5"/>
        <v xml:space="preserve"> </v>
      </c>
      <c r="G49" s="35" t="str">
        <f t="shared" si="5"/>
        <v xml:space="preserve"> </v>
      </c>
      <c r="H49" s="35" t="str">
        <f t="shared" si="5"/>
        <v xml:space="preserve"> </v>
      </c>
      <c r="I49" s="35" t="str">
        <f t="shared" si="5"/>
        <v xml:space="preserve"> </v>
      </c>
      <c r="J49" s="35" t="str">
        <f t="shared" si="5"/>
        <v xml:space="preserve"> </v>
      </c>
      <c r="K49" s="35">
        <f t="shared" si="5"/>
        <v>0</v>
      </c>
      <c r="L49" s="35" t="str">
        <f t="shared" si="5"/>
        <v xml:space="preserve"> </v>
      </c>
      <c r="M49" s="35">
        <f t="shared" si="5"/>
        <v>0.75</v>
      </c>
      <c r="N49" s="35" t="str">
        <f t="shared" si="5"/>
        <v xml:space="preserve"> </v>
      </c>
      <c r="O49" s="35" t="str">
        <f>IFERROR(O9/O29," ")</f>
        <v xml:space="preserve"> </v>
      </c>
      <c r="P49" s="35" t="str">
        <f t="shared" si="4"/>
        <v xml:space="preserve"> </v>
      </c>
      <c r="Q49" s="35">
        <f t="shared" si="4"/>
        <v>1</v>
      </c>
      <c r="R49" s="35" t="str">
        <f t="shared" si="4"/>
        <v xml:space="preserve"> </v>
      </c>
      <c r="S49" s="35">
        <f>IFERROR(S9/S29," ")</f>
        <v>0.6875</v>
      </c>
      <c r="V49" s="332"/>
      <c r="Z49" s="37"/>
    </row>
    <row r="50" spans="1:26">
      <c r="A50" s="37" t="s">
        <v>130</v>
      </c>
      <c r="B50" s="35" t="str">
        <f t="shared" si="5"/>
        <v xml:space="preserve"> </v>
      </c>
      <c r="C50" s="35" t="str">
        <f t="shared" si="5"/>
        <v xml:space="preserve"> </v>
      </c>
      <c r="D50" s="35" t="str">
        <f t="shared" si="5"/>
        <v xml:space="preserve"> </v>
      </c>
      <c r="E50" s="35" t="str">
        <f t="shared" si="5"/>
        <v xml:space="preserve"> </v>
      </c>
      <c r="F50" s="35" t="str">
        <f t="shared" si="5"/>
        <v xml:space="preserve"> </v>
      </c>
      <c r="G50" s="35" t="str">
        <f t="shared" si="5"/>
        <v xml:space="preserve"> </v>
      </c>
      <c r="H50" s="35">
        <f t="shared" si="5"/>
        <v>1</v>
      </c>
      <c r="I50" s="35" t="str">
        <f t="shared" si="5"/>
        <v xml:space="preserve"> </v>
      </c>
      <c r="J50" s="35" t="str">
        <f t="shared" si="5"/>
        <v xml:space="preserve"> </v>
      </c>
      <c r="K50" s="35" t="str">
        <f t="shared" si="5"/>
        <v xml:space="preserve"> </v>
      </c>
      <c r="L50" s="35">
        <f t="shared" si="5"/>
        <v>0</v>
      </c>
      <c r="M50" s="35" t="str">
        <f t="shared" si="5"/>
        <v xml:space="preserve"> </v>
      </c>
      <c r="N50" s="35">
        <f t="shared" si="5"/>
        <v>0.75</v>
      </c>
      <c r="O50" s="35" t="str">
        <f t="shared" si="4"/>
        <v xml:space="preserve"> </v>
      </c>
      <c r="P50" s="35">
        <f t="shared" si="4"/>
        <v>0.25</v>
      </c>
      <c r="Q50" s="35" t="str">
        <f t="shared" si="4"/>
        <v xml:space="preserve"> </v>
      </c>
      <c r="R50" s="35" t="str">
        <f t="shared" si="4"/>
        <v xml:space="preserve"> </v>
      </c>
      <c r="S50" s="35">
        <f t="shared" si="6"/>
        <v>0.5</v>
      </c>
      <c r="V50" s="332"/>
      <c r="Z50" s="37"/>
    </row>
    <row r="51" spans="1:26">
      <c r="A51" s="37" t="s">
        <v>24</v>
      </c>
      <c r="B51" s="35">
        <f t="shared" si="5"/>
        <v>1</v>
      </c>
      <c r="C51" s="35" t="str">
        <f t="shared" si="5"/>
        <v xml:space="preserve"> </v>
      </c>
      <c r="D51" s="35" t="str">
        <f t="shared" si="5"/>
        <v xml:space="preserve"> </v>
      </c>
      <c r="E51" s="35" t="str">
        <f t="shared" si="5"/>
        <v xml:space="preserve"> </v>
      </c>
      <c r="F51" s="35">
        <f t="shared" si="5"/>
        <v>1</v>
      </c>
      <c r="G51" s="35" t="str">
        <f t="shared" si="5"/>
        <v xml:space="preserve"> </v>
      </c>
      <c r="H51" s="35" t="str">
        <f t="shared" si="5"/>
        <v xml:space="preserve"> </v>
      </c>
      <c r="I51" s="35" t="str">
        <f t="shared" si="5"/>
        <v xml:space="preserve"> </v>
      </c>
      <c r="J51" s="35">
        <f t="shared" si="5"/>
        <v>0</v>
      </c>
      <c r="K51" s="35">
        <f t="shared" si="5"/>
        <v>1</v>
      </c>
      <c r="L51" s="35" t="str">
        <f t="shared" si="5"/>
        <v xml:space="preserve"> </v>
      </c>
      <c r="M51" s="35" t="str">
        <f t="shared" si="5"/>
        <v xml:space="preserve"> </v>
      </c>
      <c r="N51" s="35" t="str">
        <f t="shared" si="5"/>
        <v xml:space="preserve"> </v>
      </c>
      <c r="O51" s="35" t="str">
        <f t="shared" si="4"/>
        <v xml:space="preserve"> </v>
      </c>
      <c r="P51" s="35" t="str">
        <f t="shared" si="4"/>
        <v xml:space="preserve"> </v>
      </c>
      <c r="Q51" s="35" t="str">
        <f t="shared" si="4"/>
        <v xml:space="preserve"> </v>
      </c>
      <c r="R51" s="35">
        <f t="shared" si="4"/>
        <v>0</v>
      </c>
      <c r="S51" s="35">
        <f>IFERROR(S11/S31," ")</f>
        <v>0.46666666666666667</v>
      </c>
      <c r="V51" s="332"/>
      <c r="Z51" s="37"/>
    </row>
    <row r="52" spans="1:26">
      <c r="A52" s="37" t="s">
        <v>393</v>
      </c>
      <c r="B52" s="35" t="str">
        <f t="shared" si="5"/>
        <v xml:space="preserve"> </v>
      </c>
      <c r="C52" s="35" t="str">
        <f t="shared" si="5"/>
        <v xml:space="preserve"> </v>
      </c>
      <c r="D52" s="35">
        <f t="shared" si="5"/>
        <v>0.5</v>
      </c>
      <c r="E52" s="35" t="str">
        <f t="shared" si="5"/>
        <v xml:space="preserve"> </v>
      </c>
      <c r="F52" s="35" t="str">
        <f t="shared" si="5"/>
        <v xml:space="preserve"> </v>
      </c>
      <c r="G52" s="35">
        <f t="shared" si="5"/>
        <v>0.5</v>
      </c>
      <c r="H52" s="35" t="str">
        <f t="shared" si="5"/>
        <v xml:space="preserve"> </v>
      </c>
      <c r="I52" s="35" t="str">
        <f t="shared" si="5"/>
        <v xml:space="preserve"> </v>
      </c>
      <c r="J52" s="35" t="str">
        <f t="shared" si="5"/>
        <v xml:space="preserve"> </v>
      </c>
      <c r="K52" s="35" t="str">
        <f>IFERROR(K12/K32," ")</f>
        <v xml:space="preserve"> </v>
      </c>
      <c r="L52" s="35" t="str">
        <f t="shared" si="5"/>
        <v xml:space="preserve"> </v>
      </c>
      <c r="M52" s="35">
        <f>IFERROR(M12/M32," ")</f>
        <v>1</v>
      </c>
      <c r="N52" s="35" t="str">
        <f t="shared" si="5"/>
        <v xml:space="preserve"> </v>
      </c>
      <c r="O52" s="35" t="str">
        <f t="shared" si="4"/>
        <v xml:space="preserve"> </v>
      </c>
      <c r="P52" s="35" t="str">
        <f t="shared" si="4"/>
        <v xml:space="preserve"> </v>
      </c>
      <c r="Q52" s="35">
        <f t="shared" si="4"/>
        <v>1</v>
      </c>
      <c r="R52" s="35" t="str">
        <f t="shared" si="4"/>
        <v xml:space="preserve"> </v>
      </c>
      <c r="S52" s="35">
        <f>IFERROR(S12/S32," ")</f>
        <v>0.76923076923076927</v>
      </c>
      <c r="V52" s="332"/>
      <c r="Z52" s="37"/>
    </row>
    <row r="53" spans="1:26">
      <c r="A53" s="37" t="s">
        <v>161</v>
      </c>
      <c r="B53" s="35" t="str">
        <f t="shared" si="5"/>
        <v xml:space="preserve"> </v>
      </c>
      <c r="C53" s="35" t="str">
        <f t="shared" si="5"/>
        <v xml:space="preserve"> </v>
      </c>
      <c r="D53" s="35">
        <f t="shared" si="5"/>
        <v>1</v>
      </c>
      <c r="E53" s="35" t="str">
        <f t="shared" si="5"/>
        <v xml:space="preserve"> </v>
      </c>
      <c r="F53" s="35" t="str">
        <f t="shared" si="5"/>
        <v xml:space="preserve"> </v>
      </c>
      <c r="G53" s="35" t="str">
        <f t="shared" si="5"/>
        <v xml:space="preserve"> </v>
      </c>
      <c r="H53" s="35">
        <f t="shared" si="5"/>
        <v>0</v>
      </c>
      <c r="I53" s="35" t="str">
        <f t="shared" si="5"/>
        <v xml:space="preserve"> </v>
      </c>
      <c r="J53" s="35" t="str">
        <f t="shared" si="5"/>
        <v xml:space="preserve"> </v>
      </c>
      <c r="K53" s="35" t="str">
        <f t="shared" si="5"/>
        <v xml:space="preserve"> </v>
      </c>
      <c r="L53" s="35" t="str">
        <f t="shared" si="5"/>
        <v xml:space="preserve"> </v>
      </c>
      <c r="M53" s="35">
        <f t="shared" si="5"/>
        <v>1</v>
      </c>
      <c r="N53" s="35" t="str">
        <f t="shared" si="5"/>
        <v xml:space="preserve"> </v>
      </c>
      <c r="O53" s="35" t="str">
        <f t="shared" si="4"/>
        <v xml:space="preserve"> </v>
      </c>
      <c r="P53" s="35" t="str">
        <f t="shared" si="4"/>
        <v xml:space="preserve"> </v>
      </c>
      <c r="Q53" s="35" t="str">
        <f t="shared" si="4"/>
        <v xml:space="preserve"> </v>
      </c>
      <c r="R53" s="35">
        <f t="shared" si="4"/>
        <v>0.75</v>
      </c>
      <c r="S53" s="35">
        <f>IFERROR(S13/S33," ")</f>
        <v>0.77777777777777779</v>
      </c>
      <c r="V53" s="332"/>
      <c r="Z53" s="37"/>
    </row>
    <row r="54" spans="1:26">
      <c r="A54" s="37" t="s">
        <v>34</v>
      </c>
      <c r="B54" s="35" t="str">
        <f t="shared" si="5"/>
        <v xml:space="preserve"> </v>
      </c>
      <c r="C54" s="35" t="str">
        <f t="shared" si="5"/>
        <v xml:space="preserve"> </v>
      </c>
      <c r="D54" s="35" t="str">
        <f t="shared" si="5"/>
        <v xml:space="preserve"> </v>
      </c>
      <c r="E54" s="35" t="str">
        <f t="shared" si="5"/>
        <v xml:space="preserve"> </v>
      </c>
      <c r="F54" s="35">
        <f t="shared" si="5"/>
        <v>0.75</v>
      </c>
      <c r="G54" s="35" t="str">
        <f t="shared" si="5"/>
        <v xml:space="preserve"> </v>
      </c>
      <c r="H54" s="35" t="str">
        <f t="shared" si="5"/>
        <v xml:space="preserve"> </v>
      </c>
      <c r="I54" s="35" t="str">
        <f t="shared" si="5"/>
        <v xml:space="preserve"> </v>
      </c>
      <c r="J54" s="35" t="str">
        <f t="shared" si="5"/>
        <v xml:space="preserve"> </v>
      </c>
      <c r="K54" s="35">
        <f t="shared" si="5"/>
        <v>1</v>
      </c>
      <c r="L54" s="35" t="str">
        <f t="shared" si="5"/>
        <v xml:space="preserve"> </v>
      </c>
      <c r="M54" s="35" t="str">
        <f t="shared" si="5"/>
        <v xml:space="preserve"> </v>
      </c>
      <c r="N54" s="35" t="str">
        <f t="shared" si="5"/>
        <v xml:space="preserve"> </v>
      </c>
      <c r="O54" s="35">
        <f t="shared" si="4"/>
        <v>0.5</v>
      </c>
      <c r="P54" s="35" t="str">
        <f t="shared" si="4"/>
        <v xml:space="preserve"> </v>
      </c>
      <c r="Q54" s="35" t="str">
        <f t="shared" si="4"/>
        <v xml:space="preserve"> </v>
      </c>
      <c r="R54" s="35" t="str">
        <f t="shared" si="4"/>
        <v xml:space="preserve"> </v>
      </c>
      <c r="S54" s="35">
        <f t="shared" ref="S54:S57" si="7">IFERROR(S14/S34," ")</f>
        <v>0.75</v>
      </c>
      <c r="V54" s="332"/>
      <c r="Z54" s="37"/>
    </row>
    <row r="55" spans="1:26">
      <c r="A55" s="37" t="s">
        <v>174</v>
      </c>
      <c r="B55" s="35">
        <f t="shared" si="5"/>
        <v>1</v>
      </c>
      <c r="C55" s="35" t="str">
        <f t="shared" si="5"/>
        <v xml:space="preserve"> </v>
      </c>
      <c r="D55" s="35" t="str">
        <f t="shared" si="5"/>
        <v xml:space="preserve"> </v>
      </c>
      <c r="E55" s="35">
        <f t="shared" si="5"/>
        <v>1</v>
      </c>
      <c r="F55" s="35" t="str">
        <f t="shared" si="5"/>
        <v xml:space="preserve"> </v>
      </c>
      <c r="G55" s="35" t="str">
        <f t="shared" si="5"/>
        <v xml:space="preserve"> </v>
      </c>
      <c r="H55" s="35" t="str">
        <f t="shared" si="5"/>
        <v xml:space="preserve"> </v>
      </c>
      <c r="I55" s="35" t="str">
        <f t="shared" si="5"/>
        <v xml:space="preserve"> </v>
      </c>
      <c r="J55" s="35">
        <f t="shared" si="5"/>
        <v>1</v>
      </c>
      <c r="K55" s="35" t="str">
        <f t="shared" si="5"/>
        <v xml:space="preserve"> </v>
      </c>
      <c r="L55" s="35" t="str">
        <f t="shared" si="5"/>
        <v xml:space="preserve"> </v>
      </c>
      <c r="M55" s="35" t="str">
        <f>IFERROR(M15/M35," ")</f>
        <v xml:space="preserve"> </v>
      </c>
      <c r="N55" s="35" t="str">
        <f t="shared" si="5"/>
        <v xml:space="preserve"> </v>
      </c>
      <c r="O55" s="35">
        <f t="shared" si="4"/>
        <v>1</v>
      </c>
      <c r="P55" s="35" t="str">
        <f t="shared" si="4"/>
        <v xml:space="preserve"> </v>
      </c>
      <c r="Q55" s="35" t="str">
        <f t="shared" si="4"/>
        <v xml:space="preserve"> </v>
      </c>
      <c r="R55" s="35" t="str">
        <f t="shared" si="4"/>
        <v xml:space="preserve"> </v>
      </c>
      <c r="S55" s="35">
        <f t="shared" si="7"/>
        <v>1</v>
      </c>
      <c r="V55" s="332"/>
      <c r="Z55" s="37"/>
    </row>
    <row r="56" spans="1:26">
      <c r="A56" s="37" t="s">
        <v>97</v>
      </c>
      <c r="B56" s="35" t="str">
        <f t="shared" si="5"/>
        <v xml:space="preserve"> </v>
      </c>
      <c r="C56" s="35">
        <f t="shared" si="5"/>
        <v>1</v>
      </c>
      <c r="D56" s="35" t="str">
        <f t="shared" si="5"/>
        <v xml:space="preserve"> </v>
      </c>
      <c r="E56" s="35" t="str">
        <f t="shared" si="5"/>
        <v xml:space="preserve"> </v>
      </c>
      <c r="F56" s="35">
        <f t="shared" si="5"/>
        <v>1</v>
      </c>
      <c r="G56" s="35" t="str">
        <f t="shared" si="5"/>
        <v xml:space="preserve"> </v>
      </c>
      <c r="H56" s="35" t="str">
        <f t="shared" si="5"/>
        <v xml:space="preserve"> </v>
      </c>
      <c r="I56" s="35">
        <f t="shared" si="5"/>
        <v>0.75</v>
      </c>
      <c r="J56" s="35" t="str">
        <f t="shared" si="5"/>
        <v xml:space="preserve"> </v>
      </c>
      <c r="K56" s="35" t="str">
        <f t="shared" si="5"/>
        <v xml:space="preserve"> </v>
      </c>
      <c r="L56" s="35" t="str">
        <f t="shared" si="5"/>
        <v xml:space="preserve"> </v>
      </c>
      <c r="M56" s="35" t="str">
        <f t="shared" si="5"/>
        <v xml:space="preserve"> </v>
      </c>
      <c r="N56" s="35">
        <f t="shared" si="5"/>
        <v>1</v>
      </c>
      <c r="O56" s="35" t="str">
        <f t="shared" si="4"/>
        <v xml:space="preserve"> </v>
      </c>
      <c r="P56" s="35" t="str">
        <f t="shared" si="4"/>
        <v xml:space="preserve"> </v>
      </c>
      <c r="Q56" s="35" t="str">
        <f t="shared" si="4"/>
        <v xml:space="preserve"> </v>
      </c>
      <c r="R56" s="35" t="str">
        <f t="shared" si="4"/>
        <v xml:space="preserve"> </v>
      </c>
      <c r="S56" s="35">
        <f t="shared" si="7"/>
        <v>0.9375</v>
      </c>
      <c r="V56" s="332"/>
      <c r="Z56" s="37"/>
    </row>
    <row r="57" spans="1:26">
      <c r="A57" s="37" t="s">
        <v>254</v>
      </c>
      <c r="B57" s="35" t="str">
        <f t="shared" si="5"/>
        <v xml:space="preserve"> </v>
      </c>
      <c r="C57" s="35" t="str">
        <f t="shared" si="5"/>
        <v xml:space="preserve"> </v>
      </c>
      <c r="D57" s="35">
        <f t="shared" si="5"/>
        <v>1</v>
      </c>
      <c r="E57" s="35" t="str">
        <f t="shared" si="5"/>
        <v xml:space="preserve"> </v>
      </c>
      <c r="F57" s="35" t="str">
        <f t="shared" si="5"/>
        <v xml:space="preserve"> </v>
      </c>
      <c r="G57" s="35" t="str">
        <f t="shared" si="5"/>
        <v xml:space="preserve"> </v>
      </c>
      <c r="H57" s="35">
        <f t="shared" si="5"/>
        <v>0.75</v>
      </c>
      <c r="I57" s="35" t="str">
        <f t="shared" si="5"/>
        <v xml:space="preserve"> </v>
      </c>
      <c r="J57" s="35" t="str">
        <f t="shared" si="5"/>
        <v xml:space="preserve"> </v>
      </c>
      <c r="K57" s="35" t="str">
        <f t="shared" si="5"/>
        <v xml:space="preserve"> </v>
      </c>
      <c r="L57" s="35" t="str">
        <f t="shared" si="5"/>
        <v xml:space="preserve"> </v>
      </c>
      <c r="M57" s="35">
        <f t="shared" si="5"/>
        <v>1</v>
      </c>
      <c r="N57" s="35" t="str">
        <f t="shared" si="5"/>
        <v xml:space="preserve"> </v>
      </c>
      <c r="O57" s="35" t="str">
        <f t="shared" si="4"/>
        <v xml:space="preserve"> </v>
      </c>
      <c r="P57" s="35" t="str">
        <f t="shared" si="4"/>
        <v xml:space="preserve"> </v>
      </c>
      <c r="Q57" s="35" t="str">
        <f t="shared" si="4"/>
        <v xml:space="preserve"> </v>
      </c>
      <c r="R57" s="35">
        <f t="shared" si="4"/>
        <v>1</v>
      </c>
      <c r="S57" s="35">
        <f t="shared" si="7"/>
        <v>0.9285714285714286</v>
      </c>
      <c r="V57" s="332"/>
      <c r="Z57" s="37"/>
    </row>
    <row r="58" spans="1:26">
      <c r="A58" s="37" t="s">
        <v>203</v>
      </c>
      <c r="B58" s="35" t="str">
        <f t="shared" si="5"/>
        <v xml:space="preserve"> </v>
      </c>
      <c r="C58" s="35" t="str">
        <f t="shared" si="5"/>
        <v xml:space="preserve"> </v>
      </c>
      <c r="D58" s="35">
        <f t="shared" si="5"/>
        <v>0.25</v>
      </c>
      <c r="E58" s="35" t="str">
        <f t="shared" si="5"/>
        <v xml:space="preserve"> </v>
      </c>
      <c r="F58" s="35">
        <f t="shared" si="5"/>
        <v>1</v>
      </c>
      <c r="G58" s="35">
        <f t="shared" si="5"/>
        <v>0.5</v>
      </c>
      <c r="H58" s="35" t="str">
        <f t="shared" si="5"/>
        <v xml:space="preserve"> </v>
      </c>
      <c r="I58" s="35" t="str">
        <f t="shared" si="5"/>
        <v xml:space="preserve"> </v>
      </c>
      <c r="J58" s="35">
        <f t="shared" si="5"/>
        <v>1</v>
      </c>
      <c r="K58" s="35" t="str">
        <f t="shared" si="5"/>
        <v xml:space="preserve"> </v>
      </c>
      <c r="L58" s="35">
        <f t="shared" si="5"/>
        <v>1</v>
      </c>
      <c r="M58" s="35" t="str">
        <f t="shared" si="5"/>
        <v xml:space="preserve"> </v>
      </c>
      <c r="N58" s="35" t="str">
        <f t="shared" si="5"/>
        <v xml:space="preserve"> </v>
      </c>
      <c r="O58" s="35">
        <f t="shared" si="4"/>
        <v>0.33333333333333331</v>
      </c>
      <c r="P58" s="35" t="str">
        <f t="shared" si="4"/>
        <v xml:space="preserve"> </v>
      </c>
      <c r="Q58" s="35">
        <f t="shared" si="4"/>
        <v>1</v>
      </c>
      <c r="R58" s="35" t="str">
        <f t="shared" si="4"/>
        <v xml:space="preserve"> </v>
      </c>
      <c r="S58" s="35">
        <f>IFERROR(S18/S38,"")</f>
        <v>0.7142857142857143</v>
      </c>
      <c r="V58" s="332"/>
      <c r="Z58" s="37"/>
    </row>
    <row r="59" spans="1:26">
      <c r="A59" s="37" t="s">
        <v>68</v>
      </c>
      <c r="B59" s="35" t="str">
        <f t="shared" si="5"/>
        <v xml:space="preserve"> </v>
      </c>
      <c r="C59" s="35" t="str">
        <f t="shared" si="5"/>
        <v xml:space="preserve"> </v>
      </c>
      <c r="D59" s="35">
        <f t="shared" si="5"/>
        <v>1</v>
      </c>
      <c r="E59" s="35" t="str">
        <f t="shared" si="5"/>
        <v xml:space="preserve"> </v>
      </c>
      <c r="F59" s="35" t="str">
        <f t="shared" si="5"/>
        <v xml:space="preserve"> </v>
      </c>
      <c r="G59" s="35" t="str">
        <f t="shared" si="5"/>
        <v xml:space="preserve"> </v>
      </c>
      <c r="H59" s="35" t="str">
        <f t="shared" si="5"/>
        <v xml:space="preserve"> </v>
      </c>
      <c r="I59" s="35" t="str">
        <f t="shared" si="5"/>
        <v xml:space="preserve"> </v>
      </c>
      <c r="J59" s="35" t="str">
        <f t="shared" si="5"/>
        <v xml:space="preserve"> </v>
      </c>
      <c r="K59" s="35" t="str">
        <f t="shared" si="5"/>
        <v xml:space="preserve"> </v>
      </c>
      <c r="L59" s="35" t="str">
        <f t="shared" si="5"/>
        <v xml:space="preserve"> </v>
      </c>
      <c r="M59" s="35" t="str">
        <f t="shared" si="5"/>
        <v xml:space="preserve"> </v>
      </c>
      <c r="N59" s="35">
        <f t="shared" si="5"/>
        <v>1</v>
      </c>
      <c r="O59" s="35" t="str">
        <f t="shared" si="4"/>
        <v xml:space="preserve"> </v>
      </c>
      <c r="P59" s="35" t="str">
        <f t="shared" si="4"/>
        <v xml:space="preserve"> </v>
      </c>
      <c r="Q59" s="35">
        <f t="shared" si="4"/>
        <v>1</v>
      </c>
      <c r="R59" s="35" t="str">
        <f t="shared" si="4"/>
        <v xml:space="preserve"> </v>
      </c>
      <c r="S59" s="35">
        <f>IFERROR(S19/S39," ")</f>
        <v>1</v>
      </c>
      <c r="V59" s="332"/>
      <c r="Z59" s="37"/>
    </row>
    <row r="60" spans="1:26">
      <c r="A60" s="32" t="s">
        <v>500</v>
      </c>
      <c r="B60" s="36">
        <f t="shared" si="5"/>
        <v>0.83333333333333337</v>
      </c>
      <c r="C60" s="36">
        <f t="shared" si="5"/>
        <v>0.83333333333333337</v>
      </c>
      <c r="D60" s="36">
        <f t="shared" si="5"/>
        <v>0.76923076923076927</v>
      </c>
      <c r="E60" s="36">
        <f t="shared" si="5"/>
        <v>0.76923076923076927</v>
      </c>
      <c r="F60" s="36">
        <f t="shared" si="5"/>
        <v>0.9375</v>
      </c>
      <c r="G60" s="36">
        <f t="shared" si="5"/>
        <v>0.75</v>
      </c>
      <c r="H60" s="36">
        <f t="shared" si="5"/>
        <v>0.84615384615384615</v>
      </c>
      <c r="I60" s="36">
        <f t="shared" si="5"/>
        <v>0.875</v>
      </c>
      <c r="J60" s="36">
        <f t="shared" si="5"/>
        <v>0.73333333333333328</v>
      </c>
      <c r="K60" s="36">
        <f t="shared" si="5"/>
        <v>0.5</v>
      </c>
      <c r="L60" s="36">
        <f t="shared" si="5"/>
        <v>0.55555555555555558</v>
      </c>
      <c r="M60" s="36">
        <f t="shared" si="5"/>
        <v>0.92307692307692313</v>
      </c>
      <c r="N60" s="36">
        <f t="shared" si="5"/>
        <v>0.8</v>
      </c>
      <c r="O60" s="36">
        <f t="shared" si="5"/>
        <v>0.73333333333333328</v>
      </c>
      <c r="P60" s="36">
        <f t="shared" si="5"/>
        <v>0.2857142857142857</v>
      </c>
      <c r="Q60" s="36">
        <f t="shared" si="5"/>
        <v>1</v>
      </c>
      <c r="R60" s="36">
        <f t="shared" ref="R60" si="8">IFERROR(R20/R40," ")</f>
        <v>0.58333333333333337</v>
      </c>
      <c r="S60" s="36">
        <f>IFERROR(S20/S40," ")</f>
        <v>0.76855895196506552</v>
      </c>
      <c r="V60" s="332"/>
      <c r="Z60" s="232"/>
    </row>
  </sheetData>
  <mergeCells count="5">
    <mergeCell ref="S2:S3"/>
    <mergeCell ref="U2:W3"/>
    <mergeCell ref="S22:S23"/>
    <mergeCell ref="A42:Q42"/>
    <mergeCell ref="S42:S43"/>
  </mergeCells>
  <conditionalFormatting sqref="S44:S59">
    <cfRule type="colorScale" priority="3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W5:W28">
    <cfRule type="colorScale" priority="1">
      <colorScale>
        <cfvo type="min"/>
        <cfvo type="max"/>
        <color rgb="FFFCFCFF"/>
        <color rgb="FFF8696B"/>
      </colorScale>
    </cfRule>
  </conditionalFormatting>
  <conditionalFormatting sqref="B44:R59 U47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"/>
  <sheetViews>
    <sheetView zoomScale="70" zoomScaleNormal="70" workbookViewId="0"/>
  </sheetViews>
  <sheetFormatPr defaultColWidth="15.5703125" defaultRowHeight="12.75"/>
  <cols>
    <col min="2" max="2" width="16.28515625" bestFit="1" customWidth="1"/>
    <col min="3" max="3" width="35.5703125" customWidth="1"/>
    <col min="4" max="4" width="21.42578125" customWidth="1"/>
    <col min="5" max="5" width="28.140625" customWidth="1"/>
    <col min="6" max="9" width="14" customWidth="1"/>
    <col min="10" max="10" width="32.85546875" customWidth="1"/>
    <col min="11" max="11" width="41" customWidth="1"/>
    <col min="12" max="12" width="16.7109375" bestFit="1" customWidth="1"/>
    <col min="13" max="13" width="25.85546875" style="24" bestFit="1" customWidth="1"/>
  </cols>
  <sheetData>
    <row r="1" spans="1:14" ht="38.25">
      <c r="A1" s="47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312" t="s">
        <v>9</v>
      </c>
      <c r="K1" s="47" t="s">
        <v>10</v>
      </c>
      <c r="L1" s="410" t="s">
        <v>44</v>
      </c>
      <c r="M1" s="47" t="s">
        <v>45</v>
      </c>
      <c r="N1" s="87"/>
    </row>
    <row r="2" spans="1:14" ht="15" customHeight="1">
      <c r="A2" s="52">
        <v>43285</v>
      </c>
      <c r="B2" s="367" t="s">
        <v>189</v>
      </c>
      <c r="C2" s="367" t="s">
        <v>2599</v>
      </c>
      <c r="D2" s="367" t="s">
        <v>2329</v>
      </c>
      <c r="E2" s="367" t="s">
        <v>2600</v>
      </c>
      <c r="F2" s="368">
        <v>0.84583333333333333</v>
      </c>
      <c r="G2" s="89" t="s">
        <v>71</v>
      </c>
      <c r="H2" s="89" t="s">
        <v>14</v>
      </c>
      <c r="I2" s="89" t="s">
        <v>71</v>
      </c>
      <c r="J2" s="404" t="s">
        <v>2601</v>
      </c>
      <c r="K2" s="56"/>
      <c r="L2" s="407"/>
      <c r="M2" s="111"/>
    </row>
    <row r="3" spans="1:14" ht="15" customHeight="1">
      <c r="A3" s="52">
        <v>43285</v>
      </c>
      <c r="B3" s="369" t="s">
        <v>189</v>
      </c>
      <c r="C3" s="369" t="s">
        <v>2602</v>
      </c>
      <c r="D3" s="369" t="s">
        <v>2329</v>
      </c>
      <c r="E3" s="369" t="s">
        <v>2603</v>
      </c>
      <c r="F3" s="370">
        <v>0.81736111111111109</v>
      </c>
      <c r="G3" s="91" t="s">
        <v>14</v>
      </c>
      <c r="H3" s="91"/>
      <c r="I3" s="91"/>
      <c r="J3" s="389" t="s">
        <v>2604</v>
      </c>
      <c r="K3" s="56" t="s">
        <v>2605</v>
      </c>
      <c r="L3" s="407"/>
      <c r="M3" s="111"/>
    </row>
    <row r="4" spans="1:14" ht="15" customHeight="1">
      <c r="A4" s="52">
        <v>43285</v>
      </c>
      <c r="B4" s="369" t="s">
        <v>189</v>
      </c>
      <c r="C4" s="369" t="s">
        <v>2606</v>
      </c>
      <c r="D4" s="369" t="s">
        <v>2329</v>
      </c>
      <c r="E4" s="369" t="s">
        <v>2607</v>
      </c>
      <c r="F4" s="370">
        <v>0.81041666666666667</v>
      </c>
      <c r="G4" s="91" t="s">
        <v>71</v>
      </c>
      <c r="H4" s="91" t="s">
        <v>14</v>
      </c>
      <c r="I4" s="91" t="s">
        <v>71</v>
      </c>
      <c r="J4" s="389" t="s">
        <v>2608</v>
      </c>
      <c r="K4" s="56"/>
      <c r="L4" s="407"/>
      <c r="M4" s="111"/>
    </row>
    <row r="5" spans="1:14" ht="15" customHeight="1">
      <c r="A5" s="52">
        <v>43285</v>
      </c>
      <c r="B5" s="369" t="s">
        <v>189</v>
      </c>
      <c r="C5" s="369" t="s">
        <v>2609</v>
      </c>
      <c r="D5" s="369" t="s">
        <v>2329</v>
      </c>
      <c r="E5" s="369" t="s">
        <v>2607</v>
      </c>
      <c r="F5" s="370">
        <v>0.81041666666666667</v>
      </c>
      <c r="G5" s="91" t="s">
        <v>71</v>
      </c>
      <c r="H5" s="91" t="s">
        <v>71</v>
      </c>
      <c r="I5" s="91" t="s">
        <v>71</v>
      </c>
      <c r="J5" s="389" t="s">
        <v>2610</v>
      </c>
      <c r="K5" s="56"/>
      <c r="L5" s="407"/>
      <c r="M5" s="111"/>
    </row>
    <row r="6" spans="1:14" ht="15" customHeight="1">
      <c r="A6" s="52">
        <v>43285</v>
      </c>
      <c r="B6" s="369" t="s">
        <v>393</v>
      </c>
      <c r="C6" s="369" t="s">
        <v>2611</v>
      </c>
      <c r="D6" s="369" t="s">
        <v>186</v>
      </c>
      <c r="E6" s="369" t="s">
        <v>2612</v>
      </c>
      <c r="F6" s="370">
        <v>0.80555555555555558</v>
      </c>
      <c r="G6" s="91" t="s">
        <v>14</v>
      </c>
      <c r="H6" s="91"/>
      <c r="I6" s="91"/>
      <c r="J6" s="389" t="s">
        <v>2613</v>
      </c>
      <c r="K6" s="56" t="s">
        <v>2614</v>
      </c>
      <c r="L6" s="407"/>
      <c r="M6" s="111"/>
    </row>
    <row r="7" spans="1:14" ht="15" customHeight="1">
      <c r="A7" s="52">
        <v>43285</v>
      </c>
      <c r="B7" s="369" t="s">
        <v>393</v>
      </c>
      <c r="C7" s="369" t="s">
        <v>2615</v>
      </c>
      <c r="D7" s="369" t="s">
        <v>984</v>
      </c>
      <c r="E7" s="369" t="s">
        <v>2616</v>
      </c>
      <c r="F7" s="370">
        <v>0.81111111111111112</v>
      </c>
      <c r="G7" s="91" t="s">
        <v>71</v>
      </c>
      <c r="H7" s="91" t="s">
        <v>71</v>
      </c>
      <c r="I7" s="91" t="s">
        <v>71</v>
      </c>
      <c r="J7" s="389" t="s">
        <v>2617</v>
      </c>
      <c r="K7" s="56"/>
      <c r="L7" s="407"/>
      <c r="M7" s="111"/>
    </row>
    <row r="8" spans="1:14" ht="15" customHeight="1">
      <c r="A8" s="52">
        <v>43285</v>
      </c>
      <c r="B8" s="369" t="s">
        <v>393</v>
      </c>
      <c r="C8" s="369" t="s">
        <v>2618</v>
      </c>
      <c r="D8" s="369" t="s">
        <v>984</v>
      </c>
      <c r="E8" s="369" t="s">
        <v>2619</v>
      </c>
      <c r="F8" s="370">
        <v>0.83125000000000004</v>
      </c>
      <c r="G8" s="91" t="s">
        <v>71</v>
      </c>
      <c r="H8" s="91" t="s">
        <v>71</v>
      </c>
      <c r="I8" s="91" t="s">
        <v>71</v>
      </c>
      <c r="J8" s="389" t="s">
        <v>2620</v>
      </c>
      <c r="K8" s="56"/>
      <c r="L8" s="407"/>
      <c r="M8" s="111"/>
    </row>
    <row r="9" spans="1:14" ht="15" customHeight="1">
      <c r="A9" s="52">
        <v>43285</v>
      </c>
      <c r="B9" s="369" t="s">
        <v>393</v>
      </c>
      <c r="C9" s="369" t="s">
        <v>2621</v>
      </c>
      <c r="D9" s="369" t="s">
        <v>984</v>
      </c>
      <c r="E9" s="369" t="s">
        <v>2622</v>
      </c>
      <c r="F9" s="370">
        <v>0.79513888888888884</v>
      </c>
      <c r="G9" s="91" t="s">
        <v>14</v>
      </c>
      <c r="H9" s="91"/>
      <c r="I9" s="91"/>
      <c r="J9" s="389" t="s">
        <v>2623</v>
      </c>
      <c r="K9" s="56" t="s">
        <v>2624</v>
      </c>
      <c r="L9" s="407"/>
      <c r="M9" s="111"/>
    </row>
    <row r="10" spans="1:14" ht="15" customHeight="1">
      <c r="A10" s="52">
        <v>43285</v>
      </c>
      <c r="B10" s="369" t="s">
        <v>254</v>
      </c>
      <c r="C10" s="369" t="s">
        <v>219</v>
      </c>
      <c r="D10" s="369" t="s">
        <v>1303</v>
      </c>
      <c r="E10" s="369" t="s">
        <v>2625</v>
      </c>
      <c r="F10" s="370">
        <v>0.77777777777777779</v>
      </c>
      <c r="G10" s="91" t="s">
        <v>71</v>
      </c>
      <c r="H10" s="91" t="s">
        <v>71</v>
      </c>
      <c r="I10" s="91" t="s">
        <v>71</v>
      </c>
      <c r="J10" s="389" t="str">
        <f>HYPERLINK("https://yadi.sk/d/VoIAmZ6Q3Ynzdy","https://yadi.sk/d/VoIAmZ6Q3Ynzdy")</f>
        <v>https://yadi.sk/d/VoIAmZ6Q3Ynzdy</v>
      </c>
      <c r="K10" s="56"/>
      <c r="L10" s="407"/>
      <c r="M10" s="111"/>
    </row>
    <row r="11" spans="1:14" ht="15" customHeight="1">
      <c r="A11" s="52">
        <v>43285</v>
      </c>
      <c r="B11" s="369" t="s">
        <v>254</v>
      </c>
      <c r="C11" s="369" t="s">
        <v>2626</v>
      </c>
      <c r="D11" s="369" t="s">
        <v>1303</v>
      </c>
      <c r="E11" s="369" t="s">
        <v>2625</v>
      </c>
      <c r="F11" s="370">
        <v>0.78472222222222221</v>
      </c>
      <c r="G11" s="91" t="s">
        <v>71</v>
      </c>
      <c r="H11" s="91" t="s">
        <v>71</v>
      </c>
      <c r="I11" s="91" t="s">
        <v>71</v>
      </c>
      <c r="J11" s="389" t="str">
        <f>HYPERLINK("https://yadi.sk/d/jj06qHGh3Ynzjf","https://yadi.sk/d/jj06qHGh3Ynzjf")</f>
        <v>https://yadi.sk/d/jj06qHGh3Ynzjf</v>
      </c>
      <c r="K11" s="56"/>
      <c r="L11" s="407"/>
      <c r="M11" s="111"/>
    </row>
    <row r="12" spans="1:14" ht="15" customHeight="1">
      <c r="A12" s="52">
        <v>43285</v>
      </c>
      <c r="B12" s="369" t="s">
        <v>254</v>
      </c>
      <c r="C12" s="369" t="s">
        <v>871</v>
      </c>
      <c r="D12" s="369" t="s">
        <v>1303</v>
      </c>
      <c r="E12" s="369" t="s">
        <v>2625</v>
      </c>
      <c r="F12" s="370">
        <v>0.79166666666666663</v>
      </c>
      <c r="G12" s="91" t="s">
        <v>71</v>
      </c>
      <c r="H12" s="91" t="s">
        <v>71</v>
      </c>
      <c r="I12" s="91" t="s">
        <v>71</v>
      </c>
      <c r="J12" s="389" t="str">
        <f>HYPERLINK("https://yadi.sk/d/atAW0BtI3Ynzne","https://yadi.sk/d/atAW0BtI3Ynzne")</f>
        <v>https://yadi.sk/d/atAW0BtI3Ynzne</v>
      </c>
      <c r="K12" s="56"/>
      <c r="L12" s="407"/>
      <c r="M12" s="111"/>
    </row>
    <row r="13" spans="1:14" ht="15" customHeight="1">
      <c r="A13" s="52">
        <v>43285</v>
      </c>
      <c r="B13" s="369" t="s">
        <v>254</v>
      </c>
      <c r="C13" s="369" t="s">
        <v>2627</v>
      </c>
      <c r="D13" s="369" t="s">
        <v>353</v>
      </c>
      <c r="E13" s="369" t="s">
        <v>2628</v>
      </c>
      <c r="F13" s="370">
        <v>0.8041666666666667</v>
      </c>
      <c r="G13" s="91" t="s">
        <v>71</v>
      </c>
      <c r="H13" s="91" t="s">
        <v>71</v>
      </c>
      <c r="I13" s="91" t="s">
        <v>71</v>
      </c>
      <c r="J13" s="389" t="str">
        <f>HYPERLINK("https://yadi.sk/d/gaq14Vs63Yo29X","https://yadi.sk/d/gaq14Vs63Yo29X")</f>
        <v>https://yadi.sk/d/gaq14Vs63Yo29X</v>
      </c>
      <c r="K13" s="56"/>
      <c r="L13" s="407"/>
      <c r="M13" s="111"/>
    </row>
    <row r="14" spans="1:14" ht="15" customHeight="1">
      <c r="A14" s="49">
        <v>43286</v>
      </c>
      <c r="B14" s="367" t="s">
        <v>310</v>
      </c>
      <c r="C14" s="367" t="s">
        <v>883</v>
      </c>
      <c r="D14" s="371" t="s">
        <v>2430</v>
      </c>
      <c r="E14" s="371" t="s">
        <v>2629</v>
      </c>
      <c r="F14" s="368">
        <v>0.78819444444444442</v>
      </c>
      <c r="G14" s="89" t="s">
        <v>14</v>
      </c>
      <c r="H14" s="89"/>
      <c r="I14" s="89"/>
      <c r="J14" s="404" t="str">
        <f>HYPERLINK("https://yadi.sk/i/Tu7skxIy3YrHX8","https://yadi.sk/i/Tu7skxIy3YrHX8")</f>
        <v>https://yadi.sk/i/Tu7skxIy3YrHX8</v>
      </c>
      <c r="K14" s="56" t="s">
        <v>2630</v>
      </c>
      <c r="L14" s="407"/>
      <c r="M14" s="111"/>
    </row>
    <row r="15" spans="1:14" ht="15" customHeight="1">
      <c r="A15" s="49">
        <v>43286</v>
      </c>
      <c r="B15" s="369" t="s">
        <v>310</v>
      </c>
      <c r="C15" s="369" t="s">
        <v>871</v>
      </c>
      <c r="D15" s="372" t="s">
        <v>2631</v>
      </c>
      <c r="E15" s="372" t="s">
        <v>2632</v>
      </c>
      <c r="F15" s="373">
        <v>0.80208333333333337</v>
      </c>
      <c r="G15" s="91" t="s">
        <v>71</v>
      </c>
      <c r="H15" s="91" t="s">
        <v>71</v>
      </c>
      <c r="I15" s="91" t="s">
        <v>71</v>
      </c>
      <c r="J15" s="389" t="str">
        <f>HYPERLINK("https://yadi.sk/d/KLNRIeUo3YrHZS","https://yadi.sk/d/KLNRIeUo3YrHZS")</f>
        <v>https://yadi.sk/d/KLNRIeUo3YrHZS</v>
      </c>
      <c r="K15" s="56"/>
      <c r="L15" s="407"/>
      <c r="M15" s="111"/>
    </row>
    <row r="16" spans="1:14" ht="15" customHeight="1">
      <c r="A16" s="49">
        <v>43286</v>
      </c>
      <c r="B16" s="369" t="s">
        <v>310</v>
      </c>
      <c r="C16" s="369" t="s">
        <v>222</v>
      </c>
      <c r="D16" s="372" t="s">
        <v>2430</v>
      </c>
      <c r="E16" s="372" t="s">
        <v>2633</v>
      </c>
      <c r="F16" s="370">
        <v>0.8125</v>
      </c>
      <c r="G16" s="91" t="s">
        <v>71</v>
      </c>
      <c r="H16" s="91" t="s">
        <v>71</v>
      </c>
      <c r="I16" s="91" t="s">
        <v>71</v>
      </c>
      <c r="J16" s="389" t="str">
        <f>HYPERLINK("https://yadi.sk/d/4J8fGY563YrHbE","https://yadi.sk/d/4J8fGY563YrHbE")</f>
        <v>https://yadi.sk/d/4J8fGY563YrHbE</v>
      </c>
      <c r="K16" s="56"/>
      <c r="L16" s="407"/>
      <c r="M16" s="111"/>
    </row>
    <row r="17" spans="1:13" ht="15" customHeight="1">
      <c r="A17" s="49">
        <v>43286</v>
      </c>
      <c r="B17" s="369" t="s">
        <v>310</v>
      </c>
      <c r="C17" s="372" t="s">
        <v>2634</v>
      </c>
      <c r="D17" s="372" t="s">
        <v>2430</v>
      </c>
      <c r="E17" s="372" t="s">
        <v>2633</v>
      </c>
      <c r="F17" s="370">
        <v>0.81597222222222221</v>
      </c>
      <c r="G17" s="91" t="s">
        <v>14</v>
      </c>
      <c r="H17" s="91"/>
      <c r="I17" s="91"/>
      <c r="J17" s="389" t="str">
        <f>HYPERLINK("https://yadi.sk/i/nic4KP6M3YrHci","https://yadi.sk/i/nic4KP6M3YrHci")</f>
        <v>https://yadi.sk/i/nic4KP6M3YrHci</v>
      </c>
      <c r="K17" s="56" t="s">
        <v>2635</v>
      </c>
      <c r="L17" s="407"/>
      <c r="M17" s="111"/>
    </row>
    <row r="18" spans="1:13" ht="15" customHeight="1">
      <c r="A18" s="49">
        <v>43286</v>
      </c>
      <c r="B18" s="369" t="s">
        <v>161</v>
      </c>
      <c r="C18" s="369" t="s">
        <v>222</v>
      </c>
      <c r="D18" s="372" t="s">
        <v>1025</v>
      </c>
      <c r="E18" s="372" t="s">
        <v>2636</v>
      </c>
      <c r="F18" s="370">
        <v>0.75694444444444442</v>
      </c>
      <c r="G18" s="91" t="s">
        <v>71</v>
      </c>
      <c r="H18" s="91" t="s">
        <v>71</v>
      </c>
      <c r="I18" s="91" t="s">
        <v>71</v>
      </c>
      <c r="J18" s="389" t="str">
        <f>HYPERLINK("https://yadi.sk/d/BL3bYH_g3YrJh3","https://yadi.sk/d/BL3bYH_g3YrJh3")</f>
        <v>https://yadi.sk/d/BL3bYH_g3YrJh3</v>
      </c>
      <c r="K18" s="56"/>
      <c r="L18" s="407"/>
      <c r="M18" s="111"/>
    </row>
    <row r="19" spans="1:13" ht="15" customHeight="1">
      <c r="A19" s="49">
        <v>43286</v>
      </c>
      <c r="B19" s="369" t="s">
        <v>161</v>
      </c>
      <c r="C19" s="369" t="s">
        <v>596</v>
      </c>
      <c r="D19" s="372" t="s">
        <v>1025</v>
      </c>
      <c r="E19" s="372" t="s">
        <v>2636</v>
      </c>
      <c r="F19" s="370">
        <v>0.76041666666666663</v>
      </c>
      <c r="G19" s="91" t="s">
        <v>71</v>
      </c>
      <c r="H19" s="91" t="s">
        <v>71</v>
      </c>
      <c r="I19" s="91" t="s">
        <v>71</v>
      </c>
      <c r="J19" s="389" t="str">
        <f>HYPERLINK("https://yadi.sk/d/W9YTIcii3YrJfu","https://yadi.sk/d/W9YTIcii3YrJfu")</f>
        <v>https://yadi.sk/d/W9YTIcii3YrJfu</v>
      </c>
      <c r="K19" s="56"/>
      <c r="L19" s="407"/>
      <c r="M19" s="111"/>
    </row>
    <row r="20" spans="1:13" ht="15" customHeight="1">
      <c r="A20" s="49">
        <v>43286</v>
      </c>
      <c r="B20" s="369" t="s">
        <v>161</v>
      </c>
      <c r="C20" s="369" t="s">
        <v>222</v>
      </c>
      <c r="D20" s="372" t="s">
        <v>1025</v>
      </c>
      <c r="E20" s="372" t="s">
        <v>2637</v>
      </c>
      <c r="F20" s="370">
        <v>0.77777777777777779</v>
      </c>
      <c r="G20" s="91" t="s">
        <v>71</v>
      </c>
      <c r="H20" s="91" t="s">
        <v>71</v>
      </c>
      <c r="I20" s="91" t="s">
        <v>71</v>
      </c>
      <c r="J20" s="389" t="str">
        <f>HYPERLINK("https://yadi.sk/d/Kk8BBGIY3YrJaf","https://yadi.sk/d/Kk8BBGIY3YrJaf")</f>
        <v>https://yadi.sk/d/Kk8BBGIY3YrJaf</v>
      </c>
      <c r="K20" s="56"/>
      <c r="L20" s="407"/>
      <c r="M20" s="111"/>
    </row>
    <row r="21" spans="1:13" ht="15" customHeight="1">
      <c r="A21" s="49">
        <v>43286</v>
      </c>
      <c r="B21" s="369" t="s">
        <v>24</v>
      </c>
      <c r="C21" s="369" t="s">
        <v>883</v>
      </c>
      <c r="D21" s="372" t="s">
        <v>1354</v>
      </c>
      <c r="E21" s="372" t="s">
        <v>2638</v>
      </c>
      <c r="F21" s="370">
        <v>0.82291666666666663</v>
      </c>
      <c r="G21" s="91" t="s">
        <v>14</v>
      </c>
      <c r="H21" s="91"/>
      <c r="I21" s="91"/>
      <c r="J21" s="389" t="str">
        <f>HYPERLINK("https://yadi.sk/i/Jvfah82Y3YrLe7","https://yadi.sk/i/Jvfah82Y3YrLe7")</f>
        <v>https://yadi.sk/i/Jvfah82Y3YrLe7</v>
      </c>
      <c r="K21" s="56"/>
      <c r="L21" s="407"/>
      <c r="M21" s="111"/>
    </row>
    <row r="22" spans="1:13" ht="15" customHeight="1">
      <c r="A22" s="49">
        <v>43286</v>
      </c>
      <c r="B22" s="369" t="s">
        <v>24</v>
      </c>
      <c r="C22" s="369" t="s">
        <v>2639</v>
      </c>
      <c r="D22" s="372" t="s">
        <v>1354</v>
      </c>
      <c r="E22" s="372" t="s">
        <v>2640</v>
      </c>
      <c r="F22" s="370">
        <v>0.82638888888888884</v>
      </c>
      <c r="G22" s="91" t="s">
        <v>14</v>
      </c>
      <c r="H22" s="91"/>
      <c r="I22" s="91"/>
      <c r="J22" s="389" t="str">
        <f>HYPERLINK("https://yadi.sk/i/tVaFsX513YrLfU","https://yadi.sk/i/tVaFsX513YrLfU")</f>
        <v>https://yadi.sk/i/tVaFsX513YrLfU</v>
      </c>
      <c r="K22" s="56"/>
      <c r="L22" s="407"/>
      <c r="M22" s="111"/>
    </row>
    <row r="23" spans="1:13" ht="15" customHeight="1">
      <c r="A23" s="49">
        <v>43286</v>
      </c>
      <c r="B23" s="369" t="s">
        <v>24</v>
      </c>
      <c r="C23" s="369" t="s">
        <v>852</v>
      </c>
      <c r="D23" s="372" t="s">
        <v>1354</v>
      </c>
      <c r="E23" s="372" t="s">
        <v>2641</v>
      </c>
      <c r="F23" s="370">
        <v>0.85416666666666663</v>
      </c>
      <c r="G23" s="91" t="s">
        <v>71</v>
      </c>
      <c r="H23" s="91" t="s">
        <v>71</v>
      </c>
      <c r="I23" s="91" t="s">
        <v>71</v>
      </c>
      <c r="J23" s="389" t="str">
        <f>HYPERLINK("https://yadi.sk/d/8PfsZBBx3YrMBo","https://yadi.sk/d/8PfsZBBx3YrMBo")</f>
        <v>https://yadi.sk/d/8PfsZBBx3YrMBo</v>
      </c>
      <c r="K23" s="56"/>
      <c r="L23" s="407"/>
      <c r="M23" s="111"/>
    </row>
    <row r="24" spans="1:13" ht="15" customHeight="1">
      <c r="A24" s="49">
        <v>43286</v>
      </c>
      <c r="B24" s="369" t="s">
        <v>24</v>
      </c>
      <c r="C24" s="369" t="s">
        <v>367</v>
      </c>
      <c r="D24" s="372" t="s">
        <v>1354</v>
      </c>
      <c r="E24" s="372" t="s">
        <v>2642</v>
      </c>
      <c r="F24" s="370">
        <v>0.85902777777777772</v>
      </c>
      <c r="G24" s="91" t="s">
        <v>71</v>
      </c>
      <c r="H24" s="91" t="s">
        <v>71</v>
      </c>
      <c r="I24" s="91" t="s">
        <v>71</v>
      </c>
      <c r="J24" s="389" t="str">
        <f>HYPERLINK("https://yadi.sk/d/mknefE5I3YrMDR","https://yadi.sk/d/mknefE5I3YrMDR")</f>
        <v>https://yadi.sk/d/mknefE5I3YrMDR</v>
      </c>
      <c r="K24" s="56"/>
      <c r="L24" s="407"/>
      <c r="M24" s="111"/>
    </row>
    <row r="25" spans="1:13" ht="15" customHeight="1">
      <c r="A25" s="49">
        <v>43286</v>
      </c>
      <c r="B25" s="369" t="s">
        <v>2643</v>
      </c>
      <c r="C25" s="369" t="s">
        <v>2644</v>
      </c>
      <c r="D25" s="372" t="s">
        <v>119</v>
      </c>
      <c r="E25" s="372" t="s">
        <v>2645</v>
      </c>
      <c r="F25" s="370">
        <v>0.77708333333333335</v>
      </c>
      <c r="G25" s="91" t="s">
        <v>71</v>
      </c>
      <c r="H25" s="91" t="s">
        <v>71</v>
      </c>
      <c r="I25" s="91" t="s">
        <v>71</v>
      </c>
      <c r="J25" s="389" t="s">
        <v>2646</v>
      </c>
      <c r="K25" s="56"/>
      <c r="L25" s="407"/>
      <c r="M25" s="111"/>
    </row>
    <row r="26" spans="1:13" ht="15" customHeight="1">
      <c r="A26" s="49">
        <v>43286</v>
      </c>
      <c r="B26" s="369" t="s">
        <v>2643</v>
      </c>
      <c r="C26" s="369" t="s">
        <v>2647</v>
      </c>
      <c r="D26" s="372" t="s">
        <v>119</v>
      </c>
      <c r="E26" s="372" t="s">
        <v>2648</v>
      </c>
      <c r="F26" s="370">
        <v>0.78888888888888886</v>
      </c>
      <c r="G26" s="91" t="s">
        <v>71</v>
      </c>
      <c r="H26" s="91" t="s">
        <v>71</v>
      </c>
      <c r="I26" s="91" t="s">
        <v>71</v>
      </c>
      <c r="J26" s="389" t="s">
        <v>2649</v>
      </c>
      <c r="K26" s="56"/>
      <c r="L26" s="407"/>
      <c r="M26" s="111"/>
    </row>
    <row r="27" spans="1:13" ht="15" customHeight="1">
      <c r="A27" s="49">
        <v>43286</v>
      </c>
      <c r="B27" s="369" t="s">
        <v>2643</v>
      </c>
      <c r="C27" s="369" t="s">
        <v>2650</v>
      </c>
      <c r="D27" s="372" t="s">
        <v>119</v>
      </c>
      <c r="E27" s="372" t="s">
        <v>2651</v>
      </c>
      <c r="F27" s="370">
        <v>0.78611111111111109</v>
      </c>
      <c r="G27" s="91" t="s">
        <v>71</v>
      </c>
      <c r="H27" s="91" t="s">
        <v>71</v>
      </c>
      <c r="I27" s="91" t="s">
        <v>71</v>
      </c>
      <c r="J27" s="389" t="s">
        <v>2652</v>
      </c>
      <c r="K27" s="56"/>
      <c r="L27" s="407"/>
      <c r="M27" s="111"/>
    </row>
    <row r="28" spans="1:13" ht="15" customHeight="1">
      <c r="A28" s="49">
        <v>43286</v>
      </c>
      <c r="B28" s="369" t="s">
        <v>2643</v>
      </c>
      <c r="C28" s="369" t="s">
        <v>2653</v>
      </c>
      <c r="D28" s="372" t="s">
        <v>1046</v>
      </c>
      <c r="E28" s="372" t="s">
        <v>2654</v>
      </c>
      <c r="F28" s="370">
        <v>0.76666666666666672</v>
      </c>
      <c r="G28" s="91" t="s">
        <v>71</v>
      </c>
      <c r="H28" s="91" t="s">
        <v>71</v>
      </c>
      <c r="I28" s="91" t="s">
        <v>71</v>
      </c>
      <c r="J28" s="389" t="s">
        <v>2655</v>
      </c>
      <c r="K28" s="56"/>
      <c r="L28" s="407"/>
      <c r="M28" s="111"/>
    </row>
    <row r="29" spans="1:13" ht="15" customHeight="1">
      <c r="A29" s="52">
        <v>43287</v>
      </c>
      <c r="B29" s="369" t="s">
        <v>68</v>
      </c>
      <c r="C29" s="369" t="s">
        <v>2656</v>
      </c>
      <c r="D29" s="372" t="s">
        <v>2408</v>
      </c>
      <c r="E29" s="372" t="s">
        <v>2657</v>
      </c>
      <c r="F29" s="370">
        <v>0.84722222222222221</v>
      </c>
      <c r="G29" s="91" t="s">
        <v>14</v>
      </c>
      <c r="H29" s="91"/>
      <c r="I29" s="91"/>
      <c r="J29" s="389" t="s">
        <v>2658</v>
      </c>
      <c r="K29" s="56" t="s">
        <v>2659</v>
      </c>
      <c r="L29" s="407"/>
      <c r="M29" s="111"/>
    </row>
    <row r="30" spans="1:13" ht="15" customHeight="1">
      <c r="A30" s="52">
        <v>43287</v>
      </c>
      <c r="B30" s="369" t="s">
        <v>68</v>
      </c>
      <c r="C30" s="369" t="s">
        <v>2660</v>
      </c>
      <c r="D30" s="372" t="s">
        <v>107</v>
      </c>
      <c r="E30" s="372" t="s">
        <v>2661</v>
      </c>
      <c r="F30" s="370">
        <v>0.82361111111111107</v>
      </c>
      <c r="G30" s="91" t="s">
        <v>71</v>
      </c>
      <c r="H30" s="91" t="s">
        <v>14</v>
      </c>
      <c r="I30" s="91" t="s">
        <v>71</v>
      </c>
      <c r="J30" s="389" t="s">
        <v>2662</v>
      </c>
      <c r="K30" s="56"/>
      <c r="L30" s="407"/>
      <c r="M30" s="111"/>
    </row>
    <row r="31" spans="1:13" ht="15" customHeight="1">
      <c r="A31" s="52">
        <v>43287</v>
      </c>
      <c r="B31" s="369" t="s">
        <v>68</v>
      </c>
      <c r="C31" s="369" t="s">
        <v>2663</v>
      </c>
      <c r="D31" s="372" t="s">
        <v>107</v>
      </c>
      <c r="E31" s="372" t="s">
        <v>2661</v>
      </c>
      <c r="F31" s="370">
        <v>0.83194444444444449</v>
      </c>
      <c r="G31" s="91" t="s">
        <v>71</v>
      </c>
      <c r="H31" s="91" t="s">
        <v>14</v>
      </c>
      <c r="I31" s="91" t="s">
        <v>71</v>
      </c>
      <c r="J31" s="389" t="s">
        <v>2664</v>
      </c>
      <c r="K31" s="56"/>
      <c r="L31" s="407"/>
      <c r="M31" s="111"/>
    </row>
    <row r="32" spans="1:13" ht="15" customHeight="1">
      <c r="A32" s="52">
        <v>43287</v>
      </c>
      <c r="B32" s="369" t="s">
        <v>927</v>
      </c>
      <c r="C32" s="369" t="s">
        <v>2665</v>
      </c>
      <c r="D32" s="372" t="s">
        <v>1975</v>
      </c>
      <c r="E32" s="372" t="s">
        <v>2666</v>
      </c>
      <c r="F32" s="370">
        <v>0.75694444444444442</v>
      </c>
      <c r="G32" s="91" t="s">
        <v>14</v>
      </c>
      <c r="H32" s="91"/>
      <c r="I32" s="91"/>
      <c r="J32" s="389" t="s">
        <v>2667</v>
      </c>
      <c r="K32" s="56" t="s">
        <v>2668</v>
      </c>
      <c r="L32" s="407"/>
      <c r="M32" s="111"/>
    </row>
    <row r="33" spans="1:13" ht="15" customHeight="1">
      <c r="A33" s="52">
        <v>43287</v>
      </c>
      <c r="B33" s="369" t="s">
        <v>927</v>
      </c>
      <c r="C33" s="369" t="s">
        <v>1175</v>
      </c>
      <c r="D33" s="372" t="s">
        <v>1975</v>
      </c>
      <c r="E33" s="372" t="s">
        <v>2669</v>
      </c>
      <c r="F33" s="370">
        <v>0.77569444444444446</v>
      </c>
      <c r="G33" s="91" t="s">
        <v>14</v>
      </c>
      <c r="H33" s="91"/>
      <c r="I33" s="91"/>
      <c r="J33" s="389" t="s">
        <v>2670</v>
      </c>
      <c r="K33" s="56" t="s">
        <v>2668</v>
      </c>
      <c r="L33" s="407"/>
      <c r="M33" s="111"/>
    </row>
    <row r="34" spans="1:13" ht="15" customHeight="1">
      <c r="A34" s="52">
        <v>43287</v>
      </c>
      <c r="B34" s="369" t="s">
        <v>121</v>
      </c>
      <c r="C34" s="369" t="s">
        <v>859</v>
      </c>
      <c r="D34" s="372" t="s">
        <v>1435</v>
      </c>
      <c r="E34" s="372" t="s">
        <v>2671</v>
      </c>
      <c r="F34" s="370">
        <v>0.79166666666666663</v>
      </c>
      <c r="G34" s="91" t="s">
        <v>71</v>
      </c>
      <c r="H34" s="91" t="s">
        <v>71</v>
      </c>
      <c r="I34" s="91" t="s">
        <v>71</v>
      </c>
      <c r="J34" s="389" t="s">
        <v>2672</v>
      </c>
      <c r="K34" s="56"/>
      <c r="L34" s="407"/>
      <c r="M34" s="111"/>
    </row>
    <row r="35" spans="1:13" ht="15" customHeight="1">
      <c r="A35" s="49">
        <v>43290</v>
      </c>
      <c r="B35" s="369" t="s">
        <v>203</v>
      </c>
      <c r="C35" s="369" t="s">
        <v>121</v>
      </c>
      <c r="D35" s="372" t="s">
        <v>857</v>
      </c>
      <c r="E35" s="372" t="s">
        <v>2673</v>
      </c>
      <c r="F35" s="370">
        <v>0.80902777777777779</v>
      </c>
      <c r="G35" s="91" t="s">
        <v>14</v>
      </c>
      <c r="H35" s="91"/>
      <c r="I35" s="91"/>
      <c r="J35" s="389" t="s">
        <v>2674</v>
      </c>
      <c r="K35" s="56" t="s">
        <v>2675</v>
      </c>
      <c r="L35" s="407"/>
      <c r="M35" s="111"/>
    </row>
    <row r="36" spans="1:13" ht="15" customHeight="1">
      <c r="A36" s="49">
        <v>43290</v>
      </c>
      <c r="B36" s="369" t="s">
        <v>203</v>
      </c>
      <c r="C36" s="369" t="s">
        <v>1175</v>
      </c>
      <c r="D36" s="372" t="s">
        <v>857</v>
      </c>
      <c r="E36" s="372" t="s">
        <v>2676</v>
      </c>
      <c r="F36" s="370">
        <v>0.80069444444444449</v>
      </c>
      <c r="G36" s="91" t="s">
        <v>71</v>
      </c>
      <c r="H36" s="91" t="s">
        <v>14</v>
      </c>
      <c r="I36" s="91" t="s">
        <v>71</v>
      </c>
      <c r="J36" s="389" t="s">
        <v>2677</v>
      </c>
      <c r="K36" s="56"/>
      <c r="L36" s="407"/>
      <c r="M36" s="111"/>
    </row>
    <row r="37" spans="1:13" ht="15" customHeight="1">
      <c r="A37" s="49">
        <v>43290</v>
      </c>
      <c r="B37" s="369" t="s">
        <v>203</v>
      </c>
      <c r="C37" s="369" t="s">
        <v>2678</v>
      </c>
      <c r="D37" s="372" t="s">
        <v>857</v>
      </c>
      <c r="E37" s="372" t="s">
        <v>2679</v>
      </c>
      <c r="F37" s="370">
        <v>0.8041666666666667</v>
      </c>
      <c r="G37" s="91" t="s">
        <v>71</v>
      </c>
      <c r="H37" s="91" t="s">
        <v>14</v>
      </c>
      <c r="I37" s="91" t="s">
        <v>71</v>
      </c>
      <c r="J37" s="389" t="s">
        <v>2680</v>
      </c>
      <c r="K37" s="56"/>
      <c r="L37" s="407"/>
      <c r="M37" s="111"/>
    </row>
    <row r="38" spans="1:13" ht="15" customHeight="1">
      <c r="A38" s="49">
        <v>43290</v>
      </c>
      <c r="B38" s="369" t="s">
        <v>130</v>
      </c>
      <c r="C38" s="369" t="s">
        <v>2681</v>
      </c>
      <c r="D38" s="372" t="s">
        <v>1646</v>
      </c>
      <c r="E38" s="372" t="s">
        <v>2682</v>
      </c>
      <c r="F38" s="370">
        <v>0.78541666666666665</v>
      </c>
      <c r="G38" s="91" t="s">
        <v>71</v>
      </c>
      <c r="H38" s="91" t="s">
        <v>71</v>
      </c>
      <c r="I38" s="91" t="s">
        <v>14</v>
      </c>
      <c r="J38" s="389" t="s">
        <v>2683</v>
      </c>
      <c r="K38" s="56"/>
      <c r="L38" s="407"/>
      <c r="M38" s="111"/>
    </row>
    <row r="39" spans="1:13" ht="15" customHeight="1">
      <c r="A39" s="49">
        <v>43290</v>
      </c>
      <c r="B39" s="369" t="s">
        <v>130</v>
      </c>
      <c r="C39" s="369" t="s">
        <v>2684</v>
      </c>
      <c r="D39" s="372" t="s">
        <v>1646</v>
      </c>
      <c r="E39" s="372" t="s">
        <v>2685</v>
      </c>
      <c r="F39" s="370">
        <v>0.81597222222222221</v>
      </c>
      <c r="G39" s="91" t="s">
        <v>14</v>
      </c>
      <c r="H39" s="91"/>
      <c r="I39" s="91"/>
      <c r="J39" s="389" t="s">
        <v>2686</v>
      </c>
      <c r="K39" s="56" t="s">
        <v>2687</v>
      </c>
      <c r="L39" s="407"/>
      <c r="M39" s="111"/>
    </row>
    <row r="40" spans="1:13" ht="15" customHeight="1">
      <c r="A40" s="49">
        <v>43290</v>
      </c>
      <c r="B40" s="369" t="s">
        <v>130</v>
      </c>
      <c r="C40" s="369" t="s">
        <v>2688</v>
      </c>
      <c r="D40" s="372" t="s">
        <v>1646</v>
      </c>
      <c r="E40" s="372" t="s">
        <v>2689</v>
      </c>
      <c r="F40" s="370">
        <v>0.81944444444444442</v>
      </c>
      <c r="G40" s="91" t="s">
        <v>14</v>
      </c>
      <c r="H40" s="91"/>
      <c r="I40" s="91"/>
      <c r="J40" s="389" t="s">
        <v>2690</v>
      </c>
      <c r="K40" s="56" t="s">
        <v>2691</v>
      </c>
      <c r="L40" s="407"/>
      <c r="M40" s="111"/>
    </row>
    <row r="41" spans="1:13" ht="15" customHeight="1">
      <c r="A41" s="49">
        <v>43290</v>
      </c>
      <c r="B41" s="369" t="s">
        <v>130</v>
      </c>
      <c r="C41" s="369" t="s">
        <v>2688</v>
      </c>
      <c r="D41" s="372" t="s">
        <v>1646</v>
      </c>
      <c r="E41" s="372" t="s">
        <v>2692</v>
      </c>
      <c r="F41" s="370">
        <v>0.80902777777777779</v>
      </c>
      <c r="G41" s="91" t="s">
        <v>71</v>
      </c>
      <c r="H41" s="91" t="s">
        <v>71</v>
      </c>
      <c r="I41" s="91" t="s">
        <v>14</v>
      </c>
      <c r="J41" s="389" t="s">
        <v>2693</v>
      </c>
      <c r="K41" s="56"/>
      <c r="L41" s="407"/>
      <c r="M41" s="111"/>
    </row>
    <row r="42" spans="1:13" ht="15" customHeight="1">
      <c r="A42" s="49">
        <v>43290</v>
      </c>
      <c r="B42" s="369" t="s">
        <v>174</v>
      </c>
      <c r="C42" s="369" t="s">
        <v>2694</v>
      </c>
      <c r="D42" s="372" t="s">
        <v>2430</v>
      </c>
      <c r="E42" s="372" t="s">
        <v>2695</v>
      </c>
      <c r="F42" s="370">
        <v>0.82638888888888884</v>
      </c>
      <c r="G42" s="91" t="s">
        <v>71</v>
      </c>
      <c r="H42" s="91" t="s">
        <v>71</v>
      </c>
      <c r="I42" s="91" t="s">
        <v>71</v>
      </c>
      <c r="J42" s="389" t="s">
        <v>2696</v>
      </c>
      <c r="K42" s="56"/>
      <c r="L42" s="407"/>
      <c r="M42" s="111"/>
    </row>
    <row r="43" spans="1:13" ht="15" customHeight="1">
      <c r="A43" s="49">
        <v>43290</v>
      </c>
      <c r="B43" s="369" t="s">
        <v>174</v>
      </c>
      <c r="C43" s="369" t="s">
        <v>2697</v>
      </c>
      <c r="D43" s="372" t="s">
        <v>2430</v>
      </c>
      <c r="E43" s="372" t="s">
        <v>2698</v>
      </c>
      <c r="F43" s="370">
        <v>0.78472222222222221</v>
      </c>
      <c r="G43" s="91" t="s">
        <v>71</v>
      </c>
      <c r="H43" s="91" t="s">
        <v>71</v>
      </c>
      <c r="I43" s="91" t="s">
        <v>71</v>
      </c>
      <c r="J43" s="389" t="s">
        <v>2699</v>
      </c>
      <c r="K43" s="56"/>
      <c r="L43" s="407"/>
      <c r="M43" s="111"/>
    </row>
    <row r="44" spans="1:13" ht="15" customHeight="1">
      <c r="A44" s="49">
        <v>43290</v>
      </c>
      <c r="B44" s="369" t="s">
        <v>174</v>
      </c>
      <c r="C44" s="369" t="s">
        <v>2700</v>
      </c>
      <c r="D44" s="372" t="s">
        <v>119</v>
      </c>
      <c r="E44" s="372" t="s">
        <v>2701</v>
      </c>
      <c r="F44" s="370">
        <v>0.82152777777777775</v>
      </c>
      <c r="G44" s="91" t="s">
        <v>71</v>
      </c>
      <c r="H44" s="91" t="s">
        <v>71</v>
      </c>
      <c r="I44" s="91" t="s">
        <v>71</v>
      </c>
      <c r="J44" s="389" t="s">
        <v>2702</v>
      </c>
      <c r="K44" s="56"/>
      <c r="L44" s="407"/>
      <c r="M44" s="111"/>
    </row>
    <row r="45" spans="1:13" ht="15" customHeight="1">
      <c r="A45" s="49">
        <v>43290</v>
      </c>
      <c r="B45" s="369" t="s">
        <v>174</v>
      </c>
      <c r="C45" s="369" t="s">
        <v>2703</v>
      </c>
      <c r="D45" s="372" t="s">
        <v>116</v>
      </c>
      <c r="E45" s="372" t="s">
        <v>2704</v>
      </c>
      <c r="F45" s="370">
        <v>0.80208333333333337</v>
      </c>
      <c r="G45" s="91" t="s">
        <v>71</v>
      </c>
      <c r="H45" s="91" t="s">
        <v>71</v>
      </c>
      <c r="I45" s="91" t="s">
        <v>71</v>
      </c>
      <c r="J45" s="389" t="s">
        <v>2705</v>
      </c>
      <c r="K45" s="56"/>
      <c r="L45" s="407"/>
      <c r="M45" s="111"/>
    </row>
    <row r="46" spans="1:13" ht="15" customHeight="1">
      <c r="A46" s="49">
        <v>43290</v>
      </c>
      <c r="B46" s="369" t="s">
        <v>2475</v>
      </c>
      <c r="C46" s="369" t="s">
        <v>2706</v>
      </c>
      <c r="D46" s="372" t="s">
        <v>1761</v>
      </c>
      <c r="E46" s="372" t="s">
        <v>2707</v>
      </c>
      <c r="F46" s="370">
        <v>0.76875000000000004</v>
      </c>
      <c r="G46" s="91" t="s">
        <v>14</v>
      </c>
      <c r="H46" s="91"/>
      <c r="I46" s="91"/>
      <c r="J46" s="389" t="s">
        <v>2708</v>
      </c>
      <c r="K46" s="56" t="s">
        <v>2709</v>
      </c>
      <c r="L46" s="407"/>
      <c r="M46" s="111"/>
    </row>
    <row r="47" spans="1:13" ht="15" customHeight="1">
      <c r="A47" s="52">
        <v>43297</v>
      </c>
      <c r="B47" s="367" t="s">
        <v>1670</v>
      </c>
      <c r="C47" s="367" t="s">
        <v>2710</v>
      </c>
      <c r="D47" s="371" t="s">
        <v>186</v>
      </c>
      <c r="E47" s="371" t="s">
        <v>2711</v>
      </c>
      <c r="F47" s="368">
        <v>0.86805555555555558</v>
      </c>
      <c r="G47" s="89" t="s">
        <v>71</v>
      </c>
      <c r="H47" s="89" t="s">
        <v>71</v>
      </c>
      <c r="I47" s="89" t="s">
        <v>71</v>
      </c>
      <c r="J47" s="404" t="str">
        <f>HYPERLINK("https://yadi.sk/d/7hOQ8Dyg3ZFtVk","https://yadi.sk/d/7hOQ8Dyg3ZFtVk")</f>
        <v>https://yadi.sk/d/7hOQ8Dyg3ZFtVk</v>
      </c>
      <c r="K47" s="61"/>
      <c r="L47" s="407"/>
      <c r="M47" s="111"/>
    </row>
    <row r="48" spans="1:13" ht="15" customHeight="1">
      <c r="A48" s="52">
        <v>43297</v>
      </c>
      <c r="B48" s="369" t="s">
        <v>1670</v>
      </c>
      <c r="C48" s="369" t="s">
        <v>2712</v>
      </c>
      <c r="D48" s="372" t="s">
        <v>186</v>
      </c>
      <c r="E48" s="372" t="s">
        <v>2711</v>
      </c>
      <c r="F48" s="370">
        <v>0.87013888888888891</v>
      </c>
      <c r="G48" s="91" t="s">
        <v>71</v>
      </c>
      <c r="H48" s="91" t="s">
        <v>71</v>
      </c>
      <c r="I48" s="91" t="s">
        <v>71</v>
      </c>
      <c r="J48" s="389" t="str">
        <f>HYPERLINK("https://yadi.sk/d/Xpk3oppZ3ZFtk6","https://yadi.sk/d/Xpk3oppZ3ZFtk6")</f>
        <v>https://yadi.sk/d/Xpk3oppZ3ZFtk6</v>
      </c>
      <c r="K48" s="61"/>
      <c r="L48" s="407"/>
      <c r="M48" s="111"/>
    </row>
    <row r="49" spans="1:13" ht="15" customHeight="1">
      <c r="A49" s="52">
        <v>43297</v>
      </c>
      <c r="B49" s="369" t="s">
        <v>1670</v>
      </c>
      <c r="C49" s="369" t="s">
        <v>2713</v>
      </c>
      <c r="D49" s="372" t="s">
        <v>186</v>
      </c>
      <c r="E49" s="372" t="s">
        <v>2711</v>
      </c>
      <c r="F49" s="370">
        <v>0.88194444444444442</v>
      </c>
      <c r="G49" s="91" t="s">
        <v>14</v>
      </c>
      <c r="H49" s="91"/>
      <c r="I49" s="91"/>
      <c r="J49" s="389" t="str">
        <f>HYPERLINK("https://yadi.sk/d/UEXl_xMk3ZFtn9","https://yadi.sk/d/UEXl_xMk3ZFtn9")</f>
        <v>https://yadi.sk/d/UEXl_xMk3ZFtn9</v>
      </c>
      <c r="K49" s="61"/>
      <c r="L49" s="407"/>
      <c r="M49" s="111"/>
    </row>
    <row r="50" spans="1:13" ht="15" customHeight="1">
      <c r="A50" s="52">
        <v>43297</v>
      </c>
      <c r="B50" s="369" t="s">
        <v>1670</v>
      </c>
      <c r="C50" s="369" t="s">
        <v>2611</v>
      </c>
      <c r="D50" s="372" t="s">
        <v>186</v>
      </c>
      <c r="E50" s="372" t="s">
        <v>2711</v>
      </c>
      <c r="F50" s="370">
        <v>0.88541666666666663</v>
      </c>
      <c r="G50" s="91" t="s">
        <v>71</v>
      </c>
      <c r="H50" s="91" t="s">
        <v>71</v>
      </c>
      <c r="I50" s="91" t="s">
        <v>71</v>
      </c>
      <c r="J50" s="389" t="str">
        <f>HYPERLINK("https://yadi.sk/d/GB759EfW3ZFtok","https://yadi.sk/d/GB759EfW3ZFtok")</f>
        <v>https://yadi.sk/d/GB759EfW3ZFtok</v>
      </c>
      <c r="K50" s="61"/>
      <c r="L50" s="407"/>
      <c r="M50" s="111"/>
    </row>
    <row r="51" spans="1:13" ht="15" customHeight="1">
      <c r="A51" s="52">
        <v>43297</v>
      </c>
      <c r="B51" s="369" t="s">
        <v>174</v>
      </c>
      <c r="C51" s="369" t="s">
        <v>859</v>
      </c>
      <c r="D51" s="372" t="s">
        <v>2430</v>
      </c>
      <c r="E51" s="372" t="s">
        <v>2714</v>
      </c>
      <c r="F51" s="370">
        <v>0.77777777777777779</v>
      </c>
      <c r="G51" s="91" t="s">
        <v>71</v>
      </c>
      <c r="H51" s="91" t="s">
        <v>71</v>
      </c>
      <c r="I51" s="91" t="s">
        <v>71</v>
      </c>
      <c r="J51" s="389" t="str">
        <f>HYPERLINK("https://yadi.sk/d/QlDw0cY83ZFuUR","https://yadi.sk/d/QlDw0cY83ZFuUR")</f>
        <v>https://yadi.sk/d/QlDw0cY83ZFuUR</v>
      </c>
      <c r="K51" s="61"/>
      <c r="L51" s="407"/>
      <c r="M51" s="111"/>
    </row>
    <row r="52" spans="1:13" ht="15" customHeight="1">
      <c r="A52" s="52">
        <v>43297</v>
      </c>
      <c r="B52" s="369" t="s">
        <v>174</v>
      </c>
      <c r="C52" s="369" t="s">
        <v>2694</v>
      </c>
      <c r="D52" s="372" t="s">
        <v>2430</v>
      </c>
      <c r="E52" s="372" t="s">
        <v>2715</v>
      </c>
      <c r="F52" s="370">
        <v>0.8125</v>
      </c>
      <c r="G52" s="91" t="s">
        <v>71</v>
      </c>
      <c r="H52" s="91" t="s">
        <v>71</v>
      </c>
      <c r="I52" s="91" t="s">
        <v>71</v>
      </c>
      <c r="J52" s="389" t="str">
        <f>HYPERLINK("https://yadi.sk/d/GpJhEEbK3ZFumv","https://yadi.sk/d/GpJhEEbK3ZFumv")</f>
        <v>https://yadi.sk/d/GpJhEEbK3ZFumv</v>
      </c>
      <c r="K52" s="61"/>
      <c r="L52" s="407"/>
      <c r="M52" s="111"/>
    </row>
    <row r="53" spans="1:13" ht="15" customHeight="1">
      <c r="A53" s="52">
        <v>43297</v>
      </c>
      <c r="B53" s="369" t="s">
        <v>174</v>
      </c>
      <c r="C53" s="369" t="s">
        <v>2716</v>
      </c>
      <c r="D53" s="372" t="s">
        <v>929</v>
      </c>
      <c r="E53" s="372" t="s">
        <v>2717</v>
      </c>
      <c r="F53" s="370">
        <v>0.80555555555555558</v>
      </c>
      <c r="G53" s="91" t="s">
        <v>71</v>
      </c>
      <c r="H53" s="91" t="s">
        <v>71</v>
      </c>
      <c r="I53" s="91" t="s">
        <v>71</v>
      </c>
      <c r="J53" s="389" t="str">
        <f>HYPERLINK("https://yadi.sk/d/T0WJozGn3ZFvES","https://yadi.sk/d/T0WJozGn3ZFvES")</f>
        <v>https://yadi.sk/d/T0WJozGn3ZFvES</v>
      </c>
      <c r="K53" s="61"/>
      <c r="L53" s="407"/>
      <c r="M53" s="111"/>
    </row>
    <row r="54" spans="1:13" ht="15" customHeight="1">
      <c r="A54" s="52">
        <v>43297</v>
      </c>
      <c r="B54" s="369" t="s">
        <v>189</v>
      </c>
      <c r="C54" s="369" t="s">
        <v>2718</v>
      </c>
      <c r="D54" s="372" t="s">
        <v>2329</v>
      </c>
      <c r="E54" s="372" t="s">
        <v>2719</v>
      </c>
      <c r="F54" s="370">
        <v>0.79652777777777772</v>
      </c>
      <c r="G54" s="91" t="s">
        <v>71</v>
      </c>
      <c r="H54" s="91" t="s">
        <v>14</v>
      </c>
      <c r="I54" s="91" t="s">
        <v>71</v>
      </c>
      <c r="J54" s="389" t="s">
        <v>2720</v>
      </c>
      <c r="K54" s="56"/>
      <c r="L54" s="407"/>
      <c r="M54" s="111"/>
    </row>
    <row r="55" spans="1:13" ht="15" customHeight="1">
      <c r="A55" s="52">
        <v>43297</v>
      </c>
      <c r="B55" s="369" t="s">
        <v>189</v>
      </c>
      <c r="C55" s="369" t="s">
        <v>2721</v>
      </c>
      <c r="D55" s="372" t="s">
        <v>2329</v>
      </c>
      <c r="E55" s="372" t="s">
        <v>2722</v>
      </c>
      <c r="F55" s="370">
        <v>0.82638888888888884</v>
      </c>
      <c r="G55" s="91" t="s">
        <v>71</v>
      </c>
      <c r="H55" s="91" t="s">
        <v>71</v>
      </c>
      <c r="I55" s="91" t="s">
        <v>71</v>
      </c>
      <c r="J55" s="389" t="s">
        <v>2723</v>
      </c>
      <c r="K55" s="56"/>
      <c r="L55" s="407"/>
      <c r="M55" s="111"/>
    </row>
    <row r="56" spans="1:13" ht="15" customHeight="1">
      <c r="A56" s="52">
        <v>43297</v>
      </c>
      <c r="B56" s="369" t="s">
        <v>189</v>
      </c>
      <c r="C56" s="369" t="s">
        <v>2602</v>
      </c>
      <c r="D56" s="372" t="s">
        <v>2329</v>
      </c>
      <c r="E56" s="372" t="s">
        <v>2722</v>
      </c>
      <c r="F56" s="370">
        <v>0.82638888888888884</v>
      </c>
      <c r="G56" s="91" t="s">
        <v>14</v>
      </c>
      <c r="H56" s="91"/>
      <c r="I56" s="91"/>
      <c r="J56" s="389" t="s">
        <v>2724</v>
      </c>
      <c r="K56" s="56" t="s">
        <v>2725</v>
      </c>
      <c r="L56" s="407"/>
      <c r="M56" s="111"/>
    </row>
    <row r="57" spans="1:13" ht="15" customHeight="1">
      <c r="A57" s="52">
        <v>43297</v>
      </c>
      <c r="B57" s="369" t="s">
        <v>189</v>
      </c>
      <c r="C57" s="369" t="s">
        <v>657</v>
      </c>
      <c r="D57" s="372" t="s">
        <v>2329</v>
      </c>
      <c r="E57" s="372" t="s">
        <v>2726</v>
      </c>
      <c r="F57" s="370">
        <v>0.85416666666666663</v>
      </c>
      <c r="G57" s="91" t="s">
        <v>14</v>
      </c>
      <c r="H57" s="91"/>
      <c r="I57" s="91"/>
      <c r="J57" s="389" t="s">
        <v>2727</v>
      </c>
      <c r="K57" s="56" t="s">
        <v>627</v>
      </c>
      <c r="L57" s="407"/>
      <c r="M57" s="111"/>
    </row>
    <row r="58" spans="1:13" ht="15" customHeight="1">
      <c r="A58" s="52">
        <v>43297</v>
      </c>
      <c r="B58" s="369" t="s">
        <v>97</v>
      </c>
      <c r="C58" s="369" t="s">
        <v>2728</v>
      </c>
      <c r="D58" s="372" t="s">
        <v>2430</v>
      </c>
      <c r="E58" s="372" t="s">
        <v>2729</v>
      </c>
      <c r="F58" s="370">
        <v>0.79513888888888884</v>
      </c>
      <c r="G58" s="91" t="s">
        <v>71</v>
      </c>
      <c r="H58" s="91" t="s">
        <v>71</v>
      </c>
      <c r="I58" s="91" t="s">
        <v>71</v>
      </c>
      <c r="J58" s="389" t="s">
        <v>2730</v>
      </c>
      <c r="K58" s="61"/>
      <c r="L58" s="407"/>
      <c r="M58" s="111"/>
    </row>
    <row r="59" spans="1:13" ht="15" customHeight="1">
      <c r="A59" s="52">
        <v>43297</v>
      </c>
      <c r="B59" s="369" t="s">
        <v>97</v>
      </c>
      <c r="C59" s="369" t="s">
        <v>2647</v>
      </c>
      <c r="D59" s="372" t="s">
        <v>119</v>
      </c>
      <c r="E59" s="372" t="s">
        <v>2731</v>
      </c>
      <c r="F59" s="370">
        <v>0.79652777777777772</v>
      </c>
      <c r="G59" s="91" t="s">
        <v>71</v>
      </c>
      <c r="H59" s="91" t="s">
        <v>71</v>
      </c>
      <c r="I59" s="91" t="s">
        <v>14</v>
      </c>
      <c r="J59" s="389" t="s">
        <v>2732</v>
      </c>
      <c r="K59" s="61"/>
      <c r="L59" s="407"/>
      <c r="M59" s="111"/>
    </row>
    <row r="60" spans="1:13" ht="15" customHeight="1">
      <c r="A60" s="52">
        <v>43297</v>
      </c>
      <c r="B60" s="369" t="s">
        <v>97</v>
      </c>
      <c r="C60" s="369" t="s">
        <v>2644</v>
      </c>
      <c r="D60" s="372" t="s">
        <v>119</v>
      </c>
      <c r="E60" s="372" t="s">
        <v>2733</v>
      </c>
      <c r="F60" s="370">
        <v>0.79236111111111107</v>
      </c>
      <c r="G60" s="91" t="s">
        <v>71</v>
      </c>
      <c r="H60" s="91" t="s">
        <v>71</v>
      </c>
      <c r="I60" s="91" t="s">
        <v>71</v>
      </c>
      <c r="J60" s="389" t="s">
        <v>2734</v>
      </c>
      <c r="K60" s="61"/>
      <c r="L60" s="407"/>
      <c r="M60" s="111"/>
    </row>
    <row r="61" spans="1:13" ht="15" customHeight="1">
      <c r="A61" s="52">
        <v>43297</v>
      </c>
      <c r="B61" s="369" t="s">
        <v>97</v>
      </c>
      <c r="C61" s="369" t="s">
        <v>2735</v>
      </c>
      <c r="D61" s="372" t="s">
        <v>119</v>
      </c>
      <c r="E61" s="372" t="s">
        <v>2736</v>
      </c>
      <c r="F61" s="370">
        <v>0.78125</v>
      </c>
      <c r="G61" s="91" t="s">
        <v>71</v>
      </c>
      <c r="H61" s="91" t="s">
        <v>14</v>
      </c>
      <c r="I61" s="91" t="s">
        <v>71</v>
      </c>
      <c r="J61" s="389" t="s">
        <v>2737</v>
      </c>
      <c r="K61" s="61"/>
      <c r="L61" s="407"/>
      <c r="M61" s="111"/>
    </row>
    <row r="62" spans="1:13" ht="15" customHeight="1">
      <c r="A62" s="49">
        <v>43299</v>
      </c>
      <c r="B62" s="374" t="s">
        <v>393</v>
      </c>
      <c r="C62" s="374" t="s">
        <v>2700</v>
      </c>
      <c r="D62" s="166" t="s">
        <v>186</v>
      </c>
      <c r="E62" s="380" t="s">
        <v>652</v>
      </c>
      <c r="F62" s="375">
        <v>0.79583333333333328</v>
      </c>
      <c r="G62" s="376" t="s">
        <v>71</v>
      </c>
      <c r="H62" s="376" t="s">
        <v>71</v>
      </c>
      <c r="I62" s="376" t="s">
        <v>71</v>
      </c>
      <c r="J62" s="405" t="s">
        <v>2738</v>
      </c>
      <c r="K62" s="408"/>
      <c r="L62" s="407"/>
      <c r="M62" s="111"/>
    </row>
    <row r="63" spans="1:13" ht="15" customHeight="1">
      <c r="A63" s="49">
        <v>43299</v>
      </c>
      <c r="B63" s="377" t="s">
        <v>393</v>
      </c>
      <c r="C63" s="377" t="s">
        <v>884</v>
      </c>
      <c r="D63" s="144" t="s">
        <v>186</v>
      </c>
      <c r="E63" s="381" t="s">
        <v>2739</v>
      </c>
      <c r="F63" s="378">
        <v>0.85069444444444442</v>
      </c>
      <c r="G63" s="379" t="s">
        <v>71</v>
      </c>
      <c r="H63" s="379" t="s">
        <v>14</v>
      </c>
      <c r="I63" s="379" t="s">
        <v>14</v>
      </c>
      <c r="J63" s="406" t="s">
        <v>2740</v>
      </c>
      <c r="K63" s="408"/>
      <c r="L63" s="407"/>
      <c r="M63" s="111"/>
    </row>
    <row r="64" spans="1:13" ht="15" customHeight="1">
      <c r="A64" s="49">
        <v>43299</v>
      </c>
      <c r="B64" s="377" t="s">
        <v>393</v>
      </c>
      <c r="C64" s="377" t="s">
        <v>852</v>
      </c>
      <c r="D64" s="144" t="s">
        <v>186</v>
      </c>
      <c r="E64" s="381" t="s">
        <v>652</v>
      </c>
      <c r="F64" s="378">
        <v>0.79583333333333328</v>
      </c>
      <c r="G64" s="379" t="s">
        <v>71</v>
      </c>
      <c r="H64" s="379" t="s">
        <v>14</v>
      </c>
      <c r="I64" s="379" t="s">
        <v>71</v>
      </c>
      <c r="J64" s="406" t="s">
        <v>2741</v>
      </c>
      <c r="K64" s="408"/>
      <c r="L64" s="407"/>
      <c r="M64" s="111"/>
    </row>
    <row r="65" spans="1:13" ht="15" customHeight="1">
      <c r="A65" s="49">
        <v>43299</v>
      </c>
      <c r="B65" s="377" t="s">
        <v>393</v>
      </c>
      <c r="C65" s="377" t="s">
        <v>2742</v>
      </c>
      <c r="D65" s="144" t="s">
        <v>186</v>
      </c>
      <c r="E65" s="381" t="s">
        <v>2743</v>
      </c>
      <c r="F65" s="378">
        <v>0.8520833333333333</v>
      </c>
      <c r="G65" s="379" t="s">
        <v>71</v>
      </c>
      <c r="H65" s="379" t="s">
        <v>14</v>
      </c>
      <c r="I65" s="379" t="s">
        <v>71</v>
      </c>
      <c r="J65" s="406" t="s">
        <v>2744</v>
      </c>
      <c r="K65" s="408"/>
      <c r="L65" s="407"/>
      <c r="M65" s="111"/>
    </row>
    <row r="66" spans="1:13" ht="15" customHeight="1">
      <c r="A66" s="49">
        <v>43299</v>
      </c>
      <c r="B66" s="377" t="s">
        <v>279</v>
      </c>
      <c r="C66" s="377" t="s">
        <v>2745</v>
      </c>
      <c r="D66" s="144" t="s">
        <v>186</v>
      </c>
      <c r="E66" s="381" t="s">
        <v>2746</v>
      </c>
      <c r="F66" s="378">
        <v>0.79513888888888884</v>
      </c>
      <c r="G66" s="379" t="s">
        <v>71</v>
      </c>
      <c r="H66" s="379" t="s">
        <v>71</v>
      </c>
      <c r="I66" s="379" t="s">
        <v>71</v>
      </c>
      <c r="J66" s="406" t="s">
        <v>2747</v>
      </c>
      <c r="K66" s="408"/>
      <c r="L66" s="407"/>
      <c r="M66" s="111"/>
    </row>
    <row r="67" spans="1:13" ht="15" customHeight="1">
      <c r="A67" s="49">
        <v>43299</v>
      </c>
      <c r="B67" s="377" t="s">
        <v>279</v>
      </c>
      <c r="C67" s="377" t="s">
        <v>865</v>
      </c>
      <c r="D67" s="144" t="s">
        <v>186</v>
      </c>
      <c r="E67" s="381" t="s">
        <v>2748</v>
      </c>
      <c r="F67" s="378">
        <v>0.79861111111111116</v>
      </c>
      <c r="G67" s="379" t="s">
        <v>71</v>
      </c>
      <c r="H67" s="379" t="s">
        <v>71</v>
      </c>
      <c r="I67" s="379" t="s">
        <v>71</v>
      </c>
      <c r="J67" s="406" t="s">
        <v>2749</v>
      </c>
      <c r="K67" s="409"/>
      <c r="L67" s="407"/>
      <c r="M67" s="111"/>
    </row>
    <row r="68" spans="1:13" ht="15" customHeight="1">
      <c r="A68" s="49">
        <v>43299</v>
      </c>
      <c r="B68" s="377" t="s">
        <v>279</v>
      </c>
      <c r="C68" s="377" t="s">
        <v>1175</v>
      </c>
      <c r="D68" s="144" t="s">
        <v>186</v>
      </c>
      <c r="E68" s="381" t="s">
        <v>2750</v>
      </c>
      <c r="F68" s="378">
        <v>0.80208333333333337</v>
      </c>
      <c r="G68" s="379" t="s">
        <v>71</v>
      </c>
      <c r="H68" s="379" t="s">
        <v>71</v>
      </c>
      <c r="I68" s="379" t="s">
        <v>71</v>
      </c>
      <c r="J68" s="406" t="s">
        <v>2751</v>
      </c>
      <c r="K68" s="409"/>
      <c r="L68" s="407"/>
      <c r="M68" s="111"/>
    </row>
    <row r="69" spans="1:13" ht="15" customHeight="1">
      <c r="A69" s="49">
        <v>43299</v>
      </c>
      <c r="B69" s="377" t="s">
        <v>279</v>
      </c>
      <c r="C69" s="377" t="s">
        <v>219</v>
      </c>
      <c r="D69" s="144" t="s">
        <v>186</v>
      </c>
      <c r="E69" s="381" t="s">
        <v>2752</v>
      </c>
      <c r="F69" s="378">
        <v>0.82291666666666663</v>
      </c>
      <c r="G69" s="379" t="s">
        <v>14</v>
      </c>
      <c r="H69" s="379"/>
      <c r="I69" s="379"/>
      <c r="J69" s="406" t="s">
        <v>2753</v>
      </c>
      <c r="K69" s="409" t="s">
        <v>2754</v>
      </c>
      <c r="L69" s="407"/>
      <c r="M69" s="111"/>
    </row>
    <row r="70" spans="1:13" ht="15" customHeight="1">
      <c r="A70" s="49">
        <v>43299</v>
      </c>
      <c r="B70" s="377" t="s">
        <v>2755</v>
      </c>
      <c r="C70" s="377" t="s">
        <v>2718</v>
      </c>
      <c r="D70" s="144" t="s">
        <v>2756</v>
      </c>
      <c r="E70" s="381" t="s">
        <v>2757</v>
      </c>
      <c r="F70" s="378">
        <v>0.77638888888888891</v>
      </c>
      <c r="G70" s="379" t="s">
        <v>71</v>
      </c>
      <c r="H70" s="379" t="s">
        <v>14</v>
      </c>
      <c r="I70" s="379" t="s">
        <v>71</v>
      </c>
      <c r="J70" s="406" t="s">
        <v>2758</v>
      </c>
      <c r="K70" s="409"/>
      <c r="L70" s="407"/>
      <c r="M70" s="111"/>
    </row>
    <row r="71" spans="1:13" ht="15" customHeight="1">
      <c r="A71" s="49">
        <v>43299</v>
      </c>
      <c r="B71" s="377" t="s">
        <v>2755</v>
      </c>
      <c r="C71" s="377" t="s">
        <v>871</v>
      </c>
      <c r="D71" s="144" t="s">
        <v>2756</v>
      </c>
      <c r="E71" s="381" t="s">
        <v>2759</v>
      </c>
      <c r="F71" s="378">
        <v>0.78749999999999998</v>
      </c>
      <c r="G71" s="379" t="s">
        <v>71</v>
      </c>
      <c r="H71" s="379" t="s">
        <v>14</v>
      </c>
      <c r="I71" s="379" t="s">
        <v>71</v>
      </c>
      <c r="J71" s="406" t="s">
        <v>2760</v>
      </c>
      <c r="K71" s="409"/>
      <c r="L71" s="407"/>
      <c r="M71" s="111"/>
    </row>
    <row r="72" spans="1:13" ht="15" customHeight="1">
      <c r="A72" s="49">
        <v>43299</v>
      </c>
      <c r="B72" s="377" t="s">
        <v>2755</v>
      </c>
      <c r="C72" s="377" t="s">
        <v>222</v>
      </c>
      <c r="D72" s="144" t="s">
        <v>2756</v>
      </c>
      <c r="E72" s="381" t="s">
        <v>2761</v>
      </c>
      <c r="F72" s="378">
        <v>0.78888888888888886</v>
      </c>
      <c r="G72" s="379" t="s">
        <v>71</v>
      </c>
      <c r="H72" s="379" t="s">
        <v>14</v>
      </c>
      <c r="I72" s="379" t="s">
        <v>71</v>
      </c>
      <c r="J72" s="406" t="s">
        <v>2762</v>
      </c>
      <c r="K72" s="409"/>
      <c r="L72" s="407"/>
      <c r="M72" s="111"/>
    </row>
    <row r="73" spans="1:13" ht="15" customHeight="1">
      <c r="A73" s="49">
        <v>43299</v>
      </c>
      <c r="B73" s="377" t="s">
        <v>2755</v>
      </c>
      <c r="C73" s="377" t="s">
        <v>883</v>
      </c>
      <c r="D73" s="144" t="s">
        <v>2756</v>
      </c>
      <c r="E73" s="381" t="s">
        <v>2763</v>
      </c>
      <c r="F73" s="378">
        <v>0.79583333333333328</v>
      </c>
      <c r="G73" s="379" t="s">
        <v>14</v>
      </c>
      <c r="H73" s="379"/>
      <c r="I73" s="379"/>
      <c r="J73" s="406" t="s">
        <v>2764</v>
      </c>
      <c r="K73" s="409" t="s">
        <v>2765</v>
      </c>
      <c r="L73" s="407"/>
      <c r="M73" s="111"/>
    </row>
    <row r="74" spans="1:13" ht="15" customHeight="1">
      <c r="A74" s="49">
        <v>43299</v>
      </c>
      <c r="B74" s="377" t="s">
        <v>97</v>
      </c>
      <c r="C74" s="377" t="s">
        <v>2721</v>
      </c>
      <c r="D74" s="144" t="s">
        <v>119</v>
      </c>
      <c r="E74" s="381" t="s">
        <v>2766</v>
      </c>
      <c r="F74" s="378">
        <v>0.77430555555555558</v>
      </c>
      <c r="G74" s="379" t="s">
        <v>71</v>
      </c>
      <c r="H74" s="379" t="s">
        <v>14</v>
      </c>
      <c r="I74" s="379" t="s">
        <v>71</v>
      </c>
      <c r="J74" s="406" t="s">
        <v>2767</v>
      </c>
      <c r="K74" s="409"/>
      <c r="L74" s="407"/>
      <c r="M74" s="111"/>
    </row>
    <row r="75" spans="1:13" ht="15" customHeight="1">
      <c r="A75" s="49">
        <v>43299</v>
      </c>
      <c r="B75" s="377" t="s">
        <v>97</v>
      </c>
      <c r="C75" s="377" t="s">
        <v>2700</v>
      </c>
      <c r="D75" s="144" t="s">
        <v>119</v>
      </c>
      <c r="E75" s="381" t="s">
        <v>2768</v>
      </c>
      <c r="F75" s="378">
        <v>0.78402777777777777</v>
      </c>
      <c r="G75" s="379" t="s">
        <v>14</v>
      </c>
      <c r="H75" s="379"/>
      <c r="I75" s="379"/>
      <c r="J75" s="406" t="s">
        <v>2769</v>
      </c>
      <c r="K75" s="409" t="s">
        <v>2770</v>
      </c>
      <c r="L75" s="407"/>
      <c r="M75" s="111"/>
    </row>
    <row r="76" spans="1:13" ht="15" customHeight="1">
      <c r="A76" s="49">
        <v>43299</v>
      </c>
      <c r="B76" s="377" t="s">
        <v>97</v>
      </c>
      <c r="C76" s="377" t="s">
        <v>852</v>
      </c>
      <c r="D76" s="144" t="s">
        <v>119</v>
      </c>
      <c r="E76" s="381" t="s">
        <v>2771</v>
      </c>
      <c r="F76" s="378">
        <v>0.78263888888888888</v>
      </c>
      <c r="G76" s="379" t="s">
        <v>71</v>
      </c>
      <c r="H76" s="379" t="s">
        <v>71</v>
      </c>
      <c r="I76" s="379" t="s">
        <v>71</v>
      </c>
      <c r="J76" s="406" t="s">
        <v>2772</v>
      </c>
      <c r="K76" s="409" t="s">
        <v>2773</v>
      </c>
      <c r="L76" s="407"/>
      <c r="M76" s="111"/>
    </row>
    <row r="77" spans="1:13" ht="15" customHeight="1">
      <c r="A77" s="49">
        <v>43299</v>
      </c>
      <c r="B77" s="377" t="s">
        <v>97</v>
      </c>
      <c r="C77" s="377" t="s">
        <v>596</v>
      </c>
      <c r="D77" s="144" t="s">
        <v>119</v>
      </c>
      <c r="E77" s="381" t="s">
        <v>2774</v>
      </c>
      <c r="F77" s="378">
        <v>0.7993055555555556</v>
      </c>
      <c r="G77" s="379" t="s">
        <v>71</v>
      </c>
      <c r="H77" s="379" t="s">
        <v>14</v>
      </c>
      <c r="I77" s="379" t="s">
        <v>14</v>
      </c>
      <c r="J77" s="406" t="s">
        <v>2775</v>
      </c>
      <c r="K77" s="409"/>
      <c r="L77" s="407"/>
      <c r="M77" s="111"/>
    </row>
    <row r="78" spans="1:13" ht="15" customHeight="1">
      <c r="A78" s="52">
        <v>43300</v>
      </c>
      <c r="B78" s="374" t="s">
        <v>927</v>
      </c>
      <c r="C78" s="374" t="s">
        <v>852</v>
      </c>
      <c r="D78" s="386" t="s">
        <v>1975</v>
      </c>
      <c r="E78" s="382" t="s">
        <v>2776</v>
      </c>
      <c r="F78" s="375">
        <v>0.75694444444444442</v>
      </c>
      <c r="G78" s="376" t="s">
        <v>71</v>
      </c>
      <c r="H78" s="376" t="s">
        <v>14</v>
      </c>
      <c r="I78" s="376" t="s">
        <v>71</v>
      </c>
      <c r="J78" s="405" t="s">
        <v>2777</v>
      </c>
      <c r="K78" s="408"/>
      <c r="L78" s="407"/>
      <c r="M78" s="111"/>
    </row>
    <row r="79" spans="1:13" ht="15" customHeight="1">
      <c r="A79" s="52">
        <v>43300</v>
      </c>
      <c r="B79" s="377" t="s">
        <v>927</v>
      </c>
      <c r="C79" s="377" t="s">
        <v>2700</v>
      </c>
      <c r="D79" s="387" t="s">
        <v>1979</v>
      </c>
      <c r="E79" s="383" t="s">
        <v>2778</v>
      </c>
      <c r="F79" s="378">
        <v>0.77361111111111114</v>
      </c>
      <c r="G79" s="379" t="s">
        <v>71</v>
      </c>
      <c r="H79" s="379" t="s">
        <v>71</v>
      </c>
      <c r="I79" s="379" t="s">
        <v>71</v>
      </c>
      <c r="J79" s="406" t="s">
        <v>2779</v>
      </c>
      <c r="K79" s="408"/>
      <c r="L79" s="407"/>
      <c r="M79" s="111"/>
    </row>
    <row r="80" spans="1:13" ht="15" customHeight="1">
      <c r="A80" s="52">
        <v>43300</v>
      </c>
      <c r="B80" s="377" t="s">
        <v>927</v>
      </c>
      <c r="C80" s="377" t="s">
        <v>2780</v>
      </c>
      <c r="D80" s="387" t="s">
        <v>1512</v>
      </c>
      <c r="E80" s="377" t="s">
        <v>2781</v>
      </c>
      <c r="F80" s="378">
        <v>0.79861111111111116</v>
      </c>
      <c r="G80" s="379" t="s">
        <v>71</v>
      </c>
      <c r="H80" s="379" t="s">
        <v>71</v>
      </c>
      <c r="I80" s="379" t="s">
        <v>71</v>
      </c>
      <c r="J80" s="406" t="s">
        <v>2782</v>
      </c>
      <c r="K80" s="409" t="s">
        <v>2783</v>
      </c>
      <c r="L80" s="407"/>
      <c r="M80" s="111"/>
    </row>
    <row r="81" spans="1:13" ht="15" customHeight="1">
      <c r="A81" s="52">
        <v>43300</v>
      </c>
      <c r="B81" s="377" t="s">
        <v>1570</v>
      </c>
      <c r="C81" s="377" t="s">
        <v>2784</v>
      </c>
      <c r="D81" s="387" t="s">
        <v>1435</v>
      </c>
      <c r="E81" s="377" t="s">
        <v>2785</v>
      </c>
      <c r="F81" s="378">
        <v>0.79166666666666663</v>
      </c>
      <c r="G81" s="379" t="s">
        <v>71</v>
      </c>
      <c r="H81" s="379" t="s">
        <v>71</v>
      </c>
      <c r="I81" s="379" t="s">
        <v>71</v>
      </c>
      <c r="J81" s="406" t="s">
        <v>2786</v>
      </c>
      <c r="K81" s="409"/>
      <c r="L81" s="407"/>
      <c r="M81" s="111"/>
    </row>
    <row r="82" spans="1:13" ht="15" customHeight="1">
      <c r="A82" s="52">
        <v>43300</v>
      </c>
      <c r="B82" s="377" t="s">
        <v>1570</v>
      </c>
      <c r="C82" s="377" t="s">
        <v>222</v>
      </c>
      <c r="D82" s="387" t="s">
        <v>1435</v>
      </c>
      <c r="E82" s="383" t="s">
        <v>2787</v>
      </c>
      <c r="F82" s="378">
        <v>0.91388888888888886</v>
      </c>
      <c r="G82" s="379" t="s">
        <v>14</v>
      </c>
      <c r="H82" s="379"/>
      <c r="I82" s="379"/>
      <c r="J82" s="406" t="s">
        <v>2788</v>
      </c>
      <c r="K82" s="409" t="s">
        <v>2789</v>
      </c>
      <c r="L82" s="407"/>
      <c r="M82" s="111"/>
    </row>
    <row r="83" spans="1:13" ht="15" customHeight="1">
      <c r="A83" s="52">
        <v>43300</v>
      </c>
      <c r="B83" s="377" t="s">
        <v>1570</v>
      </c>
      <c r="C83" s="377" t="s">
        <v>852</v>
      </c>
      <c r="D83" s="387" t="s">
        <v>1435</v>
      </c>
      <c r="E83" s="383" t="s">
        <v>2790</v>
      </c>
      <c r="F83" s="378">
        <v>0.80208333333333337</v>
      </c>
      <c r="G83" s="379" t="s">
        <v>71</v>
      </c>
      <c r="H83" s="379" t="s">
        <v>71</v>
      </c>
      <c r="I83" s="379" t="s">
        <v>71</v>
      </c>
      <c r="J83" s="406" t="s">
        <v>2791</v>
      </c>
      <c r="K83" s="409"/>
      <c r="L83" s="407"/>
      <c r="M83" s="111"/>
    </row>
    <row r="84" spans="1:13" ht="15" customHeight="1">
      <c r="A84" s="52">
        <v>43300</v>
      </c>
      <c r="B84" s="377" t="s">
        <v>1570</v>
      </c>
      <c r="C84" s="377" t="s">
        <v>367</v>
      </c>
      <c r="D84" s="387" t="s">
        <v>1435</v>
      </c>
      <c r="E84" s="383" t="s">
        <v>2792</v>
      </c>
      <c r="F84" s="378">
        <v>0.81597222222222221</v>
      </c>
      <c r="G84" s="379" t="s">
        <v>14</v>
      </c>
      <c r="H84" s="379"/>
      <c r="I84" s="379"/>
      <c r="J84" s="406" t="s">
        <v>2793</v>
      </c>
      <c r="K84" s="409"/>
      <c r="L84" s="407"/>
      <c r="M84" s="111"/>
    </row>
    <row r="85" spans="1:13" ht="15" customHeight="1">
      <c r="A85" s="52">
        <v>43300</v>
      </c>
      <c r="B85" s="385" t="s">
        <v>2516</v>
      </c>
      <c r="C85" s="385" t="s">
        <v>884</v>
      </c>
      <c r="D85" s="385" t="s">
        <v>107</v>
      </c>
      <c r="E85" s="377" t="s">
        <v>2794</v>
      </c>
      <c r="F85" s="378">
        <v>0.77430555555555558</v>
      </c>
      <c r="G85" s="379" t="s">
        <v>71</v>
      </c>
      <c r="H85" s="379" t="s">
        <v>71</v>
      </c>
      <c r="I85" s="379" t="s">
        <v>71</v>
      </c>
      <c r="J85" s="406" t="s">
        <v>2795</v>
      </c>
      <c r="K85" s="409"/>
      <c r="L85" s="407"/>
      <c r="M85" s="111"/>
    </row>
    <row r="86" spans="1:13" ht="15" customHeight="1">
      <c r="A86" s="52">
        <v>43300</v>
      </c>
      <c r="B86" s="385" t="s">
        <v>2516</v>
      </c>
      <c r="C86" s="385" t="s">
        <v>2796</v>
      </c>
      <c r="D86" s="385" t="s">
        <v>107</v>
      </c>
      <c r="E86" s="377" t="s">
        <v>2797</v>
      </c>
      <c r="F86" s="378">
        <v>0.79305555555555551</v>
      </c>
      <c r="G86" s="379" t="s">
        <v>71</v>
      </c>
      <c r="H86" s="379" t="s">
        <v>71</v>
      </c>
      <c r="I86" s="379" t="s">
        <v>71</v>
      </c>
      <c r="J86" s="406" t="s">
        <v>2798</v>
      </c>
      <c r="K86" s="409"/>
      <c r="L86" s="407"/>
      <c r="M86" s="111"/>
    </row>
    <row r="87" spans="1:13" ht="15" customHeight="1">
      <c r="A87" s="52">
        <v>43300</v>
      </c>
      <c r="B87" s="385" t="s">
        <v>2516</v>
      </c>
      <c r="C87" s="385" t="s">
        <v>2799</v>
      </c>
      <c r="D87" s="385" t="s">
        <v>107</v>
      </c>
      <c r="E87" s="377" t="s">
        <v>2800</v>
      </c>
      <c r="F87" s="378">
        <v>0.81111111111111112</v>
      </c>
      <c r="G87" s="379" t="s">
        <v>71</v>
      </c>
      <c r="H87" s="379" t="s">
        <v>71</v>
      </c>
      <c r="I87" s="379" t="s">
        <v>71</v>
      </c>
      <c r="J87" s="406" t="s">
        <v>2801</v>
      </c>
      <c r="K87" s="409"/>
      <c r="L87" s="407"/>
      <c r="M87" s="111"/>
    </row>
    <row r="88" spans="1:13" ht="15" customHeight="1">
      <c r="A88" s="52">
        <v>43300</v>
      </c>
      <c r="B88" s="385" t="s">
        <v>2516</v>
      </c>
      <c r="C88" s="385" t="s">
        <v>367</v>
      </c>
      <c r="D88" s="385" t="s">
        <v>107</v>
      </c>
      <c r="E88" s="377" t="s">
        <v>2802</v>
      </c>
      <c r="F88" s="378">
        <v>0.78333333333333333</v>
      </c>
      <c r="G88" s="379" t="s">
        <v>71</v>
      </c>
      <c r="H88" s="379" t="s">
        <v>71</v>
      </c>
      <c r="I88" s="379" t="s">
        <v>71</v>
      </c>
      <c r="J88" s="406" t="s">
        <v>2803</v>
      </c>
      <c r="K88" s="409"/>
      <c r="L88" s="407"/>
      <c r="M88" s="111"/>
    </row>
    <row r="89" spans="1:13" ht="15" customHeight="1">
      <c r="A89" s="52">
        <v>43300</v>
      </c>
      <c r="B89" s="377" t="s">
        <v>2804</v>
      </c>
      <c r="C89" s="385" t="s">
        <v>2805</v>
      </c>
      <c r="D89" s="385" t="s">
        <v>1646</v>
      </c>
      <c r="E89" s="377" t="s">
        <v>2806</v>
      </c>
      <c r="F89" s="378">
        <v>0.78541666666666665</v>
      </c>
      <c r="G89" s="379" t="s">
        <v>14</v>
      </c>
      <c r="H89" s="379"/>
      <c r="I89" s="379"/>
      <c r="J89" s="406" t="s">
        <v>2807</v>
      </c>
      <c r="K89" s="409" t="s">
        <v>2808</v>
      </c>
      <c r="L89" s="407"/>
      <c r="M89" s="111"/>
    </row>
    <row r="90" spans="1:13" ht="15" customHeight="1">
      <c r="A90" s="49">
        <v>43301</v>
      </c>
      <c r="B90" s="374" t="s">
        <v>218</v>
      </c>
      <c r="C90" s="374" t="s">
        <v>2809</v>
      </c>
      <c r="D90" s="388" t="s">
        <v>2810</v>
      </c>
      <c r="E90" s="374" t="s">
        <v>2811</v>
      </c>
      <c r="F90" s="375">
        <v>0.76527777777777772</v>
      </c>
      <c r="G90" s="376" t="s">
        <v>14</v>
      </c>
      <c r="H90" s="376"/>
      <c r="I90" s="376"/>
      <c r="J90" s="405" t="s">
        <v>2812</v>
      </c>
      <c r="K90" s="409" t="s">
        <v>2813</v>
      </c>
      <c r="L90" s="407"/>
      <c r="M90" s="111"/>
    </row>
    <row r="91" spans="1:13" ht="15" customHeight="1">
      <c r="A91" s="49">
        <v>43301</v>
      </c>
      <c r="B91" s="377" t="s">
        <v>218</v>
      </c>
      <c r="C91" s="377" t="s">
        <v>895</v>
      </c>
      <c r="D91" s="385" t="s">
        <v>2810</v>
      </c>
      <c r="E91" s="377" t="s">
        <v>2814</v>
      </c>
      <c r="F91" s="378">
        <v>0.80763888888888891</v>
      </c>
      <c r="G91" s="379" t="s">
        <v>71</v>
      </c>
      <c r="H91" s="379" t="s">
        <v>71</v>
      </c>
      <c r="I91" s="379" t="s">
        <v>71</v>
      </c>
      <c r="J91" s="406" t="s">
        <v>2815</v>
      </c>
      <c r="K91" s="409"/>
      <c r="L91" s="407"/>
      <c r="M91" s="111"/>
    </row>
    <row r="92" spans="1:13" ht="15" customHeight="1">
      <c r="A92" s="49">
        <v>43301</v>
      </c>
      <c r="B92" s="377" t="s">
        <v>218</v>
      </c>
      <c r="C92" s="377" t="s">
        <v>2721</v>
      </c>
      <c r="D92" s="385" t="s">
        <v>2810</v>
      </c>
      <c r="E92" s="377" t="s">
        <v>2816</v>
      </c>
      <c r="F92" s="378">
        <v>0.78472222222222221</v>
      </c>
      <c r="G92" s="379" t="s">
        <v>71</v>
      </c>
      <c r="H92" s="379" t="s">
        <v>71</v>
      </c>
      <c r="I92" s="379" t="s">
        <v>71</v>
      </c>
      <c r="J92" s="406" t="s">
        <v>2817</v>
      </c>
      <c r="K92" s="409"/>
      <c r="L92" s="407"/>
      <c r="M92" s="111"/>
    </row>
    <row r="93" spans="1:13" ht="15" customHeight="1">
      <c r="A93" s="49">
        <v>43301</v>
      </c>
      <c r="B93" s="377" t="s">
        <v>218</v>
      </c>
      <c r="C93" s="377" t="s">
        <v>2818</v>
      </c>
      <c r="D93" s="385" t="s">
        <v>2810</v>
      </c>
      <c r="E93" s="377" t="s">
        <v>2819</v>
      </c>
      <c r="F93" s="378">
        <v>0.79305555555555551</v>
      </c>
      <c r="G93" s="379" t="s">
        <v>71</v>
      </c>
      <c r="H93" s="379" t="s">
        <v>71</v>
      </c>
      <c r="I93" s="379" t="s">
        <v>71</v>
      </c>
      <c r="J93" s="406" t="s">
        <v>2820</v>
      </c>
      <c r="K93" s="409"/>
      <c r="L93" s="407"/>
      <c r="M93" s="111"/>
    </row>
    <row r="94" spans="1:13" ht="15" customHeight="1">
      <c r="A94" s="49">
        <v>43301</v>
      </c>
      <c r="B94" s="377" t="s">
        <v>203</v>
      </c>
      <c r="C94" s="377" t="s">
        <v>1175</v>
      </c>
      <c r="D94" s="144" t="s">
        <v>2756</v>
      </c>
      <c r="E94" s="377" t="s">
        <v>2821</v>
      </c>
      <c r="F94" s="378">
        <v>0.76944444444444449</v>
      </c>
      <c r="G94" s="379" t="s">
        <v>71</v>
      </c>
      <c r="H94" s="379" t="s">
        <v>71</v>
      </c>
      <c r="I94" s="379" t="s">
        <v>71</v>
      </c>
      <c r="J94" s="406" t="s">
        <v>2822</v>
      </c>
      <c r="K94" s="409"/>
      <c r="L94" s="407"/>
      <c r="M94" s="111"/>
    </row>
    <row r="95" spans="1:13" ht="15" customHeight="1">
      <c r="A95" s="49">
        <v>43301</v>
      </c>
      <c r="B95" s="377" t="s">
        <v>203</v>
      </c>
      <c r="C95" s="377" t="s">
        <v>222</v>
      </c>
      <c r="D95" s="144" t="s">
        <v>2756</v>
      </c>
      <c r="E95" s="377" t="s">
        <v>2823</v>
      </c>
      <c r="F95" s="378">
        <v>0.78541666666666665</v>
      </c>
      <c r="G95" s="379" t="s">
        <v>71</v>
      </c>
      <c r="H95" s="379" t="s">
        <v>71</v>
      </c>
      <c r="I95" s="379" t="s">
        <v>71</v>
      </c>
      <c r="J95" s="406" t="s">
        <v>2824</v>
      </c>
      <c r="K95" s="409"/>
      <c r="L95" s="407"/>
      <c r="M95" s="111"/>
    </row>
    <row r="96" spans="1:13" ht="15" customHeight="1">
      <c r="A96" s="49">
        <v>43301</v>
      </c>
      <c r="B96" s="377" t="s">
        <v>203</v>
      </c>
      <c r="C96" s="377" t="s">
        <v>2825</v>
      </c>
      <c r="D96" s="144" t="s">
        <v>2245</v>
      </c>
      <c r="E96" s="377" t="s">
        <v>2826</v>
      </c>
      <c r="F96" s="378">
        <v>0.81111111111111112</v>
      </c>
      <c r="G96" s="379" t="s">
        <v>71</v>
      </c>
      <c r="H96" s="379" t="s">
        <v>71</v>
      </c>
      <c r="I96" s="379" t="s">
        <v>71</v>
      </c>
      <c r="J96" s="406" t="s">
        <v>2827</v>
      </c>
      <c r="K96" s="409" t="s">
        <v>2828</v>
      </c>
      <c r="L96" s="407"/>
      <c r="M96" s="111"/>
    </row>
    <row r="97" spans="1:13" ht="15" customHeight="1">
      <c r="A97" s="49">
        <v>43301</v>
      </c>
      <c r="B97" s="377" t="s">
        <v>203</v>
      </c>
      <c r="C97" s="377" t="s">
        <v>2825</v>
      </c>
      <c r="D97" s="144" t="s">
        <v>2245</v>
      </c>
      <c r="E97" s="377" t="s">
        <v>2829</v>
      </c>
      <c r="F97" s="378">
        <v>0.81388888888888888</v>
      </c>
      <c r="G97" s="379" t="s">
        <v>71</v>
      </c>
      <c r="H97" s="379" t="s">
        <v>71</v>
      </c>
      <c r="I97" s="379" t="s">
        <v>71</v>
      </c>
      <c r="J97" s="406" t="s">
        <v>2830</v>
      </c>
      <c r="K97" s="409" t="s">
        <v>2831</v>
      </c>
      <c r="L97" s="407"/>
      <c r="M97" s="111"/>
    </row>
    <row r="98" spans="1:13" ht="15" customHeight="1">
      <c r="A98" s="49">
        <v>43301</v>
      </c>
      <c r="B98" s="377" t="s">
        <v>279</v>
      </c>
      <c r="C98" s="377" t="s">
        <v>2634</v>
      </c>
      <c r="D98" s="144" t="s">
        <v>186</v>
      </c>
      <c r="E98" s="377" t="s">
        <v>2832</v>
      </c>
      <c r="F98" s="378">
        <v>0.77152777777777781</v>
      </c>
      <c r="G98" s="379" t="s">
        <v>71</v>
      </c>
      <c r="H98" s="379" t="s">
        <v>71</v>
      </c>
      <c r="I98" s="379" t="s">
        <v>71</v>
      </c>
      <c r="J98" s="406" t="s">
        <v>2833</v>
      </c>
      <c r="K98" s="409"/>
      <c r="L98" s="407"/>
      <c r="M98" s="111"/>
    </row>
    <row r="99" spans="1:13" ht="15" customHeight="1">
      <c r="A99" s="49">
        <v>43301</v>
      </c>
      <c r="B99" s="377" t="s">
        <v>279</v>
      </c>
      <c r="C99" s="377" t="s">
        <v>865</v>
      </c>
      <c r="D99" s="144" t="s">
        <v>186</v>
      </c>
      <c r="E99" s="377" t="s">
        <v>2834</v>
      </c>
      <c r="F99" s="378">
        <v>0.77500000000000002</v>
      </c>
      <c r="G99" s="379" t="s">
        <v>71</v>
      </c>
      <c r="H99" s="379" t="s">
        <v>71</v>
      </c>
      <c r="I99" s="379" t="s">
        <v>71</v>
      </c>
      <c r="J99" s="406" t="s">
        <v>2835</v>
      </c>
      <c r="K99" s="409"/>
      <c r="L99" s="407"/>
      <c r="M99" s="111"/>
    </row>
    <row r="100" spans="1:13" ht="15" customHeight="1">
      <c r="A100" s="49">
        <v>43301</v>
      </c>
      <c r="B100" s="377" t="s">
        <v>279</v>
      </c>
      <c r="C100" s="377" t="s">
        <v>2836</v>
      </c>
      <c r="D100" s="144" t="s">
        <v>2543</v>
      </c>
      <c r="E100" s="377" t="s">
        <v>2837</v>
      </c>
      <c r="F100" s="378">
        <v>0.8256944444444444</v>
      </c>
      <c r="G100" s="379" t="s">
        <v>71</v>
      </c>
      <c r="H100" s="379" t="s">
        <v>71</v>
      </c>
      <c r="I100" s="379" t="s">
        <v>71</v>
      </c>
      <c r="J100" s="406" t="s">
        <v>2838</v>
      </c>
      <c r="K100" s="409"/>
      <c r="L100" s="407"/>
      <c r="M100" s="111"/>
    </row>
    <row r="101" spans="1:13" ht="15" customHeight="1">
      <c r="A101" s="49">
        <v>43301</v>
      </c>
      <c r="B101" s="377" t="s">
        <v>279</v>
      </c>
      <c r="C101" s="377" t="s">
        <v>2839</v>
      </c>
      <c r="D101" s="144" t="s">
        <v>2543</v>
      </c>
      <c r="E101" s="377" t="s">
        <v>2840</v>
      </c>
      <c r="F101" s="378">
        <v>0.84513888888888888</v>
      </c>
      <c r="G101" s="379" t="s">
        <v>71</v>
      </c>
      <c r="H101" s="379" t="s">
        <v>71</v>
      </c>
      <c r="I101" s="379" t="s">
        <v>71</v>
      </c>
      <c r="J101" s="406" t="s">
        <v>2841</v>
      </c>
      <c r="K101" s="409"/>
      <c r="L101" s="407"/>
      <c r="M101" s="111"/>
    </row>
    <row r="102" spans="1:13" ht="15" customHeight="1">
      <c r="A102" s="52">
        <v>43302</v>
      </c>
      <c r="B102" s="377" t="s">
        <v>310</v>
      </c>
      <c r="C102" s="377" t="s">
        <v>657</v>
      </c>
      <c r="D102" s="385" t="s">
        <v>2842</v>
      </c>
      <c r="E102" s="377" t="s">
        <v>2843</v>
      </c>
      <c r="F102" s="378">
        <v>0.69722222222222219</v>
      </c>
      <c r="G102" s="379" t="s">
        <v>71</v>
      </c>
      <c r="H102" s="379" t="s">
        <v>14</v>
      </c>
      <c r="I102" s="379" t="s">
        <v>14</v>
      </c>
      <c r="J102" s="406" t="s">
        <v>2844</v>
      </c>
      <c r="K102" s="409" t="s">
        <v>2845</v>
      </c>
      <c r="L102" s="407"/>
      <c r="M102" s="111"/>
    </row>
    <row r="103" spans="1:13" ht="15" customHeight="1">
      <c r="A103" s="52">
        <v>43302</v>
      </c>
      <c r="B103" s="377" t="s">
        <v>310</v>
      </c>
      <c r="C103" s="377" t="s">
        <v>121</v>
      </c>
      <c r="D103" s="385" t="s">
        <v>2842</v>
      </c>
      <c r="E103" s="377" t="s">
        <v>2846</v>
      </c>
      <c r="F103" s="378">
        <v>0.71180555555555558</v>
      </c>
      <c r="G103" s="379" t="s">
        <v>71</v>
      </c>
      <c r="H103" s="379" t="s">
        <v>14</v>
      </c>
      <c r="I103" s="379" t="s">
        <v>14</v>
      </c>
      <c r="J103" s="406" t="s">
        <v>2847</v>
      </c>
      <c r="K103" s="409"/>
      <c r="L103" s="407"/>
      <c r="M103" s="111"/>
    </row>
    <row r="104" spans="1:13" ht="15" customHeight="1">
      <c r="A104" s="52">
        <v>43302</v>
      </c>
      <c r="B104" s="377" t="s">
        <v>310</v>
      </c>
      <c r="C104" s="377" t="s">
        <v>2848</v>
      </c>
      <c r="D104" s="385" t="s">
        <v>2842</v>
      </c>
      <c r="E104" s="377" t="s">
        <v>2849</v>
      </c>
      <c r="F104" s="378">
        <v>0.72499999999999998</v>
      </c>
      <c r="G104" s="379" t="s">
        <v>71</v>
      </c>
      <c r="H104" s="379" t="s">
        <v>14</v>
      </c>
      <c r="I104" s="379" t="s">
        <v>14</v>
      </c>
      <c r="J104" s="406" t="s">
        <v>2850</v>
      </c>
      <c r="K104" s="409"/>
      <c r="L104" s="407"/>
      <c r="M104" s="111"/>
    </row>
    <row r="105" spans="1:13" ht="15" customHeight="1">
      <c r="A105" s="52">
        <v>43302</v>
      </c>
      <c r="B105" s="377" t="s">
        <v>310</v>
      </c>
      <c r="C105" s="377" t="s">
        <v>222</v>
      </c>
      <c r="D105" s="385" t="s">
        <v>2842</v>
      </c>
      <c r="E105" s="377" t="s">
        <v>2851</v>
      </c>
      <c r="F105" s="378">
        <v>0.72916666666666663</v>
      </c>
      <c r="G105" s="379" t="s">
        <v>71</v>
      </c>
      <c r="H105" s="379" t="s">
        <v>14</v>
      </c>
      <c r="I105" s="379" t="s">
        <v>14</v>
      </c>
      <c r="J105" s="406" t="s">
        <v>2852</v>
      </c>
      <c r="K105" s="409"/>
      <c r="L105" s="407"/>
      <c r="M105" s="111"/>
    </row>
    <row r="106" spans="1:13" ht="15" customHeight="1">
      <c r="A106" s="49">
        <v>43304</v>
      </c>
      <c r="B106" s="374" t="s">
        <v>310</v>
      </c>
      <c r="C106" s="374" t="s">
        <v>596</v>
      </c>
      <c r="D106" s="388" t="s">
        <v>2853</v>
      </c>
      <c r="E106" s="374" t="s">
        <v>2854</v>
      </c>
      <c r="F106" s="375">
        <v>0.77638888888888891</v>
      </c>
      <c r="G106" s="376" t="s">
        <v>71</v>
      </c>
      <c r="H106" s="376" t="s">
        <v>71</v>
      </c>
      <c r="I106" s="376" t="s">
        <v>71</v>
      </c>
      <c r="J106" s="405" t="s">
        <v>2855</v>
      </c>
      <c r="K106" s="408"/>
      <c r="L106" s="407"/>
      <c r="M106" s="111"/>
    </row>
    <row r="107" spans="1:13" ht="15" customHeight="1">
      <c r="A107" s="49">
        <v>43304</v>
      </c>
      <c r="B107" s="377" t="s">
        <v>310</v>
      </c>
      <c r="C107" s="377" t="s">
        <v>883</v>
      </c>
      <c r="D107" s="385" t="s">
        <v>2853</v>
      </c>
      <c r="E107" s="377" t="s">
        <v>2856</v>
      </c>
      <c r="F107" s="378">
        <v>0.79027777777777775</v>
      </c>
      <c r="G107" s="379" t="s">
        <v>71</v>
      </c>
      <c r="H107" s="379" t="s">
        <v>14</v>
      </c>
      <c r="I107" s="379" t="s">
        <v>71</v>
      </c>
      <c r="J107" s="406" t="s">
        <v>2857</v>
      </c>
      <c r="K107" s="408" t="s">
        <v>2858</v>
      </c>
      <c r="L107" s="407"/>
      <c r="M107" s="111"/>
    </row>
    <row r="108" spans="1:13" ht="15" customHeight="1">
      <c r="A108" s="49">
        <v>43304</v>
      </c>
      <c r="B108" s="377" t="s">
        <v>310</v>
      </c>
      <c r="C108" s="377" t="s">
        <v>222</v>
      </c>
      <c r="D108" s="385" t="s">
        <v>1906</v>
      </c>
      <c r="E108" s="377" t="s">
        <v>2859</v>
      </c>
      <c r="F108" s="378">
        <v>0.80555555555555558</v>
      </c>
      <c r="G108" s="379" t="s">
        <v>71</v>
      </c>
      <c r="H108" s="379" t="s">
        <v>14</v>
      </c>
      <c r="I108" s="379" t="s">
        <v>71</v>
      </c>
      <c r="J108" s="406" t="s">
        <v>2860</v>
      </c>
      <c r="K108" s="408"/>
      <c r="L108" s="407"/>
      <c r="M108" s="111"/>
    </row>
    <row r="109" spans="1:13" ht="15" customHeight="1">
      <c r="A109" s="49">
        <v>43304</v>
      </c>
      <c r="B109" s="377" t="s">
        <v>310</v>
      </c>
      <c r="C109" s="377" t="s">
        <v>883</v>
      </c>
      <c r="D109" s="385" t="s">
        <v>1906</v>
      </c>
      <c r="E109" s="377" t="s">
        <v>2861</v>
      </c>
      <c r="F109" s="378">
        <v>0.81666666666666665</v>
      </c>
      <c r="G109" s="379" t="s">
        <v>71</v>
      </c>
      <c r="H109" s="379" t="s">
        <v>71</v>
      </c>
      <c r="I109" s="379" t="s">
        <v>71</v>
      </c>
      <c r="J109" s="406" t="s">
        <v>2862</v>
      </c>
      <c r="K109" s="408"/>
      <c r="L109" s="407"/>
      <c r="M109" s="111"/>
    </row>
    <row r="110" spans="1:13" ht="15" customHeight="1">
      <c r="A110" s="49">
        <v>43304</v>
      </c>
      <c r="B110" s="377" t="s">
        <v>174</v>
      </c>
      <c r="C110" s="377" t="s">
        <v>2863</v>
      </c>
      <c r="D110" s="385" t="s">
        <v>635</v>
      </c>
      <c r="E110" s="377" t="s">
        <v>2864</v>
      </c>
      <c r="F110" s="378">
        <v>0.79722222222222228</v>
      </c>
      <c r="G110" s="379" t="s">
        <v>71</v>
      </c>
      <c r="H110" s="379" t="s">
        <v>71</v>
      </c>
      <c r="I110" s="379" t="s">
        <v>71</v>
      </c>
      <c r="J110" s="406" t="s">
        <v>2865</v>
      </c>
      <c r="K110" s="408"/>
      <c r="L110" s="407"/>
      <c r="M110" s="111"/>
    </row>
    <row r="111" spans="1:13" ht="15" customHeight="1">
      <c r="A111" s="49">
        <v>43304</v>
      </c>
      <c r="B111" s="377" t="s">
        <v>174</v>
      </c>
      <c r="C111" s="377" t="s">
        <v>2697</v>
      </c>
      <c r="D111" s="385" t="s">
        <v>353</v>
      </c>
      <c r="E111" s="377" t="s">
        <v>2866</v>
      </c>
      <c r="F111" s="378">
        <v>0.80486111111111114</v>
      </c>
      <c r="G111" s="379" t="s">
        <v>71</v>
      </c>
      <c r="H111" s="379" t="s">
        <v>71</v>
      </c>
      <c r="I111" s="379" t="s">
        <v>71</v>
      </c>
      <c r="J111" s="406" t="s">
        <v>2867</v>
      </c>
      <c r="K111" s="408"/>
      <c r="L111" s="407"/>
      <c r="M111" s="111"/>
    </row>
    <row r="112" spans="1:13" ht="15" customHeight="1">
      <c r="A112" s="49">
        <v>43304</v>
      </c>
      <c r="B112" s="377" t="s">
        <v>174</v>
      </c>
      <c r="C112" s="377" t="s">
        <v>2868</v>
      </c>
      <c r="D112" s="385" t="s">
        <v>2869</v>
      </c>
      <c r="E112" s="377" t="s">
        <v>2870</v>
      </c>
      <c r="F112" s="378">
        <v>0.84722222222222221</v>
      </c>
      <c r="G112" s="379" t="s">
        <v>71</v>
      </c>
      <c r="H112" s="379" t="s">
        <v>71</v>
      </c>
      <c r="I112" s="379" t="s">
        <v>71</v>
      </c>
      <c r="J112" s="406" t="s">
        <v>2871</v>
      </c>
      <c r="K112" s="408"/>
      <c r="L112" s="407"/>
      <c r="M112" s="111"/>
    </row>
    <row r="113" spans="1:13" ht="15" customHeight="1">
      <c r="A113" s="49">
        <v>43304</v>
      </c>
      <c r="B113" s="377" t="s">
        <v>174</v>
      </c>
      <c r="C113" s="377" t="s">
        <v>657</v>
      </c>
      <c r="D113" s="385" t="s">
        <v>2869</v>
      </c>
      <c r="E113" s="377" t="s">
        <v>2872</v>
      </c>
      <c r="F113" s="378">
        <v>0.85069444444444442</v>
      </c>
      <c r="G113" s="379" t="s">
        <v>71</v>
      </c>
      <c r="H113" s="379" t="s">
        <v>71</v>
      </c>
      <c r="I113" s="379" t="s">
        <v>71</v>
      </c>
      <c r="J113" s="406" t="s">
        <v>2873</v>
      </c>
      <c r="K113" s="408"/>
      <c r="L113" s="407"/>
      <c r="M113" s="111"/>
    </row>
    <row r="114" spans="1:13" ht="15" customHeight="1">
      <c r="A114" s="49">
        <v>43304</v>
      </c>
      <c r="B114" s="377" t="s">
        <v>203</v>
      </c>
      <c r="C114" s="377" t="s">
        <v>871</v>
      </c>
      <c r="D114" s="385" t="s">
        <v>2756</v>
      </c>
      <c r="E114" s="377" t="s">
        <v>2874</v>
      </c>
      <c r="F114" s="378">
        <v>0.80625000000000002</v>
      </c>
      <c r="G114" s="379" t="s">
        <v>71</v>
      </c>
      <c r="H114" s="379" t="s">
        <v>14</v>
      </c>
      <c r="I114" s="379" t="s">
        <v>71</v>
      </c>
      <c r="J114" s="406" t="s">
        <v>2875</v>
      </c>
      <c r="K114" s="408"/>
      <c r="L114" s="407"/>
      <c r="M114" s="111"/>
    </row>
    <row r="115" spans="1:13" ht="15" customHeight="1">
      <c r="A115" s="49">
        <v>43304</v>
      </c>
      <c r="B115" s="377" t="s">
        <v>203</v>
      </c>
      <c r="C115" s="377" t="s">
        <v>2718</v>
      </c>
      <c r="D115" s="385" t="s">
        <v>2756</v>
      </c>
      <c r="E115" s="377" t="s">
        <v>2876</v>
      </c>
      <c r="F115" s="378">
        <v>0.80486111111111114</v>
      </c>
      <c r="G115" s="379" t="s">
        <v>71</v>
      </c>
      <c r="H115" s="379" t="s">
        <v>14</v>
      </c>
      <c r="I115" s="379" t="s">
        <v>71</v>
      </c>
      <c r="J115" s="406" t="s">
        <v>2877</v>
      </c>
      <c r="K115" s="408"/>
      <c r="L115" s="407"/>
      <c r="M115" s="111"/>
    </row>
    <row r="116" spans="1:13" ht="15" customHeight="1">
      <c r="A116" s="49">
        <v>43304</v>
      </c>
      <c r="B116" s="377" t="s">
        <v>203</v>
      </c>
      <c r="C116" s="377" t="s">
        <v>2678</v>
      </c>
      <c r="D116" s="385" t="s">
        <v>2756</v>
      </c>
      <c r="E116" s="377" t="s">
        <v>2878</v>
      </c>
      <c r="F116" s="378">
        <v>0.79861111111111116</v>
      </c>
      <c r="G116" s="379" t="s">
        <v>71</v>
      </c>
      <c r="H116" s="379" t="s">
        <v>14</v>
      </c>
      <c r="I116" s="379" t="s">
        <v>71</v>
      </c>
      <c r="J116" s="406" t="s">
        <v>2879</v>
      </c>
      <c r="K116" s="408"/>
      <c r="L116" s="407"/>
      <c r="M116" s="111"/>
    </row>
    <row r="117" spans="1:13" ht="15" customHeight="1">
      <c r="A117" s="49">
        <v>43304</v>
      </c>
      <c r="B117" s="377" t="s">
        <v>203</v>
      </c>
      <c r="C117" s="377" t="s">
        <v>222</v>
      </c>
      <c r="D117" s="385" t="s">
        <v>2756</v>
      </c>
      <c r="E117" s="377" t="s">
        <v>2880</v>
      </c>
      <c r="F117" s="378">
        <v>0.78472222222222221</v>
      </c>
      <c r="G117" s="379" t="s">
        <v>71</v>
      </c>
      <c r="H117" s="379" t="s">
        <v>14</v>
      </c>
      <c r="I117" s="379" t="s">
        <v>71</v>
      </c>
      <c r="J117" s="406" t="s">
        <v>2881</v>
      </c>
      <c r="K117" s="408"/>
      <c r="L117" s="407"/>
      <c r="M117" s="111"/>
    </row>
    <row r="118" spans="1:13" ht="15" customHeight="1">
      <c r="A118" s="49">
        <v>43304</v>
      </c>
      <c r="B118" s="377" t="s">
        <v>393</v>
      </c>
      <c r="C118" s="377" t="s">
        <v>2882</v>
      </c>
      <c r="D118" s="385" t="s">
        <v>984</v>
      </c>
      <c r="E118" s="377" t="s">
        <v>2883</v>
      </c>
      <c r="F118" s="378">
        <v>0.79513888888888884</v>
      </c>
      <c r="G118" s="379" t="s">
        <v>14</v>
      </c>
      <c r="H118" s="379"/>
      <c r="I118" s="379"/>
      <c r="J118" s="406" t="s">
        <v>2884</v>
      </c>
      <c r="K118" s="409" t="s">
        <v>2885</v>
      </c>
      <c r="L118" s="407"/>
      <c r="M118" s="111"/>
    </row>
    <row r="119" spans="1:13" ht="15" customHeight="1">
      <c r="A119" s="49">
        <v>43304</v>
      </c>
      <c r="B119" s="377" t="s">
        <v>393</v>
      </c>
      <c r="C119" s="377" t="s">
        <v>1014</v>
      </c>
      <c r="D119" s="385" t="s">
        <v>984</v>
      </c>
      <c r="E119" s="377" t="s">
        <v>2886</v>
      </c>
      <c r="F119" s="378">
        <v>0.79166666666666663</v>
      </c>
      <c r="G119" s="379" t="s">
        <v>14</v>
      </c>
      <c r="H119" s="379"/>
      <c r="I119" s="379"/>
      <c r="J119" s="406" t="s">
        <v>2887</v>
      </c>
      <c r="K119" s="409" t="s">
        <v>2888</v>
      </c>
      <c r="L119" s="407"/>
      <c r="M119" s="111"/>
    </row>
    <row r="120" spans="1:13" ht="15" customHeight="1">
      <c r="A120" s="49">
        <v>43304</v>
      </c>
      <c r="B120" s="377" t="s">
        <v>393</v>
      </c>
      <c r="C120" s="377" t="s">
        <v>566</v>
      </c>
      <c r="D120" s="385" t="s">
        <v>984</v>
      </c>
      <c r="E120" s="377" t="s">
        <v>2889</v>
      </c>
      <c r="F120" s="378">
        <v>0.81041666666666667</v>
      </c>
      <c r="G120" s="379" t="s">
        <v>14</v>
      </c>
      <c r="H120" s="379"/>
      <c r="I120" s="379"/>
      <c r="J120" s="406" t="s">
        <v>2890</v>
      </c>
      <c r="K120" s="409" t="s">
        <v>2891</v>
      </c>
      <c r="L120" s="407"/>
      <c r="M120" s="111"/>
    </row>
    <row r="121" spans="1:13" ht="15" customHeight="1">
      <c r="A121" s="52">
        <v>43305</v>
      </c>
      <c r="B121" s="374" t="s">
        <v>2892</v>
      </c>
      <c r="C121" s="374" t="s">
        <v>2893</v>
      </c>
      <c r="D121" s="388" t="s">
        <v>2894</v>
      </c>
      <c r="E121" s="374" t="s">
        <v>2895</v>
      </c>
      <c r="F121" s="375">
        <v>0.77152777777777781</v>
      </c>
      <c r="G121" s="376" t="s">
        <v>71</v>
      </c>
      <c r="H121" s="376" t="s">
        <v>71</v>
      </c>
      <c r="I121" s="376" t="s">
        <v>71</v>
      </c>
      <c r="J121" s="405" t="s">
        <v>2896</v>
      </c>
      <c r="K121" s="408"/>
      <c r="L121" s="407"/>
      <c r="M121" s="111"/>
    </row>
    <row r="122" spans="1:13" ht="15" customHeight="1">
      <c r="A122" s="52">
        <v>43305</v>
      </c>
      <c r="B122" s="377" t="s">
        <v>2892</v>
      </c>
      <c r="C122" s="377" t="s">
        <v>2897</v>
      </c>
      <c r="D122" s="385" t="s">
        <v>2894</v>
      </c>
      <c r="E122" s="377" t="s">
        <v>2898</v>
      </c>
      <c r="F122" s="378">
        <v>0.77430555555555558</v>
      </c>
      <c r="G122" s="379" t="s">
        <v>71</v>
      </c>
      <c r="H122" s="379" t="s">
        <v>71</v>
      </c>
      <c r="I122" s="379" t="s">
        <v>71</v>
      </c>
      <c r="J122" s="406" t="s">
        <v>2899</v>
      </c>
      <c r="K122" s="408"/>
      <c r="L122" s="407"/>
      <c r="M122" s="111"/>
    </row>
    <row r="123" spans="1:13" ht="15" customHeight="1">
      <c r="A123" s="52">
        <v>43305</v>
      </c>
      <c r="B123" s="377" t="s">
        <v>2643</v>
      </c>
      <c r="C123" s="377" t="s">
        <v>596</v>
      </c>
      <c r="D123" s="385" t="s">
        <v>1893</v>
      </c>
      <c r="E123" s="377" t="s">
        <v>2900</v>
      </c>
      <c r="F123" s="378">
        <v>0.7680555555555556</v>
      </c>
      <c r="G123" s="379" t="s">
        <v>71</v>
      </c>
      <c r="H123" s="379" t="s">
        <v>14</v>
      </c>
      <c r="I123" s="379" t="s">
        <v>71</v>
      </c>
      <c r="J123" s="406" t="s">
        <v>2901</v>
      </c>
      <c r="K123" s="408"/>
      <c r="L123" s="407"/>
      <c r="M123" s="111"/>
    </row>
    <row r="124" spans="1:13" ht="15" customHeight="1">
      <c r="A124" s="52">
        <v>43305</v>
      </c>
      <c r="B124" s="377" t="s">
        <v>2643</v>
      </c>
      <c r="C124" s="377" t="s">
        <v>2700</v>
      </c>
      <c r="D124" s="385" t="s">
        <v>119</v>
      </c>
      <c r="E124" s="377" t="s">
        <v>2902</v>
      </c>
      <c r="F124" s="378">
        <v>0.79513888888888884</v>
      </c>
      <c r="G124" s="379" t="s">
        <v>71</v>
      </c>
      <c r="H124" s="379" t="s">
        <v>14</v>
      </c>
      <c r="I124" s="379" t="s">
        <v>71</v>
      </c>
      <c r="J124" s="406" t="s">
        <v>2903</v>
      </c>
      <c r="K124" s="408"/>
      <c r="L124" s="407"/>
      <c r="M124" s="111"/>
    </row>
    <row r="125" spans="1:13" ht="15" customHeight="1">
      <c r="A125" s="52">
        <v>43305</v>
      </c>
      <c r="B125" s="377" t="s">
        <v>2643</v>
      </c>
      <c r="C125" s="377" t="s">
        <v>2721</v>
      </c>
      <c r="D125" s="385" t="s">
        <v>2430</v>
      </c>
      <c r="E125" s="377" t="s">
        <v>2904</v>
      </c>
      <c r="F125" s="378">
        <v>0.79791666666666672</v>
      </c>
      <c r="G125" s="379" t="s">
        <v>71</v>
      </c>
      <c r="H125" s="379" t="s">
        <v>71</v>
      </c>
      <c r="I125" s="379" t="s">
        <v>71</v>
      </c>
      <c r="J125" s="406" t="s">
        <v>2905</v>
      </c>
      <c r="K125" s="408"/>
      <c r="L125" s="407"/>
      <c r="M125" s="111"/>
    </row>
    <row r="126" spans="1:13" ht="15" customHeight="1">
      <c r="A126" s="52">
        <v>43305</v>
      </c>
      <c r="B126" s="377" t="s">
        <v>2643</v>
      </c>
      <c r="C126" s="377" t="s">
        <v>1175</v>
      </c>
      <c r="D126" s="385" t="s">
        <v>119</v>
      </c>
      <c r="E126" s="377" t="s">
        <v>2906</v>
      </c>
      <c r="F126" s="378">
        <v>0.7729166666666667</v>
      </c>
      <c r="G126" s="379" t="s">
        <v>71</v>
      </c>
      <c r="H126" s="379" t="s">
        <v>71</v>
      </c>
      <c r="I126" s="379" t="s">
        <v>71</v>
      </c>
      <c r="J126" s="406" t="s">
        <v>2907</v>
      </c>
      <c r="K126" s="408"/>
      <c r="L126" s="407"/>
      <c r="M126" s="111"/>
    </row>
    <row r="127" spans="1:13" ht="15" customHeight="1">
      <c r="A127" s="52">
        <v>43305</v>
      </c>
      <c r="B127" s="377" t="s">
        <v>1670</v>
      </c>
      <c r="C127" s="383" t="s">
        <v>2908</v>
      </c>
      <c r="D127" s="387" t="s">
        <v>186</v>
      </c>
      <c r="E127" s="383" t="s">
        <v>2909</v>
      </c>
      <c r="F127" s="378">
        <v>0.80138888888888893</v>
      </c>
      <c r="G127" s="379" t="s">
        <v>71</v>
      </c>
      <c r="H127" s="379" t="s">
        <v>14</v>
      </c>
      <c r="I127" s="379" t="s">
        <v>71</v>
      </c>
      <c r="J127" s="406" t="s">
        <v>2910</v>
      </c>
      <c r="K127" s="408"/>
      <c r="L127" s="407"/>
      <c r="M127" s="111"/>
    </row>
    <row r="128" spans="1:13" ht="15" customHeight="1">
      <c r="A128" s="52">
        <v>43305</v>
      </c>
      <c r="B128" s="377" t="s">
        <v>1670</v>
      </c>
      <c r="C128" s="383" t="s">
        <v>2911</v>
      </c>
      <c r="D128" s="387" t="s">
        <v>186</v>
      </c>
      <c r="E128" s="383" t="s">
        <v>2909</v>
      </c>
      <c r="F128" s="378">
        <v>0.8041666666666667</v>
      </c>
      <c r="G128" s="379" t="s">
        <v>71</v>
      </c>
      <c r="H128" s="379" t="s">
        <v>14</v>
      </c>
      <c r="I128" s="379" t="s">
        <v>71</v>
      </c>
      <c r="J128" s="406" t="s">
        <v>2912</v>
      </c>
      <c r="K128" s="409"/>
      <c r="L128" s="407"/>
      <c r="M128" s="111"/>
    </row>
    <row r="129" spans="1:13" ht="15" customHeight="1">
      <c r="A129" s="52">
        <v>43305</v>
      </c>
      <c r="B129" s="377" t="s">
        <v>1670</v>
      </c>
      <c r="C129" s="377" t="s">
        <v>2913</v>
      </c>
      <c r="D129" s="387" t="s">
        <v>186</v>
      </c>
      <c r="E129" s="383" t="s">
        <v>2914</v>
      </c>
      <c r="F129" s="378">
        <v>0.81180555555555556</v>
      </c>
      <c r="G129" s="379" t="s">
        <v>71</v>
      </c>
      <c r="H129" s="379" t="s">
        <v>14</v>
      </c>
      <c r="I129" s="379" t="s">
        <v>71</v>
      </c>
      <c r="J129" s="406" t="s">
        <v>2915</v>
      </c>
      <c r="K129" s="409"/>
      <c r="L129" s="407"/>
      <c r="M129" s="111"/>
    </row>
    <row r="130" spans="1:13" ht="15" customHeight="1">
      <c r="A130" s="52">
        <v>43305</v>
      </c>
      <c r="B130" s="377" t="s">
        <v>1670</v>
      </c>
      <c r="C130" s="383" t="s">
        <v>2916</v>
      </c>
      <c r="D130" s="387" t="s">
        <v>186</v>
      </c>
      <c r="E130" s="383" t="s">
        <v>2914</v>
      </c>
      <c r="F130" s="378">
        <v>0.8125</v>
      </c>
      <c r="G130" s="379" t="s">
        <v>14</v>
      </c>
      <c r="H130" s="379"/>
      <c r="I130" s="379"/>
      <c r="J130" s="384"/>
      <c r="K130" s="409" t="s">
        <v>2917</v>
      </c>
      <c r="L130" s="407"/>
      <c r="M130" s="111"/>
    </row>
    <row r="131" spans="1:13" ht="15" customHeight="1">
      <c r="A131" s="52">
        <v>43305</v>
      </c>
      <c r="B131" s="377" t="s">
        <v>1670</v>
      </c>
      <c r="C131" s="377" t="s">
        <v>2918</v>
      </c>
      <c r="D131" s="387" t="s">
        <v>186</v>
      </c>
      <c r="E131" s="383" t="s">
        <v>2919</v>
      </c>
      <c r="F131" s="378">
        <v>0.85416666666666663</v>
      </c>
      <c r="G131" s="379" t="s">
        <v>71</v>
      </c>
      <c r="H131" s="379" t="s">
        <v>14</v>
      </c>
      <c r="I131" s="379" t="s">
        <v>71</v>
      </c>
      <c r="J131" s="406" t="s">
        <v>2920</v>
      </c>
      <c r="K131" s="409"/>
      <c r="L131" s="407"/>
      <c r="M131" s="111"/>
    </row>
    <row r="132" spans="1:13" ht="15" customHeight="1">
      <c r="A132" s="52">
        <v>43305</v>
      </c>
      <c r="B132" s="377" t="s">
        <v>1670</v>
      </c>
      <c r="C132" s="377" t="s">
        <v>2921</v>
      </c>
      <c r="D132" s="387" t="s">
        <v>186</v>
      </c>
      <c r="E132" s="383" t="s">
        <v>2919</v>
      </c>
      <c r="F132" s="378">
        <v>0.85833333333333328</v>
      </c>
      <c r="G132" s="379" t="s">
        <v>71</v>
      </c>
      <c r="H132" s="379" t="s">
        <v>71</v>
      </c>
      <c r="I132" s="379" t="s">
        <v>71</v>
      </c>
      <c r="J132" s="406" t="s">
        <v>2922</v>
      </c>
      <c r="K132" s="409"/>
      <c r="L132" s="407"/>
      <c r="M132" s="111"/>
    </row>
    <row r="133" spans="1:13" ht="15" customHeight="1">
      <c r="A133" s="52">
        <v>43305</v>
      </c>
      <c r="B133" s="377" t="s">
        <v>121</v>
      </c>
      <c r="C133" s="377" t="s">
        <v>2923</v>
      </c>
      <c r="D133" s="387" t="s">
        <v>1666</v>
      </c>
      <c r="E133" s="383" t="s">
        <v>2924</v>
      </c>
      <c r="F133" s="378">
        <v>0.76041666666666663</v>
      </c>
      <c r="G133" s="379" t="s">
        <v>71</v>
      </c>
      <c r="H133" s="379" t="s">
        <v>71</v>
      </c>
      <c r="I133" s="379" t="s">
        <v>71</v>
      </c>
      <c r="J133" s="406" t="s">
        <v>2925</v>
      </c>
      <c r="K133" s="409"/>
      <c r="L133" s="407"/>
      <c r="M133" s="111"/>
    </row>
    <row r="134" spans="1:13" ht="15" customHeight="1">
      <c r="A134" s="52">
        <v>43305</v>
      </c>
      <c r="B134" s="377" t="s">
        <v>121</v>
      </c>
      <c r="C134" s="377" t="s">
        <v>367</v>
      </c>
      <c r="D134" s="387" t="s">
        <v>1435</v>
      </c>
      <c r="E134" s="383" t="s">
        <v>2926</v>
      </c>
      <c r="F134" s="378">
        <v>0.79513888888888884</v>
      </c>
      <c r="G134" s="379" t="s">
        <v>14</v>
      </c>
      <c r="H134" s="379"/>
      <c r="I134" s="379"/>
      <c r="J134" s="406" t="s">
        <v>2927</v>
      </c>
      <c r="K134" s="409" t="s">
        <v>2928</v>
      </c>
      <c r="L134" s="407"/>
      <c r="M134" s="111"/>
    </row>
    <row r="135" spans="1:13" ht="15" customHeight="1">
      <c r="A135" s="52">
        <v>43305</v>
      </c>
      <c r="B135" s="377" t="s">
        <v>121</v>
      </c>
      <c r="C135" s="377" t="s">
        <v>852</v>
      </c>
      <c r="D135" s="385" t="s">
        <v>1435</v>
      </c>
      <c r="E135" s="383" t="s">
        <v>2929</v>
      </c>
      <c r="F135" s="378">
        <v>0.81944444444444442</v>
      </c>
      <c r="G135" s="379" t="s">
        <v>14</v>
      </c>
      <c r="H135" s="379"/>
      <c r="I135" s="379"/>
      <c r="J135" s="406" t="s">
        <v>2930</v>
      </c>
      <c r="K135" s="409" t="s">
        <v>2931</v>
      </c>
      <c r="L135" s="407"/>
      <c r="M135" s="111"/>
    </row>
    <row r="136" spans="1:13" ht="15" customHeight="1">
      <c r="A136" s="52">
        <v>43305</v>
      </c>
      <c r="B136" s="377" t="s">
        <v>121</v>
      </c>
      <c r="C136" s="377" t="s">
        <v>128</v>
      </c>
      <c r="D136" s="387" t="s">
        <v>1435</v>
      </c>
      <c r="E136" s="383" t="s">
        <v>2347</v>
      </c>
      <c r="F136" s="378">
        <v>0.82638888888888884</v>
      </c>
      <c r="G136" s="379" t="s">
        <v>71</v>
      </c>
      <c r="H136" s="379" t="s">
        <v>71</v>
      </c>
      <c r="I136" s="379" t="s">
        <v>71</v>
      </c>
      <c r="J136" s="406" t="s">
        <v>2932</v>
      </c>
      <c r="K136" s="408"/>
      <c r="L136" s="407"/>
      <c r="M136" s="111"/>
    </row>
    <row r="137" spans="1:13" ht="15" customHeight="1">
      <c r="A137" s="49">
        <v>43306</v>
      </c>
      <c r="B137" s="393" t="s">
        <v>927</v>
      </c>
      <c r="C137" s="393" t="s">
        <v>2933</v>
      </c>
      <c r="D137" s="398" t="s">
        <v>1514</v>
      </c>
      <c r="E137" s="398" t="s">
        <v>2934</v>
      </c>
      <c r="F137" s="394">
        <v>0.81666666666666665</v>
      </c>
      <c r="G137" s="395" t="s">
        <v>14</v>
      </c>
      <c r="H137" s="395"/>
      <c r="I137" s="395"/>
      <c r="J137" s="405" t="s">
        <v>2935</v>
      </c>
      <c r="K137" s="409" t="s">
        <v>2936</v>
      </c>
    </row>
    <row r="138" spans="1:13" ht="15" customHeight="1">
      <c r="A138" s="49">
        <v>43306</v>
      </c>
      <c r="B138" s="390" t="s">
        <v>254</v>
      </c>
      <c r="C138" s="390" t="s">
        <v>871</v>
      </c>
      <c r="D138" s="400" t="s">
        <v>1303</v>
      </c>
      <c r="E138" s="399" t="s">
        <v>2937</v>
      </c>
      <c r="F138" s="391">
        <v>0.80555555555555558</v>
      </c>
      <c r="G138" s="392" t="s">
        <v>14</v>
      </c>
      <c r="H138" s="392"/>
      <c r="I138" s="392"/>
      <c r="J138" s="406" t="s">
        <v>2938</v>
      </c>
      <c r="K138" s="409" t="s">
        <v>2939</v>
      </c>
    </row>
    <row r="139" spans="1:13" ht="15" customHeight="1">
      <c r="A139" s="49">
        <v>43306</v>
      </c>
      <c r="B139" s="390" t="s">
        <v>189</v>
      </c>
      <c r="C139" s="390" t="s">
        <v>657</v>
      </c>
      <c r="D139" s="400" t="s">
        <v>2329</v>
      </c>
      <c r="E139" s="399" t="s">
        <v>2940</v>
      </c>
      <c r="F139" s="391">
        <v>0.83611111111111114</v>
      </c>
      <c r="G139" s="392" t="s">
        <v>71</v>
      </c>
      <c r="H139" s="392" t="s">
        <v>14</v>
      </c>
      <c r="I139" s="392" t="s">
        <v>14</v>
      </c>
      <c r="J139" s="406" t="s">
        <v>2941</v>
      </c>
      <c r="K139" s="409"/>
    </row>
    <row r="140" spans="1:13" ht="15" customHeight="1">
      <c r="A140" s="49">
        <v>43306</v>
      </c>
      <c r="B140" s="390" t="s">
        <v>189</v>
      </c>
      <c r="C140" s="390" t="s">
        <v>2606</v>
      </c>
      <c r="D140" s="400" t="s">
        <v>2329</v>
      </c>
      <c r="E140" s="399" t="s">
        <v>2942</v>
      </c>
      <c r="F140" s="391">
        <v>0.84027777777777779</v>
      </c>
      <c r="G140" s="392" t="s">
        <v>71</v>
      </c>
      <c r="H140" s="392" t="s">
        <v>71</v>
      </c>
      <c r="I140" s="392" t="s">
        <v>71</v>
      </c>
      <c r="J140" s="406" t="s">
        <v>2943</v>
      </c>
      <c r="K140" s="409"/>
    </row>
    <row r="141" spans="1:13" ht="15" customHeight="1">
      <c r="A141" s="49">
        <v>43306</v>
      </c>
      <c r="B141" s="390" t="s">
        <v>189</v>
      </c>
      <c r="C141" s="390" t="s">
        <v>2634</v>
      </c>
      <c r="D141" s="400" t="s">
        <v>2329</v>
      </c>
      <c r="E141" s="399" t="s">
        <v>2944</v>
      </c>
      <c r="F141" s="391">
        <v>0.79513888888888884</v>
      </c>
      <c r="G141" s="392" t="s">
        <v>71</v>
      </c>
      <c r="H141" s="392" t="s">
        <v>14</v>
      </c>
      <c r="I141" s="392" t="s">
        <v>71</v>
      </c>
      <c r="J141" s="406" t="s">
        <v>2945</v>
      </c>
      <c r="K141" s="409"/>
    </row>
    <row r="142" spans="1:13" ht="15" customHeight="1">
      <c r="A142" s="49">
        <v>43306</v>
      </c>
      <c r="B142" s="390" t="s">
        <v>189</v>
      </c>
      <c r="C142" s="390" t="s">
        <v>2946</v>
      </c>
      <c r="D142" s="400" t="s">
        <v>2329</v>
      </c>
      <c r="E142" s="399" t="s">
        <v>2942</v>
      </c>
      <c r="F142" s="391">
        <v>0.84375</v>
      </c>
      <c r="G142" s="392" t="s">
        <v>71</v>
      </c>
      <c r="H142" s="392" t="s">
        <v>71</v>
      </c>
      <c r="I142" s="392" t="s">
        <v>71</v>
      </c>
      <c r="J142" s="406" t="s">
        <v>2947</v>
      </c>
      <c r="K142" s="409"/>
    </row>
    <row r="143" spans="1:13" ht="15" customHeight="1">
      <c r="A143" s="49">
        <v>43306</v>
      </c>
      <c r="B143" s="390" t="s">
        <v>218</v>
      </c>
      <c r="C143" s="390" t="s">
        <v>2948</v>
      </c>
      <c r="D143" s="400" t="s">
        <v>544</v>
      </c>
      <c r="E143" s="399" t="s">
        <v>2949</v>
      </c>
      <c r="F143" s="391">
        <v>0.80763888888888891</v>
      </c>
      <c r="G143" s="392" t="s">
        <v>14</v>
      </c>
      <c r="H143" s="392"/>
      <c r="I143" s="392"/>
      <c r="J143" s="406" t="s">
        <v>2950</v>
      </c>
      <c r="K143" s="409"/>
    </row>
    <row r="144" spans="1:13" ht="15" customHeight="1">
      <c r="A144" s="49">
        <v>43306</v>
      </c>
      <c r="B144" s="390" t="s">
        <v>218</v>
      </c>
      <c r="C144" s="390" t="s">
        <v>367</v>
      </c>
      <c r="D144" s="400" t="s">
        <v>2951</v>
      </c>
      <c r="E144" s="399" t="s">
        <v>2952</v>
      </c>
      <c r="F144" s="391">
        <v>0.81874999999999998</v>
      </c>
      <c r="G144" s="392" t="s">
        <v>71</v>
      </c>
      <c r="H144" s="392" t="s">
        <v>14</v>
      </c>
      <c r="I144" s="392" t="s">
        <v>71</v>
      </c>
      <c r="J144" s="406" t="s">
        <v>2953</v>
      </c>
      <c r="K144" s="409"/>
    </row>
    <row r="145" spans="1:11" ht="15" customHeight="1">
      <c r="A145" s="49">
        <v>43306</v>
      </c>
      <c r="B145" s="390" t="s">
        <v>218</v>
      </c>
      <c r="C145" s="390" t="s">
        <v>2721</v>
      </c>
      <c r="D145" s="400" t="s">
        <v>544</v>
      </c>
      <c r="E145" s="399" t="s">
        <v>2954</v>
      </c>
      <c r="F145" s="391">
        <v>0.78055555555555556</v>
      </c>
      <c r="G145" s="392" t="s">
        <v>71</v>
      </c>
      <c r="H145" s="392" t="s">
        <v>71</v>
      </c>
      <c r="I145" s="392" t="s">
        <v>71</v>
      </c>
      <c r="J145" s="406" t="s">
        <v>2955</v>
      </c>
      <c r="K145" s="409"/>
    </row>
    <row r="146" spans="1:11" ht="15" customHeight="1">
      <c r="A146" s="49">
        <v>43306</v>
      </c>
      <c r="B146" s="390" t="s">
        <v>218</v>
      </c>
      <c r="C146" s="390" t="s">
        <v>871</v>
      </c>
      <c r="D146" s="400" t="s">
        <v>544</v>
      </c>
      <c r="E146" s="399" t="s">
        <v>2956</v>
      </c>
      <c r="F146" s="391">
        <v>0.78125</v>
      </c>
      <c r="G146" s="392" t="s">
        <v>71</v>
      </c>
      <c r="H146" s="392" t="s">
        <v>71</v>
      </c>
      <c r="I146" s="392" t="s">
        <v>71</v>
      </c>
      <c r="J146" s="406" t="s">
        <v>2957</v>
      </c>
      <c r="K146" s="409"/>
    </row>
    <row r="147" spans="1:11" ht="15" customHeight="1">
      <c r="A147" s="49">
        <v>43306</v>
      </c>
      <c r="B147" s="390" t="s">
        <v>130</v>
      </c>
      <c r="C147" s="390" t="s">
        <v>219</v>
      </c>
      <c r="D147" s="400" t="s">
        <v>383</v>
      </c>
      <c r="E147" s="399" t="s">
        <v>2958</v>
      </c>
      <c r="F147" s="391">
        <v>0.8125</v>
      </c>
      <c r="G147" s="392" t="s">
        <v>14</v>
      </c>
      <c r="H147" s="392"/>
      <c r="I147" s="392"/>
      <c r="J147" s="406" t="s">
        <v>2959</v>
      </c>
      <c r="K147" s="409" t="s">
        <v>2960</v>
      </c>
    </row>
    <row r="148" spans="1:11" ht="15" customHeight="1">
      <c r="A148" s="49">
        <v>43306</v>
      </c>
      <c r="B148" s="390" t="s">
        <v>130</v>
      </c>
      <c r="C148" s="390" t="s">
        <v>222</v>
      </c>
      <c r="D148" s="400" t="s">
        <v>383</v>
      </c>
      <c r="E148" s="399" t="s">
        <v>2961</v>
      </c>
      <c r="F148" s="391">
        <v>0.81597222222222221</v>
      </c>
      <c r="G148" s="392" t="s">
        <v>14</v>
      </c>
      <c r="H148" s="392"/>
      <c r="I148" s="392"/>
      <c r="J148" s="406" t="s">
        <v>2962</v>
      </c>
      <c r="K148" s="409" t="s">
        <v>2963</v>
      </c>
    </row>
    <row r="149" spans="1:11" ht="15" customHeight="1">
      <c r="A149" s="49">
        <v>43306</v>
      </c>
      <c r="B149" s="390" t="s">
        <v>130</v>
      </c>
      <c r="C149" s="390" t="s">
        <v>2964</v>
      </c>
      <c r="D149" s="400" t="s">
        <v>383</v>
      </c>
      <c r="E149" s="399" t="s">
        <v>2965</v>
      </c>
      <c r="F149" s="391">
        <v>0.78680555555555554</v>
      </c>
      <c r="G149" s="392" t="s">
        <v>14</v>
      </c>
      <c r="H149" s="392"/>
      <c r="I149" s="392"/>
      <c r="J149" s="406" t="s">
        <v>2966</v>
      </c>
      <c r="K149" s="409" t="s">
        <v>2967</v>
      </c>
    </row>
    <row r="150" spans="1:11" ht="15" customHeight="1">
      <c r="A150" s="49">
        <v>43306</v>
      </c>
      <c r="B150" s="390" t="s">
        <v>130</v>
      </c>
      <c r="C150" s="390" t="s">
        <v>367</v>
      </c>
      <c r="D150" s="400" t="s">
        <v>383</v>
      </c>
      <c r="E150" s="399" t="s">
        <v>2968</v>
      </c>
      <c r="F150" s="391">
        <v>0.79166666666666663</v>
      </c>
      <c r="G150" s="392" t="s">
        <v>14</v>
      </c>
      <c r="H150" s="392"/>
      <c r="I150" s="392"/>
      <c r="J150" s="406" t="s">
        <v>2969</v>
      </c>
      <c r="K150" s="409" t="s">
        <v>2970</v>
      </c>
    </row>
    <row r="151" spans="1:11" ht="15" customHeight="1">
      <c r="A151" s="52">
        <v>43307</v>
      </c>
      <c r="B151" s="393" t="s">
        <v>24</v>
      </c>
      <c r="C151" s="396" t="s">
        <v>2971</v>
      </c>
      <c r="D151" s="401" t="s">
        <v>2052</v>
      </c>
      <c r="E151" s="398" t="s">
        <v>2972</v>
      </c>
      <c r="F151" s="394">
        <v>0.80277777777777781</v>
      </c>
      <c r="G151" s="395" t="s">
        <v>71</v>
      </c>
      <c r="H151" s="395" t="s">
        <v>71</v>
      </c>
      <c r="I151" s="395" t="s">
        <v>71</v>
      </c>
      <c r="J151" s="405" t="s">
        <v>2973</v>
      </c>
      <c r="K151" s="408"/>
    </row>
    <row r="152" spans="1:11" ht="15" customHeight="1">
      <c r="A152" s="52">
        <v>43307</v>
      </c>
      <c r="B152" s="390" t="s">
        <v>24</v>
      </c>
      <c r="C152" s="397" t="s">
        <v>2974</v>
      </c>
      <c r="D152" s="400" t="s">
        <v>2052</v>
      </c>
      <c r="E152" s="399" t="s">
        <v>2972</v>
      </c>
      <c r="F152" s="391">
        <v>0.80555555555555558</v>
      </c>
      <c r="G152" s="392" t="s">
        <v>71</v>
      </c>
      <c r="H152" s="392" t="s">
        <v>71</v>
      </c>
      <c r="I152" s="392" t="s">
        <v>71</v>
      </c>
      <c r="J152" s="406" t="s">
        <v>2975</v>
      </c>
      <c r="K152" s="408"/>
    </row>
    <row r="153" spans="1:11" ht="15" customHeight="1">
      <c r="A153" s="52">
        <v>43307</v>
      </c>
      <c r="B153" s="390" t="s">
        <v>24</v>
      </c>
      <c r="C153" s="397" t="s">
        <v>2976</v>
      </c>
      <c r="D153" s="400" t="s">
        <v>2052</v>
      </c>
      <c r="E153" s="392" t="s">
        <v>2977</v>
      </c>
      <c r="F153" s="391">
        <v>0.83333333333333337</v>
      </c>
      <c r="G153" s="392" t="s">
        <v>71</v>
      </c>
      <c r="H153" s="392" t="s">
        <v>14</v>
      </c>
      <c r="I153" s="392" t="s">
        <v>71</v>
      </c>
      <c r="J153" s="406" t="s">
        <v>2978</v>
      </c>
      <c r="K153" s="408"/>
    </row>
    <row r="154" spans="1:11" ht="15" customHeight="1">
      <c r="A154" s="52">
        <v>43307</v>
      </c>
      <c r="B154" s="390" t="s">
        <v>24</v>
      </c>
      <c r="C154" s="390" t="s">
        <v>1175</v>
      </c>
      <c r="D154" s="400" t="s">
        <v>2052</v>
      </c>
      <c r="E154" s="399" t="s">
        <v>2977</v>
      </c>
      <c r="F154" s="391">
        <v>0.83888888888888891</v>
      </c>
      <c r="G154" s="392" t="s">
        <v>14</v>
      </c>
      <c r="H154" s="392"/>
      <c r="I154" s="392"/>
      <c r="J154" s="406" t="s">
        <v>2979</v>
      </c>
      <c r="K154" s="409" t="s">
        <v>2980</v>
      </c>
    </row>
    <row r="155" spans="1:11" ht="15" customHeight="1">
      <c r="A155" s="52">
        <v>43307</v>
      </c>
      <c r="B155" s="390" t="s">
        <v>2981</v>
      </c>
      <c r="C155" s="402" t="s">
        <v>2982</v>
      </c>
      <c r="D155" s="403" t="s">
        <v>2569</v>
      </c>
      <c r="E155" s="390" t="s">
        <v>2983</v>
      </c>
      <c r="F155" s="391">
        <v>0.80069444444444449</v>
      </c>
      <c r="G155" s="392" t="s">
        <v>71</v>
      </c>
      <c r="H155" s="392" t="s">
        <v>71</v>
      </c>
      <c r="I155" s="392" t="s">
        <v>71</v>
      </c>
      <c r="J155" s="406" t="s">
        <v>2984</v>
      </c>
      <c r="K155" s="409"/>
    </row>
    <row r="156" spans="1:11" ht="15" customHeight="1">
      <c r="A156" s="52">
        <v>43307</v>
      </c>
      <c r="B156" s="390" t="s">
        <v>2981</v>
      </c>
      <c r="C156" s="397" t="s">
        <v>2985</v>
      </c>
      <c r="D156" s="403" t="s">
        <v>2569</v>
      </c>
      <c r="E156" s="390" t="s">
        <v>2986</v>
      </c>
      <c r="F156" s="391">
        <v>0.81944444444444442</v>
      </c>
      <c r="G156" s="392" t="s">
        <v>71</v>
      </c>
      <c r="H156" s="392" t="s">
        <v>71</v>
      </c>
      <c r="I156" s="392" t="s">
        <v>71</v>
      </c>
      <c r="J156" s="406" t="s">
        <v>2987</v>
      </c>
      <c r="K156" s="409"/>
    </row>
    <row r="157" spans="1:11" ht="15" customHeight="1">
      <c r="A157" s="52">
        <v>43307</v>
      </c>
      <c r="B157" s="390" t="s">
        <v>279</v>
      </c>
      <c r="C157" s="390" t="s">
        <v>2988</v>
      </c>
      <c r="D157" s="400" t="s">
        <v>2543</v>
      </c>
      <c r="E157" s="399" t="s">
        <v>2989</v>
      </c>
      <c r="F157" s="391">
        <v>0.82361111111111107</v>
      </c>
      <c r="G157" s="392" t="s">
        <v>71</v>
      </c>
      <c r="H157" s="392" t="s">
        <v>71</v>
      </c>
      <c r="I157" s="392" t="s">
        <v>71</v>
      </c>
      <c r="J157" s="406" t="s">
        <v>2990</v>
      </c>
      <c r="K157" s="409"/>
    </row>
    <row r="158" spans="1:11" ht="15" customHeight="1">
      <c r="A158" s="52">
        <v>43307</v>
      </c>
      <c r="B158" s="390" t="s">
        <v>279</v>
      </c>
      <c r="C158" s="390" t="s">
        <v>2745</v>
      </c>
      <c r="D158" s="400" t="s">
        <v>2543</v>
      </c>
      <c r="E158" s="390" t="s">
        <v>2991</v>
      </c>
      <c r="F158" s="391">
        <v>0.82986111111111116</v>
      </c>
      <c r="G158" s="392" t="s">
        <v>71</v>
      </c>
      <c r="H158" s="392" t="s">
        <v>71</v>
      </c>
      <c r="I158" s="392" t="s">
        <v>71</v>
      </c>
      <c r="J158" s="406" t="s">
        <v>2992</v>
      </c>
      <c r="K158" s="409"/>
    </row>
    <row r="159" spans="1:11" ht="15" customHeight="1">
      <c r="A159" s="52">
        <v>43307</v>
      </c>
      <c r="B159" s="390" t="s">
        <v>279</v>
      </c>
      <c r="C159" s="390" t="s">
        <v>852</v>
      </c>
      <c r="D159" s="400" t="s">
        <v>2543</v>
      </c>
      <c r="E159" s="390" t="s">
        <v>2993</v>
      </c>
      <c r="F159" s="391">
        <v>0.84444444444444444</v>
      </c>
      <c r="G159" s="392" t="s">
        <v>71</v>
      </c>
      <c r="H159" s="392" t="s">
        <v>71</v>
      </c>
      <c r="I159" s="392" t="s">
        <v>71</v>
      </c>
      <c r="J159" s="406" t="s">
        <v>2994</v>
      </c>
      <c r="K159" s="409"/>
    </row>
    <row r="160" spans="1:11" ht="15" customHeight="1">
      <c r="A160" s="52">
        <v>43307</v>
      </c>
      <c r="B160" s="390" t="s">
        <v>279</v>
      </c>
      <c r="C160" s="390" t="s">
        <v>2995</v>
      </c>
      <c r="D160" s="400" t="s">
        <v>2543</v>
      </c>
      <c r="E160" s="390" t="s">
        <v>1725</v>
      </c>
      <c r="F160" s="391">
        <v>0.85833333333333328</v>
      </c>
      <c r="G160" s="392" t="s">
        <v>14</v>
      </c>
      <c r="H160" s="392"/>
      <c r="I160" s="392"/>
      <c r="J160" s="406" t="s">
        <v>2996</v>
      </c>
      <c r="K160" s="409" t="s">
        <v>2997</v>
      </c>
    </row>
  </sheetData>
  <autoFilter ref="A1:M160"/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25" r:id="rId9"/>
    <hyperlink ref="J26" r:id="rId10"/>
    <hyperlink ref="J27" r:id="rId11"/>
    <hyperlink ref="J28" r:id="rId12"/>
    <hyperlink ref="J29" r:id="rId13"/>
    <hyperlink ref="J30" r:id="rId14"/>
    <hyperlink ref="J31" r:id="rId15"/>
    <hyperlink ref="J32" r:id="rId16"/>
    <hyperlink ref="J33" r:id="rId17"/>
    <hyperlink ref="J34" r:id="rId18"/>
    <hyperlink ref="J35" r:id="rId19"/>
    <hyperlink ref="J36" r:id="rId20"/>
    <hyperlink ref="J37" r:id="rId21"/>
    <hyperlink ref="J38" r:id="rId22"/>
    <hyperlink ref="J39" r:id="rId23"/>
    <hyperlink ref="J40" r:id="rId24"/>
    <hyperlink ref="J41" r:id="rId25"/>
    <hyperlink ref="J42" r:id="rId26"/>
    <hyperlink ref="J43" r:id="rId27"/>
    <hyperlink ref="J44" r:id="rId28"/>
    <hyperlink ref="J45" r:id="rId29"/>
    <hyperlink ref="J46" r:id="rId30"/>
    <hyperlink ref="J54" r:id="rId31"/>
    <hyperlink ref="J55" r:id="rId32"/>
    <hyperlink ref="J56" r:id="rId33"/>
    <hyperlink ref="J57" r:id="rId34"/>
    <hyperlink ref="J58" r:id="rId35"/>
    <hyperlink ref="J59" r:id="rId36"/>
    <hyperlink ref="J60" r:id="rId37"/>
    <hyperlink ref="J61" r:id="rId38"/>
    <hyperlink ref="J62" r:id="rId39"/>
    <hyperlink ref="J63" r:id="rId40"/>
    <hyperlink ref="J64" r:id="rId41"/>
    <hyperlink ref="J65" r:id="rId42"/>
    <hyperlink ref="J66" r:id="rId43"/>
    <hyperlink ref="J67" r:id="rId44"/>
    <hyperlink ref="J68" r:id="rId45"/>
    <hyperlink ref="J69" r:id="rId46"/>
    <hyperlink ref="J70" r:id="rId47"/>
    <hyperlink ref="J71" r:id="rId48"/>
    <hyperlink ref="J72" r:id="rId49"/>
    <hyperlink ref="J73" r:id="rId50"/>
    <hyperlink ref="J74" r:id="rId51"/>
    <hyperlink ref="J75" r:id="rId52"/>
    <hyperlink ref="J76" r:id="rId53"/>
    <hyperlink ref="J77" r:id="rId54"/>
    <hyperlink ref="J85" r:id="rId55"/>
    <hyperlink ref="J86" r:id="rId56"/>
    <hyperlink ref="J87" r:id="rId57"/>
    <hyperlink ref="J88" r:id="rId58"/>
    <hyperlink ref="J89" r:id="rId59"/>
    <hyperlink ref="J114" r:id="rId60"/>
    <hyperlink ref="J115" r:id="rId61"/>
    <hyperlink ref="J116" r:id="rId62"/>
    <hyperlink ref="J117" r:id="rId63"/>
    <hyperlink ref="J118" r:id="rId64"/>
    <hyperlink ref="J119" r:id="rId65"/>
    <hyperlink ref="J120" r:id="rId66"/>
    <hyperlink ref="J123" r:id="rId67"/>
    <hyperlink ref="J124" r:id="rId68"/>
    <hyperlink ref="J125" r:id="rId69"/>
    <hyperlink ref="J126" r:id="rId70"/>
    <hyperlink ref="J139" r:id="rId71"/>
    <hyperlink ref="J140" r:id="rId72"/>
    <hyperlink ref="J141" r:id="rId73"/>
    <hyperlink ref="J142" r:id="rId74"/>
    <hyperlink ref="J143" r:id="rId75"/>
    <hyperlink ref="J144" r:id="rId76"/>
    <hyperlink ref="J145" r:id="rId77"/>
    <hyperlink ref="J146" r:id="rId78"/>
    <hyperlink ref="J147" r:id="rId79"/>
    <hyperlink ref="J148" r:id="rId80"/>
    <hyperlink ref="J149" r:id="rId81"/>
    <hyperlink ref="J150" r:id="rId82"/>
    <hyperlink ref="J151" r:id="rId83"/>
    <hyperlink ref="J152" r:id="rId84"/>
    <hyperlink ref="J153" r:id="rId85"/>
    <hyperlink ref="J154" r:id="rId86"/>
    <hyperlink ref="J155" r:id="rId87"/>
    <hyperlink ref="J156" r:id="rId88"/>
    <hyperlink ref="J157" r:id="rId89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16" zoomScale="80" zoomScaleNormal="80" workbookViewId="0">
      <selection activeCell="S44" sqref="S44:S60"/>
    </sheetView>
  </sheetViews>
  <sheetFormatPr defaultRowHeight="12.75" outlineLevelCol="1"/>
  <cols>
    <col min="1" max="1" width="26.7109375" customWidth="1"/>
    <col min="2" max="4" width="7" customWidth="1"/>
    <col min="5" max="5" width="7.5703125" customWidth="1"/>
    <col min="6" max="14" width="8" bestFit="1" customWidth="1"/>
    <col min="15" max="18" width="6.42578125" hidden="1" customWidth="1"/>
    <col min="19" max="19" width="26.140625" customWidth="1"/>
    <col min="20" max="20" width="2.5703125" hidden="1" customWidth="1" outlineLevel="1"/>
    <col min="21" max="21" width="17.85546875" hidden="1" customWidth="1" outlineLevel="1"/>
    <col min="22" max="22" width="33.140625" hidden="1" customWidth="1" outlineLevel="1"/>
    <col min="23" max="23" width="8.7109375" style="87" hidden="1" customWidth="1" outlineLevel="1"/>
    <col min="24" max="24" width="9.140625" collapsed="1"/>
    <col min="25" max="25" width="13.85546875" customWidth="1"/>
    <col min="26" max="26" width="12.140625" customWidth="1"/>
  </cols>
  <sheetData>
    <row r="1" spans="1:23" ht="13.5" thickBot="1"/>
    <row r="2" spans="1:23" ht="15.75" customHeight="1">
      <c r="A2" s="30" t="s">
        <v>6</v>
      </c>
      <c r="B2" s="28" t="s">
        <v>503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421" t="s">
        <v>1045</v>
      </c>
      <c r="U2" s="424" t="s">
        <v>1642</v>
      </c>
      <c r="V2" s="425"/>
      <c r="W2" s="426"/>
    </row>
    <row r="3" spans="1:23" ht="15.75" customHeight="1">
      <c r="A3" s="29" t="s">
        <v>502</v>
      </c>
      <c r="B3" s="33">
        <v>43285</v>
      </c>
      <c r="C3" s="33">
        <v>43286</v>
      </c>
      <c r="D3" s="33">
        <v>43287</v>
      </c>
      <c r="E3" s="33">
        <v>43290</v>
      </c>
      <c r="F3" s="33">
        <v>43297</v>
      </c>
      <c r="G3" s="33">
        <v>43299</v>
      </c>
      <c r="H3" s="33">
        <v>43300</v>
      </c>
      <c r="I3" s="33">
        <v>43301</v>
      </c>
      <c r="J3" s="33">
        <v>43302</v>
      </c>
      <c r="K3" s="33">
        <v>43304</v>
      </c>
      <c r="L3" s="33">
        <v>43305</v>
      </c>
      <c r="M3" s="33">
        <v>43306</v>
      </c>
      <c r="N3" s="33">
        <v>43307</v>
      </c>
      <c r="O3" s="33"/>
      <c r="P3" s="33"/>
      <c r="Q3" s="33"/>
      <c r="R3" s="33"/>
      <c r="S3" s="422"/>
      <c r="U3" s="427"/>
      <c r="V3" s="428"/>
      <c r="W3" s="429"/>
    </row>
    <row r="4" spans="1:23" ht="13.5" thickBot="1">
      <c r="A4" s="24" t="s">
        <v>11</v>
      </c>
      <c r="B4" s="191"/>
      <c r="C4" s="191"/>
      <c r="D4" s="191">
        <v>0</v>
      </c>
      <c r="E4" s="191"/>
      <c r="F4" s="191"/>
      <c r="G4" s="191"/>
      <c r="H4" s="191">
        <v>3</v>
      </c>
      <c r="I4" s="191"/>
      <c r="J4" s="191"/>
      <c r="K4" s="191"/>
      <c r="L4" s="191"/>
      <c r="M4" s="191">
        <v>0</v>
      </c>
      <c r="N4" s="191"/>
      <c r="O4" s="191"/>
      <c r="P4" s="26"/>
      <c r="Q4" s="26"/>
      <c r="R4" s="26"/>
      <c r="S4" s="87">
        <f t="shared" ref="S4:S20" si="0">SUM(B4:R4)</f>
        <v>3</v>
      </c>
      <c r="U4" s="252" t="s">
        <v>502</v>
      </c>
      <c r="V4" s="253" t="s">
        <v>1641</v>
      </c>
      <c r="W4" s="254" t="s">
        <v>665</v>
      </c>
    </row>
    <row r="5" spans="1:23">
      <c r="A5" s="24" t="s">
        <v>218</v>
      </c>
      <c r="B5" s="191">
        <v>0</v>
      </c>
      <c r="C5" s="191"/>
      <c r="D5" s="191"/>
      <c r="E5" s="191"/>
      <c r="F5" s="191"/>
      <c r="G5" s="191">
        <v>0</v>
      </c>
      <c r="H5" s="191"/>
      <c r="I5" s="191">
        <v>3</v>
      </c>
      <c r="J5" s="191"/>
      <c r="K5" s="191"/>
      <c r="L5" s="191"/>
      <c r="M5" s="191">
        <v>3</v>
      </c>
      <c r="N5" s="191"/>
      <c r="O5" s="191"/>
      <c r="P5" s="26"/>
      <c r="Q5" s="26"/>
      <c r="R5" s="174"/>
      <c r="S5" s="87">
        <f t="shared" si="0"/>
        <v>6</v>
      </c>
      <c r="U5" s="363"/>
      <c r="V5" s="364"/>
      <c r="W5" s="365"/>
    </row>
    <row r="6" spans="1:23">
      <c r="A6" s="24" t="s">
        <v>121</v>
      </c>
      <c r="B6" s="191"/>
      <c r="C6" s="191"/>
      <c r="D6" s="191">
        <v>1</v>
      </c>
      <c r="E6" s="191"/>
      <c r="F6" s="191"/>
      <c r="G6" s="191"/>
      <c r="H6" s="191">
        <v>2</v>
      </c>
      <c r="I6" s="191"/>
      <c r="J6" s="191"/>
      <c r="K6" s="191"/>
      <c r="L6" s="191">
        <v>2</v>
      </c>
      <c r="M6" s="191"/>
      <c r="N6" s="190"/>
      <c r="O6" s="190"/>
      <c r="S6" s="87">
        <f t="shared" si="0"/>
        <v>5</v>
      </c>
      <c r="U6" s="337"/>
      <c r="V6" s="104"/>
      <c r="W6" s="336"/>
    </row>
    <row r="7" spans="1:23">
      <c r="A7" s="24" t="s">
        <v>189</v>
      </c>
      <c r="B7" s="191">
        <v>3</v>
      </c>
      <c r="C7" s="191"/>
      <c r="D7" s="191"/>
      <c r="E7" s="191"/>
      <c r="F7" s="191">
        <v>2</v>
      </c>
      <c r="G7" s="191"/>
      <c r="H7" s="191"/>
      <c r="I7" s="191"/>
      <c r="J7" s="191"/>
      <c r="K7" s="191"/>
      <c r="L7" s="191"/>
      <c r="M7" s="191">
        <v>4</v>
      </c>
      <c r="N7" s="191"/>
      <c r="O7" s="191"/>
      <c r="P7" s="26"/>
      <c r="Q7" s="26"/>
      <c r="R7" s="26"/>
      <c r="S7" s="87">
        <f t="shared" si="0"/>
        <v>9</v>
      </c>
      <c r="U7" s="337"/>
      <c r="V7" s="111"/>
      <c r="W7" s="336"/>
    </row>
    <row r="8" spans="1:23">
      <c r="A8" s="24" t="s">
        <v>310</v>
      </c>
      <c r="B8" s="191"/>
      <c r="C8" s="191">
        <v>2</v>
      </c>
      <c r="D8" s="191"/>
      <c r="E8" s="191"/>
      <c r="F8" s="191"/>
      <c r="G8" s="191"/>
      <c r="H8" s="191"/>
      <c r="I8" s="191"/>
      <c r="J8" s="191">
        <v>4</v>
      </c>
      <c r="K8" s="191">
        <v>4</v>
      </c>
      <c r="L8" s="191"/>
      <c r="M8" s="191"/>
      <c r="N8" s="191"/>
      <c r="O8" s="191"/>
      <c r="P8" s="26"/>
      <c r="Q8" s="26"/>
      <c r="R8" s="26"/>
      <c r="S8" s="87">
        <f t="shared" si="0"/>
        <v>10</v>
      </c>
      <c r="U8" s="338"/>
      <c r="V8" s="104"/>
      <c r="W8" s="336"/>
    </row>
    <row r="9" spans="1:23">
      <c r="A9" s="24" t="s">
        <v>279</v>
      </c>
      <c r="B9" s="191"/>
      <c r="C9" s="191"/>
      <c r="D9" s="191">
        <v>0</v>
      </c>
      <c r="E9" s="191"/>
      <c r="F9" s="191"/>
      <c r="G9" s="191">
        <v>3</v>
      </c>
      <c r="H9" s="191"/>
      <c r="I9" s="191">
        <v>4</v>
      </c>
      <c r="J9" s="191"/>
      <c r="K9" s="191"/>
      <c r="L9" s="191"/>
      <c r="M9" s="191"/>
      <c r="N9" s="191">
        <v>3</v>
      </c>
      <c r="O9" s="191"/>
      <c r="P9" s="26"/>
      <c r="Q9" s="26"/>
      <c r="R9" s="26"/>
      <c r="S9" s="87">
        <f t="shared" si="0"/>
        <v>10</v>
      </c>
      <c r="U9" s="339"/>
      <c r="V9" s="111"/>
      <c r="W9" s="336"/>
    </row>
    <row r="10" spans="1:23">
      <c r="A10" s="24" t="s">
        <v>130</v>
      </c>
      <c r="B10" s="191"/>
      <c r="C10" s="191"/>
      <c r="D10" s="191"/>
      <c r="E10" s="191">
        <v>2</v>
      </c>
      <c r="F10" s="191"/>
      <c r="G10" s="191"/>
      <c r="H10" s="191">
        <v>0</v>
      </c>
      <c r="I10" s="191"/>
      <c r="J10" s="191"/>
      <c r="K10" s="191"/>
      <c r="L10" s="191"/>
      <c r="M10" s="191">
        <v>0</v>
      </c>
      <c r="N10" s="191"/>
      <c r="O10" s="191"/>
      <c r="P10" s="26"/>
      <c r="Q10" s="26"/>
      <c r="R10" s="174"/>
      <c r="S10" s="87">
        <f t="shared" si="0"/>
        <v>2</v>
      </c>
      <c r="U10" s="338"/>
      <c r="V10" s="111"/>
      <c r="W10" s="336"/>
    </row>
    <row r="11" spans="1:23">
      <c r="A11" s="24" t="s">
        <v>24</v>
      </c>
      <c r="B11" s="191"/>
      <c r="C11" s="191">
        <v>2</v>
      </c>
      <c r="D11" s="191"/>
      <c r="E11" s="191"/>
      <c r="F11" s="191"/>
      <c r="G11" s="191"/>
      <c r="H11" s="191"/>
      <c r="I11" s="191"/>
      <c r="J11" s="191">
        <v>0</v>
      </c>
      <c r="K11" s="191"/>
      <c r="L11" s="191"/>
      <c r="M11" s="191"/>
      <c r="N11" s="191">
        <v>3</v>
      </c>
      <c r="O11" s="191"/>
      <c r="P11" s="26"/>
      <c r="Q11" s="26"/>
      <c r="R11" s="26"/>
      <c r="S11" s="87">
        <f t="shared" si="0"/>
        <v>5</v>
      </c>
      <c r="U11" s="335"/>
      <c r="V11" s="104"/>
      <c r="W11" s="336"/>
    </row>
    <row r="12" spans="1:23">
      <c r="A12" s="24" t="s">
        <v>393</v>
      </c>
      <c r="B12" s="191">
        <v>2</v>
      </c>
      <c r="C12" s="191"/>
      <c r="D12" s="191"/>
      <c r="E12" s="191"/>
      <c r="F12" s="191"/>
      <c r="G12" s="191">
        <v>4</v>
      </c>
      <c r="H12" s="191"/>
      <c r="I12" s="191"/>
      <c r="J12" s="191"/>
      <c r="K12" s="191">
        <v>0</v>
      </c>
      <c r="L12" s="191"/>
      <c r="M12" s="191"/>
      <c r="N12" s="191"/>
      <c r="O12" s="191"/>
      <c r="P12" s="26"/>
      <c r="Q12" s="26"/>
      <c r="R12" s="26"/>
      <c r="S12" s="87">
        <f t="shared" si="0"/>
        <v>6</v>
      </c>
      <c r="U12" s="335"/>
      <c r="V12" s="104"/>
      <c r="W12" s="336"/>
    </row>
    <row r="13" spans="1:23">
      <c r="A13" s="24" t="s">
        <v>161</v>
      </c>
      <c r="B13" s="191"/>
      <c r="C13" s="191">
        <v>3</v>
      </c>
      <c r="D13" s="191"/>
      <c r="E13" s="191"/>
      <c r="F13" s="191"/>
      <c r="G13" s="191"/>
      <c r="H13" s="191"/>
      <c r="I13" s="191"/>
      <c r="J13" s="191">
        <v>0</v>
      </c>
      <c r="K13" s="191"/>
      <c r="L13" s="191"/>
      <c r="M13" s="191"/>
      <c r="N13" s="191">
        <v>2</v>
      </c>
      <c r="O13" s="191"/>
      <c r="P13" s="26"/>
      <c r="Q13" s="26"/>
      <c r="R13" s="26"/>
      <c r="S13" s="87">
        <f t="shared" si="0"/>
        <v>5</v>
      </c>
      <c r="U13" s="339"/>
      <c r="V13" s="104"/>
      <c r="W13" s="336"/>
    </row>
    <row r="14" spans="1:23">
      <c r="A14" s="24" t="s">
        <v>34</v>
      </c>
      <c r="B14" s="191"/>
      <c r="C14" s="191"/>
      <c r="D14" s="191">
        <v>0</v>
      </c>
      <c r="E14" s="191"/>
      <c r="F14" s="191">
        <v>3</v>
      </c>
      <c r="G14" s="191"/>
      <c r="H14" s="191"/>
      <c r="I14" s="191"/>
      <c r="J14" s="191"/>
      <c r="K14" s="191"/>
      <c r="L14" s="191">
        <v>5</v>
      </c>
      <c r="M14" s="191"/>
      <c r="N14" s="191"/>
      <c r="O14" s="191"/>
      <c r="P14" s="26"/>
      <c r="Q14" s="26"/>
      <c r="R14" s="186"/>
      <c r="S14" s="87">
        <f t="shared" si="0"/>
        <v>8</v>
      </c>
      <c r="U14" s="340"/>
      <c r="V14" s="102"/>
      <c r="W14" s="341"/>
    </row>
    <row r="15" spans="1:23">
      <c r="A15" s="24" t="s">
        <v>174</v>
      </c>
      <c r="B15" s="191"/>
      <c r="C15" s="191"/>
      <c r="D15" s="191"/>
      <c r="E15" s="191">
        <v>4</v>
      </c>
      <c r="F15" s="191">
        <v>3</v>
      </c>
      <c r="G15" s="191"/>
      <c r="H15" s="191"/>
      <c r="I15" s="191"/>
      <c r="J15" s="191"/>
      <c r="K15" s="191">
        <v>4</v>
      </c>
      <c r="L15" s="191"/>
      <c r="M15" s="191"/>
      <c r="N15" s="191"/>
      <c r="O15" s="191"/>
      <c r="P15" s="26"/>
      <c r="Q15" s="26"/>
      <c r="R15" s="26"/>
      <c r="S15" s="87">
        <f t="shared" si="0"/>
        <v>11</v>
      </c>
      <c r="U15" s="342"/>
      <c r="V15" s="104"/>
      <c r="W15" s="336"/>
    </row>
    <row r="16" spans="1:23">
      <c r="A16" s="24" t="s">
        <v>97</v>
      </c>
      <c r="B16" s="191"/>
      <c r="C16" s="191">
        <v>4</v>
      </c>
      <c r="D16" s="191"/>
      <c r="E16" s="191"/>
      <c r="F16" s="191">
        <v>4</v>
      </c>
      <c r="G16" s="191">
        <v>3</v>
      </c>
      <c r="H16" s="191"/>
      <c r="I16" s="191"/>
      <c r="J16" s="191"/>
      <c r="K16" s="191"/>
      <c r="L16" s="191">
        <v>4</v>
      </c>
      <c r="M16" s="191"/>
      <c r="N16" s="191"/>
      <c r="O16" s="191"/>
      <c r="P16" s="26"/>
      <c r="Q16" s="26"/>
      <c r="R16" s="26"/>
      <c r="S16" s="87">
        <f t="shared" si="0"/>
        <v>15</v>
      </c>
      <c r="U16" s="337"/>
      <c r="V16" s="104"/>
      <c r="W16" s="336"/>
    </row>
    <row r="17" spans="1:23">
      <c r="A17" s="24" t="s">
        <v>254</v>
      </c>
      <c r="B17" s="190">
        <v>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>
        <v>0</v>
      </c>
      <c r="N17" s="190"/>
      <c r="O17" s="190"/>
      <c r="S17" s="87">
        <f t="shared" si="0"/>
        <v>4</v>
      </c>
      <c r="U17" s="337"/>
      <c r="V17" s="111"/>
      <c r="W17" s="336"/>
    </row>
    <row r="18" spans="1:23">
      <c r="A18" s="24" t="s">
        <v>203</v>
      </c>
      <c r="B18" s="191"/>
      <c r="C18" s="191"/>
      <c r="D18" s="191"/>
      <c r="E18" s="191">
        <v>2</v>
      </c>
      <c r="F18" s="191">
        <v>0</v>
      </c>
      <c r="G18" s="191">
        <v>3</v>
      </c>
      <c r="H18" s="191"/>
      <c r="I18" s="191">
        <v>4</v>
      </c>
      <c r="J18" s="191"/>
      <c r="K18" s="191">
        <v>4</v>
      </c>
      <c r="L18" s="191">
        <v>2</v>
      </c>
      <c r="M18" s="191"/>
      <c r="N18" s="191"/>
      <c r="O18" s="191"/>
      <c r="P18" s="26"/>
      <c r="Q18" s="26"/>
      <c r="R18" s="26"/>
      <c r="S18" s="87">
        <f t="shared" si="0"/>
        <v>15</v>
      </c>
      <c r="U18" s="337"/>
      <c r="V18" s="104"/>
      <c r="W18" s="336"/>
    </row>
    <row r="19" spans="1:23">
      <c r="A19" s="24" t="s">
        <v>68</v>
      </c>
      <c r="B19" s="191"/>
      <c r="C19" s="191"/>
      <c r="D19" s="191">
        <v>2</v>
      </c>
      <c r="E19" s="191"/>
      <c r="F19" s="191"/>
      <c r="G19" s="191"/>
      <c r="H19" s="191">
        <v>4</v>
      </c>
      <c r="I19" s="191"/>
      <c r="J19" s="191"/>
      <c r="K19" s="191"/>
      <c r="L19" s="191"/>
      <c r="M19" s="191"/>
      <c r="N19" s="191"/>
      <c r="O19" s="191"/>
      <c r="P19" s="26"/>
      <c r="Q19" s="26"/>
      <c r="R19" s="26"/>
      <c r="S19" s="87">
        <f t="shared" si="0"/>
        <v>6</v>
      </c>
      <c r="U19" s="338"/>
      <c r="V19" s="111"/>
      <c r="W19" s="336"/>
    </row>
    <row r="20" spans="1:23">
      <c r="A20" s="25" t="s">
        <v>500</v>
      </c>
      <c r="B20" s="27">
        <f>SUM(B4:B19)</f>
        <v>9</v>
      </c>
      <c r="C20" s="27">
        <f t="shared" ref="C20:R20" si="1">SUM(C4:C19)</f>
        <v>11</v>
      </c>
      <c r="D20" s="27">
        <f t="shared" si="1"/>
        <v>3</v>
      </c>
      <c r="E20" s="27">
        <f>SUM(E4:E19)</f>
        <v>8</v>
      </c>
      <c r="F20" s="27">
        <f>SUM(F4:F19)</f>
        <v>12</v>
      </c>
      <c r="G20" s="27">
        <f t="shared" si="1"/>
        <v>13</v>
      </c>
      <c r="H20" s="27">
        <f t="shared" si="1"/>
        <v>9</v>
      </c>
      <c r="I20" s="27">
        <f t="shared" si="1"/>
        <v>11</v>
      </c>
      <c r="J20" s="27">
        <f t="shared" si="1"/>
        <v>4</v>
      </c>
      <c r="K20" s="27">
        <f t="shared" si="1"/>
        <v>12</v>
      </c>
      <c r="L20" s="27">
        <f t="shared" si="1"/>
        <v>13</v>
      </c>
      <c r="M20" s="27">
        <f t="shared" si="1"/>
        <v>7</v>
      </c>
      <c r="N20" s="27">
        <f t="shared" si="1"/>
        <v>8</v>
      </c>
      <c r="O20" s="27">
        <f t="shared" si="1"/>
        <v>0</v>
      </c>
      <c r="P20" s="27">
        <f t="shared" si="1"/>
        <v>0</v>
      </c>
      <c r="Q20" s="27">
        <f t="shared" si="1"/>
        <v>0</v>
      </c>
      <c r="R20" s="27">
        <f t="shared" si="1"/>
        <v>0</v>
      </c>
      <c r="S20" s="27">
        <f t="shared" si="0"/>
        <v>120</v>
      </c>
      <c r="U20" s="339"/>
      <c r="V20" s="111"/>
      <c r="W20" s="336"/>
    </row>
    <row r="21" spans="1:23">
      <c r="U21" s="342"/>
      <c r="V21" s="111"/>
      <c r="W21" s="336"/>
    </row>
    <row r="22" spans="1:23">
      <c r="A22" s="30" t="s">
        <v>504</v>
      </c>
      <c r="B22" s="28" t="s">
        <v>503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421" t="s">
        <v>501</v>
      </c>
      <c r="U22" s="342"/>
      <c r="V22" s="111"/>
      <c r="W22" s="336"/>
    </row>
    <row r="23" spans="1:23">
      <c r="A23" s="29" t="s">
        <v>502</v>
      </c>
      <c r="B23" s="33">
        <f>B3</f>
        <v>43285</v>
      </c>
      <c r="C23" s="33">
        <f>C3</f>
        <v>43286</v>
      </c>
      <c r="D23" s="33">
        <f t="shared" ref="D23:R23" si="2">D3</f>
        <v>43287</v>
      </c>
      <c r="E23" s="33">
        <f t="shared" si="2"/>
        <v>43290</v>
      </c>
      <c r="F23" s="33">
        <f t="shared" si="2"/>
        <v>43297</v>
      </c>
      <c r="G23" s="33">
        <f t="shared" si="2"/>
        <v>43299</v>
      </c>
      <c r="H23" s="33">
        <f t="shared" si="2"/>
        <v>43300</v>
      </c>
      <c r="I23" s="33">
        <f t="shared" si="2"/>
        <v>43301</v>
      </c>
      <c r="J23" s="33">
        <f t="shared" si="2"/>
        <v>43302</v>
      </c>
      <c r="K23" s="33">
        <f t="shared" si="2"/>
        <v>43304</v>
      </c>
      <c r="L23" s="33">
        <f t="shared" si="2"/>
        <v>43305</v>
      </c>
      <c r="M23" s="33">
        <f t="shared" si="2"/>
        <v>43306</v>
      </c>
      <c r="N23" s="33">
        <f t="shared" si="2"/>
        <v>43307</v>
      </c>
      <c r="O23" s="33">
        <f t="shared" si="2"/>
        <v>0</v>
      </c>
      <c r="P23" s="33">
        <f t="shared" si="2"/>
        <v>0</v>
      </c>
      <c r="Q23" s="33">
        <f t="shared" si="2"/>
        <v>0</v>
      </c>
      <c r="R23" s="33">
        <f t="shared" si="2"/>
        <v>0</v>
      </c>
      <c r="S23" s="422"/>
      <c r="U23" s="339"/>
      <c r="V23" s="104"/>
      <c r="W23" s="336"/>
    </row>
    <row r="24" spans="1:23">
      <c r="A24" s="24" t="s">
        <v>11</v>
      </c>
      <c r="B24" s="191"/>
      <c r="C24" s="191"/>
      <c r="D24" s="191">
        <v>2</v>
      </c>
      <c r="E24" s="191"/>
      <c r="F24" s="191"/>
      <c r="G24" s="191"/>
      <c r="H24" s="191">
        <v>3</v>
      </c>
      <c r="I24" s="191"/>
      <c r="J24" s="191"/>
      <c r="K24" s="191"/>
      <c r="L24" s="191"/>
      <c r="M24" s="191">
        <v>1</v>
      </c>
      <c r="N24" s="191"/>
      <c r="O24" s="191"/>
      <c r="P24" s="26"/>
      <c r="Q24" s="26"/>
      <c r="R24" s="26"/>
      <c r="S24" s="177">
        <f t="shared" ref="S24:S40" si="3">SUM(B24:R24)</f>
        <v>6</v>
      </c>
      <c r="U24" s="366"/>
      <c r="V24" s="104"/>
      <c r="W24" s="336"/>
    </row>
    <row r="25" spans="1:23">
      <c r="A25" s="24" t="s">
        <v>218</v>
      </c>
      <c r="B25" s="190">
        <v>4</v>
      </c>
      <c r="C25" s="190"/>
      <c r="D25" s="190"/>
      <c r="E25" s="190"/>
      <c r="F25" s="190"/>
      <c r="G25" s="190">
        <v>4</v>
      </c>
      <c r="H25" s="190"/>
      <c r="I25" s="190">
        <v>4</v>
      </c>
      <c r="J25" s="190"/>
      <c r="K25" s="190"/>
      <c r="L25" s="190"/>
      <c r="M25" s="190">
        <v>4</v>
      </c>
      <c r="N25" s="190"/>
      <c r="O25" s="190"/>
      <c r="R25" s="175"/>
      <c r="S25" s="177">
        <f t="shared" si="3"/>
        <v>16</v>
      </c>
      <c r="U25" s="337"/>
      <c r="V25" s="111"/>
      <c r="W25" s="336"/>
    </row>
    <row r="26" spans="1:23">
      <c r="A26" s="24" t="s">
        <v>121</v>
      </c>
      <c r="B26" s="190"/>
      <c r="C26" s="190"/>
      <c r="D26" s="190">
        <v>1</v>
      </c>
      <c r="E26" s="190"/>
      <c r="F26" s="190"/>
      <c r="G26" s="190"/>
      <c r="H26" s="190">
        <v>4</v>
      </c>
      <c r="I26" s="190"/>
      <c r="J26" s="190"/>
      <c r="K26" s="190"/>
      <c r="L26" s="190">
        <v>4</v>
      </c>
      <c r="M26" s="190"/>
      <c r="N26" s="190"/>
      <c r="O26" s="190"/>
      <c r="S26" s="177">
        <f t="shared" si="3"/>
        <v>9</v>
      </c>
      <c r="U26" s="339"/>
      <c r="V26" s="111"/>
      <c r="W26" s="336"/>
    </row>
    <row r="27" spans="1:23">
      <c r="A27" s="24" t="s">
        <v>189</v>
      </c>
      <c r="B27" s="190">
        <v>4</v>
      </c>
      <c r="C27" s="190"/>
      <c r="D27" s="190"/>
      <c r="E27" s="190"/>
      <c r="F27" s="190">
        <v>4</v>
      </c>
      <c r="G27" s="190"/>
      <c r="H27" s="190"/>
      <c r="I27" s="190"/>
      <c r="J27" s="190"/>
      <c r="K27" s="190"/>
      <c r="L27" s="190"/>
      <c r="M27" s="190">
        <v>4</v>
      </c>
      <c r="N27" s="190"/>
      <c r="O27" s="190"/>
      <c r="S27" s="177">
        <f t="shared" si="3"/>
        <v>12</v>
      </c>
      <c r="U27" s="339"/>
      <c r="V27" s="104"/>
      <c r="W27" s="336"/>
    </row>
    <row r="28" spans="1:23">
      <c r="A28" s="24" t="s">
        <v>310</v>
      </c>
      <c r="B28" s="190"/>
      <c r="C28" s="190">
        <v>4</v>
      </c>
      <c r="D28" s="190"/>
      <c r="E28" s="190"/>
      <c r="F28" s="190"/>
      <c r="G28" s="190"/>
      <c r="H28" s="190"/>
      <c r="I28" s="190"/>
      <c r="J28" s="190">
        <v>4</v>
      </c>
      <c r="K28" s="190">
        <v>4</v>
      </c>
      <c r="L28" s="190"/>
      <c r="M28" s="190"/>
      <c r="N28" s="190"/>
      <c r="O28" s="190"/>
      <c r="S28" s="177">
        <f t="shared" si="3"/>
        <v>12</v>
      </c>
      <c r="U28" s="337"/>
      <c r="V28" s="104"/>
      <c r="W28" s="336"/>
    </row>
    <row r="29" spans="1:23" ht="13.5" thickBot="1">
      <c r="A29" s="24" t="s">
        <v>279</v>
      </c>
      <c r="B29" s="190"/>
      <c r="C29" s="190"/>
      <c r="D29" s="190">
        <v>4</v>
      </c>
      <c r="E29" s="190"/>
      <c r="F29" s="190"/>
      <c r="G29" s="190">
        <v>4</v>
      </c>
      <c r="H29" s="190"/>
      <c r="I29" s="190">
        <v>4</v>
      </c>
      <c r="J29" s="190"/>
      <c r="K29" s="190"/>
      <c r="L29" s="190"/>
      <c r="M29" s="190"/>
      <c r="N29" s="190">
        <v>4</v>
      </c>
      <c r="O29" s="190"/>
      <c r="S29" s="177">
        <f t="shared" si="3"/>
        <v>16</v>
      </c>
      <c r="U29" s="343"/>
      <c r="V29" s="344"/>
      <c r="W29" s="345"/>
    </row>
    <row r="30" spans="1:23">
      <c r="A30" s="24" t="s">
        <v>130</v>
      </c>
      <c r="B30" s="190"/>
      <c r="C30" s="190"/>
      <c r="D30" s="190"/>
      <c r="E30" s="190">
        <v>4</v>
      </c>
      <c r="F30" s="190"/>
      <c r="G30" s="190"/>
      <c r="H30" s="190">
        <v>1</v>
      </c>
      <c r="I30" s="190"/>
      <c r="J30" s="190"/>
      <c r="K30" s="190"/>
      <c r="L30" s="190"/>
      <c r="M30" s="190">
        <v>4</v>
      </c>
      <c r="N30" s="190"/>
      <c r="O30" s="190"/>
      <c r="R30" s="175"/>
      <c r="S30" s="177">
        <f t="shared" si="3"/>
        <v>9</v>
      </c>
      <c r="U30" s="67"/>
      <c r="V30" s="67"/>
      <c r="W30" s="314"/>
    </row>
    <row r="31" spans="1:23">
      <c r="A31" s="24" t="s">
        <v>24</v>
      </c>
      <c r="B31" s="190"/>
      <c r="C31" s="190">
        <v>4</v>
      </c>
      <c r="D31" s="190"/>
      <c r="E31" s="190"/>
      <c r="F31" s="190"/>
      <c r="G31" s="190"/>
      <c r="H31" s="190"/>
      <c r="I31" s="190"/>
      <c r="J31" s="190">
        <v>4</v>
      </c>
      <c r="K31" s="190"/>
      <c r="L31" s="190"/>
      <c r="M31" s="190"/>
      <c r="N31" s="190">
        <v>4</v>
      </c>
      <c r="O31" s="190"/>
      <c r="S31" s="177">
        <f t="shared" si="3"/>
        <v>12</v>
      </c>
      <c r="U31" s="67"/>
      <c r="V31" s="67"/>
      <c r="W31" s="314"/>
    </row>
    <row r="32" spans="1:23">
      <c r="A32" s="24" t="s">
        <v>393</v>
      </c>
      <c r="B32" s="190">
        <v>4</v>
      </c>
      <c r="C32" s="190"/>
      <c r="D32" s="190"/>
      <c r="E32" s="190"/>
      <c r="F32" s="190"/>
      <c r="G32" s="190">
        <v>4</v>
      </c>
      <c r="H32" s="190"/>
      <c r="I32" s="190"/>
      <c r="J32" s="190"/>
      <c r="K32" s="190">
        <v>3</v>
      </c>
      <c r="L32" s="190"/>
      <c r="M32" s="190"/>
      <c r="N32" s="190"/>
      <c r="O32" s="190"/>
      <c r="S32" s="177">
        <f t="shared" si="3"/>
        <v>11</v>
      </c>
      <c r="U32" s="67"/>
      <c r="V32" s="67"/>
      <c r="W32" s="314"/>
    </row>
    <row r="33" spans="1:26">
      <c r="A33" s="20" t="s">
        <v>161</v>
      </c>
      <c r="B33" s="190"/>
      <c r="C33" s="190">
        <v>3</v>
      </c>
      <c r="D33" s="190"/>
      <c r="E33" s="190"/>
      <c r="F33" s="190"/>
      <c r="G33" s="190"/>
      <c r="H33" s="190"/>
      <c r="I33" s="190"/>
      <c r="J33" s="190">
        <v>4</v>
      </c>
      <c r="K33" s="190"/>
      <c r="L33" s="190"/>
      <c r="M33" s="190"/>
      <c r="N33" s="190">
        <v>2</v>
      </c>
      <c r="O33" s="190"/>
      <c r="S33" s="177">
        <f t="shared" si="3"/>
        <v>9</v>
      </c>
      <c r="U33" s="67"/>
      <c r="V33" s="67"/>
      <c r="W33" s="85"/>
    </row>
    <row r="34" spans="1:26">
      <c r="A34" s="24" t="s">
        <v>34</v>
      </c>
      <c r="B34" s="190"/>
      <c r="C34" s="190"/>
      <c r="D34" s="190">
        <v>4</v>
      </c>
      <c r="E34" s="190"/>
      <c r="F34" s="190">
        <v>4</v>
      </c>
      <c r="G34" s="190"/>
      <c r="H34" s="190"/>
      <c r="I34" s="190"/>
      <c r="J34" s="190"/>
      <c r="K34" s="190"/>
      <c r="L34" s="190">
        <v>6</v>
      </c>
      <c r="M34" s="190"/>
      <c r="N34" s="190"/>
      <c r="O34" s="190"/>
      <c r="R34" s="187"/>
      <c r="S34" s="177">
        <f t="shared" si="3"/>
        <v>14</v>
      </c>
      <c r="U34" s="67"/>
      <c r="V34" s="67"/>
      <c r="W34" s="85"/>
    </row>
    <row r="35" spans="1:26">
      <c r="A35" s="24" t="s">
        <v>174</v>
      </c>
      <c r="B35" s="190"/>
      <c r="C35" s="190"/>
      <c r="D35" s="190"/>
      <c r="E35" s="190">
        <v>4</v>
      </c>
      <c r="F35" s="190">
        <v>3</v>
      </c>
      <c r="G35" s="190"/>
      <c r="H35" s="190"/>
      <c r="I35" s="190"/>
      <c r="J35" s="190"/>
      <c r="K35" s="190">
        <v>4</v>
      </c>
      <c r="L35" s="190"/>
      <c r="M35" s="190"/>
      <c r="N35" s="190"/>
      <c r="O35" s="190"/>
      <c r="S35" s="177">
        <f t="shared" si="3"/>
        <v>11</v>
      </c>
      <c r="U35" s="67"/>
      <c r="V35" s="67"/>
      <c r="W35" s="85"/>
    </row>
    <row r="36" spans="1:26">
      <c r="A36" s="24" t="s">
        <v>97</v>
      </c>
      <c r="B36" s="190"/>
      <c r="C36" s="190">
        <v>4</v>
      </c>
      <c r="D36" s="190"/>
      <c r="E36" s="190"/>
      <c r="F36" s="190">
        <v>4</v>
      </c>
      <c r="G36" s="190">
        <v>4</v>
      </c>
      <c r="H36" s="190"/>
      <c r="I36" s="190"/>
      <c r="J36" s="190"/>
      <c r="K36" s="190"/>
      <c r="L36" s="190">
        <v>4</v>
      </c>
      <c r="M36" s="190"/>
      <c r="N36" s="190"/>
      <c r="O36" s="190"/>
      <c r="S36" s="177">
        <f t="shared" si="3"/>
        <v>16</v>
      </c>
      <c r="U36" s="67"/>
      <c r="V36" s="67"/>
      <c r="W36" s="85"/>
    </row>
    <row r="37" spans="1:26">
      <c r="A37" s="24" t="s">
        <v>254</v>
      </c>
      <c r="B37" s="190">
        <v>4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>
        <v>1</v>
      </c>
      <c r="N37" s="190"/>
      <c r="O37" s="190"/>
      <c r="S37" s="177">
        <f t="shared" si="3"/>
        <v>5</v>
      </c>
      <c r="U37" s="67"/>
      <c r="V37" s="67"/>
      <c r="W37" s="85"/>
    </row>
    <row r="38" spans="1:26">
      <c r="A38" s="24" t="s">
        <v>203</v>
      </c>
      <c r="B38" s="190"/>
      <c r="C38" s="190"/>
      <c r="D38" s="190"/>
      <c r="E38" s="190">
        <v>4</v>
      </c>
      <c r="F38" s="190">
        <v>4</v>
      </c>
      <c r="G38" s="190">
        <v>4</v>
      </c>
      <c r="H38" s="190"/>
      <c r="I38" s="190">
        <v>4</v>
      </c>
      <c r="J38" s="190"/>
      <c r="K38" s="190">
        <v>4</v>
      </c>
      <c r="L38" s="190">
        <v>2</v>
      </c>
      <c r="M38" s="190"/>
      <c r="N38" s="190"/>
      <c r="O38" s="190"/>
      <c r="R38" s="310"/>
      <c r="S38" s="177">
        <f t="shared" si="3"/>
        <v>22</v>
      </c>
      <c r="U38" s="67"/>
      <c r="V38" s="68"/>
      <c r="W38" s="85"/>
    </row>
    <row r="39" spans="1:26">
      <c r="A39" s="24" t="s">
        <v>68</v>
      </c>
      <c r="B39" s="190"/>
      <c r="C39" s="190"/>
      <c r="D39" s="190">
        <v>3</v>
      </c>
      <c r="E39" s="190"/>
      <c r="F39" s="190"/>
      <c r="G39" s="190"/>
      <c r="H39" s="190">
        <v>4</v>
      </c>
      <c r="I39" s="190"/>
      <c r="J39" s="190"/>
      <c r="K39" s="190"/>
      <c r="L39" s="190"/>
      <c r="M39" s="190"/>
      <c r="N39" s="190"/>
      <c r="O39" s="190"/>
      <c r="S39" s="177">
        <f t="shared" si="3"/>
        <v>7</v>
      </c>
      <c r="U39" s="67"/>
      <c r="V39" s="68"/>
      <c r="W39" s="86"/>
    </row>
    <row r="40" spans="1:26">
      <c r="A40" s="25" t="s">
        <v>500</v>
      </c>
      <c r="B40" s="27">
        <f>SUM(B24:B39)</f>
        <v>16</v>
      </c>
      <c r="C40" s="27">
        <f t="shared" ref="C40:R40" si="4">SUM(C24:C39)</f>
        <v>15</v>
      </c>
      <c r="D40" s="27">
        <f t="shared" si="4"/>
        <v>14</v>
      </c>
      <c r="E40" s="27">
        <f t="shared" si="4"/>
        <v>12</v>
      </c>
      <c r="F40" s="27">
        <f t="shared" si="4"/>
        <v>19</v>
      </c>
      <c r="G40" s="27">
        <f t="shared" si="4"/>
        <v>20</v>
      </c>
      <c r="H40" s="27">
        <f t="shared" si="4"/>
        <v>12</v>
      </c>
      <c r="I40" s="27">
        <f t="shared" si="4"/>
        <v>12</v>
      </c>
      <c r="J40" s="27">
        <f t="shared" si="4"/>
        <v>12</v>
      </c>
      <c r="K40" s="27">
        <f t="shared" si="4"/>
        <v>15</v>
      </c>
      <c r="L40" s="27">
        <f t="shared" si="4"/>
        <v>16</v>
      </c>
      <c r="M40" s="27">
        <f t="shared" si="4"/>
        <v>14</v>
      </c>
      <c r="N40" s="27">
        <f t="shared" si="4"/>
        <v>10</v>
      </c>
      <c r="O40" s="27">
        <f t="shared" si="4"/>
        <v>0</v>
      </c>
      <c r="P40" s="27">
        <f t="shared" si="4"/>
        <v>0</v>
      </c>
      <c r="Q40" s="27">
        <f t="shared" si="4"/>
        <v>0</v>
      </c>
      <c r="R40" s="27">
        <f t="shared" si="4"/>
        <v>0</v>
      </c>
      <c r="S40" s="27">
        <f t="shared" si="3"/>
        <v>187</v>
      </c>
      <c r="U40" s="69"/>
      <c r="V40" s="69"/>
      <c r="W40" s="86"/>
    </row>
    <row r="41" spans="1:26">
      <c r="U41" s="69"/>
      <c r="V41" s="69"/>
      <c r="W41" s="86"/>
    </row>
    <row r="42" spans="1:26" ht="15">
      <c r="A42" s="423" t="s">
        <v>663</v>
      </c>
      <c r="B42" s="423"/>
      <c r="C42" s="423"/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31"/>
      <c r="S42" s="421" t="s">
        <v>663</v>
      </c>
      <c r="W42"/>
    </row>
    <row r="43" spans="1:26">
      <c r="A43" s="38" t="s">
        <v>502</v>
      </c>
      <c r="B43" s="33">
        <f>B23</f>
        <v>43285</v>
      </c>
      <c r="C43" s="33">
        <f t="shared" ref="C43:R43" si="5">C23</f>
        <v>43286</v>
      </c>
      <c r="D43" s="33">
        <f t="shared" si="5"/>
        <v>43287</v>
      </c>
      <c r="E43" s="33">
        <f t="shared" si="5"/>
        <v>43290</v>
      </c>
      <c r="F43" s="33">
        <f t="shared" si="5"/>
        <v>43297</v>
      </c>
      <c r="G43" s="33">
        <f t="shared" si="5"/>
        <v>43299</v>
      </c>
      <c r="H43" s="33">
        <f t="shared" si="5"/>
        <v>43300</v>
      </c>
      <c r="I43" s="33">
        <f t="shared" si="5"/>
        <v>43301</v>
      </c>
      <c r="J43" s="33">
        <f t="shared" si="5"/>
        <v>43302</v>
      </c>
      <c r="K43" s="33">
        <f t="shared" si="5"/>
        <v>43304</v>
      </c>
      <c r="L43" s="33">
        <f t="shared" si="5"/>
        <v>43305</v>
      </c>
      <c r="M43" s="33">
        <f t="shared" si="5"/>
        <v>43306</v>
      </c>
      <c r="N43" s="33">
        <f t="shared" si="5"/>
        <v>43307</v>
      </c>
      <c r="O43" s="33">
        <f t="shared" si="5"/>
        <v>0</v>
      </c>
      <c r="P43" s="33">
        <f t="shared" si="5"/>
        <v>0</v>
      </c>
      <c r="Q43" s="33">
        <f t="shared" si="5"/>
        <v>0</v>
      </c>
      <c r="R43" s="33">
        <f t="shared" si="5"/>
        <v>0</v>
      </c>
      <c r="S43" s="421"/>
    </row>
    <row r="44" spans="1:26">
      <c r="A44" s="37" t="s">
        <v>11</v>
      </c>
      <c r="B44" s="35" t="str">
        <f>IFERROR(B4/B24," ")</f>
        <v xml:space="preserve"> </v>
      </c>
      <c r="C44" s="35" t="str">
        <f t="shared" ref="C44:R59" si="6">IFERROR(C4/C24," ")</f>
        <v xml:space="preserve"> </v>
      </c>
      <c r="D44" s="35">
        <f t="shared" si="6"/>
        <v>0</v>
      </c>
      <c r="E44" s="35" t="str">
        <f t="shared" si="6"/>
        <v xml:space="preserve"> </v>
      </c>
      <c r="F44" s="35" t="str">
        <f t="shared" si="6"/>
        <v xml:space="preserve"> </v>
      </c>
      <c r="G44" s="35" t="str">
        <f t="shared" si="6"/>
        <v xml:space="preserve"> </v>
      </c>
      <c r="H44" s="35">
        <f t="shared" si="6"/>
        <v>1</v>
      </c>
      <c r="I44" s="35" t="str">
        <f t="shared" si="6"/>
        <v xml:space="preserve"> </v>
      </c>
      <c r="J44" s="35" t="str">
        <f t="shared" si="6"/>
        <v xml:space="preserve"> </v>
      </c>
      <c r="K44" s="35" t="str">
        <f>IFERROR(K4/K24," ")</f>
        <v xml:space="preserve"> </v>
      </c>
      <c r="L44" s="35" t="str">
        <f>IFERROR(L4/L24," ")</f>
        <v xml:space="preserve"> </v>
      </c>
      <c r="M44" s="35">
        <f t="shared" si="6"/>
        <v>0</v>
      </c>
      <c r="N44" s="35" t="str">
        <f t="shared" si="6"/>
        <v xml:space="preserve"> </v>
      </c>
      <c r="O44" s="35" t="str">
        <f t="shared" si="6"/>
        <v xml:space="preserve"> </v>
      </c>
      <c r="P44" s="35" t="str">
        <f t="shared" si="6"/>
        <v xml:space="preserve"> </v>
      </c>
      <c r="Q44" s="35" t="str">
        <f t="shared" si="6"/>
        <v xml:space="preserve"> </v>
      </c>
      <c r="R44" s="35" t="str">
        <f t="shared" si="6"/>
        <v xml:space="preserve"> </v>
      </c>
      <c r="S44" s="35">
        <f>IFERROR(S4/S24," ")</f>
        <v>0.5</v>
      </c>
      <c r="V44" s="332"/>
      <c r="Z44" s="37"/>
    </row>
    <row r="45" spans="1:26">
      <c r="A45" s="37" t="s">
        <v>218</v>
      </c>
      <c r="B45" s="35">
        <f t="shared" ref="B45:Q60" si="7">IFERROR(B5/B25," ")</f>
        <v>0</v>
      </c>
      <c r="C45" s="35" t="str">
        <f t="shared" si="7"/>
        <v xml:space="preserve"> </v>
      </c>
      <c r="D45" s="35" t="str">
        <f t="shared" si="7"/>
        <v xml:space="preserve"> </v>
      </c>
      <c r="E45" s="35" t="str">
        <f t="shared" si="7"/>
        <v xml:space="preserve"> </v>
      </c>
      <c r="F45" s="35" t="str">
        <f t="shared" si="7"/>
        <v xml:space="preserve"> </v>
      </c>
      <c r="G45" s="35">
        <f t="shared" si="7"/>
        <v>0</v>
      </c>
      <c r="H45" s="35" t="str">
        <f t="shared" si="7"/>
        <v xml:space="preserve"> </v>
      </c>
      <c r="I45" s="35">
        <f t="shared" si="7"/>
        <v>0.75</v>
      </c>
      <c r="J45" s="35" t="str">
        <f t="shared" si="7"/>
        <v xml:space="preserve"> </v>
      </c>
      <c r="K45" s="35" t="str">
        <f t="shared" si="7"/>
        <v xml:space="preserve"> </v>
      </c>
      <c r="L45" s="35" t="str">
        <f t="shared" si="7"/>
        <v xml:space="preserve"> </v>
      </c>
      <c r="M45" s="35">
        <f t="shared" si="7"/>
        <v>0.75</v>
      </c>
      <c r="N45" s="35" t="str">
        <f>IFERROR(N5/N25," ")</f>
        <v xml:space="preserve"> </v>
      </c>
      <c r="O45" s="35" t="str">
        <f t="shared" si="6"/>
        <v xml:space="preserve"> </v>
      </c>
      <c r="P45" s="35" t="str">
        <f t="shared" si="6"/>
        <v xml:space="preserve"> </v>
      </c>
      <c r="Q45" s="35" t="str">
        <f t="shared" si="6"/>
        <v xml:space="preserve"> </v>
      </c>
      <c r="R45" s="35" t="str">
        <f t="shared" si="6"/>
        <v xml:space="preserve"> </v>
      </c>
      <c r="S45" s="35">
        <f>IFERROR(S5/S25," ")</f>
        <v>0.375</v>
      </c>
      <c r="V45" s="332"/>
      <c r="Z45" s="37"/>
    </row>
    <row r="46" spans="1:26">
      <c r="A46" s="37" t="s">
        <v>121</v>
      </c>
      <c r="B46" s="35" t="str">
        <f t="shared" si="7"/>
        <v xml:space="preserve"> </v>
      </c>
      <c r="C46" s="35" t="str">
        <f t="shared" si="7"/>
        <v xml:space="preserve"> </v>
      </c>
      <c r="D46" s="35">
        <f t="shared" si="7"/>
        <v>1</v>
      </c>
      <c r="E46" s="35" t="str">
        <f t="shared" si="7"/>
        <v xml:space="preserve"> </v>
      </c>
      <c r="F46" s="35" t="str">
        <f t="shared" si="7"/>
        <v xml:space="preserve"> </v>
      </c>
      <c r="G46" s="35" t="str">
        <f t="shared" si="7"/>
        <v xml:space="preserve"> </v>
      </c>
      <c r="H46" s="35">
        <f t="shared" si="7"/>
        <v>0.5</v>
      </c>
      <c r="I46" s="35" t="str">
        <f t="shared" si="7"/>
        <v xml:space="preserve"> </v>
      </c>
      <c r="J46" s="35" t="str">
        <f t="shared" si="7"/>
        <v xml:space="preserve"> </v>
      </c>
      <c r="K46" s="35" t="str">
        <f t="shared" si="7"/>
        <v xml:space="preserve"> </v>
      </c>
      <c r="L46" s="35">
        <f t="shared" si="7"/>
        <v>0.5</v>
      </c>
      <c r="M46" s="35" t="str">
        <f t="shared" si="7"/>
        <v xml:space="preserve"> </v>
      </c>
      <c r="N46" s="35" t="str">
        <f t="shared" si="7"/>
        <v xml:space="preserve"> </v>
      </c>
      <c r="O46" s="35" t="str">
        <f t="shared" si="6"/>
        <v xml:space="preserve"> </v>
      </c>
      <c r="P46" s="35" t="str">
        <f t="shared" si="6"/>
        <v xml:space="preserve"> </v>
      </c>
      <c r="Q46" s="35" t="str">
        <f t="shared" si="6"/>
        <v xml:space="preserve"> </v>
      </c>
      <c r="R46" s="35" t="str">
        <f t="shared" si="6"/>
        <v xml:space="preserve"> </v>
      </c>
      <c r="S46" s="35">
        <f t="shared" ref="S46:S50" si="8">IFERROR(S6/S26," ")</f>
        <v>0.55555555555555558</v>
      </c>
      <c r="V46" s="332"/>
      <c r="Z46" s="37"/>
    </row>
    <row r="47" spans="1:26">
      <c r="A47" s="37" t="s">
        <v>189</v>
      </c>
      <c r="B47" s="35">
        <f t="shared" si="7"/>
        <v>0.75</v>
      </c>
      <c r="C47" s="35" t="str">
        <f t="shared" si="7"/>
        <v xml:space="preserve"> </v>
      </c>
      <c r="D47" s="35" t="str">
        <f t="shared" si="7"/>
        <v xml:space="preserve"> </v>
      </c>
      <c r="E47" s="35" t="str">
        <f t="shared" si="7"/>
        <v xml:space="preserve"> </v>
      </c>
      <c r="F47" s="35">
        <f t="shared" si="7"/>
        <v>0.5</v>
      </c>
      <c r="G47" s="35" t="str">
        <f t="shared" si="7"/>
        <v xml:space="preserve"> </v>
      </c>
      <c r="H47" s="35" t="str">
        <f t="shared" si="7"/>
        <v xml:space="preserve"> </v>
      </c>
      <c r="I47" s="35" t="str">
        <f t="shared" si="7"/>
        <v xml:space="preserve"> </v>
      </c>
      <c r="J47" s="35" t="str">
        <f t="shared" si="7"/>
        <v xml:space="preserve"> </v>
      </c>
      <c r="K47" s="35" t="str">
        <f t="shared" si="7"/>
        <v xml:space="preserve"> </v>
      </c>
      <c r="L47" s="35" t="str">
        <f t="shared" si="7"/>
        <v xml:space="preserve"> </v>
      </c>
      <c r="M47" s="35">
        <f t="shared" si="7"/>
        <v>1</v>
      </c>
      <c r="N47" s="35" t="str">
        <f t="shared" si="7"/>
        <v xml:space="preserve"> </v>
      </c>
      <c r="O47" s="35" t="str">
        <f t="shared" si="6"/>
        <v xml:space="preserve"> </v>
      </c>
      <c r="P47" s="35" t="str">
        <f t="shared" si="6"/>
        <v xml:space="preserve"> </v>
      </c>
      <c r="Q47" s="35" t="str">
        <f t="shared" si="6"/>
        <v xml:space="preserve"> </v>
      </c>
      <c r="R47" s="35" t="str">
        <f t="shared" si="6"/>
        <v xml:space="preserve"> </v>
      </c>
      <c r="S47" s="35">
        <f>IFERROR(S7/S27," ")</f>
        <v>0.75</v>
      </c>
      <c r="U47" s="346"/>
      <c r="V47" s="332"/>
      <c r="Z47" s="37"/>
    </row>
    <row r="48" spans="1:26">
      <c r="A48" s="37" t="s">
        <v>310</v>
      </c>
      <c r="B48" s="35" t="str">
        <f t="shared" si="7"/>
        <v xml:space="preserve"> </v>
      </c>
      <c r="C48" s="35">
        <f t="shared" si="7"/>
        <v>0.5</v>
      </c>
      <c r="D48" s="35" t="str">
        <f t="shared" si="7"/>
        <v xml:space="preserve"> </v>
      </c>
      <c r="E48" s="35" t="str">
        <f t="shared" si="7"/>
        <v xml:space="preserve"> </v>
      </c>
      <c r="F48" s="35" t="str">
        <f t="shared" si="7"/>
        <v xml:space="preserve"> </v>
      </c>
      <c r="G48" s="35" t="str">
        <f t="shared" si="7"/>
        <v xml:space="preserve"> </v>
      </c>
      <c r="H48" s="35" t="str">
        <f t="shared" si="7"/>
        <v xml:space="preserve"> </v>
      </c>
      <c r="I48" s="35" t="str">
        <f t="shared" si="7"/>
        <v xml:space="preserve"> </v>
      </c>
      <c r="J48" s="35">
        <f t="shared" si="7"/>
        <v>1</v>
      </c>
      <c r="K48" s="35">
        <f t="shared" si="7"/>
        <v>1</v>
      </c>
      <c r="L48" s="35" t="str">
        <f t="shared" si="7"/>
        <v xml:space="preserve"> </v>
      </c>
      <c r="M48" s="35" t="str">
        <f t="shared" si="7"/>
        <v xml:space="preserve"> </v>
      </c>
      <c r="N48" s="35" t="str">
        <f t="shared" si="7"/>
        <v xml:space="preserve"> </v>
      </c>
      <c r="O48" s="35" t="str">
        <f t="shared" si="6"/>
        <v xml:space="preserve"> </v>
      </c>
      <c r="P48" s="35" t="str">
        <f t="shared" si="6"/>
        <v xml:space="preserve"> </v>
      </c>
      <c r="Q48" s="35" t="str">
        <f t="shared" si="6"/>
        <v xml:space="preserve"> </v>
      </c>
      <c r="R48" s="35" t="str">
        <f t="shared" si="6"/>
        <v xml:space="preserve"> </v>
      </c>
      <c r="S48" s="35">
        <f t="shared" si="8"/>
        <v>0.83333333333333337</v>
      </c>
      <c r="V48" s="332"/>
      <c r="Z48" s="37"/>
    </row>
    <row r="49" spans="1:26">
      <c r="A49" s="37" t="s">
        <v>279</v>
      </c>
      <c r="B49" s="35" t="str">
        <f t="shared" si="7"/>
        <v xml:space="preserve"> </v>
      </c>
      <c r="C49" s="35" t="str">
        <f t="shared" si="7"/>
        <v xml:space="preserve"> </v>
      </c>
      <c r="D49" s="35">
        <f t="shared" si="7"/>
        <v>0</v>
      </c>
      <c r="E49" s="35" t="str">
        <f t="shared" si="7"/>
        <v xml:space="preserve"> </v>
      </c>
      <c r="F49" s="35" t="str">
        <f t="shared" si="7"/>
        <v xml:space="preserve"> </v>
      </c>
      <c r="G49" s="35">
        <f t="shared" ref="G49" si="9">IFERROR(G9/G29," ")</f>
        <v>0.75</v>
      </c>
      <c r="H49" s="35" t="str">
        <f t="shared" si="7"/>
        <v xml:space="preserve"> </v>
      </c>
      <c r="I49" s="35">
        <f t="shared" si="7"/>
        <v>1</v>
      </c>
      <c r="J49" s="35" t="str">
        <f t="shared" si="7"/>
        <v xml:space="preserve"> </v>
      </c>
      <c r="K49" s="35" t="str">
        <f t="shared" si="7"/>
        <v xml:space="preserve"> </v>
      </c>
      <c r="L49" s="35" t="str">
        <f t="shared" si="7"/>
        <v xml:space="preserve"> </v>
      </c>
      <c r="M49" s="35" t="str">
        <f t="shared" si="7"/>
        <v xml:space="preserve"> </v>
      </c>
      <c r="N49" s="35">
        <f t="shared" si="7"/>
        <v>0.75</v>
      </c>
      <c r="O49" s="35" t="str">
        <f>IFERROR(O9/O29," ")</f>
        <v xml:space="preserve"> </v>
      </c>
      <c r="P49" s="35" t="str">
        <f t="shared" si="6"/>
        <v xml:space="preserve"> </v>
      </c>
      <c r="Q49" s="35" t="str">
        <f t="shared" si="6"/>
        <v xml:space="preserve"> </v>
      </c>
      <c r="R49" s="35" t="str">
        <f t="shared" si="6"/>
        <v xml:space="preserve"> </v>
      </c>
      <c r="S49" s="35">
        <f>IFERROR(S9/S29," ")</f>
        <v>0.625</v>
      </c>
      <c r="V49" s="332"/>
      <c r="Z49" s="37"/>
    </row>
    <row r="50" spans="1:26">
      <c r="A50" s="37" t="s">
        <v>130</v>
      </c>
      <c r="B50" s="35" t="str">
        <f t="shared" si="7"/>
        <v xml:space="preserve"> </v>
      </c>
      <c r="C50" s="35" t="str">
        <f t="shared" si="7"/>
        <v xml:space="preserve"> </v>
      </c>
      <c r="D50" s="35" t="str">
        <f t="shared" si="7"/>
        <v xml:space="preserve"> </v>
      </c>
      <c r="E50" s="35">
        <f t="shared" si="7"/>
        <v>0.5</v>
      </c>
      <c r="F50" s="35" t="str">
        <f t="shared" si="7"/>
        <v xml:space="preserve"> </v>
      </c>
      <c r="G50" s="35" t="str">
        <f t="shared" ref="G50" si="10">IFERROR(G10/G30," ")</f>
        <v xml:space="preserve"> </v>
      </c>
      <c r="H50" s="35">
        <f t="shared" si="7"/>
        <v>0</v>
      </c>
      <c r="I50" s="35" t="str">
        <f t="shared" si="7"/>
        <v xml:space="preserve"> </v>
      </c>
      <c r="J50" s="35" t="str">
        <f t="shared" si="7"/>
        <v xml:space="preserve"> </v>
      </c>
      <c r="K50" s="35" t="str">
        <f t="shared" si="7"/>
        <v xml:space="preserve"> </v>
      </c>
      <c r="L50" s="35" t="str">
        <f t="shared" si="7"/>
        <v xml:space="preserve"> </v>
      </c>
      <c r="M50" s="35">
        <f t="shared" si="7"/>
        <v>0</v>
      </c>
      <c r="N50" s="35" t="str">
        <f t="shared" si="7"/>
        <v xml:space="preserve"> </v>
      </c>
      <c r="O50" s="35" t="str">
        <f t="shared" si="6"/>
        <v xml:space="preserve"> </v>
      </c>
      <c r="P50" s="35" t="str">
        <f t="shared" si="6"/>
        <v xml:space="preserve"> </v>
      </c>
      <c r="Q50" s="35" t="str">
        <f t="shared" si="6"/>
        <v xml:space="preserve"> </v>
      </c>
      <c r="R50" s="35" t="str">
        <f t="shared" si="6"/>
        <v xml:space="preserve"> </v>
      </c>
      <c r="S50" s="35">
        <f t="shared" si="8"/>
        <v>0.22222222222222221</v>
      </c>
      <c r="V50" s="332"/>
      <c r="Z50" s="37"/>
    </row>
    <row r="51" spans="1:26">
      <c r="A51" s="37" t="s">
        <v>24</v>
      </c>
      <c r="B51" s="35" t="str">
        <f t="shared" si="7"/>
        <v xml:space="preserve"> </v>
      </c>
      <c r="C51" s="35">
        <f t="shared" si="7"/>
        <v>0.5</v>
      </c>
      <c r="D51" s="35" t="str">
        <f t="shared" si="7"/>
        <v xml:space="preserve"> </v>
      </c>
      <c r="E51" s="35" t="str">
        <f t="shared" si="7"/>
        <v xml:space="preserve"> </v>
      </c>
      <c r="F51" s="35" t="str">
        <f t="shared" si="7"/>
        <v xml:space="preserve"> </v>
      </c>
      <c r="G51" s="35" t="str">
        <f t="shared" ref="G51" si="11">IFERROR(G11/G31," ")</f>
        <v xml:space="preserve"> </v>
      </c>
      <c r="H51" s="35" t="str">
        <f t="shared" si="7"/>
        <v xml:space="preserve"> </v>
      </c>
      <c r="I51" s="35" t="str">
        <f t="shared" si="7"/>
        <v xml:space="preserve"> </v>
      </c>
      <c r="J51" s="35">
        <f t="shared" si="7"/>
        <v>0</v>
      </c>
      <c r="K51" s="35" t="str">
        <f t="shared" si="7"/>
        <v xml:space="preserve"> </v>
      </c>
      <c r="L51" s="35" t="str">
        <f t="shared" si="7"/>
        <v xml:space="preserve"> </v>
      </c>
      <c r="M51" s="35" t="str">
        <f t="shared" si="7"/>
        <v xml:space="preserve"> </v>
      </c>
      <c r="N51" s="35">
        <f t="shared" si="7"/>
        <v>0.75</v>
      </c>
      <c r="O51" s="35" t="str">
        <f t="shared" si="6"/>
        <v xml:space="preserve"> </v>
      </c>
      <c r="P51" s="35" t="str">
        <f t="shared" si="6"/>
        <v xml:space="preserve"> </v>
      </c>
      <c r="Q51" s="35" t="str">
        <f t="shared" si="6"/>
        <v xml:space="preserve"> </v>
      </c>
      <c r="R51" s="35" t="str">
        <f t="shared" si="6"/>
        <v xml:space="preserve"> </v>
      </c>
      <c r="S51" s="35">
        <f>IFERROR(S11/S31," ")</f>
        <v>0.41666666666666669</v>
      </c>
      <c r="V51" s="332"/>
      <c r="Z51" s="37"/>
    </row>
    <row r="52" spans="1:26">
      <c r="A52" s="37" t="s">
        <v>393</v>
      </c>
      <c r="B52" s="35">
        <f t="shared" si="7"/>
        <v>0.5</v>
      </c>
      <c r="C52" s="35" t="str">
        <f t="shared" si="7"/>
        <v xml:space="preserve"> </v>
      </c>
      <c r="D52" s="35" t="str">
        <f t="shared" si="7"/>
        <v xml:space="preserve"> </v>
      </c>
      <c r="E52" s="35" t="str">
        <f t="shared" si="7"/>
        <v xml:space="preserve"> </v>
      </c>
      <c r="F52" s="35" t="str">
        <f t="shared" si="7"/>
        <v xml:space="preserve"> </v>
      </c>
      <c r="G52" s="35">
        <f t="shared" ref="G52" si="12">IFERROR(G12/G32," ")</f>
        <v>1</v>
      </c>
      <c r="H52" s="35" t="str">
        <f t="shared" si="7"/>
        <v xml:space="preserve"> </v>
      </c>
      <c r="I52" s="35" t="str">
        <f t="shared" si="7"/>
        <v xml:space="preserve"> </v>
      </c>
      <c r="J52" s="35" t="str">
        <f t="shared" si="7"/>
        <v xml:space="preserve"> </v>
      </c>
      <c r="K52" s="35">
        <f>IFERROR(K12/K32," ")</f>
        <v>0</v>
      </c>
      <c r="L52" s="35" t="str">
        <f t="shared" si="7"/>
        <v xml:space="preserve"> </v>
      </c>
      <c r="M52" s="35" t="str">
        <f>IFERROR(M12/M32," ")</f>
        <v xml:space="preserve"> </v>
      </c>
      <c r="N52" s="35" t="str">
        <f t="shared" si="7"/>
        <v xml:space="preserve"> </v>
      </c>
      <c r="O52" s="35" t="str">
        <f t="shared" si="6"/>
        <v xml:space="preserve"> </v>
      </c>
      <c r="P52" s="35" t="str">
        <f t="shared" si="6"/>
        <v xml:space="preserve"> </v>
      </c>
      <c r="Q52" s="35" t="str">
        <f t="shared" si="6"/>
        <v xml:space="preserve"> </v>
      </c>
      <c r="R52" s="35" t="str">
        <f t="shared" si="6"/>
        <v xml:space="preserve"> </v>
      </c>
      <c r="S52" s="35">
        <f>IFERROR(S12/S32," ")</f>
        <v>0.54545454545454541</v>
      </c>
      <c r="V52" s="332"/>
      <c r="Z52" s="37"/>
    </row>
    <row r="53" spans="1:26">
      <c r="A53" s="37" t="s">
        <v>161</v>
      </c>
      <c r="B53" s="35" t="str">
        <f t="shared" si="7"/>
        <v xml:space="preserve"> </v>
      </c>
      <c r="C53" s="35">
        <f t="shared" si="7"/>
        <v>1</v>
      </c>
      <c r="D53" s="35" t="str">
        <f t="shared" si="7"/>
        <v xml:space="preserve"> </v>
      </c>
      <c r="E53" s="35" t="str">
        <f t="shared" si="7"/>
        <v xml:space="preserve"> </v>
      </c>
      <c r="F53" s="35" t="str">
        <f t="shared" si="7"/>
        <v xml:space="preserve"> </v>
      </c>
      <c r="G53" s="35" t="str">
        <f t="shared" ref="G53" si="13">IFERROR(G13/G33," ")</f>
        <v xml:space="preserve"> </v>
      </c>
      <c r="H53" s="35" t="str">
        <f t="shared" si="7"/>
        <v xml:space="preserve"> </v>
      </c>
      <c r="I53" s="35" t="str">
        <f t="shared" si="7"/>
        <v xml:space="preserve"> </v>
      </c>
      <c r="J53" s="35">
        <f t="shared" si="7"/>
        <v>0</v>
      </c>
      <c r="K53" s="35" t="str">
        <f t="shared" si="7"/>
        <v xml:space="preserve"> </v>
      </c>
      <c r="L53" s="35" t="str">
        <f t="shared" si="7"/>
        <v xml:space="preserve"> </v>
      </c>
      <c r="M53" s="35" t="str">
        <f t="shared" si="7"/>
        <v xml:space="preserve"> </v>
      </c>
      <c r="N53" s="35">
        <f t="shared" si="7"/>
        <v>1</v>
      </c>
      <c r="O53" s="35" t="str">
        <f t="shared" si="6"/>
        <v xml:space="preserve"> </v>
      </c>
      <c r="P53" s="35" t="str">
        <f t="shared" si="6"/>
        <v xml:space="preserve"> </v>
      </c>
      <c r="Q53" s="35" t="str">
        <f t="shared" si="6"/>
        <v xml:space="preserve"> </v>
      </c>
      <c r="R53" s="35" t="str">
        <f t="shared" si="6"/>
        <v xml:space="preserve"> </v>
      </c>
      <c r="S53" s="35">
        <f>IFERROR(S13/S33," ")</f>
        <v>0.55555555555555558</v>
      </c>
      <c r="V53" s="332"/>
      <c r="Z53" s="37"/>
    </row>
    <row r="54" spans="1:26">
      <c r="A54" s="37" t="s">
        <v>34</v>
      </c>
      <c r="B54" s="35" t="str">
        <f t="shared" si="7"/>
        <v xml:space="preserve"> </v>
      </c>
      <c r="C54" s="35" t="str">
        <f t="shared" si="7"/>
        <v xml:space="preserve"> </v>
      </c>
      <c r="D54" s="35">
        <f t="shared" si="7"/>
        <v>0</v>
      </c>
      <c r="E54" s="35" t="str">
        <f t="shared" si="7"/>
        <v xml:space="preserve"> </v>
      </c>
      <c r="F54" s="35">
        <f t="shared" si="7"/>
        <v>0.75</v>
      </c>
      <c r="G54" s="35" t="str">
        <f t="shared" ref="G54" si="14">IFERROR(G14/G34," ")</f>
        <v xml:space="preserve"> </v>
      </c>
      <c r="H54" s="35" t="str">
        <f t="shared" si="7"/>
        <v xml:space="preserve"> </v>
      </c>
      <c r="I54" s="35" t="str">
        <f t="shared" si="7"/>
        <v xml:space="preserve"> </v>
      </c>
      <c r="J54" s="35" t="str">
        <f t="shared" si="7"/>
        <v xml:space="preserve"> </v>
      </c>
      <c r="K54" s="35" t="str">
        <f t="shared" si="7"/>
        <v xml:space="preserve"> </v>
      </c>
      <c r="L54" s="35">
        <f t="shared" si="7"/>
        <v>0.83333333333333337</v>
      </c>
      <c r="M54" s="35" t="str">
        <f t="shared" si="7"/>
        <v xml:space="preserve"> </v>
      </c>
      <c r="N54" s="35" t="str">
        <f t="shared" si="7"/>
        <v xml:space="preserve"> </v>
      </c>
      <c r="O54" s="35" t="str">
        <f t="shared" si="6"/>
        <v xml:space="preserve"> </v>
      </c>
      <c r="P54" s="35" t="str">
        <f t="shared" si="6"/>
        <v xml:space="preserve"> </v>
      </c>
      <c r="Q54" s="35" t="str">
        <f t="shared" si="6"/>
        <v xml:space="preserve"> </v>
      </c>
      <c r="R54" s="35" t="str">
        <f t="shared" si="6"/>
        <v xml:space="preserve"> </v>
      </c>
      <c r="S54" s="35">
        <f t="shared" ref="S54:S57" si="15">IFERROR(S14/S34," ")</f>
        <v>0.5714285714285714</v>
      </c>
      <c r="V54" s="332"/>
      <c r="Z54" s="37"/>
    </row>
    <row r="55" spans="1:26">
      <c r="A55" s="37" t="s">
        <v>174</v>
      </c>
      <c r="B55" s="35" t="str">
        <f t="shared" si="7"/>
        <v xml:space="preserve"> </v>
      </c>
      <c r="C55" s="35" t="str">
        <f t="shared" si="7"/>
        <v xml:space="preserve"> </v>
      </c>
      <c r="D55" s="35" t="str">
        <f t="shared" si="7"/>
        <v xml:space="preserve"> </v>
      </c>
      <c r="E55" s="35">
        <f t="shared" si="7"/>
        <v>1</v>
      </c>
      <c r="F55" s="35">
        <f t="shared" si="7"/>
        <v>1</v>
      </c>
      <c r="G55" s="35" t="str">
        <f t="shared" ref="G55" si="16">IFERROR(G15/G35," ")</f>
        <v xml:space="preserve"> </v>
      </c>
      <c r="H55" s="35" t="str">
        <f t="shared" si="7"/>
        <v xml:space="preserve"> </v>
      </c>
      <c r="I55" s="35" t="str">
        <f t="shared" si="7"/>
        <v xml:space="preserve"> </v>
      </c>
      <c r="J55" s="35" t="str">
        <f t="shared" si="7"/>
        <v xml:space="preserve"> </v>
      </c>
      <c r="K55" s="35">
        <f t="shared" si="7"/>
        <v>1</v>
      </c>
      <c r="L55" s="35" t="str">
        <f t="shared" si="7"/>
        <v xml:space="preserve"> </v>
      </c>
      <c r="M55" s="35" t="str">
        <f>IFERROR(M15/M35," ")</f>
        <v xml:space="preserve"> </v>
      </c>
      <c r="N55" s="35" t="str">
        <f t="shared" si="7"/>
        <v xml:space="preserve"> </v>
      </c>
      <c r="O55" s="35" t="str">
        <f t="shared" si="6"/>
        <v xml:space="preserve"> </v>
      </c>
      <c r="P55" s="35" t="str">
        <f t="shared" si="6"/>
        <v xml:space="preserve"> </v>
      </c>
      <c r="Q55" s="35" t="str">
        <f t="shared" si="6"/>
        <v xml:space="preserve"> </v>
      </c>
      <c r="R55" s="35" t="str">
        <f t="shared" si="6"/>
        <v xml:space="preserve"> </v>
      </c>
      <c r="S55" s="35">
        <f>IFERROR(S15/S35," ")</f>
        <v>1</v>
      </c>
      <c r="V55" s="332"/>
      <c r="Z55" s="37"/>
    </row>
    <row r="56" spans="1:26">
      <c r="A56" s="37" t="s">
        <v>97</v>
      </c>
      <c r="B56" s="35" t="str">
        <f t="shared" si="7"/>
        <v xml:space="preserve"> </v>
      </c>
      <c r="C56" s="35">
        <f t="shared" si="7"/>
        <v>1</v>
      </c>
      <c r="D56" s="35" t="str">
        <f t="shared" si="7"/>
        <v xml:space="preserve"> </v>
      </c>
      <c r="E56" s="35" t="str">
        <f t="shared" si="7"/>
        <v xml:space="preserve"> </v>
      </c>
      <c r="F56" s="35">
        <f t="shared" si="7"/>
        <v>1</v>
      </c>
      <c r="G56" s="35">
        <f t="shared" ref="G56" si="17">IFERROR(G16/G36," ")</f>
        <v>0.75</v>
      </c>
      <c r="H56" s="35" t="str">
        <f t="shared" si="7"/>
        <v xml:space="preserve"> </v>
      </c>
      <c r="I56" s="35" t="str">
        <f t="shared" si="7"/>
        <v xml:space="preserve"> </v>
      </c>
      <c r="J56" s="35" t="str">
        <f t="shared" si="7"/>
        <v xml:space="preserve"> </v>
      </c>
      <c r="K56" s="35" t="str">
        <f t="shared" si="7"/>
        <v xml:space="preserve"> </v>
      </c>
      <c r="L56" s="35">
        <f t="shared" si="7"/>
        <v>1</v>
      </c>
      <c r="M56" s="35" t="str">
        <f t="shared" si="7"/>
        <v xml:space="preserve"> </v>
      </c>
      <c r="N56" s="35" t="str">
        <f t="shared" si="7"/>
        <v xml:space="preserve"> </v>
      </c>
      <c r="O56" s="35" t="str">
        <f t="shared" si="6"/>
        <v xml:space="preserve"> </v>
      </c>
      <c r="P56" s="35" t="str">
        <f t="shared" si="6"/>
        <v xml:space="preserve"> </v>
      </c>
      <c r="Q56" s="35" t="str">
        <f t="shared" si="6"/>
        <v xml:space="preserve"> </v>
      </c>
      <c r="R56" s="35" t="str">
        <f t="shared" si="6"/>
        <v xml:space="preserve"> </v>
      </c>
      <c r="S56" s="35">
        <f t="shared" si="15"/>
        <v>0.9375</v>
      </c>
      <c r="V56" s="332"/>
      <c r="Z56" s="37"/>
    </row>
    <row r="57" spans="1:26">
      <c r="A57" s="37" t="s">
        <v>254</v>
      </c>
      <c r="B57" s="35">
        <f t="shared" si="7"/>
        <v>1</v>
      </c>
      <c r="C57" s="35" t="str">
        <f t="shared" si="7"/>
        <v xml:space="preserve"> </v>
      </c>
      <c r="D57" s="35" t="str">
        <f t="shared" si="7"/>
        <v xml:space="preserve"> </v>
      </c>
      <c r="E57" s="35" t="str">
        <f t="shared" si="7"/>
        <v xml:space="preserve"> </v>
      </c>
      <c r="F57" s="35" t="str">
        <f t="shared" si="7"/>
        <v xml:space="preserve"> </v>
      </c>
      <c r="G57" s="35" t="str">
        <f t="shared" si="7"/>
        <v xml:space="preserve"> </v>
      </c>
      <c r="H57" s="35" t="str">
        <f t="shared" si="7"/>
        <v xml:space="preserve"> </v>
      </c>
      <c r="I57" s="35" t="str">
        <f t="shared" si="7"/>
        <v xml:space="preserve"> </v>
      </c>
      <c r="J57" s="35" t="str">
        <f t="shared" si="7"/>
        <v xml:space="preserve"> </v>
      </c>
      <c r="K57" s="35" t="str">
        <f t="shared" si="7"/>
        <v xml:space="preserve"> </v>
      </c>
      <c r="L57" s="35" t="str">
        <f t="shared" si="7"/>
        <v xml:space="preserve"> </v>
      </c>
      <c r="M57" s="35">
        <f t="shared" si="7"/>
        <v>0</v>
      </c>
      <c r="N57" s="35" t="str">
        <f t="shared" si="7"/>
        <v xml:space="preserve"> </v>
      </c>
      <c r="O57" s="35" t="str">
        <f t="shared" si="6"/>
        <v xml:space="preserve"> </v>
      </c>
      <c r="P57" s="35" t="str">
        <f t="shared" si="6"/>
        <v xml:space="preserve"> </v>
      </c>
      <c r="Q57" s="35" t="str">
        <f t="shared" si="6"/>
        <v xml:space="preserve"> </v>
      </c>
      <c r="R57" s="35" t="str">
        <f t="shared" si="6"/>
        <v xml:space="preserve"> </v>
      </c>
      <c r="S57" s="35">
        <f t="shared" si="15"/>
        <v>0.8</v>
      </c>
      <c r="V57" s="332"/>
      <c r="Z57" s="37"/>
    </row>
    <row r="58" spans="1:26">
      <c r="A58" s="37" t="s">
        <v>203</v>
      </c>
      <c r="B58" s="35" t="str">
        <f t="shared" si="7"/>
        <v xml:space="preserve"> </v>
      </c>
      <c r="C58" s="35" t="str">
        <f t="shared" si="7"/>
        <v xml:space="preserve"> </v>
      </c>
      <c r="D58" s="35" t="str">
        <f t="shared" si="7"/>
        <v xml:space="preserve"> </v>
      </c>
      <c r="E58" s="35">
        <f t="shared" si="7"/>
        <v>0.5</v>
      </c>
      <c r="F58" s="35">
        <f t="shared" si="7"/>
        <v>0</v>
      </c>
      <c r="G58" s="35">
        <f t="shared" si="7"/>
        <v>0.75</v>
      </c>
      <c r="H58" s="35" t="str">
        <f t="shared" si="7"/>
        <v xml:space="preserve"> </v>
      </c>
      <c r="I58" s="35">
        <f t="shared" si="7"/>
        <v>1</v>
      </c>
      <c r="J58" s="35" t="str">
        <f t="shared" si="7"/>
        <v xml:space="preserve"> </v>
      </c>
      <c r="K58" s="35">
        <f t="shared" si="7"/>
        <v>1</v>
      </c>
      <c r="L58" s="35">
        <f t="shared" si="7"/>
        <v>1</v>
      </c>
      <c r="M58" s="35" t="str">
        <f t="shared" si="7"/>
        <v xml:space="preserve"> </v>
      </c>
      <c r="N58" s="35" t="str">
        <f t="shared" si="7"/>
        <v xml:space="preserve"> </v>
      </c>
      <c r="O58" s="35" t="str">
        <f t="shared" si="6"/>
        <v xml:space="preserve"> </v>
      </c>
      <c r="P58" s="35" t="str">
        <f t="shared" si="6"/>
        <v xml:space="preserve"> </v>
      </c>
      <c r="Q58" s="35" t="str">
        <f t="shared" si="6"/>
        <v xml:space="preserve"> </v>
      </c>
      <c r="R58" s="35" t="str">
        <f t="shared" si="6"/>
        <v xml:space="preserve"> </v>
      </c>
      <c r="S58" s="35">
        <f>IFERROR(S18/S38," ")</f>
        <v>0.68181818181818177</v>
      </c>
      <c r="V58" s="332"/>
      <c r="Z58" s="37"/>
    </row>
    <row r="59" spans="1:26">
      <c r="A59" s="37" t="s">
        <v>68</v>
      </c>
      <c r="B59" s="35" t="str">
        <f t="shared" si="7"/>
        <v xml:space="preserve"> </v>
      </c>
      <c r="C59" s="35" t="str">
        <f t="shared" si="7"/>
        <v xml:space="preserve"> </v>
      </c>
      <c r="D59" s="35">
        <f t="shared" si="7"/>
        <v>0.66666666666666663</v>
      </c>
      <c r="E59" s="35" t="str">
        <f t="shared" si="7"/>
        <v xml:space="preserve"> </v>
      </c>
      <c r="F59" s="35" t="str">
        <f t="shared" si="7"/>
        <v xml:space="preserve"> </v>
      </c>
      <c r="G59" s="35" t="str">
        <f t="shared" si="7"/>
        <v xml:space="preserve"> </v>
      </c>
      <c r="H59" s="35">
        <f t="shared" si="7"/>
        <v>1</v>
      </c>
      <c r="I59" s="35" t="str">
        <f t="shared" si="7"/>
        <v xml:space="preserve"> </v>
      </c>
      <c r="J59" s="35" t="str">
        <f t="shared" si="7"/>
        <v xml:space="preserve"> </v>
      </c>
      <c r="K59" s="35" t="str">
        <f t="shared" si="7"/>
        <v xml:space="preserve"> </v>
      </c>
      <c r="L59" s="35" t="str">
        <f t="shared" si="7"/>
        <v xml:space="preserve"> </v>
      </c>
      <c r="M59" s="35" t="str">
        <f t="shared" si="7"/>
        <v xml:space="preserve"> </v>
      </c>
      <c r="N59" s="35" t="str">
        <f t="shared" si="7"/>
        <v xml:space="preserve"> </v>
      </c>
      <c r="O59" s="35" t="str">
        <f t="shared" si="6"/>
        <v xml:space="preserve"> </v>
      </c>
      <c r="P59" s="35" t="str">
        <f t="shared" si="6"/>
        <v xml:space="preserve"> </v>
      </c>
      <c r="Q59" s="35" t="str">
        <f t="shared" si="6"/>
        <v xml:space="preserve"> </v>
      </c>
      <c r="R59" s="35" t="str">
        <f t="shared" si="6"/>
        <v xml:space="preserve"> </v>
      </c>
      <c r="S59" s="35">
        <f>IFERROR(S19/S39," ")</f>
        <v>0.8571428571428571</v>
      </c>
      <c r="V59" s="332"/>
      <c r="Z59" s="37"/>
    </row>
    <row r="60" spans="1:26">
      <c r="A60" s="32" t="s">
        <v>500</v>
      </c>
      <c r="B60" s="36">
        <f t="shared" si="7"/>
        <v>0.5625</v>
      </c>
      <c r="C60" s="36">
        <f t="shared" si="7"/>
        <v>0.73333333333333328</v>
      </c>
      <c r="D60" s="36">
        <f t="shared" si="7"/>
        <v>0.21428571428571427</v>
      </c>
      <c r="E60" s="36">
        <f t="shared" si="7"/>
        <v>0.66666666666666663</v>
      </c>
      <c r="F60" s="36">
        <f t="shared" si="7"/>
        <v>0.63157894736842102</v>
      </c>
      <c r="G60" s="36">
        <f t="shared" si="7"/>
        <v>0.65</v>
      </c>
      <c r="H60" s="36">
        <f t="shared" si="7"/>
        <v>0.75</v>
      </c>
      <c r="I60" s="36">
        <f t="shared" si="7"/>
        <v>0.91666666666666663</v>
      </c>
      <c r="J60" s="36">
        <f t="shared" si="7"/>
        <v>0.33333333333333331</v>
      </c>
      <c r="K60" s="36">
        <f t="shared" si="7"/>
        <v>0.8</v>
      </c>
      <c r="L60" s="36">
        <f t="shared" si="7"/>
        <v>0.8125</v>
      </c>
      <c r="M60" s="36">
        <f t="shared" si="7"/>
        <v>0.5</v>
      </c>
      <c r="N60" s="36">
        <f t="shared" si="7"/>
        <v>0.8</v>
      </c>
      <c r="O60" s="36" t="str">
        <f t="shared" si="7"/>
        <v xml:space="preserve"> </v>
      </c>
      <c r="P60" s="36" t="str">
        <f t="shared" si="7"/>
        <v xml:space="preserve"> </v>
      </c>
      <c r="Q60" s="36" t="str">
        <f t="shared" si="7"/>
        <v xml:space="preserve"> </v>
      </c>
      <c r="R60" s="36" t="str">
        <f t="shared" ref="R60" si="18">IFERROR(R20/R40," ")</f>
        <v xml:space="preserve"> </v>
      </c>
      <c r="S60" s="36">
        <f>IFERROR(S20/S40," ")</f>
        <v>0.64171122994652408</v>
      </c>
      <c r="V60" s="332"/>
      <c r="Z60" s="232"/>
    </row>
  </sheetData>
  <mergeCells count="5">
    <mergeCell ref="S2:S3"/>
    <mergeCell ref="U2:W3"/>
    <mergeCell ref="S22:S23"/>
    <mergeCell ref="A42:Q42"/>
    <mergeCell ref="S42:S43"/>
  </mergeCells>
  <conditionalFormatting sqref="S44:S59">
    <cfRule type="colorScale" priority="2">
      <colorScale>
        <cfvo type="min"/>
        <cfvo type="percentile" val="65"/>
        <cfvo type="max"/>
        <color rgb="FFF8696B"/>
        <color rgb="FFFFEB84"/>
        <color rgb="FF63BE7B"/>
      </colorScale>
    </cfRule>
  </conditionalFormatting>
  <conditionalFormatting sqref="W5:W28">
    <cfRule type="colorScale" priority="1">
      <colorScale>
        <cfvo type="min"/>
        <cfvo type="max"/>
        <color rgb="FFFCFCFF"/>
        <color rgb="FFF8696B"/>
      </colorScale>
    </cfRule>
  </conditionalFormatting>
  <conditionalFormatting sqref="B44:R59 U4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C28" sqref="C28"/>
    </sheetView>
  </sheetViews>
  <sheetFormatPr defaultColWidth="8.85546875" defaultRowHeight="15"/>
  <cols>
    <col min="1" max="1" width="14.7109375" style="412" customWidth="1"/>
    <col min="2" max="2" width="10.85546875" style="412" customWidth="1"/>
    <col min="3" max="3" width="19.42578125" style="412" customWidth="1"/>
    <col min="4" max="4" width="8.85546875" style="412"/>
    <col min="5" max="5" width="7.5703125" style="412" bestFit="1" customWidth="1"/>
    <col min="6" max="6" width="15.7109375" style="412" customWidth="1"/>
    <col min="7" max="7" width="18.85546875" style="412" customWidth="1"/>
    <col min="8" max="8" width="15.85546875" style="412" customWidth="1"/>
    <col min="9" max="9" width="20.7109375" style="412" customWidth="1"/>
    <col min="10" max="10" width="22.140625" style="412" customWidth="1"/>
    <col min="11" max="11" width="32.7109375" style="412" bestFit="1" customWidth="1"/>
    <col min="12" max="12" width="19.7109375" style="412" customWidth="1"/>
    <col min="13" max="16384" width="8.85546875" style="412"/>
  </cols>
  <sheetData>
    <row r="1" spans="1:12" ht="15.75">
      <c r="A1" s="411" t="s">
        <v>3020</v>
      </c>
    </row>
    <row r="2" spans="1:12" ht="15.75">
      <c r="A2" s="411" t="s">
        <v>2999</v>
      </c>
    </row>
    <row r="4" spans="1:12" ht="38.25">
      <c r="A4" s="413" t="s">
        <v>0</v>
      </c>
      <c r="B4" s="413" t="s">
        <v>2998</v>
      </c>
      <c r="C4" s="413" t="s">
        <v>3000</v>
      </c>
      <c r="D4" s="413" t="s">
        <v>3001</v>
      </c>
      <c r="E4" s="413" t="s">
        <v>3002</v>
      </c>
      <c r="F4" s="413" t="s">
        <v>3003</v>
      </c>
      <c r="G4" s="413" t="s">
        <v>3004</v>
      </c>
      <c r="H4" s="413" t="s">
        <v>3005</v>
      </c>
      <c r="I4" s="413" t="s">
        <v>3006</v>
      </c>
      <c r="J4" s="413" t="s">
        <v>3007</v>
      </c>
      <c r="K4" s="413" t="s">
        <v>9</v>
      </c>
      <c r="L4" s="413" t="s">
        <v>3008</v>
      </c>
    </row>
    <row r="5" spans="1:12">
      <c r="A5" s="414">
        <v>46054</v>
      </c>
      <c r="B5" s="415" t="s">
        <v>3021</v>
      </c>
      <c r="C5" s="415" t="s">
        <v>3022</v>
      </c>
      <c r="D5" s="415">
        <v>1</v>
      </c>
      <c r="E5" s="415" t="s">
        <v>3009</v>
      </c>
      <c r="F5" s="415" t="s">
        <v>14</v>
      </c>
      <c r="G5" s="415" t="s">
        <v>14</v>
      </c>
      <c r="H5" s="415" t="s">
        <v>14</v>
      </c>
      <c r="I5" s="415" t="s">
        <v>14</v>
      </c>
      <c r="J5" s="415" t="s">
        <v>71</v>
      </c>
      <c r="K5" s="416"/>
      <c r="L5" s="417" t="s">
        <v>3010</v>
      </c>
    </row>
    <row r="6" spans="1:12">
      <c r="A6" s="414">
        <v>46054</v>
      </c>
      <c r="B6" s="415" t="s">
        <v>3021</v>
      </c>
      <c r="C6" s="415" t="s">
        <v>3022</v>
      </c>
      <c r="D6" s="415">
        <v>2</v>
      </c>
      <c r="E6" s="415" t="s">
        <v>3009</v>
      </c>
      <c r="F6" s="415" t="s">
        <v>71</v>
      </c>
      <c r="G6" s="415" t="s">
        <v>14</v>
      </c>
      <c r="H6" s="415" t="s">
        <v>71</v>
      </c>
      <c r="I6" s="415" t="s">
        <v>14</v>
      </c>
      <c r="J6" s="415" t="s">
        <v>14</v>
      </c>
      <c r="K6" s="416"/>
      <c r="L6" s="417" t="s">
        <v>3011</v>
      </c>
    </row>
    <row r="7" spans="1:12">
      <c r="A7" s="414">
        <v>46054</v>
      </c>
      <c r="B7" s="415" t="s">
        <v>3021</v>
      </c>
      <c r="C7" s="415" t="s">
        <v>3022</v>
      </c>
      <c r="D7" s="415">
        <v>3</v>
      </c>
      <c r="E7" s="415" t="s">
        <v>3009</v>
      </c>
      <c r="F7" s="415" t="s">
        <v>14</v>
      </c>
      <c r="G7" s="415" t="s">
        <v>14</v>
      </c>
      <c r="H7" s="415" t="s">
        <v>14</v>
      </c>
      <c r="I7" s="415" t="s">
        <v>14</v>
      </c>
      <c r="J7" s="415" t="s">
        <v>14</v>
      </c>
      <c r="K7" s="416"/>
      <c r="L7" s="417"/>
    </row>
    <row r="8" spans="1:12">
      <c r="A8" s="414">
        <v>46054</v>
      </c>
      <c r="B8" s="415" t="s">
        <v>3021</v>
      </c>
      <c r="C8" s="415" t="s">
        <v>3022</v>
      </c>
      <c r="D8" s="415">
        <v>4</v>
      </c>
      <c r="E8" s="415" t="s">
        <v>3009</v>
      </c>
      <c r="F8" s="415" t="s">
        <v>14</v>
      </c>
      <c r="G8" s="415" t="s">
        <v>14</v>
      </c>
      <c r="H8" s="415" t="s">
        <v>14</v>
      </c>
      <c r="I8" s="415" t="s">
        <v>14</v>
      </c>
      <c r="J8" s="415" t="s">
        <v>14</v>
      </c>
      <c r="K8" s="416"/>
      <c r="L8" s="417" t="s">
        <v>3011</v>
      </c>
    </row>
    <row r="9" spans="1:12">
      <c r="A9" s="414">
        <v>46054</v>
      </c>
      <c r="B9" s="415" t="s">
        <v>3021</v>
      </c>
      <c r="C9" s="415" t="s">
        <v>3022</v>
      </c>
      <c r="D9" s="415">
        <v>5</v>
      </c>
      <c r="E9" s="415" t="s">
        <v>3009</v>
      </c>
      <c r="F9" s="415" t="s">
        <v>14</v>
      </c>
      <c r="G9" s="415" t="s">
        <v>14</v>
      </c>
      <c r="H9" s="415" t="s">
        <v>14</v>
      </c>
      <c r="I9" s="415" t="s">
        <v>14</v>
      </c>
      <c r="J9" s="415" t="s">
        <v>14</v>
      </c>
      <c r="K9" s="416"/>
      <c r="L9" s="417" t="s">
        <v>3012</v>
      </c>
    </row>
    <row r="10" spans="1:12">
      <c r="A10" s="414">
        <v>46054</v>
      </c>
      <c r="B10" s="415" t="s">
        <v>3021</v>
      </c>
      <c r="C10" s="415" t="s">
        <v>3022</v>
      </c>
      <c r="D10" s="415">
        <v>6</v>
      </c>
      <c r="E10" s="415" t="s">
        <v>3009</v>
      </c>
      <c r="F10" s="415" t="s">
        <v>14</v>
      </c>
      <c r="G10" s="415" t="s">
        <v>14</v>
      </c>
      <c r="H10" s="415" t="s">
        <v>14</v>
      </c>
      <c r="I10" s="415" t="s">
        <v>14</v>
      </c>
      <c r="J10" s="415" t="s">
        <v>14</v>
      </c>
      <c r="K10" s="416"/>
      <c r="L10" s="417" t="s">
        <v>3012</v>
      </c>
    </row>
    <row r="14" spans="1:12" ht="25.5">
      <c r="A14" s="418" t="s">
        <v>3013</v>
      </c>
      <c r="B14" s="419"/>
      <c r="C14" s="419"/>
    </row>
    <row r="15" spans="1:12">
      <c r="A15" s="420">
        <v>1</v>
      </c>
      <c r="B15" s="419" t="s">
        <v>3014</v>
      </c>
      <c r="C15" s="419"/>
    </row>
    <row r="16" spans="1:12">
      <c r="A16" s="420">
        <v>2</v>
      </c>
      <c r="B16" s="419" t="s">
        <v>3015</v>
      </c>
      <c r="C16" s="419"/>
    </row>
    <row r="17" spans="1:3">
      <c r="A17" s="420">
        <v>3</v>
      </c>
      <c r="B17" s="419" t="s">
        <v>3016</v>
      </c>
      <c r="C17" s="419"/>
    </row>
    <row r="18" spans="1:3">
      <c r="A18" s="420">
        <v>4</v>
      </c>
      <c r="B18" s="419" t="s">
        <v>3017</v>
      </c>
      <c r="C18" s="419"/>
    </row>
    <row r="19" spans="1:3">
      <c r="A19" s="420">
        <v>5</v>
      </c>
      <c r="B19" s="419" t="s">
        <v>3018</v>
      </c>
      <c r="C19" s="419"/>
    </row>
    <row r="20" spans="1:3">
      <c r="A20" s="419" t="s">
        <v>3019</v>
      </c>
    </row>
    <row r="23" spans="1:3">
      <c r="C23" s="4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Март</vt:lpstr>
      <vt:lpstr>Сводная Март</vt:lpstr>
      <vt:lpstr>Апрель</vt:lpstr>
      <vt:lpstr>Сводная Апрель</vt:lpstr>
      <vt:lpstr>Май</vt:lpstr>
      <vt:lpstr>Сводная Май</vt:lpstr>
      <vt:lpstr>Июнь</vt:lpstr>
      <vt:lpstr>Сводная Июнь</vt:lpstr>
      <vt:lpstr>Июль</vt:lpstr>
      <vt:lpstr>Сводная Июль</vt:lpstr>
      <vt:lpstr>Чек-лист _РИМ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Антон Игоревич</dc:creator>
  <cp:lastModifiedBy>Померанцева Анна Владимировна</cp:lastModifiedBy>
  <cp:lastPrinted>2018-04-23T13:36:41Z</cp:lastPrinted>
  <dcterms:created xsi:type="dcterms:W3CDTF">2018-03-12T11:51:52Z</dcterms:created>
  <dcterms:modified xsi:type="dcterms:W3CDTF">2026-03-04T08:20:25Z</dcterms:modified>
</cp:coreProperties>
</file>