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ЭтаКнига"/>
  <xr:revisionPtr revIDLastSave="0" documentId="8_{8C7A9132-6E58-4592-B5DF-4723B75D34A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Сведения" sheetId="1" r:id="rId1"/>
    <sheet name="Общие" sheetId="9" r:id="rId2"/>
    <sheet name="Web" sheetId="3" r:id="rId3"/>
    <sheet name="Мобильные" sheetId="4" r:id="rId4"/>
    <sheet name="data" sheetId="5" state="hidden" r:id="rId5"/>
  </sheets>
  <definedNames>
    <definedName name="_Toc466304790" localSheetId="0">Сведения!$B$1</definedName>
    <definedName name="_Toc466304791" localSheetId="0">Сведения!$B$2</definedName>
    <definedName name="В_Б_П2.1">Web!$D$3:$D$8</definedName>
    <definedName name="В_Б_П2.1.7">Web!$D$10:$D$18</definedName>
    <definedName name="В_Б_П2.10">Web!$D$128:$D$131</definedName>
    <definedName name="В_Б_П2.10.5">Web!$D$133:$D$136</definedName>
    <definedName name="В_Б_П2.2">Web!$D$20:$D$21</definedName>
    <definedName name="В_Б_П2.2.3">Web!$D$23:$D$24</definedName>
    <definedName name="В_Б_П2.2.4">Web!$D$26:$D$27</definedName>
    <definedName name="В_Б_П2.2.5">Web!$D$29:$D$31</definedName>
    <definedName name="В_Б_П2.3">Web!$D$33:$D$38</definedName>
    <definedName name="В_Б_П2.3.7">Web!$D$40:$D$42</definedName>
    <definedName name="В_Б_П2.4.2">Web!$D$46:$D$48</definedName>
    <definedName name="В_Б_П2.4.3">Web!$D$50:$D$53</definedName>
    <definedName name="В_Б_П2.5.1">Web!$D$56:$D$61</definedName>
    <definedName name="В_Б_П2.5.2">Web!$D$63:$D$69</definedName>
    <definedName name="В_Б_П2.5.3">Web!$D$71:$D$74</definedName>
    <definedName name="В_Б_П2.6.3">Web!$D$79:$D$82</definedName>
    <definedName name="В_Б_П2.7.1">Web!$D$85:$D$86</definedName>
    <definedName name="В_Б_П2.7.2">Web!$D$88:$D$89</definedName>
    <definedName name="В_Б_П2.8">Web!$D$91:$D$94</definedName>
    <definedName name="В_Б_П2.9.2">Web!$D$98:$D$101</definedName>
    <definedName name="В_Б_П2.9.3">Web!$D$103:$D$105</definedName>
    <definedName name="В_Б_П2.9.4">Web!$D$107:$D$111</definedName>
    <definedName name="В_Б_П2.9.5">Web!$D$113:$D$114</definedName>
    <definedName name="В_Б_П2.9.6">Web!$D$116:$D$120</definedName>
    <definedName name="В_Б_П2.9.7">Web!$D$122:$D$123</definedName>
    <definedName name="В_Б_П2.9.8">Web!$D$125:$D$126</definedName>
    <definedName name="В_К_П2.1">Web!$F$3:$F$8</definedName>
    <definedName name="В_К_П2.1.7">Web!$F$10:$F$18</definedName>
    <definedName name="В_К_П2.10">Web!$F$128:$F$131</definedName>
    <definedName name="В_К_П2.10.5">Web!$F$133:$F$136</definedName>
    <definedName name="В_К_П2.2">Web!$F$20:$F$21</definedName>
    <definedName name="В_К_П2.2.3">Web!$F$23:$F$24</definedName>
    <definedName name="В_К_П2.2.4">Web!$F$26:$F$27</definedName>
    <definedName name="В_К_П2.2.5">Web!$F$29:$F$31</definedName>
    <definedName name="В_К_П2.3">Web!$F$33:$F$38</definedName>
    <definedName name="В_К_П2.3.7">Web!$F$40:$F$42</definedName>
    <definedName name="В_К_П2.4.2">Web!$F$46:$F$48</definedName>
    <definedName name="В_К_П2.4.3">Web!$F$50:$F$53</definedName>
    <definedName name="В_К_П2.5.1">Web!$F$56:$F$61</definedName>
    <definedName name="В_К_П2.5.2">Web!$F$63:$F$69</definedName>
    <definedName name="В_К_П2.5.3">Web!$F$71:$F$74</definedName>
    <definedName name="В_К_П2.6.3">Web!$F$79:$F$82</definedName>
    <definedName name="В_К_П2.7.1">Web!$F$85:$F$86</definedName>
    <definedName name="В_К_П2.7.2">Web!$F$88:$F$89</definedName>
    <definedName name="В_К_П2.8">Web!$F$91:$F$94</definedName>
    <definedName name="В_К_П2.9.2">Web!$F$98:$F$101</definedName>
    <definedName name="В_К_П2.9.3">Web!$F$103:$F$105</definedName>
    <definedName name="В_К_П2.9.4">Web!$F$107:$F$111</definedName>
    <definedName name="В_К_П2.9.5">Web!$F$113:$F$114</definedName>
    <definedName name="В_К_П2.9.6">Web!$F$116:$F$120</definedName>
    <definedName name="В_К_П2.9.7">Web!$F$122:$F$123</definedName>
    <definedName name="В_К_П2.9.8">Web!$F$125:$F$126</definedName>
    <definedName name="В_Н_П2.1">Web!$G$3:$G$8</definedName>
    <definedName name="В_Н_П2.1.7">Web!$G$10:$G$18</definedName>
    <definedName name="В_Н_П2.10">Web!$G$128:$G$131</definedName>
    <definedName name="В_Н_П2.10.5">Web!$G$133:$G$136</definedName>
    <definedName name="В_Н_П2.2">Web!$G$20:$G$21</definedName>
    <definedName name="В_Н_П2.2.3">Web!$G$23:$G$24</definedName>
    <definedName name="В_Н_П2.2.4">Web!$G$26:$G$27</definedName>
    <definedName name="В_Н_П2.2.5">Web!$G$29:$G$31</definedName>
    <definedName name="В_Н_П2.3">Web!$G$33:$G$38</definedName>
    <definedName name="В_Н_П2.3.7">Web!$G$40:$G$42</definedName>
    <definedName name="В_Н_П2.4.2">Web!$G$46:$G$48</definedName>
    <definedName name="В_Н_П2.4.3">Web!$G$50:$G$53</definedName>
    <definedName name="В_Н_П2.5.1">Web!$G$56:$G$61</definedName>
    <definedName name="В_Н_П2.5.2">Web!$G$63:$G$69</definedName>
    <definedName name="В_Н_П2.5.3">Web!$G$71:$G$74</definedName>
    <definedName name="В_Н_П2.6.3">Web!$G$79:$G$82</definedName>
    <definedName name="В_Н_П2.7.1">Web!$G$85:$G$86</definedName>
    <definedName name="В_Н_П2.7.2">Web!$G$88:$G$89</definedName>
    <definedName name="В_Н_П2.8">Web!$G$91:$G$94</definedName>
    <definedName name="В_Н_П2.9.2">Web!$G$98:$G$101</definedName>
    <definedName name="В_Н_П2.9.3">Web!$G$103:$G$105</definedName>
    <definedName name="В_Н_П2.9.4">Web!$G$107:$G$111</definedName>
    <definedName name="В_Н_П2.9.5">Web!$G$113:$G$114</definedName>
    <definedName name="В_Н_П2.9.6">Web!$G$116:$G$120</definedName>
    <definedName name="В_Н_П2.9.7">Web!$G$122:$G$123</definedName>
    <definedName name="В_Н_П2.9.8">Web!$G$125:$G$126</definedName>
    <definedName name="_xlnm.Print_Titles" localSheetId="2">Web!$1:$1</definedName>
    <definedName name="_xlnm.Print_Titles" localSheetId="3">Мобильные!$1:$1</definedName>
    <definedName name="_xlnm.Print_Titles" localSheetId="1">Общие!$1:$1</definedName>
    <definedName name="М_Б_П3.2.1">Мобильные!$D$4:$D$7</definedName>
    <definedName name="М_Б_П3.2.2">Мобильные!$D$9:$D$13</definedName>
    <definedName name="М_Б_П3.2.2.6">Мобильные!$D$15:$D$17</definedName>
    <definedName name="М_Б_П3.2.2.7">Мобильные!$D$19:$D$20</definedName>
    <definedName name="М_Б_П3.3">Мобильные!$D$22:$D$25</definedName>
    <definedName name="М_Б_П3.3.6">Мобильные!$D$27:$D$28</definedName>
    <definedName name="М_Б_П3.3.7">Мобильные!$D$30:$D$34</definedName>
    <definedName name="М_Б_П3.4">Мобильные!$D$36:$D$42</definedName>
    <definedName name="М_Б_П3.5">Мобильные!$D$44:$D$47</definedName>
    <definedName name="М_Б_П3.6">Мобильные!$D$49:$D$52</definedName>
    <definedName name="М_Б_П3.6.5">Мобильные!$D$54:$D$57</definedName>
    <definedName name="М_Б_П3.7">Мобильные!$D$59:$D$67</definedName>
    <definedName name="М_Б_П3.8">Мобильные!$D$69</definedName>
    <definedName name="М_Б_П3.8.2">Мобильные!$D$71:$D$76</definedName>
    <definedName name="М_Б_П3.8.3">Мобильные!$D$78:$D$79</definedName>
    <definedName name="М_Б_П3.9">Мобильные!$D$81:$D$83</definedName>
    <definedName name="М_К_П3.2.1">Мобильные!$F$4:$F$7</definedName>
    <definedName name="М_К_П3.2.2">Мобильные!$F$9:$F$13</definedName>
    <definedName name="М_К_П3.2.2.6">Мобильные!$F$15:$F$17</definedName>
    <definedName name="М_К_П3.2.2.7">Мобильные!$F$19:$F$20</definedName>
    <definedName name="М_К_П3.3">Мобильные!$F$22:$F$25</definedName>
    <definedName name="М_К_П3.3.6">Мобильные!$F$27:$F$28</definedName>
    <definedName name="М_К_П3.3.7">Мобильные!$F$30:$F$34</definedName>
    <definedName name="М_К_П3.4">Мобильные!$F$36:$F$42</definedName>
    <definedName name="М_К_П3.5">Мобильные!$F$44:$F$47</definedName>
    <definedName name="М_К_П3.6">Мобильные!$F$49:$F$52</definedName>
    <definedName name="М_К_П3.6.5">Мобильные!$F$54:$F$57</definedName>
    <definedName name="М_К_П3.7">Мобильные!$F$59:$F$67</definedName>
    <definedName name="М_К_П3.8">Мобильные!$F$69</definedName>
    <definedName name="М_К_П3.8.2">Мобильные!$F$71:$F$76</definedName>
    <definedName name="М_К_П3.8.3">Мобильные!$F$78:$F$79</definedName>
    <definedName name="М_К_П3.9">Мобильные!$F$81:$F$83</definedName>
    <definedName name="М_Н_П3.2.1">Мобильные!$G$4:$G$7</definedName>
    <definedName name="М_Н_П3.2.2">Мобильные!$G$9:$G$13</definedName>
    <definedName name="М_Н_П3.2.2.6">Мобильные!$G$15:$G$17</definedName>
    <definedName name="М_Н_П3.2.2.7">Мобильные!$G$19:$G$20</definedName>
    <definedName name="М_Н_П3.3">Мобильные!$G$22:$G$25</definedName>
    <definedName name="М_Н_П3.3.6">Мобильные!$G$27:$G$28</definedName>
    <definedName name="М_Н_П3.3.7">Мобильные!$G$30:$G$34</definedName>
    <definedName name="М_Н_П3.4">Мобильные!$G$36:$G$42</definedName>
    <definedName name="М_Н_П3.5">Мобильные!$G$44:$G$47</definedName>
    <definedName name="М_Н_П3.6">Мобильные!$G$49:$G$52</definedName>
    <definedName name="М_Н_П3.6.5">Мобильные!$G$54:$G$57</definedName>
    <definedName name="М_Н_П3.7">Мобильные!$G$59:$G$67</definedName>
    <definedName name="М_Н_П3.8">Мобильные!$G$69</definedName>
    <definedName name="М_Н_П3.8.2">Мобильные!$G$71:$G$76</definedName>
    <definedName name="М_Н_П3.8.3">Мобильные!$G$78:$G$79</definedName>
    <definedName name="М_Н_П3.9">Мобильные!$G$81:$G$83</definedName>
    <definedName name="О_Б_4.1" localSheetId="1">Общие!$D$3:$D$8</definedName>
    <definedName name="О_Б_4.1">#REF!</definedName>
    <definedName name="О_Б_4.1.7" localSheetId="1">Общие!$D$10:$D$11</definedName>
    <definedName name="О_Б_4.1.7">#REF!</definedName>
    <definedName name="О_Б_4.10" localSheetId="1">Общие!$D$117:$D$125</definedName>
    <definedName name="О_Б_4.10">#REF!</definedName>
    <definedName name="О_Б_4.11" localSheetId="1">Общие!$D$127:$D$129</definedName>
    <definedName name="О_Б_4.11">#REF!</definedName>
    <definedName name="О_Б_4.2" localSheetId="1">Общие!$D$13:$D$34</definedName>
    <definedName name="О_Б_4.2">#REF!</definedName>
    <definedName name="О_Б_4.2.23" localSheetId="1">Общие!$D$36:$D$48</definedName>
    <definedName name="О_Б_4.2.23">#REF!</definedName>
    <definedName name="О_Б_4.3" localSheetId="1">Общие!$D$50:$D$56</definedName>
    <definedName name="О_Б_4.3">#REF!</definedName>
    <definedName name="О_Б_4.3.8" localSheetId="1">Общие!$D$58:$D$63</definedName>
    <definedName name="О_Б_4.3.8">#REF!</definedName>
    <definedName name="О_Б_4.4" localSheetId="1">Общие!$D$65:$D$70</definedName>
    <definedName name="О_Б_4.4">#REF!</definedName>
    <definedName name="О_Б_4.5" localSheetId="1">Общие!$D$72:$D$78</definedName>
    <definedName name="О_Б_4.5">#REF!</definedName>
    <definedName name="О_Б_4.5.10" localSheetId="1">Общие!$D$91:$D$96</definedName>
    <definedName name="О_Б_4.5.10">#REF!</definedName>
    <definedName name="О_Б_4.5.8" localSheetId="1">Общие!$D$80:$D$83</definedName>
    <definedName name="О_Б_4.5.8">#REF!</definedName>
    <definedName name="О_Б_4.5.9" localSheetId="1">Общие!$D$85:$D$89</definedName>
    <definedName name="О_Б_4.5.9">#REF!</definedName>
    <definedName name="О_Б_4.6" localSheetId="1">Общие!$D$98:$D$101</definedName>
    <definedName name="О_Б_4.6">#REF!</definedName>
    <definedName name="О_Б_4.7" localSheetId="1">Общие!$D$103:$D$115</definedName>
    <definedName name="О_Б_4.7">#REF!</definedName>
    <definedName name="О_К_4.1" localSheetId="1">Общие!$F$3:$F$8</definedName>
    <definedName name="О_К_4.1">#REF!</definedName>
    <definedName name="О_К_4.1.7" localSheetId="1">Общие!$F$10:$F$11</definedName>
    <definedName name="О_К_4.1.7">#REF!</definedName>
    <definedName name="О_К_4.10" localSheetId="1">Общие!$F$117:$F$125</definedName>
    <definedName name="О_К_4.10">#REF!</definedName>
    <definedName name="О_К_4.11" localSheetId="1">Общие!$F$127:$F$129</definedName>
    <definedName name="О_К_4.11">#REF!</definedName>
    <definedName name="О_К_4.2" localSheetId="1">Общие!$F$13:$F$34</definedName>
    <definedName name="О_К_4.2">#REF!</definedName>
    <definedName name="О_К_4.2.23" localSheetId="1">Общие!$F$36:$F$48</definedName>
    <definedName name="О_К_4.2.23">#REF!</definedName>
    <definedName name="О_К_4.3" localSheetId="1">Общие!$F$50:$F$56</definedName>
    <definedName name="О_К_4.3">#REF!</definedName>
    <definedName name="О_К_4.3.8" localSheetId="1">Общие!$F$58:$F$63</definedName>
    <definedName name="О_К_4.3.8">#REF!</definedName>
    <definedName name="О_К_4.4" localSheetId="1">Общие!$F$65:$F$70</definedName>
    <definedName name="О_К_4.4">#REF!</definedName>
    <definedName name="О_К_4.5" localSheetId="1">Общие!$F$72:$F$78</definedName>
    <definedName name="О_К_4.5">#REF!</definedName>
    <definedName name="О_К_4.5.10" localSheetId="1">Общие!$F$91:$F$96</definedName>
    <definedName name="О_К_4.5.10">#REF!</definedName>
    <definedName name="О_К_4.5.8" localSheetId="1">Общие!$F$80:$F$83</definedName>
    <definedName name="О_К_4.5.8">#REF!</definedName>
    <definedName name="О_К_4.5.9" localSheetId="1">Общие!$F$85:$F$89</definedName>
    <definedName name="О_К_4.5.9">#REF!</definedName>
    <definedName name="О_К_4.6" localSheetId="1">Общие!$F$98:$F$101</definedName>
    <definedName name="О_К_4.6">#REF!</definedName>
    <definedName name="О_К_4.7" localSheetId="1">Общие!$F$103:$F$115</definedName>
    <definedName name="О_К_4.7">#REF!</definedName>
    <definedName name="О_Н_4.1" localSheetId="1">Общие!$G$3:$G$8</definedName>
    <definedName name="О_Н_4.1">#REF!</definedName>
    <definedName name="О_Н_4.1.7" localSheetId="1">Общие!$G$10:$G$11</definedName>
    <definedName name="О_Н_4.1.7">#REF!</definedName>
    <definedName name="О_Н_4.10" localSheetId="1">Общие!$G$117:$G$125</definedName>
    <definedName name="О_Н_4.10">#REF!</definedName>
    <definedName name="О_Н_4.11" localSheetId="1">Общие!$G$127:$G$129</definedName>
    <definedName name="О_Н_4.11">#REF!</definedName>
    <definedName name="О_Н_4.2" localSheetId="1">Общие!$G$13:$G$34</definedName>
    <definedName name="О_Н_4.2">#REF!</definedName>
    <definedName name="О_Н_4.2.23" localSheetId="1">Общие!$G$36:$G$48</definedName>
    <definedName name="О_Н_4.2.23">#REF!</definedName>
    <definedName name="О_Н_4.3" localSheetId="1">Общие!$G$50:$G$56</definedName>
    <definedName name="О_Н_4.3">#REF!</definedName>
    <definedName name="О_Н_4.3.8" localSheetId="1">Общие!$G$58:$G$63</definedName>
    <definedName name="О_Н_4.3.8">#REF!</definedName>
    <definedName name="О_Н_4.4" localSheetId="1">Общие!$G$65:$G$70</definedName>
    <definedName name="О_Н_4.4">#REF!</definedName>
    <definedName name="О_Н_4.5" localSheetId="1">Общие!$G$72:$G$78</definedName>
    <definedName name="О_Н_4.5">#REF!</definedName>
    <definedName name="О_Н_4.5.10" localSheetId="1">Общие!$G$91:$G$96</definedName>
    <definedName name="О_Н_4.5.10">#REF!</definedName>
    <definedName name="О_Н_4.5.8" localSheetId="1">Общие!$G$80:$G$83</definedName>
    <definedName name="О_Н_4.5.8">#REF!</definedName>
    <definedName name="О_Н_4.5.9" localSheetId="1">Общие!$G$85:$G$89</definedName>
    <definedName name="О_Н_4.5.9">#REF!</definedName>
    <definedName name="О_Н_4.6" localSheetId="1">Общие!$G$98:$G$101</definedName>
    <definedName name="О_Н_4.6">#REF!</definedName>
    <definedName name="О_Н_4.7" localSheetId="1">Общие!$G$103:$G$115</definedName>
    <definedName name="О_Н_4.7">#REF!</definedName>
    <definedName name="_xlnm.Print_Area" localSheetId="2">Web!$A:$E</definedName>
    <definedName name="_xlnm.Print_Area" localSheetId="3">Мобильные!$A:$E</definedName>
    <definedName name="_xlnm.Print_Area" localSheetId="1">Общие!$A:$E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3" l="1"/>
  <c r="F134" i="3" l="1"/>
  <c r="F135" i="3"/>
  <c r="F136" i="3"/>
  <c r="F133" i="3"/>
  <c r="F129" i="3"/>
  <c r="F130" i="3"/>
  <c r="H130" i="3" s="1"/>
  <c r="F131" i="3"/>
  <c r="F128" i="3"/>
  <c r="D134" i="3"/>
  <c r="G134" i="3" s="1"/>
  <c r="D135" i="3"/>
  <c r="G135" i="3" s="1"/>
  <c r="D136" i="3"/>
  <c r="G136" i="3" s="1"/>
  <c r="D133" i="3"/>
  <c r="D129" i="3"/>
  <c r="G129" i="3" s="1"/>
  <c r="D130" i="3"/>
  <c r="G130" i="3" s="1"/>
  <c r="D131" i="3"/>
  <c r="G131" i="3" s="1"/>
  <c r="D128" i="3"/>
  <c r="G128" i="3" s="1"/>
  <c r="H134" i="3" l="1"/>
  <c r="D132" i="3"/>
  <c r="D127" i="3" s="1"/>
  <c r="H131" i="3"/>
  <c r="H133" i="3"/>
  <c r="G133" i="3"/>
  <c r="F132" i="3" s="1"/>
  <c r="F127" i="3" s="1"/>
  <c r="H128" i="3"/>
  <c r="H129" i="3"/>
  <c r="H135" i="3"/>
  <c r="F94" i="3"/>
  <c r="D94" i="3"/>
  <c r="G94" i="3" s="1"/>
  <c r="H132" i="3" l="1"/>
  <c r="C132" i="3"/>
  <c r="H94" i="3"/>
  <c r="D3" i="3"/>
  <c r="G3" i="3" s="1"/>
  <c r="F3" i="3"/>
  <c r="H127" i="3" l="1"/>
  <c r="C127" i="3"/>
  <c r="H3" i="3"/>
  <c r="D104" i="9"/>
  <c r="G104" i="9" s="1"/>
  <c r="F104" i="9"/>
  <c r="D72" i="9"/>
  <c r="G72" i="9" s="1"/>
  <c r="F72" i="9"/>
  <c r="H104" i="9" l="1"/>
  <c r="H72" i="9"/>
  <c r="F127" i="9"/>
  <c r="D3" i="9" l="1"/>
  <c r="G3" i="9" s="1"/>
  <c r="D4" i="9"/>
  <c r="G4" i="9" s="1"/>
  <c r="D5" i="9"/>
  <c r="G5" i="9" s="1"/>
  <c r="D6" i="9"/>
  <c r="G6" i="9" s="1"/>
  <c r="D7" i="9"/>
  <c r="G7" i="9" s="1"/>
  <c r="D8" i="9"/>
  <c r="G8" i="9" s="1"/>
  <c r="D10" i="9"/>
  <c r="D11" i="9"/>
  <c r="G11" i="9" s="1"/>
  <c r="D13" i="9"/>
  <c r="D14" i="9"/>
  <c r="G14" i="9" s="1"/>
  <c r="D15" i="9"/>
  <c r="G15" i="9" s="1"/>
  <c r="D16" i="9"/>
  <c r="G16" i="9" s="1"/>
  <c r="D17" i="9"/>
  <c r="G17" i="9" s="1"/>
  <c r="D18" i="9"/>
  <c r="G18" i="9" s="1"/>
  <c r="D19" i="9"/>
  <c r="G19" i="9" s="1"/>
  <c r="D20" i="9"/>
  <c r="G20" i="9" s="1"/>
  <c r="D21" i="9"/>
  <c r="G21" i="9" s="1"/>
  <c r="D22" i="9"/>
  <c r="G22" i="9" s="1"/>
  <c r="D23" i="9"/>
  <c r="G23" i="9" s="1"/>
  <c r="D24" i="9"/>
  <c r="G24" i="9" s="1"/>
  <c r="D25" i="9"/>
  <c r="G25" i="9" s="1"/>
  <c r="D26" i="9"/>
  <c r="G26" i="9" s="1"/>
  <c r="D27" i="9"/>
  <c r="G27" i="9" s="1"/>
  <c r="D28" i="9"/>
  <c r="G28" i="9" s="1"/>
  <c r="D29" i="9"/>
  <c r="G29" i="9" s="1"/>
  <c r="D30" i="9"/>
  <c r="G30" i="9" s="1"/>
  <c r="D31" i="9"/>
  <c r="G31" i="9" s="1"/>
  <c r="D32" i="9"/>
  <c r="G32" i="9" s="1"/>
  <c r="D33" i="9"/>
  <c r="G33" i="9" s="1"/>
  <c r="D34" i="9"/>
  <c r="G34" i="9" s="1"/>
  <c r="D36" i="9"/>
  <c r="G36" i="9" s="1"/>
  <c r="D37" i="9"/>
  <c r="G37" i="9" s="1"/>
  <c r="D38" i="9"/>
  <c r="G38" i="9" s="1"/>
  <c r="D39" i="9"/>
  <c r="G39" i="9" s="1"/>
  <c r="D40" i="9"/>
  <c r="G40" i="9" s="1"/>
  <c r="D41" i="9"/>
  <c r="G41" i="9" s="1"/>
  <c r="D42" i="9"/>
  <c r="G42" i="9" s="1"/>
  <c r="D43" i="9"/>
  <c r="G43" i="9" s="1"/>
  <c r="D44" i="9"/>
  <c r="G44" i="9" s="1"/>
  <c r="D45" i="9"/>
  <c r="G45" i="9" s="1"/>
  <c r="D46" i="9"/>
  <c r="G46" i="9" s="1"/>
  <c r="D47" i="9"/>
  <c r="G47" i="9" s="1"/>
  <c r="D48" i="9"/>
  <c r="G48" i="9" s="1"/>
  <c r="D50" i="9"/>
  <c r="D51" i="9"/>
  <c r="G51" i="9" s="1"/>
  <c r="D52" i="9"/>
  <c r="G52" i="9" s="1"/>
  <c r="D53" i="9"/>
  <c r="G53" i="9" s="1"/>
  <c r="D54" i="9"/>
  <c r="G54" i="9" s="1"/>
  <c r="D55" i="9"/>
  <c r="G55" i="9" s="1"/>
  <c r="D56" i="9"/>
  <c r="G56" i="9" s="1"/>
  <c r="D58" i="9"/>
  <c r="G58" i="9" s="1"/>
  <c r="D59" i="9"/>
  <c r="G59" i="9" s="1"/>
  <c r="D60" i="9"/>
  <c r="G60" i="9" s="1"/>
  <c r="D61" i="9"/>
  <c r="G61" i="9" s="1"/>
  <c r="D62" i="9"/>
  <c r="G62" i="9" s="1"/>
  <c r="D63" i="9"/>
  <c r="G63" i="9" s="1"/>
  <c r="D65" i="9"/>
  <c r="G65" i="9" s="1"/>
  <c r="D66" i="9"/>
  <c r="G66" i="9" s="1"/>
  <c r="D67" i="9"/>
  <c r="G67" i="9" s="1"/>
  <c r="D68" i="9"/>
  <c r="G68" i="9" s="1"/>
  <c r="D69" i="9"/>
  <c r="G69" i="9" s="1"/>
  <c r="D70" i="9"/>
  <c r="G70" i="9" s="1"/>
  <c r="D73" i="9"/>
  <c r="G73" i="9" s="1"/>
  <c r="D74" i="9"/>
  <c r="G74" i="9" s="1"/>
  <c r="D75" i="9"/>
  <c r="G75" i="9" s="1"/>
  <c r="D76" i="9"/>
  <c r="G76" i="9" s="1"/>
  <c r="D77" i="9"/>
  <c r="G77" i="9" s="1"/>
  <c r="D78" i="9"/>
  <c r="G78" i="9" s="1"/>
  <c r="D80" i="9"/>
  <c r="G80" i="9" s="1"/>
  <c r="D81" i="9"/>
  <c r="G81" i="9" s="1"/>
  <c r="D82" i="9"/>
  <c r="G82" i="9" s="1"/>
  <c r="D83" i="9"/>
  <c r="G83" i="9" s="1"/>
  <c r="D85" i="9"/>
  <c r="G85" i="9" s="1"/>
  <c r="D86" i="9"/>
  <c r="G86" i="9" s="1"/>
  <c r="D87" i="9"/>
  <c r="G87" i="9" s="1"/>
  <c r="D88" i="9"/>
  <c r="G88" i="9" s="1"/>
  <c r="D89" i="9"/>
  <c r="G89" i="9" s="1"/>
  <c r="D91" i="9"/>
  <c r="G91" i="9" s="1"/>
  <c r="D92" i="9"/>
  <c r="G92" i="9" s="1"/>
  <c r="D93" i="9"/>
  <c r="G93" i="9" s="1"/>
  <c r="D94" i="9"/>
  <c r="G94" i="9" s="1"/>
  <c r="D95" i="9"/>
  <c r="G95" i="9" s="1"/>
  <c r="D96" i="9"/>
  <c r="G96" i="9" s="1"/>
  <c r="D98" i="9"/>
  <c r="G98" i="9" s="1"/>
  <c r="D99" i="9"/>
  <c r="G99" i="9" s="1"/>
  <c r="D100" i="9"/>
  <c r="G100" i="9" s="1"/>
  <c r="D101" i="9"/>
  <c r="G101" i="9" s="1"/>
  <c r="D103" i="9"/>
  <c r="G103" i="9" s="1"/>
  <c r="D105" i="9"/>
  <c r="G105" i="9" s="1"/>
  <c r="D106" i="9"/>
  <c r="G106" i="9" s="1"/>
  <c r="D107" i="9"/>
  <c r="G107" i="9" s="1"/>
  <c r="D108" i="9"/>
  <c r="G108" i="9" s="1"/>
  <c r="D109" i="9"/>
  <c r="G109" i="9" s="1"/>
  <c r="D110" i="9"/>
  <c r="G110" i="9" s="1"/>
  <c r="D111" i="9"/>
  <c r="G111" i="9" s="1"/>
  <c r="D112" i="9"/>
  <c r="G112" i="9" s="1"/>
  <c r="D113" i="9"/>
  <c r="G113" i="9" s="1"/>
  <c r="D114" i="9"/>
  <c r="G114" i="9" s="1"/>
  <c r="D115" i="9"/>
  <c r="G115" i="9" s="1"/>
  <c r="D117" i="9"/>
  <c r="G117" i="9" s="1"/>
  <c r="D118" i="9"/>
  <c r="G118" i="9" s="1"/>
  <c r="D119" i="9"/>
  <c r="G119" i="9" s="1"/>
  <c r="D120" i="9"/>
  <c r="G120" i="9" s="1"/>
  <c r="D121" i="9"/>
  <c r="G121" i="9" s="1"/>
  <c r="D122" i="9"/>
  <c r="G122" i="9" s="1"/>
  <c r="D123" i="9"/>
  <c r="G123" i="9" s="1"/>
  <c r="D124" i="9"/>
  <c r="G124" i="9" s="1"/>
  <c r="D125" i="9"/>
  <c r="G125" i="9" s="1"/>
  <c r="D127" i="9"/>
  <c r="G127" i="9" s="1"/>
  <c r="D128" i="9"/>
  <c r="G128" i="9" s="1"/>
  <c r="D129" i="9"/>
  <c r="G129" i="9" s="1"/>
  <c r="F3" i="9"/>
  <c r="F4" i="9"/>
  <c r="F5" i="9"/>
  <c r="F6" i="9"/>
  <c r="F7" i="9"/>
  <c r="F8" i="9"/>
  <c r="F10" i="9"/>
  <c r="F11" i="9"/>
  <c r="H11" i="9" s="1"/>
  <c r="F13" i="9"/>
  <c r="F14" i="9"/>
  <c r="F15" i="9"/>
  <c r="F16" i="9"/>
  <c r="F17" i="9"/>
  <c r="F18" i="9"/>
  <c r="F19" i="9"/>
  <c r="F20" i="9"/>
  <c r="F21" i="9"/>
  <c r="F22" i="9"/>
  <c r="F23" i="9"/>
  <c r="F24" i="9"/>
  <c r="H24" i="9" s="1"/>
  <c r="F25" i="9"/>
  <c r="H25" i="9" s="1"/>
  <c r="F26" i="9"/>
  <c r="F27" i="9"/>
  <c r="F28" i="9"/>
  <c r="F29" i="9"/>
  <c r="F30" i="9"/>
  <c r="F31" i="9"/>
  <c r="F32" i="9"/>
  <c r="F33" i="9"/>
  <c r="F34" i="9"/>
  <c r="F36" i="9"/>
  <c r="F37" i="9"/>
  <c r="F38" i="9"/>
  <c r="F39" i="9"/>
  <c r="H39" i="9" s="1"/>
  <c r="F40" i="9"/>
  <c r="F41" i="9"/>
  <c r="F42" i="9"/>
  <c r="F43" i="9"/>
  <c r="F44" i="9"/>
  <c r="F45" i="9"/>
  <c r="H45" i="9" s="1"/>
  <c r="F46" i="9"/>
  <c r="F47" i="9"/>
  <c r="F48" i="9"/>
  <c r="F50" i="9"/>
  <c r="F51" i="9"/>
  <c r="F52" i="9"/>
  <c r="H52" i="9" s="1"/>
  <c r="F53" i="9"/>
  <c r="F54" i="9"/>
  <c r="F55" i="9"/>
  <c r="F56" i="9"/>
  <c r="F58" i="9"/>
  <c r="F59" i="9"/>
  <c r="F60" i="9"/>
  <c r="F61" i="9"/>
  <c r="F62" i="9"/>
  <c r="F63" i="9"/>
  <c r="F65" i="9"/>
  <c r="F66" i="9"/>
  <c r="F67" i="9"/>
  <c r="F68" i="9"/>
  <c r="F69" i="9"/>
  <c r="F70" i="9"/>
  <c r="F73" i="9"/>
  <c r="F74" i="9"/>
  <c r="F75" i="9"/>
  <c r="F76" i="9"/>
  <c r="F77" i="9"/>
  <c r="F78" i="9"/>
  <c r="F80" i="9"/>
  <c r="F81" i="9"/>
  <c r="F82" i="9"/>
  <c r="F83" i="9"/>
  <c r="H83" i="9" s="1"/>
  <c r="F85" i="9"/>
  <c r="F86" i="9"/>
  <c r="F87" i="9"/>
  <c r="F88" i="9"/>
  <c r="F89" i="9"/>
  <c r="F91" i="9"/>
  <c r="F92" i="9"/>
  <c r="F93" i="9"/>
  <c r="F94" i="9"/>
  <c r="F95" i="9"/>
  <c r="F96" i="9"/>
  <c r="F98" i="9"/>
  <c r="F99" i="9"/>
  <c r="F100" i="9"/>
  <c r="F101" i="9"/>
  <c r="F103" i="9"/>
  <c r="F105" i="9"/>
  <c r="F106" i="9"/>
  <c r="F107" i="9"/>
  <c r="F108" i="9"/>
  <c r="F109" i="9"/>
  <c r="F110" i="9"/>
  <c r="F111" i="9"/>
  <c r="F112" i="9"/>
  <c r="F113" i="9"/>
  <c r="F114" i="9"/>
  <c r="F115" i="9"/>
  <c r="F117" i="9"/>
  <c r="F118" i="9"/>
  <c r="H118" i="9" s="1"/>
  <c r="F119" i="9"/>
  <c r="F120" i="9"/>
  <c r="F121" i="9"/>
  <c r="H121" i="9" s="1"/>
  <c r="F122" i="9"/>
  <c r="F123" i="9"/>
  <c r="F124" i="9"/>
  <c r="F125" i="9"/>
  <c r="F128" i="9"/>
  <c r="F129" i="9"/>
  <c r="H128" i="9" l="1"/>
  <c r="F84" i="9"/>
  <c r="F35" i="9"/>
  <c r="G50" i="9"/>
  <c r="F90" i="9"/>
  <c r="G13" i="9"/>
  <c r="G10" i="9"/>
  <c r="F9" i="9" s="1"/>
  <c r="D9" i="9"/>
  <c r="D2" i="9" s="1"/>
  <c r="H127" i="9"/>
  <c r="D102" i="9"/>
  <c r="H125" i="9"/>
  <c r="H119" i="9"/>
  <c r="H114" i="9"/>
  <c r="H112" i="9"/>
  <c r="H110" i="9"/>
  <c r="H108" i="9"/>
  <c r="H106" i="9"/>
  <c r="H103" i="9"/>
  <c r="H100" i="9"/>
  <c r="H98" i="9"/>
  <c r="H70" i="9"/>
  <c r="H68" i="9"/>
  <c r="H67" i="9"/>
  <c r="H65" i="9"/>
  <c r="H55" i="9"/>
  <c r="H53" i="9"/>
  <c r="H51" i="9"/>
  <c r="H48" i="9"/>
  <c r="H46" i="9"/>
  <c r="H44" i="9"/>
  <c r="H42" i="9"/>
  <c r="H40" i="9"/>
  <c r="H38" i="9"/>
  <c r="H36" i="9"/>
  <c r="H33" i="9"/>
  <c r="H31" i="9"/>
  <c r="H29" i="9"/>
  <c r="H27" i="9"/>
  <c r="H23" i="9"/>
  <c r="H21" i="9"/>
  <c r="H19" i="9"/>
  <c r="H17" i="9"/>
  <c r="H15" i="9"/>
  <c r="H13" i="9"/>
  <c r="H8" i="9"/>
  <c r="H6" i="9"/>
  <c r="H4" i="9"/>
  <c r="H62" i="9"/>
  <c r="H60" i="9"/>
  <c r="H58" i="9"/>
  <c r="H78" i="9"/>
  <c r="H76" i="9"/>
  <c r="H74" i="9"/>
  <c r="H95" i="9"/>
  <c r="H93" i="9"/>
  <c r="H91" i="9"/>
  <c r="H88" i="9"/>
  <c r="H86" i="9"/>
  <c r="H81" i="9"/>
  <c r="H129" i="9"/>
  <c r="H124" i="9"/>
  <c r="H122" i="9"/>
  <c r="H115" i="9"/>
  <c r="H113" i="9"/>
  <c r="H111" i="9"/>
  <c r="H109" i="9"/>
  <c r="H107" i="9"/>
  <c r="H105" i="9"/>
  <c r="H101" i="9"/>
  <c r="H99" i="9"/>
  <c r="H96" i="9"/>
  <c r="H94" i="9"/>
  <c r="H92" i="9"/>
  <c r="H89" i="9"/>
  <c r="H87" i="9"/>
  <c r="H85" i="9"/>
  <c r="H82" i="9"/>
  <c r="H80" i="9"/>
  <c r="H77" i="9"/>
  <c r="H75" i="9"/>
  <c r="H73" i="9"/>
  <c r="H69" i="9"/>
  <c r="H66" i="9"/>
  <c r="H63" i="9"/>
  <c r="H61" i="9"/>
  <c r="H59" i="9"/>
  <c r="H56" i="9"/>
  <c r="H54" i="9"/>
  <c r="H50" i="9"/>
  <c r="H47" i="9"/>
  <c r="H43" i="9"/>
  <c r="H41" i="9"/>
  <c r="H37" i="9"/>
  <c r="H34" i="9"/>
  <c r="H32" i="9"/>
  <c r="H30" i="9"/>
  <c r="H28" i="9"/>
  <c r="H26" i="9"/>
  <c r="H22" i="9"/>
  <c r="H20" i="9"/>
  <c r="H18" i="9"/>
  <c r="H16" i="9"/>
  <c r="H14" i="9"/>
  <c r="H10" i="9"/>
  <c r="H7" i="9"/>
  <c r="H5" i="9"/>
  <c r="H3" i="9"/>
  <c r="H123" i="9"/>
  <c r="H120" i="9"/>
  <c r="H117" i="9"/>
  <c r="D97" i="9"/>
  <c r="D90" i="9"/>
  <c r="D84" i="9"/>
  <c r="D79" i="9"/>
  <c r="D64" i="9"/>
  <c r="D126" i="9"/>
  <c r="D116" i="9"/>
  <c r="D57" i="9"/>
  <c r="D49" i="9" s="1"/>
  <c r="D35" i="9"/>
  <c r="D12" i="9" s="1"/>
  <c r="F57" i="9"/>
  <c r="F49" i="9" s="1"/>
  <c r="F64" i="9"/>
  <c r="C64" i="9" s="1"/>
  <c r="D69" i="4"/>
  <c r="D82" i="4"/>
  <c r="G82" i="4" s="1"/>
  <c r="F82" i="4"/>
  <c r="D83" i="4"/>
  <c r="G83" i="4" s="1"/>
  <c r="F83" i="4"/>
  <c r="F81" i="4"/>
  <c r="D81" i="4"/>
  <c r="G81" i="4" l="1"/>
  <c r="D80" i="4"/>
  <c r="G69" i="4"/>
  <c r="F12" i="9"/>
  <c r="F2" i="9"/>
  <c r="C2" i="9" s="1"/>
  <c r="C9" i="9"/>
  <c r="H64" i="9"/>
  <c r="H57" i="9"/>
  <c r="C57" i="9"/>
  <c r="F126" i="9"/>
  <c r="F79" i="9"/>
  <c r="F71" i="9" s="1"/>
  <c r="F102" i="9"/>
  <c r="F80" i="4"/>
  <c r="H83" i="4"/>
  <c r="H82" i="4"/>
  <c r="H81" i="4"/>
  <c r="D71" i="9"/>
  <c r="F97" i="9"/>
  <c r="F116" i="9"/>
  <c r="F22" i="4"/>
  <c r="F23" i="4"/>
  <c r="F24" i="4"/>
  <c r="F25" i="4"/>
  <c r="F27" i="4"/>
  <c r="F28" i="4"/>
  <c r="F30" i="4"/>
  <c r="F31" i="4"/>
  <c r="F32" i="4"/>
  <c r="F33" i="4"/>
  <c r="F34" i="4"/>
  <c r="F36" i="4"/>
  <c r="F37" i="4"/>
  <c r="F38" i="4"/>
  <c r="F39" i="4"/>
  <c r="F40" i="4"/>
  <c r="F41" i="4"/>
  <c r="F42" i="4"/>
  <c r="H42" i="4" s="1"/>
  <c r="F44" i="4"/>
  <c r="F45" i="4"/>
  <c r="F46" i="4"/>
  <c r="F47" i="4"/>
  <c r="F49" i="4"/>
  <c r="F50" i="4"/>
  <c r="F51" i="4"/>
  <c r="F52" i="4"/>
  <c r="F54" i="4"/>
  <c r="F55" i="4"/>
  <c r="F56" i="4"/>
  <c r="F57" i="4"/>
  <c r="F59" i="4"/>
  <c r="F60" i="4"/>
  <c r="F61" i="4"/>
  <c r="F62" i="4"/>
  <c r="F63" i="4"/>
  <c r="F64" i="4"/>
  <c r="F65" i="4"/>
  <c r="F66" i="4"/>
  <c r="F67" i="4"/>
  <c r="F69" i="4"/>
  <c r="F71" i="4"/>
  <c r="F72" i="4"/>
  <c r="F73" i="4"/>
  <c r="F74" i="4"/>
  <c r="F75" i="4"/>
  <c r="F76" i="4"/>
  <c r="F78" i="4"/>
  <c r="F79" i="4"/>
  <c r="D24" i="4"/>
  <c r="G24" i="4" s="1"/>
  <c r="D25" i="4"/>
  <c r="G25" i="4" s="1"/>
  <c r="D27" i="4"/>
  <c r="G27" i="4" s="1"/>
  <c r="D28" i="4"/>
  <c r="G28" i="4" s="1"/>
  <c r="D30" i="4"/>
  <c r="G30" i="4" s="1"/>
  <c r="D31" i="4"/>
  <c r="G31" i="4" s="1"/>
  <c r="D32" i="4"/>
  <c r="G32" i="4" s="1"/>
  <c r="D33" i="4"/>
  <c r="G33" i="4" s="1"/>
  <c r="D34" i="4"/>
  <c r="G34" i="4" s="1"/>
  <c r="D36" i="4"/>
  <c r="D37" i="4"/>
  <c r="G37" i="4" s="1"/>
  <c r="D38" i="4"/>
  <c r="G38" i="4" s="1"/>
  <c r="D39" i="4"/>
  <c r="G39" i="4" s="1"/>
  <c r="D40" i="4"/>
  <c r="G40" i="4" s="1"/>
  <c r="D41" i="4"/>
  <c r="G41" i="4" s="1"/>
  <c r="D42" i="4"/>
  <c r="G42" i="4" s="1"/>
  <c r="D44" i="4"/>
  <c r="D45" i="4"/>
  <c r="G45" i="4" s="1"/>
  <c r="D46" i="4"/>
  <c r="G46" i="4" s="1"/>
  <c r="D47" i="4"/>
  <c r="G47" i="4" s="1"/>
  <c r="D49" i="4"/>
  <c r="D50" i="4"/>
  <c r="G50" i="4" s="1"/>
  <c r="D51" i="4"/>
  <c r="G51" i="4" s="1"/>
  <c r="D52" i="4"/>
  <c r="G52" i="4" s="1"/>
  <c r="D54" i="4"/>
  <c r="D55" i="4"/>
  <c r="G55" i="4" s="1"/>
  <c r="D56" i="4"/>
  <c r="G56" i="4" s="1"/>
  <c r="D57" i="4"/>
  <c r="G57" i="4" s="1"/>
  <c r="D59" i="4"/>
  <c r="D60" i="4"/>
  <c r="G60" i="4" s="1"/>
  <c r="D61" i="4"/>
  <c r="G61" i="4" s="1"/>
  <c r="D62" i="4"/>
  <c r="G62" i="4" s="1"/>
  <c r="D63" i="4"/>
  <c r="G63" i="4" s="1"/>
  <c r="D64" i="4"/>
  <c r="G64" i="4" s="1"/>
  <c r="D65" i="4"/>
  <c r="G65" i="4" s="1"/>
  <c r="D66" i="4"/>
  <c r="G66" i="4" s="1"/>
  <c r="D67" i="4"/>
  <c r="G67" i="4" s="1"/>
  <c r="D71" i="4"/>
  <c r="D72" i="4"/>
  <c r="G72" i="4" s="1"/>
  <c r="D73" i="4"/>
  <c r="G73" i="4" s="1"/>
  <c r="D74" i="4"/>
  <c r="G74" i="4" s="1"/>
  <c r="D75" i="4"/>
  <c r="G75" i="4" s="1"/>
  <c r="D76" i="4"/>
  <c r="G76" i="4" s="1"/>
  <c r="D78" i="4"/>
  <c r="G78" i="4" s="1"/>
  <c r="D79" i="4"/>
  <c r="G79" i="4" s="1"/>
  <c r="D22" i="4"/>
  <c r="G22" i="4" s="1"/>
  <c r="D23" i="4"/>
  <c r="G23" i="4" s="1"/>
  <c r="F20" i="4"/>
  <c r="F19" i="4"/>
  <c r="D20" i="4"/>
  <c r="G20" i="4" s="1"/>
  <c r="D19" i="4"/>
  <c r="G19" i="4" s="1"/>
  <c r="F17" i="4"/>
  <c r="D17" i="4"/>
  <c r="G17" i="4" s="1"/>
  <c r="F16" i="4"/>
  <c r="D16" i="4"/>
  <c r="G16" i="4" s="1"/>
  <c r="F15" i="4"/>
  <c r="D15" i="4"/>
  <c r="G15" i="4" s="1"/>
  <c r="F13" i="4"/>
  <c r="D13" i="4"/>
  <c r="G13" i="4" s="1"/>
  <c r="F12" i="4"/>
  <c r="D12" i="4"/>
  <c r="G12" i="4" s="1"/>
  <c r="F11" i="4"/>
  <c r="D11" i="4"/>
  <c r="G11" i="4" s="1"/>
  <c r="F10" i="4"/>
  <c r="D10" i="4"/>
  <c r="G10" i="4" s="1"/>
  <c r="F9" i="4"/>
  <c r="D9" i="4"/>
  <c r="G9" i="4" s="1"/>
  <c r="F7" i="4"/>
  <c r="D7" i="4"/>
  <c r="G7" i="4" s="1"/>
  <c r="F6" i="4"/>
  <c r="D6" i="4"/>
  <c r="G6" i="4" s="1"/>
  <c r="F5" i="4"/>
  <c r="D5" i="4"/>
  <c r="G5" i="4" s="1"/>
  <c r="F4" i="4"/>
  <c r="D4" i="4"/>
  <c r="G4" i="4" s="1"/>
  <c r="G71" i="4" l="1"/>
  <c r="D70" i="4"/>
  <c r="G59" i="4"/>
  <c r="F58" i="4" s="1"/>
  <c r="D58" i="4"/>
  <c r="G54" i="4"/>
  <c r="F53" i="4" s="1"/>
  <c r="D53" i="4"/>
  <c r="D48" i="4" s="1"/>
  <c r="G49" i="4"/>
  <c r="F48" i="4" s="1"/>
  <c r="G44" i="4"/>
  <c r="F43" i="4" s="1"/>
  <c r="C43" i="4" s="1"/>
  <c r="D43" i="4"/>
  <c r="G36" i="4"/>
  <c r="F35" i="4" s="1"/>
  <c r="D35" i="4"/>
  <c r="C80" i="4"/>
  <c r="H9" i="9"/>
  <c r="H84" i="9"/>
  <c r="C84" i="9"/>
  <c r="H90" i="9"/>
  <c r="C90" i="9"/>
  <c r="H126" i="9"/>
  <c r="C126" i="9"/>
  <c r="H102" i="9"/>
  <c r="C102" i="9"/>
  <c r="H97" i="9"/>
  <c r="C97" i="9"/>
  <c r="H79" i="9"/>
  <c r="C79" i="9"/>
  <c r="H49" i="9"/>
  <c r="C49" i="9"/>
  <c r="H35" i="9"/>
  <c r="C35" i="9"/>
  <c r="H116" i="9"/>
  <c r="C116" i="9"/>
  <c r="D130" i="9"/>
  <c r="D18" i="4"/>
  <c r="D26" i="4"/>
  <c r="D77" i="4"/>
  <c r="D3" i="4"/>
  <c r="D14" i="4"/>
  <c r="D29" i="4"/>
  <c r="H80" i="4"/>
  <c r="H69" i="4"/>
  <c r="F14" i="4"/>
  <c r="H4" i="4"/>
  <c r="H5" i="4"/>
  <c r="H6" i="4"/>
  <c r="H7" i="4"/>
  <c r="H9" i="4"/>
  <c r="H10" i="4"/>
  <c r="H11" i="4"/>
  <c r="H12" i="4"/>
  <c r="H13" i="4"/>
  <c r="H15" i="4"/>
  <c r="H16" i="4"/>
  <c r="H17" i="4"/>
  <c r="H67" i="4"/>
  <c r="H65" i="4"/>
  <c r="H63" i="4"/>
  <c r="H61" i="4"/>
  <c r="H59" i="4"/>
  <c r="H56" i="4"/>
  <c r="H54" i="4"/>
  <c r="H51" i="4"/>
  <c r="H49" i="4"/>
  <c r="H46" i="4"/>
  <c r="H44" i="4"/>
  <c r="H41" i="4"/>
  <c r="H39" i="4"/>
  <c r="H37" i="4"/>
  <c r="H34" i="4"/>
  <c r="H32" i="4"/>
  <c r="H30" i="4"/>
  <c r="H27" i="4"/>
  <c r="H25" i="4"/>
  <c r="H23" i="4"/>
  <c r="H20" i="4"/>
  <c r="H78" i="4"/>
  <c r="H75" i="4"/>
  <c r="H73" i="4"/>
  <c r="H71" i="4"/>
  <c r="H19" i="4"/>
  <c r="H79" i="4"/>
  <c r="H76" i="4"/>
  <c r="H74" i="4"/>
  <c r="H72" i="4"/>
  <c r="H66" i="4"/>
  <c r="H64" i="4"/>
  <c r="H62" i="4"/>
  <c r="H60" i="4"/>
  <c r="H57" i="4"/>
  <c r="H55" i="4"/>
  <c r="H52" i="4"/>
  <c r="H50" i="4"/>
  <c r="H47" i="4"/>
  <c r="H45" i="4"/>
  <c r="H40" i="4"/>
  <c r="H38" i="4"/>
  <c r="H36" i="4"/>
  <c r="H33" i="4"/>
  <c r="H31" i="4"/>
  <c r="H28" i="4"/>
  <c r="H24" i="4"/>
  <c r="H22" i="4"/>
  <c r="C12" i="9"/>
  <c r="F70" i="4"/>
  <c r="C70" i="4" s="1"/>
  <c r="F77" i="4"/>
  <c r="C77" i="4" s="1"/>
  <c r="F18" i="4"/>
  <c r="C18" i="4" s="1"/>
  <c r="F58" i="3"/>
  <c r="F59" i="3"/>
  <c r="F60" i="3"/>
  <c r="F61" i="3"/>
  <c r="F63" i="3"/>
  <c r="F64" i="3"/>
  <c r="F65" i="3"/>
  <c r="F66" i="3"/>
  <c r="H66" i="3" s="1"/>
  <c r="F67" i="3"/>
  <c r="F68" i="3"/>
  <c r="F69" i="3"/>
  <c r="F71" i="3"/>
  <c r="F72" i="3"/>
  <c r="F73" i="3"/>
  <c r="F74" i="3"/>
  <c r="H74" i="3" s="1"/>
  <c r="F76" i="3"/>
  <c r="F77" i="3"/>
  <c r="F79" i="3"/>
  <c r="F80" i="3"/>
  <c r="F81" i="3"/>
  <c r="F82" i="3"/>
  <c r="F85" i="3"/>
  <c r="F86" i="3"/>
  <c r="F88" i="3"/>
  <c r="F89" i="3"/>
  <c r="F91" i="3"/>
  <c r="F92" i="3"/>
  <c r="F93" i="3"/>
  <c r="F96" i="3"/>
  <c r="F98" i="3"/>
  <c r="F99" i="3"/>
  <c r="H99" i="3" s="1"/>
  <c r="F100" i="3"/>
  <c r="F101" i="3"/>
  <c r="F103" i="3"/>
  <c r="F104" i="3"/>
  <c r="F105" i="3"/>
  <c r="F107" i="3"/>
  <c r="F108" i="3"/>
  <c r="F109" i="3"/>
  <c r="F110" i="3"/>
  <c r="F111" i="3"/>
  <c r="F113" i="3"/>
  <c r="F114" i="3"/>
  <c r="F116" i="3"/>
  <c r="F117" i="3"/>
  <c r="F118" i="3"/>
  <c r="F119" i="3"/>
  <c r="F120" i="3"/>
  <c r="F122" i="3"/>
  <c r="F123" i="3"/>
  <c r="F125" i="3"/>
  <c r="F126" i="3"/>
  <c r="D58" i="3"/>
  <c r="G58" i="3" s="1"/>
  <c r="D59" i="3"/>
  <c r="G59" i="3" s="1"/>
  <c r="D60" i="3"/>
  <c r="G60" i="3" s="1"/>
  <c r="D61" i="3"/>
  <c r="G61" i="3" s="1"/>
  <c r="D63" i="3"/>
  <c r="D64" i="3"/>
  <c r="G64" i="3" s="1"/>
  <c r="D65" i="3"/>
  <c r="G65" i="3" s="1"/>
  <c r="D66" i="3"/>
  <c r="G66" i="3" s="1"/>
  <c r="D67" i="3"/>
  <c r="G67" i="3" s="1"/>
  <c r="D68" i="3"/>
  <c r="G68" i="3" s="1"/>
  <c r="D69" i="3"/>
  <c r="G69" i="3" s="1"/>
  <c r="D71" i="3"/>
  <c r="D72" i="3"/>
  <c r="G72" i="3" s="1"/>
  <c r="D73" i="3"/>
  <c r="G73" i="3" s="1"/>
  <c r="D74" i="3"/>
  <c r="G74" i="3" s="1"/>
  <c r="D76" i="3"/>
  <c r="D77" i="3"/>
  <c r="G77" i="3" s="1"/>
  <c r="D79" i="3"/>
  <c r="D80" i="3"/>
  <c r="G80" i="3" s="1"/>
  <c r="D81" i="3"/>
  <c r="G81" i="3" s="1"/>
  <c r="D82" i="3"/>
  <c r="G82" i="3" s="1"/>
  <c r="D85" i="3"/>
  <c r="D86" i="3"/>
  <c r="G86" i="3" s="1"/>
  <c r="D88" i="3"/>
  <c r="D89" i="3"/>
  <c r="G89" i="3" s="1"/>
  <c r="D91" i="3"/>
  <c r="D92" i="3"/>
  <c r="G92" i="3" s="1"/>
  <c r="D93" i="3"/>
  <c r="G93" i="3" s="1"/>
  <c r="D96" i="3"/>
  <c r="D98" i="3"/>
  <c r="D99" i="3"/>
  <c r="G99" i="3" s="1"/>
  <c r="D100" i="3"/>
  <c r="G100" i="3" s="1"/>
  <c r="D101" i="3"/>
  <c r="G101" i="3" s="1"/>
  <c r="D103" i="3"/>
  <c r="D104" i="3"/>
  <c r="G104" i="3" s="1"/>
  <c r="D105" i="3"/>
  <c r="G105" i="3" s="1"/>
  <c r="D107" i="3"/>
  <c r="D108" i="3"/>
  <c r="G108" i="3" s="1"/>
  <c r="D109" i="3"/>
  <c r="G109" i="3" s="1"/>
  <c r="D110" i="3"/>
  <c r="G110" i="3" s="1"/>
  <c r="D111" i="3"/>
  <c r="G111" i="3" s="1"/>
  <c r="D113" i="3"/>
  <c r="D114" i="3"/>
  <c r="G114" i="3" s="1"/>
  <c r="D116" i="3"/>
  <c r="D117" i="3"/>
  <c r="G117" i="3" s="1"/>
  <c r="D118" i="3"/>
  <c r="G118" i="3" s="1"/>
  <c r="D119" i="3"/>
  <c r="G119" i="3" s="1"/>
  <c r="D120" i="3"/>
  <c r="G120" i="3" s="1"/>
  <c r="D122" i="3"/>
  <c r="D123" i="3"/>
  <c r="G123" i="3" s="1"/>
  <c r="D125" i="3"/>
  <c r="D126" i="3"/>
  <c r="G126" i="3" s="1"/>
  <c r="D56" i="3"/>
  <c r="F56" i="3"/>
  <c r="F57" i="3"/>
  <c r="D57" i="3"/>
  <c r="G57" i="3" s="1"/>
  <c r="D68" i="4" l="1"/>
  <c r="D112" i="3"/>
  <c r="F68" i="4"/>
  <c r="C68" i="4" s="1"/>
  <c r="C58" i="4"/>
  <c r="C53" i="4"/>
  <c r="C14" i="4"/>
  <c r="G96" i="3"/>
  <c r="D121" i="3"/>
  <c r="D115" i="3"/>
  <c r="D106" i="3"/>
  <c r="D102" i="3"/>
  <c r="D70" i="3"/>
  <c r="G76" i="3"/>
  <c r="H71" i="9"/>
  <c r="C71" i="9"/>
  <c r="G116" i="3"/>
  <c r="F115" i="3" s="1"/>
  <c r="G113" i="3"/>
  <c r="F112" i="3" s="1"/>
  <c r="G103" i="3"/>
  <c r="F102" i="3" s="1"/>
  <c r="D97" i="3"/>
  <c r="G98" i="3"/>
  <c r="F97" i="3" s="1"/>
  <c r="G63" i="3"/>
  <c r="F62" i="3" s="1"/>
  <c r="H62" i="3" s="1"/>
  <c r="D62" i="3"/>
  <c r="D55" i="3"/>
  <c r="G56" i="3"/>
  <c r="F55" i="3" s="1"/>
  <c r="D124" i="3"/>
  <c r="G125" i="3"/>
  <c r="F124" i="3" s="1"/>
  <c r="G122" i="3"/>
  <c r="F121" i="3" s="1"/>
  <c r="G107" i="3"/>
  <c r="F106" i="3" s="1"/>
  <c r="D90" i="3"/>
  <c r="G91" i="3"/>
  <c r="F90" i="3" s="1"/>
  <c r="D87" i="3"/>
  <c r="G88" i="3"/>
  <c r="F87" i="3" s="1"/>
  <c r="D84" i="3"/>
  <c r="G85" i="3"/>
  <c r="F84" i="3" s="1"/>
  <c r="F83" i="3" s="1"/>
  <c r="D78" i="3"/>
  <c r="D75" i="3" s="1"/>
  <c r="G79" i="3"/>
  <c r="F78" i="3" s="1"/>
  <c r="G71" i="3"/>
  <c r="F70" i="3" s="1"/>
  <c r="F130" i="9"/>
  <c r="C130" i="9" s="1"/>
  <c r="H2" i="9"/>
  <c r="C35" i="4"/>
  <c r="D8" i="4"/>
  <c r="D2" i="4" s="1"/>
  <c r="D21" i="4"/>
  <c r="F8" i="4"/>
  <c r="H53" i="4"/>
  <c r="F26" i="4"/>
  <c r="H70" i="4"/>
  <c r="F29" i="4"/>
  <c r="F3" i="4"/>
  <c r="H14" i="4"/>
  <c r="H77" i="4"/>
  <c r="H58" i="4"/>
  <c r="H43" i="4"/>
  <c r="H35" i="4"/>
  <c r="H18" i="4"/>
  <c r="H56" i="3"/>
  <c r="H125" i="3"/>
  <c r="H122" i="3"/>
  <c r="H119" i="3"/>
  <c r="H117" i="3"/>
  <c r="H114" i="3"/>
  <c r="H111" i="3"/>
  <c r="H109" i="3"/>
  <c r="H107" i="3"/>
  <c r="H104" i="3"/>
  <c r="H101" i="3"/>
  <c r="H96" i="3"/>
  <c r="H93" i="3"/>
  <c r="H91" i="3"/>
  <c r="H88" i="3"/>
  <c r="H85" i="3"/>
  <c r="H81" i="3"/>
  <c r="H79" i="3"/>
  <c r="H76" i="3"/>
  <c r="H73" i="3"/>
  <c r="H71" i="3"/>
  <c r="H68" i="3"/>
  <c r="H64" i="3"/>
  <c r="H61" i="3"/>
  <c r="H59" i="3"/>
  <c r="H57" i="3"/>
  <c r="H126" i="3"/>
  <c r="H123" i="3"/>
  <c r="H120" i="3"/>
  <c r="H118" i="3"/>
  <c r="H116" i="3"/>
  <c r="H113" i="3"/>
  <c r="H110" i="3"/>
  <c r="H108" i="3"/>
  <c r="H105" i="3"/>
  <c r="H103" i="3"/>
  <c r="H100" i="3"/>
  <c r="H98" i="3"/>
  <c r="H92" i="3"/>
  <c r="H89" i="3"/>
  <c r="H86" i="3"/>
  <c r="H82" i="3"/>
  <c r="H80" i="3"/>
  <c r="H77" i="3"/>
  <c r="H72" i="3"/>
  <c r="H69" i="3"/>
  <c r="H67" i="3"/>
  <c r="H65" i="3"/>
  <c r="H63" i="3"/>
  <c r="H60" i="3"/>
  <c r="H58" i="3"/>
  <c r="H12" i="9"/>
  <c r="F21" i="3"/>
  <c r="F23" i="3"/>
  <c r="F24" i="3"/>
  <c r="H24" i="3" s="1"/>
  <c r="F26" i="3"/>
  <c r="F27" i="3"/>
  <c r="H27" i="3" s="1"/>
  <c r="F29" i="3"/>
  <c r="F30" i="3"/>
  <c r="F31" i="3"/>
  <c r="H31" i="3" s="1"/>
  <c r="F33" i="3"/>
  <c r="F34" i="3"/>
  <c r="F35" i="3"/>
  <c r="F36" i="3"/>
  <c r="F37" i="3"/>
  <c r="F38" i="3"/>
  <c r="H38" i="3" s="1"/>
  <c r="F40" i="3"/>
  <c r="F41" i="3"/>
  <c r="H41" i="3" s="1"/>
  <c r="F42" i="3"/>
  <c r="F44" i="3"/>
  <c r="F46" i="3"/>
  <c r="F47" i="3"/>
  <c r="F48" i="3"/>
  <c r="F50" i="3"/>
  <c r="F51" i="3"/>
  <c r="F52" i="3"/>
  <c r="F53" i="3"/>
  <c r="F20" i="3"/>
  <c r="F11" i="3"/>
  <c r="F12" i="3"/>
  <c r="F13" i="3"/>
  <c r="F14" i="3"/>
  <c r="H14" i="3" s="1"/>
  <c r="F15" i="3"/>
  <c r="F16" i="3"/>
  <c r="F17" i="3"/>
  <c r="F18" i="3"/>
  <c r="F4" i="3"/>
  <c r="F5" i="3"/>
  <c r="F6" i="3"/>
  <c r="F7" i="3"/>
  <c r="F8" i="3"/>
  <c r="F10" i="3"/>
  <c r="D21" i="3"/>
  <c r="G21" i="3" s="1"/>
  <c r="D23" i="3"/>
  <c r="D24" i="3"/>
  <c r="G24" i="3" s="1"/>
  <c r="D26" i="3"/>
  <c r="D27" i="3"/>
  <c r="G27" i="3" s="1"/>
  <c r="D29" i="3"/>
  <c r="D30" i="3"/>
  <c r="G30" i="3" s="1"/>
  <c r="D31" i="3"/>
  <c r="G31" i="3" s="1"/>
  <c r="D33" i="3"/>
  <c r="G33" i="3" s="1"/>
  <c r="D34" i="3"/>
  <c r="G34" i="3" s="1"/>
  <c r="D35" i="3"/>
  <c r="G35" i="3" s="1"/>
  <c r="D36" i="3"/>
  <c r="G36" i="3" s="1"/>
  <c r="D37" i="3"/>
  <c r="G37" i="3" s="1"/>
  <c r="D38" i="3"/>
  <c r="G38" i="3" s="1"/>
  <c r="D40" i="3"/>
  <c r="D41" i="3"/>
  <c r="G41" i="3" s="1"/>
  <c r="D42" i="3"/>
  <c r="G42" i="3" s="1"/>
  <c r="G44" i="3"/>
  <c r="D46" i="3"/>
  <c r="D47" i="3"/>
  <c r="G47" i="3" s="1"/>
  <c r="D48" i="3"/>
  <c r="G48" i="3" s="1"/>
  <c r="D50" i="3"/>
  <c r="D51" i="3"/>
  <c r="G51" i="3" s="1"/>
  <c r="D52" i="3"/>
  <c r="G52" i="3" s="1"/>
  <c r="D53" i="3"/>
  <c r="G53" i="3" s="1"/>
  <c r="D20" i="3"/>
  <c r="G20" i="3" s="1"/>
  <c r="D11" i="3"/>
  <c r="G11" i="3" s="1"/>
  <c r="D12" i="3"/>
  <c r="G12" i="3" s="1"/>
  <c r="D13" i="3"/>
  <c r="G13" i="3" s="1"/>
  <c r="D14" i="3"/>
  <c r="G14" i="3" s="1"/>
  <c r="D15" i="3"/>
  <c r="G15" i="3" s="1"/>
  <c r="D16" i="3"/>
  <c r="G16" i="3" s="1"/>
  <c r="D17" i="3"/>
  <c r="G17" i="3" s="1"/>
  <c r="D18" i="3"/>
  <c r="G18" i="3" s="1"/>
  <c r="D4" i="3"/>
  <c r="G4" i="3" s="1"/>
  <c r="D5" i="3"/>
  <c r="G5" i="3" s="1"/>
  <c r="D6" i="3"/>
  <c r="G6" i="3" s="1"/>
  <c r="D7" i="3"/>
  <c r="G7" i="3" s="1"/>
  <c r="D8" i="3"/>
  <c r="G8" i="3" s="1"/>
  <c r="D10" i="3"/>
  <c r="D83" i="3" l="1"/>
  <c r="D95" i="3"/>
  <c r="D45" i="3"/>
  <c r="C8" i="4"/>
  <c r="H8" i="4"/>
  <c r="C115" i="3"/>
  <c r="F95" i="3"/>
  <c r="F75" i="3"/>
  <c r="H3" i="4"/>
  <c r="C3" i="4"/>
  <c r="F21" i="4"/>
  <c r="H21" i="4" s="1"/>
  <c r="C29" i="4"/>
  <c r="H26" i="4"/>
  <c r="C26" i="4"/>
  <c r="C70" i="3"/>
  <c r="C78" i="3"/>
  <c r="C84" i="3"/>
  <c r="C87" i="3"/>
  <c r="C90" i="3"/>
  <c r="C106" i="3"/>
  <c r="C121" i="3"/>
  <c r="C124" i="3"/>
  <c r="C55" i="3"/>
  <c r="C102" i="3"/>
  <c r="C62" i="3"/>
  <c r="H97" i="3"/>
  <c r="C97" i="3"/>
  <c r="H112" i="3"/>
  <c r="C112" i="3"/>
  <c r="H102" i="3"/>
  <c r="H115" i="3"/>
  <c r="H70" i="3"/>
  <c r="H84" i="3"/>
  <c r="H90" i="3"/>
  <c r="H87" i="3"/>
  <c r="H106" i="3"/>
  <c r="H124" i="3"/>
  <c r="D9" i="3"/>
  <c r="D2" i="3" s="1"/>
  <c r="G10" i="3"/>
  <c r="F9" i="3" s="1"/>
  <c r="D49" i="3"/>
  <c r="G50" i="3"/>
  <c r="F49" i="3" s="1"/>
  <c r="D28" i="3"/>
  <c r="G29" i="3"/>
  <c r="F28" i="3" s="1"/>
  <c r="D25" i="3"/>
  <c r="G26" i="3"/>
  <c r="D22" i="3"/>
  <c r="D19" i="3" s="1"/>
  <c r="G23" i="3"/>
  <c r="G46" i="3"/>
  <c r="F45" i="3" s="1"/>
  <c r="D39" i="3"/>
  <c r="D32" i="3" s="1"/>
  <c r="G40" i="3"/>
  <c r="F39" i="3" s="1"/>
  <c r="H130" i="9"/>
  <c r="H48" i="4"/>
  <c r="C48" i="4"/>
  <c r="D84" i="4"/>
  <c r="H29" i="4"/>
  <c r="F2" i="4"/>
  <c r="C2" i="4" s="1"/>
  <c r="H8" i="3"/>
  <c r="H6" i="3"/>
  <c r="H4" i="3"/>
  <c r="H17" i="3"/>
  <c r="H15" i="3"/>
  <c r="H13" i="3"/>
  <c r="H11" i="3"/>
  <c r="H53" i="3"/>
  <c r="H51" i="3"/>
  <c r="H48" i="3"/>
  <c r="H46" i="3"/>
  <c r="H42" i="3"/>
  <c r="H40" i="3"/>
  <c r="H37" i="3"/>
  <c r="H35" i="3"/>
  <c r="H33" i="3"/>
  <c r="H30" i="3"/>
  <c r="H21" i="3"/>
  <c r="H10" i="3"/>
  <c r="H7" i="3"/>
  <c r="H5" i="3"/>
  <c r="H18" i="3"/>
  <c r="H16" i="3"/>
  <c r="H12" i="3"/>
  <c r="H20" i="3"/>
  <c r="H52" i="3"/>
  <c r="H50" i="3"/>
  <c r="H47" i="3"/>
  <c r="H44" i="3"/>
  <c r="H36" i="3"/>
  <c r="H34" i="3"/>
  <c r="H29" i="3"/>
  <c r="H26" i="3"/>
  <c r="H23" i="3"/>
  <c r="B13" i="1"/>
  <c r="D54" i="3"/>
  <c r="F43" i="3" l="1"/>
  <c r="D43" i="3"/>
  <c r="C21" i="4"/>
  <c r="F25" i="3"/>
  <c r="C25" i="3" s="1"/>
  <c r="F22" i="3"/>
  <c r="C22" i="3" s="1"/>
  <c r="C28" i="3"/>
  <c r="C49" i="3"/>
  <c r="C9" i="3"/>
  <c r="H39" i="3"/>
  <c r="C39" i="3"/>
  <c r="H45" i="3"/>
  <c r="C45" i="3"/>
  <c r="C83" i="3"/>
  <c r="F2" i="3"/>
  <c r="H28" i="3"/>
  <c r="F32" i="3"/>
  <c r="C32" i="3" s="1"/>
  <c r="H83" i="3"/>
  <c r="C132" i="9"/>
  <c r="D132" i="9" s="1"/>
  <c r="C133" i="9"/>
  <c r="D133" i="9" s="1"/>
  <c r="F84" i="4"/>
  <c r="C84" i="4" s="1"/>
  <c r="H68" i="4"/>
  <c r="H2" i="4"/>
  <c r="H121" i="3"/>
  <c r="C75" i="3"/>
  <c r="H78" i="3"/>
  <c r="H55" i="3"/>
  <c r="F54" i="3"/>
  <c r="C54" i="3" s="1"/>
  <c r="D137" i="3"/>
  <c r="H32" i="3" l="1"/>
  <c r="H25" i="3"/>
  <c r="H22" i="3"/>
  <c r="F19" i="3"/>
  <c r="F137" i="3" s="1"/>
  <c r="C137" i="3" s="1"/>
  <c r="A14" i="1"/>
  <c r="B14" i="1" s="1"/>
  <c r="C95" i="3"/>
  <c r="C43" i="3"/>
  <c r="C2" i="3"/>
  <c r="H75" i="3"/>
  <c r="H95" i="3"/>
  <c r="H43" i="3"/>
  <c r="B17" i="1"/>
  <c r="H84" i="4"/>
  <c r="C86" i="4" s="1"/>
  <c r="H2" i="3"/>
  <c r="H9" i="3"/>
  <c r="H49" i="3"/>
  <c r="H54" i="3"/>
  <c r="H19" i="3" l="1"/>
  <c r="C19" i="3"/>
  <c r="D86" i="4"/>
  <c r="C87" i="4"/>
  <c r="D87" i="4" s="1"/>
  <c r="H137" i="3"/>
  <c r="A18" i="1" l="1"/>
  <c r="B18" i="1" s="1"/>
  <c r="C139" i="3"/>
  <c r="D139" i="3" s="1"/>
  <c r="B15" i="1"/>
  <c r="C140" i="3"/>
  <c r="D140" i="3" s="1"/>
  <c r="A16" i="1" l="1"/>
  <c r="B16" i="1" s="1"/>
</calcChain>
</file>

<file path=xl/sharedStrings.xml><?xml version="1.0" encoding="utf-8"?>
<sst xmlns="http://schemas.openxmlformats.org/spreadsheetml/2006/main" count="1332" uniqueCount="695">
  <si>
    <t>Сведения о системе</t>
  </si>
  <si>
    <t>ОС</t>
  </si>
  <si>
    <t>СУБД</t>
  </si>
  <si>
    <t>Дополнительное ПО</t>
  </si>
  <si>
    <t>Выполнение</t>
  </si>
  <si>
    <t>Баллы</t>
  </si>
  <si>
    <t>Критичность</t>
  </si>
  <si>
    <t>Коэффициент</t>
  </si>
  <si>
    <t>Неприменимо</t>
  </si>
  <si>
    <t>Высокая</t>
  </si>
  <si>
    <t>Выполняется полностью</t>
  </si>
  <si>
    <t>Выполняется частично</t>
  </si>
  <si>
    <t>Не выполняется</t>
  </si>
  <si>
    <t>Низкая</t>
  </si>
  <si>
    <t>Средняя</t>
  </si>
  <si>
    <t xml:space="preserve"> </t>
  </si>
  <si>
    <t>#</t>
  </si>
  <si>
    <t>Пункт Стандарта</t>
  </si>
  <si>
    <t>Требования (вопрос)</t>
  </si>
  <si>
    <t>Наличие</t>
  </si>
  <si>
    <t>На серверах, расположенных в DMZ, не обрабатывается информация конфиденциального характера.</t>
  </si>
  <si>
    <t>Внешние и внутренние интерфейсы Системы разделены.</t>
  </si>
  <si>
    <t>Возможность управления сервисами безопасности доступна только администратору Системы.</t>
  </si>
  <si>
    <t>Доступ к ресурсам Системы предоставляется после успешного прохождения процесса аутентификации и авторизации.</t>
  </si>
  <si>
    <t>Доступ к системе подразделяется на пользовательский, административный, технологический.</t>
  </si>
  <si>
    <t>Реализована ролевая модель доступа.</t>
  </si>
  <si>
    <t>Внешняя и внутренняя Системы аутентификации разделены.</t>
  </si>
  <si>
    <t>Каждому пользователю присвоены: 
идентификатор пользователя;
аутентификационная информация;
права доступа.</t>
  </si>
  <si>
    <t>Каждому пользователю присваивается уникальная учетная запись.</t>
  </si>
  <si>
    <t>Групповые учетные записи не используются.</t>
  </si>
  <si>
    <t>В Системе отсутствуют жестко запрограммированные учетные записи.</t>
  </si>
  <si>
    <t>Все неиспользуемые учетные записи удалены или заблокированы.</t>
  </si>
  <si>
    <t>В качестве механизма аутентификации используется аутентификация на основе паролей, одноразовых паролей, хранилища ключей или биометрии.</t>
  </si>
  <si>
    <t>Для входа в Систему используется второй фактор аутентификации.</t>
  </si>
  <si>
    <t>Для подтверждения критичных действий в Системе используется повторная аутентификация или аутентификация с помощью второго фактора.</t>
  </si>
  <si>
    <t>Проверка учетных данных осуществляется только после полного их ввода.</t>
  </si>
  <si>
    <t>В случае обнаружения ошибки при проверке учетных данных Система не сообщает, какие именно данные введены неправильно (логин или пароль).</t>
  </si>
  <si>
    <t>Проверка учетных данных пользователя проводится на стороне серверных компонентов Системы.</t>
  </si>
  <si>
    <t>Права доступа могут присваиваться как для доступа к группам данных, так и для выполнения действий в Системе.</t>
  </si>
  <si>
    <t>Соблюден принцип минимизации доступа: всем ролям присвоены права только на те действия в Системе, которые необходимы для данной роли.</t>
  </si>
  <si>
    <t>Компоненты Системы проходят процедуру взаимной аутентификации.</t>
  </si>
  <si>
    <t>Реализована защита процессов аутентификации и авторизации от сетевых угроз (пассивное и активное прослушивание сети, подбор паролей и т.п.).</t>
  </si>
  <si>
    <t>До авторизации Система предоставляет пользователю минимальные необходимые данные о себе.</t>
  </si>
  <si>
    <t>Пароль не отображается при вводе.</t>
  </si>
  <si>
    <t>Реализована обязательная смена пароля пользователем при первом входе в Систему</t>
  </si>
  <si>
    <t>Реализована возможность смены пароля пользователем.</t>
  </si>
  <si>
    <t>Реализована возможность отключения администратором функции смены паролей для отдельных учетных записей.</t>
  </si>
  <si>
    <t>Реализована возможность установки отдельной парольной политики для всех пользователей, для группы пользователей или отдельно для каждой учетной записи.</t>
  </si>
  <si>
    <t>Восстановление пароля производится только путем его смены.</t>
  </si>
  <si>
    <t>Настроена принудительная смена пароля пользователем через установленный промежуток времени.</t>
  </si>
  <si>
    <t>Оповещение о необходимости изменения пароля настроено.</t>
  </si>
  <si>
    <t>Учетная запись блокируется на заранее определенный срок после заданного количества неудачных попыток аутентификации.</t>
  </si>
  <si>
    <t>Установлена длительность простоя пользовательской сессии, после которой сессия принудительно блокируется.</t>
  </si>
  <si>
    <t>Одновременный вход в Систему под одной учетной записью с нескольких устройств запрещен.</t>
  </si>
  <si>
    <t>Пароли хранятся и передаются только в зашифрованном виде. При хранении и передаче используются стойкие криптографические алгоритмы или алгоритмы хеширования.</t>
  </si>
  <si>
    <t>Вход в Систему заблокирован для учетных записей, срок действия пароля которых истек.</t>
  </si>
  <si>
    <t>Ведется история паролей (более 12 месяцев): для учетной записи запрещена смена пароля на использовавшийся ранее.</t>
  </si>
  <si>
    <t>Сетевой обмен информацией между компонентами Системы, сопрягаемыми Системами и оборудованием пользователей осуществляется с использованием защищенных стандартов и протоколов.</t>
  </si>
  <si>
    <t>Сетевое взаимодействие Системы и ее компонентов производится с использованием FQDN (не IP-адресов).</t>
  </si>
  <si>
    <t>Ни один из серверов Системы не подключен одновременно к сетевым периметрам с различными уровнями безопасности.</t>
  </si>
  <si>
    <t>Доступ к компонентам Системы, размещенным в DMZ, осуществляется с использованием минимально необходимого набора сетевых протоколов и FQDN.</t>
  </si>
  <si>
    <t>Продуктивная среда Системы разделена со средой разработки, тестовой средой и беспроводным сегментом на физическом / виртуальном и логическом уровне.</t>
  </si>
  <si>
    <t>Доступ из сети интернет разрешен только к компонентам Системы, относящимся к продуктивной среде и расположенным в DMZ.</t>
  </si>
  <si>
    <t>Доступ к сервисам Системы, предназначенным для внутреннего использования, из сети интернет закрыт.</t>
  </si>
  <si>
    <t>Доступ из сети интернет закрыт к сервисам Системы, использующим для взаимодействия с пользователями протоколы:
• SMB/SAMBA/CIFS, NFS, NETBIOS;
• доступа к СУБД (MYSQL, MSSQL, ORACLE и др.);
• удаленного управления (telnet, SSH, RSH, SNMP, RDP и др.).</t>
  </si>
  <si>
    <t>Система корректно функционирует с используемыми на Предприятии ОС, СУБД и прикладными программами.</t>
  </si>
  <si>
    <t>Разрабатываемые компоненты Системы не содержат недокументированных возможностей (НДВ).</t>
  </si>
  <si>
    <t>На компонентах Системы запущены только те сервисы и приложения, которые необходимы для ее функционирования.</t>
  </si>
  <si>
    <t>Взаимодействие между компонентами Системы, а также взаимодействие с внешними Системами происходит под технологическими учетными записями с минимально необходимыми наборами привилегий.</t>
  </si>
  <si>
    <t>Для Системы и ее компонент включен механизм протоколирования событий.</t>
  </si>
  <si>
    <t>Механизм протоколирования событий предоставляет возможность сопоставить каждое подлежащее аудиту событие с источником события.</t>
  </si>
  <si>
    <t>Протоколируется работа пользователей с данными Системы (создание, чтение, изменение или удаление данных).</t>
  </si>
  <si>
    <t>Протоколируются события аутентификации пользователя в Системе, в том числе неуспешные (включая окончание сессии).</t>
  </si>
  <si>
    <t>Протоколируются действия привилегированных пользователей по настройке и изменению конфигурации Системы.</t>
  </si>
  <si>
    <t>Протоколируется доступ к записям журнала протоколирования событий (включая их очистку).</t>
  </si>
  <si>
    <t>Протоколируется запуск и остановка компонентов Системы.</t>
  </si>
  <si>
    <t>Система имеет возможность фильтрации событий журнала аудита по протоколируемым параметрам.</t>
  </si>
  <si>
    <t>Реализована возможность сохранения журналов аудита во внешние системы.</t>
  </si>
  <si>
    <t>Журналы аудита Системы не содержат данных конфиденциального характера.</t>
  </si>
  <si>
    <t>Журналы аудита Системы защищены от изменений.</t>
  </si>
  <si>
    <t>Срок хранения журналов аудита в оперативном доступе в Системе составляет не менее трех месяцев.</t>
  </si>
  <si>
    <t>По истечении установленного времени хранения журналов аудита в оперативном доступе они автоматически архивируются.</t>
  </si>
  <si>
    <t>Срок хранения журналов аудита в архивном доступе составляет не менее одного года.</t>
  </si>
  <si>
    <t>Журналы аудита имеют возможность автоматического разбиения и хранения по месяцам.</t>
  </si>
  <si>
    <t>Реализована балансировка нагрузки между отдельными компонентами и модулями Системы.</t>
  </si>
  <si>
    <t>Выстроены процессы резервного копирования и восстановления данных, обрабатываемых в Системе.</t>
  </si>
  <si>
    <t>Процесс резервного копирования не работает с данными в монопольном режиме.</t>
  </si>
  <si>
    <t>Резервная копия критичных данных шифруется.</t>
  </si>
  <si>
    <t>Реализовано поддержание актуальных версий компонентов Системы.</t>
  </si>
  <si>
    <t>Обновления проходят тестирование перед установкой в продуктивной среде.
Срок тестирования не превышает 1 месяца.</t>
  </si>
  <si>
    <t>Организована техническая поддержка Системы с установленным SLA.</t>
  </si>
  <si>
    <t>&lt;- Выберите</t>
  </si>
  <si>
    <t>Разработка и тестирование изменений Системы не выполняются на продуктивных экземплярах Системы.
На продуктивных экземплярах Системы не установлены средства разработки и тестирования.</t>
  </si>
  <si>
    <t>Компоненты Системы обеспечены действующей технической поддержкой на ОС, СУБД, приложения и оборудование.</t>
  </si>
  <si>
    <t>Все компоненты Системы зарегистрированы в корпоративных системах мониторинга и управления конфигурациями.</t>
  </si>
  <si>
    <t>В продуктивной среде Системы отключен детальный вывод отладочной информации об ошибках, необходимой для разработки и отладки.</t>
  </si>
  <si>
    <t>Для удаленного административного доступа к Системе и ее компонентам из корпоративной сети используются защищенные протоколы (SSH-2, SFTP, FTPS, SCP, RDP не ниже версии 6.0 и т.п.).</t>
  </si>
  <si>
    <t>Пароли от предустановленных учетных записей в продуктивной Системе и ее компонентах изменены.</t>
  </si>
  <si>
    <t>Административный доступ предоставлен только администраторам Системы.</t>
  </si>
  <si>
    <t>Доступ пользователей к Системе регламентируется локальными нормативными документами и предоставляется на основе заявок.</t>
  </si>
  <si>
    <t>На продуктивной Системе учетные записи разработчиков и / или производителей удалены или заблокированы.</t>
  </si>
  <si>
    <t>Документация доступна только авторизованным пользователям в рамках служебной необходимости. В документации отсутствует аутентификационная информация.</t>
  </si>
  <si>
    <t>Исходные коды Системы не находятся в свободном доступе, если это не противоречит лицензии.</t>
  </si>
  <si>
    <t>Разработанные документы содержат описание системы.</t>
  </si>
  <si>
    <t>Обезличивание информации осуществляется в соответствии с приказом Роскомнадзора от 5 сентября 2013 г. № 996 и Методическими рекомендациями по применению приказа Роскомнадзора от 5 сентября 2013 г. № 996, утвержденных руководителем Роскомнадзора 13.12.2013.</t>
  </si>
  <si>
    <t>Система соответствует требованиям законодательства Российской Федерации в части обработки ПДн.</t>
  </si>
  <si>
    <t>Итог</t>
  </si>
  <si>
    <t>Требования Стандарта</t>
  </si>
  <si>
    <t>Цвет</t>
  </si>
  <si>
    <t>Плохо</t>
  </si>
  <si>
    <t>Нормально</t>
  </si>
  <si>
    <t>Хорошо</t>
  </si>
  <si>
    <t>Значение</t>
  </si>
  <si>
    <t>Используется заголовок «Strict-Transport-Security»
Значение «max-age» не менее 31536000.</t>
  </si>
  <si>
    <t xml:space="preserve">Используется заголовок «X-Frame-Options».
Параметр «X-Frame-Options» имеет значение «deny» или «sameorigin». </t>
  </si>
  <si>
    <t>Используется заголовок «X-XSS-Protection: 1».
Установлен параметр «mode=block».</t>
  </si>
  <si>
    <t>Используется заголовок «X-Content-Type-Options: nosniff».</t>
  </si>
  <si>
    <t>Используется заголовок «Referrer-Policy».
Параметр «Referrer-Policy» имеет значение «no-referrer» или «same-origin».</t>
  </si>
  <si>
    <t>Используется заголовок «Feature-Policy».
Для функций «camera», «geolocation», «microphone», «payment», «speaker», «vibrate» и «usb» заданы значения.</t>
  </si>
  <si>
    <t>В «Content-Security-Policy» задана директива «default-src».</t>
  </si>
  <si>
    <t>В «Content-Security-Policy» задана директива «script-src».</t>
  </si>
  <si>
    <t>В «Content-Security-Policy» задана директива «style-src».</t>
  </si>
  <si>
    <t>В «Content-Security-Policy» заданы директивы источников других объектов (изображения, аудио, видео, шрифты и др.).</t>
  </si>
  <si>
    <t>В «Content-Security-Policy» задан параметр «report-uri».</t>
  </si>
  <si>
    <t>В «Content-Security-Policy» соблюдены требования к параметру «nonce».</t>
  </si>
  <si>
    <t>В «Content-Security-Policy» соблюдены требования к параметру «hash».</t>
  </si>
  <si>
    <t>В «Content-Security-Policy» соблюдены требования к параметру «'unsafe-inline'».</t>
  </si>
  <si>
    <t>В «Content-Security-Policy» соблюдены требования к параметру «'unsafe-eval'».</t>
  </si>
  <si>
    <t>Исходный код скриптов и активных компонент, исполняемых на клиентской стороне, не содержит сведений конфиденциального характера.</t>
  </si>
  <si>
    <t>Технологии AJAX не используются для обработки платежной информации.</t>
  </si>
  <si>
    <t>Сценарии JavaScript не обрабатывают структуры и данные, обеспечивающие безопасность web-приложения.</t>
  </si>
  <si>
    <t>Скрипты, написанные на Visual Basic, не используются.</t>
  </si>
  <si>
    <t>Компоненты ActiveX не используются.</t>
  </si>
  <si>
    <t>Все используемые Java-апплеты имеют цифровую подпись доверенного удостоверяющего центра.</t>
  </si>
  <si>
    <t>В коде апплета не используются механизмы принятия критичных решений (например, относящимся к механизмам безопасности или бизнес процессам).</t>
  </si>
  <si>
    <t>Используется обфускация байт-кода Java-апплетов.</t>
  </si>
  <si>
    <t>Все входные параметры проверяются на серверной стороне.</t>
  </si>
  <si>
    <t>Проверка входных параметров осуществляется до их использования компонентами web-приложения.</t>
  </si>
  <si>
    <t>Web-приложение проверяет полноту полученных от пользователя параметров.</t>
  </si>
  <si>
    <t>HTTP-заголовки и скрытые HTML-поля (&lt;input type=hidden&gt;) проходят проверку, как и обычные HTTP-параметры.</t>
  </si>
  <si>
    <t>Сообщения об ошибках не содержат сведений, по которым возможно восстановить метод проверки параметров.</t>
  </si>
  <si>
    <t>Осуществляется дополнительная проверка входных параметров от пользователя в клиентской части web-приложения.</t>
  </si>
  <si>
    <t>Проверка возвращаемых пользователю данных осуществляется до момента отправки web-страницы от сервера браузеру.</t>
  </si>
  <si>
    <t>Форматирование выводимой пользователю HTML-разметки осуществляется средствами CMS или доверенных библиотек.</t>
  </si>
  <si>
    <t>В случае необходимости визуализации управляющих символов серверная часть web-приложения должна осуществлять их замену на «видимые» аналоги.</t>
  </si>
  <si>
    <t>Аутентификационная информация  передается по защищенному протоколу TLS.</t>
  </si>
  <si>
    <t>Исходный код web-страниц не содержит служебную информацию.</t>
  </si>
  <si>
    <t>Сообщения об ошибках не содержат информации о версии программного обеспечения, внутренних путей, а также ранее введенных пользователем данных.</t>
  </si>
  <si>
    <t>Компоненты Системы сконфигурированы таким образом, чтобы затруднить атакующему определение их реальных версий.</t>
  </si>
  <si>
    <t>URL не содержат сведений конфиденциального характера.</t>
  </si>
  <si>
    <t>Передача конфиденциальных данных осуществляется с помощью метода «POST».</t>
  </si>
  <si>
    <t>Конфиденциальные данные не передаются в рамках перенаправления (редиректа) на другие web-ресурсы.</t>
  </si>
  <si>
    <t>Идентификатор сессии уникальный и не предугадываемый.</t>
  </si>
  <si>
    <t>Идентификатор сессии устойчив к подбору.
Длина идентификатора сессии превышает 128 бит.</t>
  </si>
  <si>
    <t>Идентификатор сессии не зависит от других идентификаторов (сформированных ранее), имени пользователя, пароля, состояния приложения.</t>
  </si>
  <si>
    <t>В случае, когда web-приложение использует TLS для передачи данных, идентификатор сессии всегда передается внутри защищенного соединения.</t>
  </si>
  <si>
    <t>Новый идентификатор сессии формируется приложением каждый раз после прохождения успешной аутентификации пользователя.</t>
  </si>
  <si>
    <t>Клиентская часть web-приложения не имеет возможности изменять идентификатор сессии.</t>
  </si>
  <si>
    <t>Время жизни сессий ограничено.
По истечении данного времени, сессия удаляется или генерируется новый запрос на обновление аутентификации.</t>
  </si>
  <si>
    <t>Неактивные сессии завершаются автоматически.</t>
  </si>
  <si>
    <t>Web-приложение на клиентской стороне не поддерживает сессию в активном состоянии искусственно.</t>
  </si>
  <si>
    <t>Используются встроенные в стандартные библиотеки и механизмы управления сессиями.</t>
  </si>
  <si>
    <t>Данные о сессиях пользователей хранятся в месте, не доступном для других приложений и систем (в том случае, если они не защищены другим способом, например, путем шифрования).</t>
  </si>
  <si>
    <t>Для доступа к ПДн или совершения транзакций требуется прохождение стандартной процедуры аутентификации и проверки прав.</t>
  </si>
  <si>
    <t>Возможность использования механизма автоматической аутентификации («запомнить меня») доступна только для некритичных действий.</t>
  </si>
  <si>
    <t>Web-приложение содержит механизм завершения сессии, доступный пользователю из любой страницы приложения.</t>
  </si>
  <si>
    <t>По завершении сессии относящиеся к ней конфиденциальные данные полностью удаляются на серверной стороне.</t>
  </si>
  <si>
    <t>Сессия, содержащая конфиденциальные данные, автоматически завершается при закрытии браузера.</t>
  </si>
  <si>
    <t>По завершении сессии ее данные на ПК клиента удаляются.</t>
  </si>
  <si>
    <t>Для передачи сведений, составляющих коммерческую тайну и иную конфиденциальную информацию, используется протокол HTTPS.</t>
  </si>
  <si>
    <t>Web-приложение поддерживает минимально необходимый набор HTTP-методов.</t>
  </si>
  <si>
    <t>Атрибут «HTTPOnly» для cookies имеет значение «true».</t>
  </si>
  <si>
    <t>Если используется протокол HTTPS, для cookies установлен флаг «secure».</t>
  </si>
  <si>
    <t>Атрибут cookies «domain» установлен значением только того ресурса, для которого требуется поддержка данного cookie.</t>
  </si>
  <si>
    <t>Атрибут cookies «path» настроен таким образом, чтобы браузер пользователя отправлял cookies только тому web-приложению, которому они предназначаются.</t>
  </si>
  <si>
    <t>HTML-комментарии не содержат внутреннюю информацию web-приложения а также не раскрывают особенности реализации Системы.</t>
  </si>
  <si>
    <t>В скрытых полях HTML-страниц в незашифрованном виде не передаются конфиденциальные сведения, аутентификационная информация, а также управляющие команды.</t>
  </si>
  <si>
    <t>Всплывающие окна используются только для отображения информационных сообщений.</t>
  </si>
  <si>
    <t>Всплывающие окна не используются для получения данных от пользователя.</t>
  </si>
  <si>
    <t>В случае перенаправления пользователя с защищенных ресурсов web-приложения на незащищенные сессия клиента либо завершается либо удаляются конфиденциальные данные, использовавшиеся в рамках сессии.</t>
  </si>
  <si>
    <t>В качестве криптографического протокола используется TLS не ниже v.1.2.</t>
  </si>
  <si>
    <t>Конфиденциальная информация передается только по защищенному протоколу HTTPS.</t>
  </si>
  <si>
    <t>Использование гиперссылок, перенаправляющих с защищенных web-страниц приложения на незащищенные, не приводит к появлению конфиденциальных сведений в поле «HTTP-referer».</t>
  </si>
  <si>
    <t>Форма регистрации клиентов в web-приложении защищена от автоматических средств регистрации (ботов).</t>
  </si>
  <si>
    <t>Требования Приложения 2 к Стандарту</t>
  </si>
  <si>
    <t>Механизм контроля состояний процессов реализован на серверной стороне web-приложения.</t>
  </si>
  <si>
    <t>Индикатор состояния процесса уникальный и не предугадываемый.</t>
  </si>
  <si>
    <t>Содержимое HTTP-referer не используется для контроля состояния процессов.</t>
  </si>
  <si>
    <t>Web-приложение контролирует состояние процесса, на котором находится клиент.</t>
  </si>
  <si>
    <t>Все страницы и активные скрипты web-сервера, к которым пользователь может получить доступ, являются частью web-приложения.</t>
  </si>
  <si>
    <t>Доступ к файлам не ограничивается путем переименования файлов или путем не указания гиперссылок на них.</t>
  </si>
  <si>
    <t>Неиспользуемые директории и файлы на продуктивном сервере отсутствуют.</t>
  </si>
  <si>
    <t>Учетные данные не  хранятся в местах, доступных для клиента.</t>
  </si>
  <si>
    <t>Процесс аутентификации не основывается на данных и переменных, которые можно легко модифицировать.</t>
  </si>
  <si>
    <t>При начальной регистрации пользователя или восстановлении утерянного пароля предусмотрена проверка его сложности.</t>
  </si>
  <si>
    <t>Для доступа к разделам, связанным с пользовательской информацией и выполнением действий от лица пользователя, требуется обязательная аутентификация.</t>
  </si>
  <si>
    <t xml:space="preserve">Процедура аутентификации  имеет защиту от подбора паролей. </t>
  </si>
  <si>
    <t>Web-сервер запущен под специально созданной технологической учетной записью ОС с минимально необходимым набором привилегий.</t>
  </si>
  <si>
    <t>Учетной записи СУБД, под которым работает web-приложение, предоставлены ограниченные права на работу с файловой системой сервера, а также на исполнение команд ОС.</t>
  </si>
  <si>
    <t>При обращении к базам данных web-приложение использует хранимые процедуры вместо SQL-запросов, содержащих параметры.</t>
  </si>
  <si>
    <t>Хранение паролей в БД web-приложения осуществляется с использованием криптографических алгоритмов, определяемых в соответствии с пунктом 4.1.1 Стандарта.</t>
  </si>
  <si>
    <t>Доступ к web-интерфейсам администрирования web-приложений из сети интернет запрещен.</t>
  </si>
  <si>
    <t>Административные и пользовательские интерфейсы разделены.
Пользовательский интерфейс не предоставляет возможностей администрирования Системы.</t>
  </si>
  <si>
    <t>Web-интерфейсы систем мониторинга не доступны из сети интернет.</t>
  </si>
  <si>
    <t xml:space="preserve">Используется механизм контроля состояния клиента, путем присвоения клиенту начального идентификатора состояния и его последовательного изменения в процессе работы. </t>
  </si>
  <si>
    <t>Если механизм управления состоянием используется на стороне клиента, параметр контроля состояния клиента шифруется.</t>
  </si>
  <si>
    <t>Не используется прямое, легко угадываемое именование содержимого.</t>
  </si>
  <si>
    <t>Приложение не содержит ключи шифрования в исходном коде.</t>
  </si>
  <si>
    <t>Приложение использует ключи шифрования длины не менее: 256 бит – для симметричных шифров, 3072 бит – для асимметричных.</t>
  </si>
  <si>
    <t>Приложение не использует один и тот же ключ шифрования для нескольких целей.</t>
  </si>
  <si>
    <t>КИ хранится во внутреннем хранилище приложения либо в защищенном системном хранилище данных.</t>
  </si>
  <si>
    <t>Продуктивная версия приложения не сохраняет КИ в журнал сбора событий.</t>
  </si>
  <si>
    <t>Приложение не хранит КИ в памяти дольше, чем это требуется.</t>
  </si>
  <si>
    <t>Приложение удаляет КИ из оперативной памяти сразу после окончания работы с ней.</t>
  </si>
  <si>
    <t>КИ не передается через механизмы IPC.</t>
  </si>
  <si>
    <t>Приложение не содержит КИ на экране быстрого доступа.</t>
  </si>
  <si>
    <t>Небезопасные уведомления не содержат КИ.</t>
  </si>
  <si>
    <t>Кэш клавиатуры отключен для текстовых полей, которые могут содержать КИ.</t>
  </si>
  <si>
    <t>Буфер обмена отключен для текстовых полей, которые могут содержать КИ.</t>
  </si>
  <si>
    <t>Приложение использует только проверенные реализации криптографических алгоритмов (Приложение 3 Стандарта).</t>
  </si>
  <si>
    <t>Приложение явно определяет режим (параметры, технологии) шифрования.</t>
  </si>
  <si>
    <t>Приложение использует случайные числа, сгенерированниые с использованием встроенных функций операционной системы.</t>
  </si>
  <si>
    <t>Ключи шифрования не хранятся в исходном коде.</t>
  </si>
  <si>
    <t>Канал связи защищен с помощью TLS не ниже v.1.2.</t>
  </si>
  <si>
    <t>Приложение использует актуальные версии библиотек для организации безопасности и установки соединений.</t>
  </si>
  <si>
    <t>Перед установкой TLS-соединения приложение проверяет сертификат сервера, с которым устанавливается соединение.</t>
  </si>
  <si>
    <t>Приложение проверяет, что срок действия и другие свойства сертификата сервера действительны.</t>
  </si>
  <si>
    <t>Приложение проверяет, что имя сервера системы соответствует CN (Common Name) или SAN (альтернативные имена объектов) в поле «Subject» сертификата сервера.</t>
  </si>
  <si>
    <t>Приложение использует свое собственное хранилище сертификатов или механизм SSL Pinning.</t>
  </si>
  <si>
    <t>Используемые приложением сертификаты не хранятся в общедоступных местах.</t>
  </si>
  <si>
    <t>Сервер предоставляет токен, подписанный с использованием криптографически стойкого алгоритма шифрования (см. Приложение 3 Стандарта).</t>
  </si>
  <si>
    <t>При аутентификации с помощью биометрической информации событие успешной проверки отпечатка используется для разблокировки ключа в хранилище ключей, а не для входа в систему.</t>
  </si>
  <si>
    <t>В приложении настроена парольная политика, параметры которой устанавливаются на сервере.</t>
  </si>
  <si>
    <t>Для критичных операций запрашивается дополнительное подтверждение или повторная аутентификация.</t>
  </si>
  <si>
    <t>Приложение предоставляет пользователю информацию о нескольких последних входах в систему и список использовавшихся для входа устройств.</t>
  </si>
  <si>
    <t>В Приложении реализована возможность применения второго фактора аутентификации.</t>
  </si>
  <si>
    <t>Идентификатор сессии генерировуется случайным образом.</t>
  </si>
  <si>
    <t>При создании идентификатора сессии используется генератор случайных чисел (см. П3.3.3).</t>
  </si>
  <si>
    <t>При выходе пользователя из приложения сессия закрывается (инвалидируется).</t>
  </si>
  <si>
    <t>По истечении заданного срока неактивности пользователя или срока действия токена сессия закрывается (инвалидируется) приложением.</t>
  </si>
  <si>
    <t>Приложение запрашивает минимально необходимый набор разрешений.</t>
  </si>
  <si>
    <t>Приложение обеспечивает применение ограничений для доступа к устройству.</t>
  </si>
  <si>
    <t>Приложение валидирует и санитизирует все входные данные из внешних источников и от пользователя на устройстве.</t>
  </si>
  <si>
    <t>Отключена возможность создания резервной копии приложения или резервная копия не должна содержать КИ.</t>
  </si>
  <si>
    <t>В элементе «WebView» разрешен только обработчик протокола HTTPS.</t>
  </si>
  <si>
    <t>Приложение не игнорирует ошибки SSL в WebView.</t>
  </si>
  <si>
    <t>Приложение загружает JavaScript для WebView только из ресурсов приложения.</t>
  </si>
  <si>
    <t>JavaScript отключен в WebView.</t>
  </si>
  <si>
    <t>Исходные коды приложения проверены на отсутствие актуальных угроз безопасности мобильным приложениям.</t>
  </si>
  <si>
    <t>Продуктивная версия подписана действующим сертификатом.</t>
  </si>
  <si>
    <t>Продуктивная версия приложения скомпилирована в режиме «release».
Установлены параметры для продуктивных приложений.</t>
  </si>
  <si>
    <t>Отладочная информация удалена из бинарных файлов приложения.</t>
  </si>
  <si>
    <t>Приложение не записывает и не хранит подробные сведения об ошибке и отладочные сообщения в штатном режиме работы.</t>
  </si>
  <si>
    <t>Все используемые компоненты приложения проверены на наличие уязвимостей.</t>
  </si>
  <si>
    <t>В случае сбоя в работе функции предоставления доступа по умолчанию доступ не предоставляется.</t>
  </si>
  <si>
    <t>Активированы все стандартные функции безопасности, предусмотренные инструментами разработчика.</t>
  </si>
  <si>
    <t>Приложение реализует привязку к устройству.</t>
  </si>
  <si>
    <t>Приложение определяет наличие root или jailbreak на устройстве.</t>
  </si>
  <si>
    <t>Приложение определяет работу под отладчиком.</t>
  </si>
  <si>
    <t>Приложение определяет установленные на устройстве приложения для reverse engineering.</t>
  </si>
  <si>
    <t>Приложение определяет работу на эмуляторе.</t>
  </si>
  <si>
    <t>Приложение определяет изменение исполняемых файлов и критичных данных в своей песочнице (своем окружении).</t>
  </si>
  <si>
    <t>Приложение определяет изменение своего кода или данных в оперативной памяти.</t>
  </si>
  <si>
    <t>В приложении используется обфускация.</t>
  </si>
  <si>
    <t>Задачей обфускации является защита вычислений, используется механизм, который: 
- применим для этой задачи;
- защищает от ручной и автоматической де-обфускации;
- учитывает опубликованные по этой теме исследования.</t>
  </si>
  <si>
    <t>При запуске Activity в идентификатор (URI), устанавливаемый в методе «Intent#setData()», не включается КИ.</t>
  </si>
  <si>
    <t>Для запуска всех компонентов приложения Private, Partner или In-house используется явный Intent.</t>
  </si>
  <si>
    <t>Исполнение требований</t>
  </si>
  <si>
    <t>Удовлетворение</t>
  </si>
  <si>
    <t>Код выполнения</t>
  </si>
  <si>
    <t>КН</t>
  </si>
  <si>
    <t>Расшифровка выполнения</t>
  </si>
  <si>
    <t>СН</t>
  </si>
  <si>
    <t>У</t>
  </si>
  <si>
    <t>СУ</t>
  </si>
  <si>
    <t>Не выполняется хотя бы одно требование высокой критичности.</t>
  </si>
  <si>
    <t>Эксплуатация допускается, но рекомендуются доработки.</t>
  </si>
  <si>
    <t>Система допускается к эксплуатации.</t>
  </si>
  <si>
    <t>Количество НЕвыполненных требований 
высокой критичности:</t>
  </si>
  <si>
    <t>Количество НЕвыполненных требований 
средней критичности:</t>
  </si>
  <si>
    <t>Не выполняется более 5 требований средней критичности.</t>
  </si>
  <si>
    <t>Раздел "Общие требования"</t>
  </si>
  <si>
    <t>Раздел "Требования к Web-приложениям"</t>
  </si>
  <si>
    <t>Раздел "Требования к мобильным приложениям"</t>
  </si>
  <si>
    <t>Внутренняя система аутентификации Системы интегрирована с AD или IDM.</t>
  </si>
  <si>
    <t>Внешние (публичные) интерфейсы Системы размещены в DMZ.</t>
  </si>
  <si>
    <t>Осуществляется проверка любых входных данных на стороне сервера на длину, допустимые символы, кодировку, полноту данных.</t>
  </si>
  <si>
    <t>Данные корректируются перед передачей на сервер (удаление лишних символов, приведение к единому формату и т.п.).</t>
  </si>
  <si>
    <t>Интернет-сервисы облачного хранения данных не используются в работе Системы.</t>
  </si>
  <si>
    <t>Протоколируется результат операции.</t>
  </si>
  <si>
    <t>Протоколируется идентификатор источника операции.</t>
  </si>
  <si>
    <t>Протоколируется идентификатор объекта, над которым была выполнена операция.</t>
  </si>
  <si>
    <t>Протоколируется название и тип выполненной операции.</t>
  </si>
  <si>
    <t>Протоколируется значение параметра до и после операции, если действие предполагает изменение данных или состояния компоненты Системы.</t>
  </si>
  <si>
    <t>Протоколируется дата и время выполнения операции, включая указание часового пояса.</t>
  </si>
  <si>
    <t>Разработано руководство пользователя Системы (для внутренних пользователей).</t>
  </si>
  <si>
    <t>Разработано руководство администратора Системы.</t>
  </si>
  <si>
    <t>Разработана матрица доступа Системы.</t>
  </si>
  <si>
    <t>Разработано регламент технического обслуживания.</t>
  </si>
  <si>
    <t>Разработана схема резервного копирования данных.</t>
  </si>
  <si>
    <t>Разработан регламент восстановления Системы при сбоях.</t>
  </si>
  <si>
    <t>DNS-имена (FQDN) внешних компонентов Системы зарегистрированы в прямой и обратной зоне внешних служб DNS.
DNS-имена (FQDN) внутренних компонентов Системы зарегистрированы в прямой и обратной зоне внутренних служб DNS.</t>
  </si>
  <si>
    <t>Web-приложение не использует «секретных» HTTP-параметров для перехода в режим отладки, администрирования или получения доступа к неподдерживаемому в обычном режиме функционалу.</t>
  </si>
  <si>
    <t>Используемые в приложении ключи шифрования хранятся в системном хранилище ключей.</t>
  </si>
  <si>
    <t>Для входа в приложение должна использоваться аутентификация.</t>
  </si>
  <si>
    <t>п.2.1.1</t>
  </si>
  <si>
    <t>п.2.1.2</t>
  </si>
  <si>
    <t>п.2.1.3</t>
  </si>
  <si>
    <t>п.2.1.4</t>
  </si>
  <si>
    <t>п.2.2.1</t>
  </si>
  <si>
    <t>п.2.2.2</t>
  </si>
  <si>
    <t>п.2.2.3</t>
  </si>
  <si>
    <t>п.2.2.4</t>
  </si>
  <si>
    <t>п.2.2.5</t>
  </si>
  <si>
    <t>п.2.2.6.1</t>
  </si>
  <si>
    <t>п.2.2.6.2</t>
  </si>
  <si>
    <t>п.2.2.6.3</t>
  </si>
  <si>
    <t>п.2.2.7.1</t>
  </si>
  <si>
    <t>п.2.2.7.2</t>
  </si>
  <si>
    <t>п.3.1</t>
  </si>
  <si>
    <t>п.3.2</t>
  </si>
  <si>
    <t>п.3.3</t>
  </si>
  <si>
    <t>п.3.4</t>
  </si>
  <si>
    <t>п.3.5</t>
  </si>
  <si>
    <t>п.3.6.1</t>
  </si>
  <si>
    <t>п.3.6.2</t>
  </si>
  <si>
    <t>п.4.1</t>
  </si>
  <si>
    <t>п.4.2</t>
  </si>
  <si>
    <t>п.4.3</t>
  </si>
  <si>
    <t>п.4.4</t>
  </si>
  <si>
    <t>п.4.5</t>
  </si>
  <si>
    <t>п.4.6</t>
  </si>
  <si>
    <t>п.4.7</t>
  </si>
  <si>
    <t>п.5.1</t>
  </si>
  <si>
    <t>п.5.2</t>
  </si>
  <si>
    <t>п.5.3</t>
  </si>
  <si>
    <t>п.5.4</t>
  </si>
  <si>
    <t>п.6.1</t>
  </si>
  <si>
    <t>п.6.2</t>
  </si>
  <si>
    <t>п.6.3</t>
  </si>
  <si>
    <t>п.6.4</t>
  </si>
  <si>
    <t>п.6.5.1</t>
  </si>
  <si>
    <t>п.6.5.2</t>
  </si>
  <si>
    <t>п.6.5.3</t>
  </si>
  <si>
    <t>п.6.5.4</t>
  </si>
  <si>
    <t>п.7.1</t>
  </si>
  <si>
    <t>п.7.2</t>
  </si>
  <si>
    <t>п.7.3</t>
  </si>
  <si>
    <t>п.7.4</t>
  </si>
  <si>
    <t>п.7.5</t>
  </si>
  <si>
    <t>п.7.6</t>
  </si>
  <si>
    <t>п.7.7</t>
  </si>
  <si>
    <t>п.7.8</t>
  </si>
  <si>
    <t>п.7.9</t>
  </si>
  <si>
    <t>п.8.1</t>
  </si>
  <si>
    <t>п.8.2.1</t>
  </si>
  <si>
    <t>п.8.2.2</t>
  </si>
  <si>
    <t>п.8.2.3</t>
  </si>
  <si>
    <t>п.8.2.4</t>
  </si>
  <si>
    <t>п.8.2.5</t>
  </si>
  <si>
    <t>п.8.2.6</t>
  </si>
  <si>
    <t>п.8.3.1</t>
  </si>
  <si>
    <t>п.8.3.2</t>
  </si>
  <si>
    <t>п.9.1</t>
  </si>
  <si>
    <t>п.9.2</t>
  </si>
  <si>
    <t>п.9.3</t>
  </si>
  <si>
    <t>Приложение перехватывает и обрабатывает возможные исключения.</t>
  </si>
  <si>
    <t>Все компоненты приложения, которые используются только внутри приложения, являются «Private».</t>
  </si>
  <si>
    <t>п.2</t>
  </si>
  <si>
    <t>Хранение данных и конфиденциальность</t>
  </si>
  <si>
    <t>п.2.1</t>
  </si>
  <si>
    <t>Работа с ключами шифрования</t>
  </si>
  <si>
    <t>Итого</t>
  </si>
  <si>
    <t>п.9</t>
  </si>
  <si>
    <t>Требования к приложениям для Android</t>
  </si>
  <si>
    <t>п.8.3</t>
  </si>
  <si>
    <t>Требования к обфускации</t>
  </si>
  <si>
    <t>п.8.2</t>
  </si>
  <si>
    <t>Требования к обнаружению атак</t>
  </si>
  <si>
    <t>п.8</t>
  </si>
  <si>
    <t>Противодействие атакам</t>
  </si>
  <si>
    <t>п.7</t>
  </si>
  <si>
    <t>Качество клиентского кода</t>
  </si>
  <si>
    <t>п.6.5</t>
  </si>
  <si>
    <t>Дополнительные требования к объекту «WebView»</t>
  </si>
  <si>
    <t>п.6</t>
  </si>
  <si>
    <t>Взаимодействие с платформой</t>
  </si>
  <si>
    <t>п.5</t>
  </si>
  <si>
    <t>Управление сессиями</t>
  </si>
  <si>
    <t>п.4</t>
  </si>
  <si>
    <t>Аутентификация</t>
  </si>
  <si>
    <t>Требования к работе с сертификатами</t>
  </si>
  <si>
    <t>п.3.6</t>
  </si>
  <si>
    <t>Сетевые соединения</t>
  </si>
  <si>
    <t>п.3</t>
  </si>
  <si>
    <t>Криптография</t>
  </si>
  <si>
    <t>п.2.2.7</t>
  </si>
  <si>
    <t>КИ в текстовых полях</t>
  </si>
  <si>
    <t>п.2.2.6</t>
  </si>
  <si>
    <t>Отображение КИ на экране устройства</t>
  </si>
  <si>
    <t>п.2.2</t>
  </si>
  <si>
    <t>Обработка конфиденциальной информации</t>
  </si>
  <si>
    <t>КИ, такая как пароли или пин-код, не отображается в пользовательском интерфейсе 
(если не предусмотрено дро.функционалом).</t>
  </si>
  <si>
    <t>п.3.5.1</t>
  </si>
  <si>
    <t>п.3.5.2</t>
  </si>
  <si>
    <t>п.3.6.3</t>
  </si>
  <si>
    <t>п.3.6.4</t>
  </si>
  <si>
    <t>п.3.6.5</t>
  </si>
  <si>
    <t>Пункт Прил. 3</t>
  </si>
  <si>
    <t>КИ защищена с использованием криптографически стойких алгоритмов шифрования.</t>
  </si>
  <si>
    <t>Информация, обеспечение которой определяется законодательством РФ, защищается с использованием СКЗИ, имеющих сертификат соответствия ФСБ России.</t>
  </si>
  <si>
    <t>Общие требования</t>
  </si>
  <si>
    <t>Проверка входных данных</t>
  </si>
  <si>
    <t>Требования к аутентификации и авторизации</t>
  </si>
  <si>
    <t>п.4.1.1</t>
  </si>
  <si>
    <t>п.4.1.2</t>
  </si>
  <si>
    <t>п.4.1.3</t>
  </si>
  <si>
    <t>п.4.1.4</t>
  </si>
  <si>
    <t>п.4.1.5</t>
  </si>
  <si>
    <t>п.4.1.6</t>
  </si>
  <si>
    <t>п.4.1.7</t>
  </si>
  <si>
    <t>п.4.1.7.1</t>
  </si>
  <si>
    <t>п.4.1.7.2</t>
  </si>
  <si>
    <t>п.4.2.1</t>
  </si>
  <si>
    <t>п.4.2.2</t>
  </si>
  <si>
    <t>п.4.2.3</t>
  </si>
  <si>
    <t>п.4.2.4</t>
  </si>
  <si>
    <t>п.4.2.5</t>
  </si>
  <si>
    <t>п.4.2.6</t>
  </si>
  <si>
    <t>п.4.2.7</t>
  </si>
  <si>
    <t>п.4.2.8</t>
  </si>
  <si>
    <t>п.4.2.9</t>
  </si>
  <si>
    <t>п.4.2.10</t>
  </si>
  <si>
    <t>п.4.2.11</t>
  </si>
  <si>
    <t>п.4.2.12</t>
  </si>
  <si>
    <t>п.4.2.13</t>
  </si>
  <si>
    <t>п.4.2.14</t>
  </si>
  <si>
    <t>п.4.2.15</t>
  </si>
  <si>
    <t>п.4.2.16</t>
  </si>
  <si>
    <t>п.4.2.17</t>
  </si>
  <si>
    <t>п.4.2.18</t>
  </si>
  <si>
    <t>п.4.2.19</t>
  </si>
  <si>
    <t>п.4.2.20</t>
  </si>
  <si>
    <t>п.4.2.21</t>
  </si>
  <si>
    <t>п.4.2.22</t>
  </si>
  <si>
    <t>п.4.2.23.1</t>
  </si>
  <si>
    <t>п.4.2.23.2</t>
  </si>
  <si>
    <t>п.4.2.23.3</t>
  </si>
  <si>
    <t>п.4.2.23.4</t>
  </si>
  <si>
    <t>п.4.2.23.5</t>
  </si>
  <si>
    <t>п.4.2.23.6</t>
  </si>
  <si>
    <t>п.4.2.23.7</t>
  </si>
  <si>
    <t>п.4.2.23.8</t>
  </si>
  <si>
    <t>п.4.2.23.9</t>
  </si>
  <si>
    <t>п.4.2.23.10</t>
  </si>
  <si>
    <t>п.4.2.23.11</t>
  </si>
  <si>
    <t>п.4.2.23.12</t>
  </si>
  <si>
    <t>п.4.2.23.13</t>
  </si>
  <si>
    <t>п.4.3.1</t>
  </si>
  <si>
    <t>п.4.3.2</t>
  </si>
  <si>
    <t>п.4.3.3</t>
  </si>
  <si>
    <t>п.4.3.4</t>
  </si>
  <si>
    <t>п.4.3.5</t>
  </si>
  <si>
    <t>п.4.3.6</t>
  </si>
  <si>
    <t>п.4.3.7</t>
  </si>
  <si>
    <t>п.4.3.8.1</t>
  </si>
  <si>
    <t>п.4.3.8.2</t>
  </si>
  <si>
    <t>п.4.3.8.3</t>
  </si>
  <si>
    <t>п.4.3.8.4</t>
  </si>
  <si>
    <t>п.4.3.8.5</t>
  </si>
  <si>
    <t>п.4.3.8.6</t>
  </si>
  <si>
    <t>п.4.5.1</t>
  </si>
  <si>
    <t>п.4.5.2</t>
  </si>
  <si>
    <t>п.4.5.3</t>
  </si>
  <si>
    <t>п.4.5.4</t>
  </si>
  <si>
    <t>п.4.5.5</t>
  </si>
  <si>
    <t>п.4.5.6</t>
  </si>
  <si>
    <t>п.4.5.7</t>
  </si>
  <si>
    <t>п.4.5.8.1</t>
  </si>
  <si>
    <t>п.4.5.8.2</t>
  </si>
  <si>
    <t>п.4.5.8.3</t>
  </si>
  <si>
    <t>п.4.5.8.4</t>
  </si>
  <si>
    <t>п.4.5.9.1</t>
  </si>
  <si>
    <t>п.4.5.9.2</t>
  </si>
  <si>
    <t>п.4.5.9.3</t>
  </si>
  <si>
    <t>п.4.5.9.4</t>
  </si>
  <si>
    <t>п.4.5.9.5</t>
  </si>
  <si>
    <t>п.4.5.10.1</t>
  </si>
  <si>
    <t>п.4.5.10.2</t>
  </si>
  <si>
    <t>п.4.5.10.3</t>
  </si>
  <si>
    <t>п.4.5.10.4</t>
  </si>
  <si>
    <t>п.4.5.10.5</t>
  </si>
  <si>
    <t>п.4.5.10.6</t>
  </si>
  <si>
    <t>п.4.6.1</t>
  </si>
  <si>
    <t>п.4.6.2</t>
  </si>
  <si>
    <t>п.4.6.3</t>
  </si>
  <si>
    <t>п.4.6.4</t>
  </si>
  <si>
    <t>п.4.7.1</t>
  </si>
  <si>
    <t>п.4.7.2</t>
  </si>
  <si>
    <t>п.4.7.3</t>
  </si>
  <si>
    <t>п.4.7.4</t>
  </si>
  <si>
    <t>п.4.7.5</t>
  </si>
  <si>
    <t>п.4.7.6</t>
  </si>
  <si>
    <t>п.4.7.7</t>
  </si>
  <si>
    <t>п.4.7.8</t>
  </si>
  <si>
    <t>п.4.7.9</t>
  </si>
  <si>
    <t>п.4.7.10</t>
  </si>
  <si>
    <t>п.4.7.11</t>
  </si>
  <si>
    <t>п.4.7.12</t>
  </si>
  <si>
    <t>п.4.7.13</t>
  </si>
  <si>
    <t>п.4.10.1</t>
  </si>
  <si>
    <t>п.4.10.2</t>
  </si>
  <si>
    <t>п.4.10.3</t>
  </si>
  <si>
    <t>п.4.10.4</t>
  </si>
  <si>
    <t>п.4.10.5</t>
  </si>
  <si>
    <t>п.4.10.6</t>
  </si>
  <si>
    <t>п.4.10.7</t>
  </si>
  <si>
    <t>п.4.10.8</t>
  </si>
  <si>
    <t>п.4.10.9</t>
  </si>
  <si>
    <t>п.4.11.1</t>
  </si>
  <si>
    <t>п.4.11.2</t>
  </si>
  <si>
    <t>п.4.11.3</t>
  </si>
  <si>
    <t>п.4.2.23</t>
  </si>
  <si>
    <t>п.4.3.8</t>
  </si>
  <si>
    <t>п.4.5.8</t>
  </si>
  <si>
    <t>п.4.5.9</t>
  </si>
  <si>
    <t>п.4.5.10</t>
  </si>
  <si>
    <t>п.4.10</t>
  </si>
  <si>
    <t>п.4.11</t>
  </si>
  <si>
    <t>Требования парольной политики</t>
  </si>
  <si>
    <t>Требования к сетевому взаимодействию</t>
  </si>
  <si>
    <t>Взаимодействие с интернет</t>
  </si>
  <si>
    <t>Требования к окружению</t>
  </si>
  <si>
    <t>Требования к аудиту</t>
  </si>
  <si>
    <t>Сроки хранения журналов</t>
  </si>
  <si>
    <t>Типы протоколируемых событий</t>
  </si>
  <si>
    <t>Протоколируемая инфомация</t>
  </si>
  <si>
    <t>Требования по отказоустойчивости</t>
  </si>
  <si>
    <t>Требования к эксплуатации</t>
  </si>
  <si>
    <t>Требования к документации</t>
  </si>
  <si>
    <t>Требования к ИСПДн</t>
  </si>
  <si>
    <t>В тестовой / учебной среде Системы используются сгенерированные случайным образом данные или обезличенные данные из продуктивной среды.</t>
  </si>
  <si>
    <t>Пункт Прил.2</t>
  </si>
  <si>
    <t>п.1.1</t>
  </si>
  <si>
    <t>п.1.2</t>
  </si>
  <si>
    <t>п.1.3</t>
  </si>
  <si>
    <t>п.1.4</t>
  </si>
  <si>
    <t>п.1.5</t>
  </si>
  <si>
    <t>п.1.6</t>
  </si>
  <si>
    <t>п.1.7.1</t>
  </si>
  <si>
    <t>п.1.7.2</t>
  </si>
  <si>
    <t>п.1.7.3</t>
  </si>
  <si>
    <t>п.1.7.4</t>
  </si>
  <si>
    <t>п.1.7.5</t>
  </si>
  <si>
    <t>п.1.7.6</t>
  </si>
  <si>
    <t>п.1.7.7</t>
  </si>
  <si>
    <t>п.1.7.8</t>
  </si>
  <si>
    <t>п.1.7.9</t>
  </si>
  <si>
    <t>п.2.3.1</t>
  </si>
  <si>
    <t>п.2.3.2</t>
  </si>
  <si>
    <t>п.2.4.1</t>
  </si>
  <si>
    <t>п.2.4.2</t>
  </si>
  <si>
    <t>п.2.5.2</t>
  </si>
  <si>
    <t>п.2.5.3</t>
  </si>
  <si>
    <t>п.2.5.4</t>
  </si>
  <si>
    <t>п.3.7.1</t>
  </si>
  <si>
    <t>п.3.7.2</t>
  </si>
  <si>
    <t>п.3.7.3</t>
  </si>
  <si>
    <t>п.5.1.1</t>
  </si>
  <si>
    <t>п.5.1.2</t>
  </si>
  <si>
    <t>п.5.1.3</t>
  </si>
  <si>
    <t>п.5.1.4</t>
  </si>
  <si>
    <t>п.5.1.5</t>
  </si>
  <si>
    <t>п.5.1.6</t>
  </si>
  <si>
    <t>п.5.2.1</t>
  </si>
  <si>
    <t>п.5.2.2</t>
  </si>
  <si>
    <t>п.5.2.3</t>
  </si>
  <si>
    <t>п.5.2.4</t>
  </si>
  <si>
    <t>п.5.2.5</t>
  </si>
  <si>
    <t>п.5.2.6</t>
  </si>
  <si>
    <t>п.5.2.7</t>
  </si>
  <si>
    <t>п.5.3.1</t>
  </si>
  <si>
    <t>п.5.3.2</t>
  </si>
  <si>
    <t>п.5.3.3</t>
  </si>
  <si>
    <t>п.5.3.4</t>
  </si>
  <si>
    <t>п.6.3.1</t>
  </si>
  <si>
    <t>п.6.3.2</t>
  </si>
  <si>
    <t>п.6.3.3</t>
  </si>
  <si>
    <t>п.6.3.4</t>
  </si>
  <si>
    <t>п.7.1.1</t>
  </si>
  <si>
    <t>п.7.1.2</t>
  </si>
  <si>
    <t>п.7.2.1</t>
  </si>
  <si>
    <t>п.7.2.2</t>
  </si>
  <si>
    <t>п.8.4</t>
  </si>
  <si>
    <t>п.9.2.1</t>
  </si>
  <si>
    <t>п.9.2.2</t>
  </si>
  <si>
    <t>п.9.2.3</t>
  </si>
  <si>
    <t>п.9.2.4</t>
  </si>
  <si>
    <t>п.9.3.1</t>
  </si>
  <si>
    <t>п.9.3.2</t>
  </si>
  <si>
    <t>п.9.3.3</t>
  </si>
  <si>
    <t>п.9.4.1</t>
  </si>
  <si>
    <t>п.9.4.2</t>
  </si>
  <si>
    <t>п.9.4.3</t>
  </si>
  <si>
    <t>п.9.4.4</t>
  </si>
  <si>
    <t>п.9.4.5</t>
  </si>
  <si>
    <t>п.9.5.1</t>
  </si>
  <si>
    <t>п.9.5.2</t>
  </si>
  <si>
    <t>п.9.6.1</t>
  </si>
  <si>
    <t>п.9.6.2</t>
  </si>
  <si>
    <t>п.9.6.3</t>
  </si>
  <si>
    <t>п.9.6.4</t>
  </si>
  <si>
    <t>п.9.6.5</t>
  </si>
  <si>
    <t>п.9.7.1</t>
  </si>
  <si>
    <t>п.9.7.2</t>
  </si>
  <si>
    <t>п.9.8.1</t>
  </si>
  <si>
    <t>п.9.8.2</t>
  </si>
  <si>
    <t>Требования к HTTP-заголовкам</t>
  </si>
  <si>
    <t>Заголовок «Content-Security-Policy»</t>
  </si>
  <si>
    <t>Требования к активному содержимому и скриптам</t>
  </si>
  <si>
    <t>Требования к сценариям JavaScript</t>
  </si>
  <si>
    <t>Требования к ActiveX и сценариям Visual Basic</t>
  </si>
  <si>
    <t>Требования к Java-апплетам</t>
  </si>
  <si>
    <t>Требования к проверке входных и выходных параметров</t>
  </si>
  <si>
    <t>Очистка возвращаемых данных</t>
  </si>
  <si>
    <t>Предотвращение раскрытия информации</t>
  </si>
  <si>
    <t>Минимизация вывода информации</t>
  </si>
  <si>
    <t>Требования к формированию URL</t>
  </si>
  <si>
    <t>Требования к сессиям</t>
  </si>
  <si>
    <t>Требования к идентификаторам сессий (Session ID)</t>
  </si>
  <si>
    <t>Завершение сессий</t>
  </si>
  <si>
    <t>Требования к использованию протокола HTTP</t>
  </si>
  <si>
    <t>Требования к использованию cookies</t>
  </si>
  <si>
    <t>Требования к HTML</t>
  </si>
  <si>
    <t>Требования к комментариям и скрытым полям HTML</t>
  </si>
  <si>
    <t>Требования к всплывающим окнам (pop-up)</t>
  </si>
  <si>
    <t>Требования к архитектуре</t>
  </si>
  <si>
    <t>Требования к контролю состояний процессов</t>
  </si>
  <si>
    <t>Скрытые и замаскированные ресурсы</t>
  </si>
  <si>
    <t>Требования к аутентификации</t>
  </si>
  <si>
    <t>Требования к авторизации</t>
  </si>
  <si>
    <t>Взаимодействие между компонентами</t>
  </si>
  <si>
    <t>Контроль состояния клиента</t>
  </si>
  <si>
    <t>Сокрытие внутренней структуры</t>
  </si>
  <si>
    <t>Требования к API</t>
  </si>
  <si>
    <t>Требования Приложения 3 к Стандарту</t>
  </si>
  <si>
    <t>п.1</t>
  </si>
  <si>
    <t>п.1.7</t>
  </si>
  <si>
    <t>п.2.3</t>
  </si>
  <si>
    <t>п.2.4</t>
  </si>
  <si>
    <t>п.2.5</t>
  </si>
  <si>
    <t>п.3.7</t>
  </si>
  <si>
    <t>п.9.4</t>
  </si>
  <si>
    <t>п.9.5</t>
  </si>
  <si>
    <t>п.9.6</t>
  </si>
  <si>
    <t>п.9.7</t>
  </si>
  <si>
    <t>п.9.8</t>
  </si>
  <si>
    <t>п.10</t>
  </si>
  <si>
    <t>п.4.4.1</t>
  </si>
  <si>
    <t>п.4.4.2</t>
  </si>
  <si>
    <t>п.4.4.3</t>
  </si>
  <si>
    <t>п.4.4.4</t>
  </si>
  <si>
    <t>п.4.4.5</t>
  </si>
  <si>
    <t>п.4.4.6</t>
  </si>
  <si>
    <t xml:space="preserve">По результатам аудита Системы со стороны ДИБ получено положительное заключение о возможности эксплуатации. </t>
  </si>
  <si>
    <t>Требования к «секрету»</t>
  </si>
  <si>
    <t>Структура запросов к API задокументирована.</t>
  </si>
  <si>
    <t>Для каждой функции реализована авторизация.</t>
  </si>
  <si>
    <t>Количество субъектов, данные по которым отдаются в одном ответе, ограничено.</t>
  </si>
  <si>
    <t>Система отдает по API только те данные, которые были запрошены.</t>
  </si>
  <si>
    <t>Для аутентификации подключаемых систем используется «секрет».</t>
  </si>
  <si>
    <t>«Секрет» не внедрен в код системы.</t>
  </si>
  <si>
    <t>«Секрет» доступен только для использования конкретной системой-клиентом (привязка по IP).</t>
  </si>
  <si>
    <t>Срок действия «секрета» не превышет 1 года.</t>
  </si>
  <si>
    <t>п.10.1</t>
  </si>
  <si>
    <t>п.10.2</t>
  </si>
  <si>
    <t>п.10.3</t>
  </si>
  <si>
    <t>п.10.4</t>
  </si>
  <si>
    <t>п.10.5</t>
  </si>
  <si>
    <t>п.10.5.1</t>
  </si>
  <si>
    <t>п.10.5.2</t>
  </si>
  <si>
    <t>п.10.5.3</t>
  </si>
  <si>
    <t>п.10.5.4</t>
  </si>
  <si>
    <t>Описание реализации требований Стандарта</t>
  </si>
  <si>
    <t>Серверные компоненты Системы размещены в серверных сегментах сети Общества.</t>
  </si>
  <si>
    <t>Для организации защищенного удаленного доступа к ресурсам Системы используется централизованный VPN-шлюз Общества.</t>
  </si>
  <si>
    <t>Система корректно функционирует с используемыми в Обществе средствами защиты.</t>
  </si>
  <si>
    <t>Компоненты Системы построены на продуктах и операционных системах, удовлетворяющих всем требованиям стандартов Общества по информационной безопасности.</t>
  </si>
  <si>
    <t>Время, указываемое в журналах аудита, синхронизировано с временем NTP-сервера Общества.</t>
  </si>
  <si>
    <t>Система соответствует типовой модели угроз ПДн, утвержденной в Обществе.
Или разработана частная модель угроз, разработан и внедрен проект защиты ПДн Системы.</t>
  </si>
  <si>
    <t>В web-приложении используются только JavaScript-сценарии из системы хранения исходного кода Общества.</t>
  </si>
  <si>
    <t>Контролируется отсутствие информации о внутренней структуре Системы или сети Общества в ответах и страницах web-приложений Системы.</t>
  </si>
  <si>
    <t>Обрабатываемые данные, относящиеся к коммерческой тайне и иной конфиденциальной информации Общества 
(см. приложение № 1 к приказу от 11.11.2010 
№ 464-п «Перечень …»)</t>
  </si>
  <si>
    <t xml:space="preserve">                                                                  Приложение № 7</t>
  </si>
  <si>
    <t xml:space="preserve">                                                                  к Стандарту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</si>
</sst>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name val="Times New Roman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6" borderId="41" xfId="0" applyFont="1" applyFill="1" applyBorder="1" applyAlignment="1" applyProtection="1">
      <alignment horizontal="center" vertical="center" wrapText="1"/>
    </xf>
    <xf numFmtId="0" fontId="3" fillId="6" borderId="42" xfId="0" applyFont="1" applyFill="1" applyBorder="1" applyAlignment="1" applyProtection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1" fillId="7" borderId="22" xfId="0" applyFont="1" applyFill="1" applyBorder="1" applyAlignment="1" applyProtection="1">
      <alignment horizontal="center" vertical="center" wrapText="1"/>
    </xf>
    <xf numFmtId="0" fontId="1" fillId="7" borderId="2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2" fillId="7" borderId="19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3" fillId="6" borderId="47" xfId="0" applyFont="1" applyFill="1" applyBorder="1" applyAlignment="1" applyProtection="1">
      <alignment horizontal="center" vertical="center" wrapText="1"/>
    </xf>
    <xf numFmtId="0" fontId="3" fillId="6" borderId="49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32" xfId="0" applyFont="1" applyFill="1" applyBorder="1" applyAlignment="1" applyProtection="1">
      <alignment vertical="center" wrapText="1"/>
      <protection locked="0"/>
    </xf>
    <xf numFmtId="0" fontId="7" fillId="0" borderId="33" xfId="0" applyFont="1" applyFill="1" applyBorder="1" applyAlignment="1" applyProtection="1">
      <alignment vertical="center" wrapText="1"/>
      <protection locked="0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5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justify" vertical="center" wrapText="1"/>
    </xf>
    <xf numFmtId="49" fontId="2" fillId="0" borderId="7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justify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10" fontId="2" fillId="0" borderId="6" xfId="0" applyNumberFormat="1" applyFont="1" applyFill="1" applyBorder="1" applyAlignment="1" applyProtection="1">
      <alignment horizontal="left" vertical="center" wrapText="1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Alignment="1" applyProtection="1">
      <alignment horizontal="left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4" xfId="0" applyFont="1" applyFill="1" applyBorder="1" applyAlignment="1" applyProtection="1">
      <alignment vertic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0" fontId="3" fillId="6" borderId="52" xfId="0" applyFont="1" applyFill="1" applyBorder="1" applyAlignment="1" applyProtection="1">
      <alignment horizontal="center" vertical="center" wrapText="1"/>
    </xf>
    <xf numFmtId="0" fontId="6" fillId="6" borderId="47" xfId="0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/>
    </xf>
    <xf numFmtId="0" fontId="1" fillId="7" borderId="53" xfId="0" applyFont="1" applyFill="1" applyBorder="1" applyAlignment="1" applyProtection="1">
      <alignment horizontal="center" vertical="center"/>
    </xf>
    <xf numFmtId="0" fontId="2" fillId="7" borderId="5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7" borderId="19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6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7" borderId="21" xfId="0" applyFont="1" applyFill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1" fillId="7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7" borderId="30" xfId="0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7" fillId="7" borderId="12" xfId="0" applyFont="1" applyFill="1" applyBorder="1" applyAlignment="1" applyProtection="1">
      <alignment vertical="center" wrapText="1"/>
    </xf>
    <xf numFmtId="10" fontId="7" fillId="7" borderId="14" xfId="0" applyNumberFormat="1" applyFont="1" applyFill="1" applyBorder="1" applyAlignment="1" applyProtection="1">
      <alignment horizontal="center" vertical="center" wrapText="1"/>
    </xf>
    <xf numFmtId="0" fontId="7" fillId="7" borderId="15" xfId="0" applyFont="1" applyFill="1" applyBorder="1" applyAlignment="1" applyProtection="1">
      <alignment vertical="center" wrapText="1"/>
    </xf>
    <xf numFmtId="10" fontId="8" fillId="7" borderId="17" xfId="0" applyNumberFormat="1" applyFont="1" applyFill="1" applyBorder="1" applyAlignment="1" applyProtection="1">
      <alignment horizontal="center" vertical="center" wrapText="1"/>
    </xf>
    <xf numFmtId="49" fontId="3" fillId="7" borderId="51" xfId="0" applyNumberFormat="1" applyFont="1" applyFill="1" applyBorder="1" applyAlignment="1" applyProtection="1">
      <alignment horizontal="center" vertical="center" wrapText="1"/>
    </xf>
    <xf numFmtId="0" fontId="3" fillId="7" borderId="52" xfId="0" applyFont="1" applyFill="1" applyBorder="1" applyAlignment="1" applyProtection="1">
      <alignment horizontal="center" vertical="center" wrapText="1"/>
    </xf>
    <xf numFmtId="49" fontId="1" fillId="7" borderId="22" xfId="0" applyNumberFormat="1" applyFont="1" applyFill="1" applyBorder="1" applyAlignment="1" applyProtection="1">
      <alignment horizontal="center" vertical="center" wrapText="1"/>
    </xf>
    <xf numFmtId="10" fontId="1" fillId="7" borderId="21" xfId="0" applyNumberFormat="1" applyFont="1" applyFill="1" applyBorder="1" applyAlignment="1" applyProtection="1">
      <alignment horizontal="center" vertical="center" wrapText="1"/>
    </xf>
    <xf numFmtId="10" fontId="1" fillId="7" borderId="28" xfId="0" applyNumberFormat="1" applyFont="1" applyFill="1" applyBorder="1" applyAlignment="1" applyProtection="1">
      <alignment horizontal="center" vertical="center" wrapText="1"/>
    </xf>
    <xf numFmtId="0" fontId="1" fillId="7" borderId="37" xfId="0" applyFont="1" applyFill="1" applyBorder="1" applyAlignment="1" applyProtection="1">
      <alignment horizontal="center" vertical="center" wrapText="1"/>
    </xf>
    <xf numFmtId="0" fontId="2" fillId="7" borderId="28" xfId="0" applyFont="1" applyFill="1" applyBorder="1" applyAlignment="1" applyProtection="1">
      <alignment horizontal="center" vertical="center" wrapText="1"/>
    </xf>
    <xf numFmtId="0" fontId="5" fillId="7" borderId="21" xfId="0" applyFont="1" applyFill="1" applyBorder="1" applyAlignment="1" applyProtection="1">
      <alignment horizontal="center" vertical="center"/>
    </xf>
    <xf numFmtId="0" fontId="1" fillId="7" borderId="37" xfId="0" applyFont="1" applyFill="1" applyBorder="1" applyAlignment="1" applyProtection="1">
      <alignment horizontal="center" vertical="center"/>
    </xf>
    <xf numFmtId="49" fontId="1" fillId="7" borderId="53" xfId="0" applyNumberFormat="1" applyFont="1" applyFill="1" applyBorder="1" applyAlignment="1" applyProtection="1">
      <alignment horizontal="center" vertical="center" wrapText="1"/>
    </xf>
    <xf numFmtId="10" fontId="1" fillId="7" borderId="41" xfId="0" applyNumberFormat="1" applyFont="1" applyFill="1" applyBorder="1" applyAlignment="1" applyProtection="1">
      <alignment horizontal="center" vertical="center" wrapText="1"/>
    </xf>
    <xf numFmtId="10" fontId="1" fillId="7" borderId="40" xfId="0" applyNumberFormat="1" applyFont="1" applyFill="1" applyBorder="1" applyAlignment="1" applyProtection="1">
      <alignment horizontal="center" vertical="center" wrapText="1"/>
    </xf>
    <xf numFmtId="0" fontId="1" fillId="7" borderId="43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left" wrapText="1"/>
    </xf>
    <xf numFmtId="0" fontId="1" fillId="7" borderId="13" xfId="0" applyFont="1" applyFill="1" applyBorder="1" applyAlignment="1" applyProtection="1">
      <alignment horizontal="center" vertical="center"/>
    </xf>
    <xf numFmtId="0" fontId="2" fillId="7" borderId="14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left" wrapText="1"/>
    </xf>
    <xf numFmtId="0" fontId="1" fillId="7" borderId="16" xfId="0" applyFont="1" applyFill="1" applyBorder="1" applyAlignment="1" applyProtection="1">
      <alignment horizontal="center" vertical="center"/>
    </xf>
    <xf numFmtId="0" fontId="2" fillId="7" borderId="17" xfId="0" applyFont="1" applyFill="1" applyBorder="1" applyAlignment="1" applyProtection="1">
      <alignment horizontal="center" vertical="center"/>
    </xf>
    <xf numFmtId="49" fontId="3" fillId="7" borderId="42" xfId="0" applyNumberFormat="1" applyFont="1" applyFill="1" applyBorder="1" applyAlignment="1" applyProtection="1">
      <alignment horizontal="center" vertical="center" wrapText="1"/>
    </xf>
    <xf numFmtId="0" fontId="3" fillId="7" borderId="47" xfId="0" applyFont="1" applyFill="1" applyBorder="1" applyAlignment="1" applyProtection="1">
      <alignment horizontal="center" vertical="center" wrapText="1"/>
    </xf>
    <xf numFmtId="0" fontId="3" fillId="7" borderId="48" xfId="0" applyFont="1" applyFill="1" applyBorder="1" applyAlignment="1" applyProtection="1">
      <alignment horizontal="center" vertical="center" wrapText="1"/>
    </xf>
    <xf numFmtId="0" fontId="3" fillId="7" borderId="42" xfId="0" applyFont="1" applyFill="1" applyBorder="1" applyAlignment="1" applyProtection="1">
      <alignment horizontal="center" vertical="center" wrapText="1"/>
    </xf>
    <xf numFmtId="10" fontId="1" fillId="7" borderId="21" xfId="0" applyNumberFormat="1" applyFont="1" applyFill="1" applyBorder="1" applyAlignment="1" applyProtection="1">
      <alignment horizontal="left" vertical="center" wrapText="1"/>
    </xf>
    <xf numFmtId="49" fontId="1" fillId="7" borderId="18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1" fillId="7" borderId="23" xfId="0" applyFont="1" applyFill="1" applyBorder="1" applyAlignment="1" applyProtection="1">
      <alignment horizontal="left" vertical="center" wrapText="1"/>
    </xf>
    <xf numFmtId="49" fontId="3" fillId="7" borderId="0" xfId="0" applyNumberFormat="1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3" fillId="7" borderId="28" xfId="0" applyFont="1" applyFill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horizontal="center" vertical="center" wrapText="1"/>
    </xf>
    <xf numFmtId="0" fontId="1" fillId="7" borderId="28" xfId="0" applyFont="1" applyFill="1" applyBorder="1" applyAlignment="1" applyProtection="1">
      <alignment horizontal="center" vertical="center" wrapText="1"/>
    </xf>
    <xf numFmtId="0" fontId="5" fillId="7" borderId="33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5" fillId="7" borderId="28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left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left" vertical="center" wrapText="1"/>
    </xf>
    <xf numFmtId="0" fontId="1" fillId="7" borderId="16" xfId="0" applyFont="1" applyFill="1" applyBorder="1" applyAlignment="1" applyProtection="1">
      <alignment horizontal="center" vertical="center" wrapText="1"/>
    </xf>
    <xf numFmtId="0" fontId="2" fillId="7" borderId="17" xfId="0" applyFont="1" applyFill="1" applyBorder="1" applyAlignment="1" applyProtection="1">
      <alignment horizontal="center" vertical="center" wrapText="1"/>
    </xf>
    <xf numFmtId="0" fontId="8" fillId="7" borderId="29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7" borderId="39" xfId="0" applyFont="1" applyFill="1" applyBorder="1" applyAlignment="1" applyProtection="1">
      <alignment horizontal="center"/>
    </xf>
    <xf numFmtId="0" fontId="8" fillId="7" borderId="26" xfId="0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1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A7A7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ill>
        <patternFill>
          <bgColor rgb="FFF8B3A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8B3A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F8B3A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9ADAD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</dxfs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8B3AE"/>
      <color rgb="FFF9ADAD"/>
      <color rgb="FFFFA7A7"/>
      <color rgb="FFF6A4A4"/>
      <color rgb="FFF7A3A3"/>
      <color rgb="FFFFCCCC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Общ" displayName="ТаблОбщ" ref="A1:H130" totalsRowShown="0" headerRowDxfId="95" dataDxfId="93" headerRowBorderDxfId="94" tableBorderDxfId="92" totalsRowBorderDxfId="91">
  <autoFilter ref="A1:H130" xr:uid="{00000000-0009-0000-0100-000007000000}"/>
  <tableColumns count="8">
    <tableColumn id="2" xr3:uid="{00000000-0010-0000-0000-000002000000}" name="Пункт Стандарта" dataDxfId="90"/>
    <tableColumn id="3" xr3:uid="{00000000-0010-0000-0000-000003000000}" name="Требования (вопрос)" dataDxfId="89"/>
    <tableColumn id="4" xr3:uid="{00000000-0010-0000-0000-000004000000}" name="Выполнение" dataDxfId="88"/>
    <tableColumn id="5" xr3:uid="{00000000-0010-0000-0000-000005000000}" name="Баллы" dataDxfId="87">
      <calculatedColumnFormula>VLOOKUP(ТаблОбщ[[#This Row],[Выполнение]],Статус[],2)</calculatedColumnFormula>
    </tableColumn>
    <tableColumn id="6" xr3:uid="{00000000-0010-0000-0000-000006000000}" name="Критичность" dataDxfId="86"/>
    <tableColumn id="7" xr3:uid="{00000000-0010-0000-0000-000007000000}" name="Коэффициент" dataDxfId="85" totalsRowDxfId="84">
      <calculatedColumnFormula>VLOOKUP(ТаблОбщ[[#This Row],[Критичность]],Важность[],2)</calculatedColumnFormula>
    </tableColumn>
    <tableColumn id="8" xr3:uid="{00000000-0010-0000-0000-000008000000}" name="Наличие" dataDxfId="83" totalsRowDxfId="82">
      <calculatedColumnFormula>IF(ТаблОбщ[[#This Row],[Баллы]]="#",0,1)</calculatedColumnFormula>
    </tableColumn>
    <tableColumn id="9" xr3:uid="{00000000-0010-0000-0000-000009000000}" name="Удовлетворение" dataDxfId="81" totalsRowDxfId="80">
      <calculatedColumnFormula>IF(ТаблОбщ[[#This Row],[Коэффициент]]=4,IF(ТаблОбщ[[#This Row],[Баллы]]=4,"","Крит. неуд"),IF(ТаблОбщ[[#This Row],[Коэффициент]]=2,IF(ТаблОбщ[[#This Row],[Баллы]]=4,"","Сред. неуд"),""))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Веб" displayName="ТаблВеб" ref="A1:H137" totalsRowShown="0" headerRowDxfId="64" dataDxfId="62" headerRowBorderDxfId="63" tableBorderDxfId="61">
  <autoFilter ref="A1:H137" xr:uid="{00000000-0009-0000-0100-000004000000}"/>
  <tableColumns count="8">
    <tableColumn id="2" xr3:uid="{00000000-0010-0000-0100-000002000000}" name="Пункт Прил.2" dataDxfId="60" totalsRowDxfId="59"/>
    <tableColumn id="3" xr3:uid="{00000000-0010-0000-0100-000003000000}" name="Требования (вопрос)" dataDxfId="58" totalsRowDxfId="57"/>
    <tableColumn id="4" xr3:uid="{00000000-0010-0000-0100-000004000000}" name="Выполнение" dataDxfId="56" totalsRowDxfId="55"/>
    <tableColumn id="5" xr3:uid="{00000000-0010-0000-0100-000005000000}" name="Баллы" dataDxfId="54" totalsRowDxfId="53"/>
    <tableColumn id="6" xr3:uid="{00000000-0010-0000-0100-000006000000}" name="Критичность" dataDxfId="52" totalsRowDxfId="51"/>
    <tableColumn id="7" xr3:uid="{00000000-0010-0000-0100-000007000000}" name="Коэффициент" dataDxfId="50" totalsRowDxfId="49"/>
    <tableColumn id="8" xr3:uid="{00000000-0010-0000-0100-000008000000}" name="Наличие" dataDxfId="48" totalsRowDxfId="47"/>
    <tableColumn id="9" xr3:uid="{00000000-0010-0000-0100-000009000000}" name="Удовлетворение" dataDxfId="46" totalsRowDxfId="45">
      <calculatedColumnFormula>IF(ТаблВеб[[#This Row],[Коэффициент]]=4,IF(ТаблВеб[[#This Row],[Баллы]]=4,"","Крит. неуд"),IF(ТаблВеб[[#This Row],[Коэффициент]]=2,IF(ТаблВеб[[#This Row],[Баллы]]=4,"","Сред. неуд"),""))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ТаблМоб" displayName="ТаблМоб" ref="A1:H84" totalsRowShown="0" headerRowDxfId="38" dataDxfId="36" headerRowBorderDxfId="37" tableBorderDxfId="35">
  <autoFilter ref="A1:H84" xr:uid="{00000000-0009-0000-0100-000006000000}"/>
  <tableColumns count="8">
    <tableColumn id="1" xr3:uid="{00000000-0010-0000-0200-000001000000}" name="Пункт Прил. 3" dataDxfId="34"/>
    <tableColumn id="3" xr3:uid="{00000000-0010-0000-0200-000003000000}" name="Требования (вопрос)" dataDxfId="33"/>
    <tableColumn id="4" xr3:uid="{00000000-0010-0000-0200-000004000000}" name="Выполнение" dataDxfId="32"/>
    <tableColumn id="5" xr3:uid="{00000000-0010-0000-0200-000005000000}" name="Баллы" dataDxfId="31"/>
    <tableColumn id="6" xr3:uid="{00000000-0010-0000-0200-000006000000}" name="Критичность" dataDxfId="30"/>
    <tableColumn id="7" xr3:uid="{00000000-0010-0000-0200-000007000000}" name="Коэффициент" dataDxfId="29"/>
    <tableColumn id="8" xr3:uid="{00000000-0010-0000-0200-000008000000}" name="Наличие" dataDxfId="28"/>
    <tableColumn id="9" xr3:uid="{00000000-0010-0000-0200-000009000000}" name="Удовлетворение" dataDxfId="27">
      <calculatedColumnFormula>IF(ТаблМоб[[#This Row],[Коэффициент]]=4,IF(ТаблМоб[[#This Row],[Баллы]]=4,"","Крит. неуд"),IF(ТаблМоб[[#This Row],[Коэффициент]]=2,IF(ТаблМоб[[#This Row],[Баллы]]=4,"","Сред. неуд"),""))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Статус" displayName="Статус" ref="A1:B6" totalsRowShown="0" headerRowDxfId="26" headerRowBorderDxfId="25" tableBorderDxfId="24" totalsRowBorderDxfId="23">
  <autoFilter ref="A1:B6" xr:uid="{00000000-0009-0000-0100-000002000000}"/>
  <sortState xmlns:xlrd2="http://schemas.microsoft.com/office/spreadsheetml/2017/richdata2" ref="A2:B6">
    <sortCondition ref="A1:A6"/>
  </sortState>
  <tableColumns count="2">
    <tableColumn id="1" xr3:uid="{00000000-0010-0000-0300-000001000000}" name="Выполнение" dataDxfId="22"/>
    <tableColumn id="2" xr3:uid="{00000000-0010-0000-0300-000002000000}" name="Баллы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Важность" displayName="Важность" ref="A9:B12" totalsRowShown="0" headerRowDxfId="20" dataDxfId="18" headerRowBorderDxfId="19" tableBorderDxfId="17" totalsRowBorderDxfId="16">
  <autoFilter ref="A9:B12" xr:uid="{00000000-0009-0000-0100-000003000000}"/>
  <sortState xmlns:xlrd2="http://schemas.microsoft.com/office/spreadsheetml/2017/richdata2" ref="A10:B12">
    <sortCondition ref="A9:A12"/>
  </sortState>
  <tableColumns count="2">
    <tableColumn id="1" xr3:uid="{00000000-0010-0000-0400-000001000000}" name="Критичность" dataDxfId="15"/>
    <tableColumn id="2" xr3:uid="{00000000-0010-0000-0400-000002000000}" name="Коэффициент" dataDxfId="1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Цвет" displayName="Цвет" ref="A15:B18" totalsRowShown="0" headerRowDxfId="13" dataDxfId="11" headerRowBorderDxfId="12" tableBorderDxfId="10" totalsRowBorderDxfId="9">
  <autoFilter ref="A15:B18" xr:uid="{00000000-0009-0000-0100-000001000000}"/>
  <sortState xmlns:xlrd2="http://schemas.microsoft.com/office/spreadsheetml/2017/richdata2" ref="A16:B18">
    <sortCondition ref="A15:A18"/>
  </sortState>
  <tableColumns count="2">
    <tableColumn id="1" xr3:uid="{00000000-0010-0000-0500-000001000000}" name="Цвет" dataDxfId="8"/>
    <tableColumn id="2" xr3:uid="{00000000-0010-0000-0500-000002000000}" name="Значение" dataDxfId="7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Код_выполнения" displayName="Код_выполнения" comment="Расшифровка кодов выполнения требований" ref="D1:E5" totalsRowShown="0" headerRowDxfId="6" dataDxfId="4" headerRowBorderDxfId="5" tableBorderDxfId="3" totalsRowBorderDxfId="2">
  <autoFilter ref="D1:E5" xr:uid="{00000000-0009-0000-0100-000008000000}"/>
  <sortState xmlns:xlrd2="http://schemas.microsoft.com/office/spreadsheetml/2017/richdata2" ref="D2:E5">
    <sortCondition ref="D1:D5"/>
  </sortState>
  <tableColumns count="2">
    <tableColumn id="1" xr3:uid="{00000000-0010-0000-0600-000001000000}" name="Код выполнения" dataDxfId="1"/>
    <tableColumn id="2" xr3:uid="{00000000-0010-0000-0600-000002000000}" name="Расшифровка выполне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18"/>
  <sheetViews>
    <sheetView zoomScaleNormal="100" workbookViewId="0">
      <selection activeCell="B7" sqref="B7"/>
    </sheetView>
  </sheetViews>
  <sheetFormatPr defaultRowHeight="15.5" x14ac:dyDescent="0.35"/>
  <cols>
    <col min="1" max="1" width="56.453125" style="1" customWidth="1"/>
    <col min="2" max="2" width="74" style="1" customWidth="1"/>
  </cols>
  <sheetData>
    <row r="1" spans="1:2" ht="18" x14ac:dyDescent="0.35">
      <c r="B1" s="53" t="s">
        <v>693</v>
      </c>
    </row>
    <row r="2" spans="1:2" ht="18" x14ac:dyDescent="0.35">
      <c r="B2" s="53" t="s">
        <v>694</v>
      </c>
    </row>
    <row r="4" spans="1:2" ht="18" x14ac:dyDescent="0.4">
      <c r="A4" s="201" t="s">
        <v>683</v>
      </c>
      <c r="B4" s="201"/>
    </row>
    <row r="5" spans="1:2" ht="16" thickBot="1" x14ac:dyDescent="0.4"/>
    <row r="6" spans="1:2" ht="18" thickBot="1" x14ac:dyDescent="0.4">
      <c r="A6" s="197" t="s">
        <v>0</v>
      </c>
      <c r="B6" s="198"/>
    </row>
    <row r="7" spans="1:2" ht="18" x14ac:dyDescent="0.35">
      <c r="A7" s="149" t="s">
        <v>1</v>
      </c>
      <c r="B7" s="54"/>
    </row>
    <row r="8" spans="1:2" ht="18" x14ac:dyDescent="0.35">
      <c r="A8" s="149" t="s">
        <v>2</v>
      </c>
      <c r="B8" s="55"/>
    </row>
    <row r="9" spans="1:2" ht="18" x14ac:dyDescent="0.35">
      <c r="A9" s="149" t="s">
        <v>3</v>
      </c>
      <c r="B9" s="55"/>
    </row>
    <row r="10" spans="1:2" ht="90.5" thickBot="1" x14ac:dyDescent="0.4">
      <c r="A10" s="150" t="s">
        <v>692</v>
      </c>
      <c r="B10" s="56"/>
    </row>
    <row r="11" spans="1:2" ht="16" thickBot="1" x14ac:dyDescent="0.4"/>
    <row r="12" spans="1:2" ht="18" thickBot="1" x14ac:dyDescent="0.4">
      <c r="A12" s="199" t="s">
        <v>267</v>
      </c>
      <c r="B12" s="200"/>
    </row>
    <row r="13" spans="1:2" ht="18" x14ac:dyDescent="0.35">
      <c r="A13" s="151" t="s">
        <v>281</v>
      </c>
      <c r="B13" s="152" t="str">
        <f>Общие!B130</f>
        <v>Требования Стандарта</v>
      </c>
    </row>
    <row r="14" spans="1:2" ht="25" customHeight="1" thickBot="1" x14ac:dyDescent="0.4">
      <c r="A14" s="153" t="str">
        <f>IF(Общие!D132&lt;&gt;"У",Общие!D132,Общие!D133)</f>
        <v>У</v>
      </c>
      <c r="B14" s="154" t="str">
        <f>VLOOKUP(A14,Код_выполнения[],2)</f>
        <v>Система допускается к эксплуатации.</v>
      </c>
    </row>
    <row r="15" spans="1:2" ht="18" x14ac:dyDescent="0.35">
      <c r="A15" s="151" t="s">
        <v>282</v>
      </c>
      <c r="B15" s="152" t="str">
        <f>Web!B137</f>
        <v>Требования Приложения 2 к Стандарту</v>
      </c>
    </row>
    <row r="16" spans="1:2" ht="25" customHeight="1" thickBot="1" x14ac:dyDescent="0.4">
      <c r="A16" s="153" t="str">
        <f>IF(Web!D139&lt;&gt;"У",Web!D139,Web!D140)</f>
        <v>У</v>
      </c>
      <c r="B16" s="154" t="str">
        <f>VLOOKUP(A16,Код_выполнения[],2)</f>
        <v>Система допускается к эксплуатации.</v>
      </c>
    </row>
    <row r="17" spans="1:2" ht="18" x14ac:dyDescent="0.35">
      <c r="A17" s="151" t="s">
        <v>283</v>
      </c>
      <c r="B17" s="152" t="str">
        <f>Мобильные!B84</f>
        <v>Требования Приложения 3 к Стандарту</v>
      </c>
    </row>
    <row r="18" spans="1:2" ht="25" customHeight="1" thickBot="1" x14ac:dyDescent="0.4">
      <c r="A18" s="153" t="str">
        <f>IF(Мобильные!D86&lt;&gt;"У",Мобильные!D86,Мобильные!D87)</f>
        <v>У</v>
      </c>
      <c r="B18" s="154" t="str">
        <f>VLOOKUP(A18,Код_выполнения[],2)</f>
        <v>Система допускается к эксплуатации.</v>
      </c>
    </row>
  </sheetData>
  <sheetProtection algorithmName="SHA-512" hashValue="9IwcSi7hETKao9rOyqFZ6TyVuc56x/U7eICgL8p7RM0nRBmL/5MLxO7cXKWQ/9TYaw20pMq+IhL0IdmqBya2Pg==" saltValue="PUtkjq2sFal4SLgvNUNBsw==" spinCount="100000" sheet="1" objects="1" scenarios="1"/>
  <mergeCells count="3">
    <mergeCell ref="A6:B6"/>
    <mergeCell ref="A12:B12"/>
    <mergeCell ref="A4:B4"/>
  </mergeCells>
  <pageMargins left="0.59055118110236227" right="0.78740157480314965" top="1.1811023622047245" bottom="0.78740157480314965" header="0.39370078740157483" footer="0"/>
  <pageSetup paperSize="9" firstPageNumber="43" orientation="landscape" useFirstPageNumber="1" r:id="rId1"/>
  <headerFooter>
    <oddHeader>&amp;C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3"/>
  <sheetViews>
    <sheetView zoomScaleNormal="100" zoomScalePageLayoutView="70" workbookViewId="0">
      <selection activeCell="C3" sqref="C3"/>
    </sheetView>
  </sheetViews>
  <sheetFormatPr defaultColWidth="9.1796875" defaultRowHeight="15.5" x14ac:dyDescent="0.35"/>
  <cols>
    <col min="1" max="1" width="12.7265625" style="85" customWidth="1"/>
    <col min="2" max="2" width="60.26953125" style="85" customWidth="1"/>
    <col min="3" max="3" width="25" style="60" customWidth="1"/>
    <col min="4" max="4" width="13" style="60" customWidth="1"/>
    <col min="5" max="5" width="20.1796875" style="86" customWidth="1"/>
    <col min="6" max="6" width="21" style="23" hidden="1" customWidth="1"/>
    <col min="7" max="7" width="15.54296875" style="23" hidden="1" customWidth="1"/>
    <col min="8" max="8" width="22.81640625" style="24" hidden="1" customWidth="1"/>
    <col min="9" max="9" width="7" style="24" customWidth="1"/>
    <col min="10" max="16384" width="9.1796875" style="24"/>
  </cols>
  <sheetData>
    <row r="1" spans="1:8" s="23" customFormat="1" ht="32.25" customHeight="1" thickBot="1" x14ac:dyDescent="0.4">
      <c r="A1" s="155" t="s">
        <v>17</v>
      </c>
      <c r="B1" s="156" t="s">
        <v>18</v>
      </c>
      <c r="C1" s="156" t="s">
        <v>4</v>
      </c>
      <c r="D1" s="156" t="s">
        <v>5</v>
      </c>
      <c r="E1" s="156" t="s">
        <v>6</v>
      </c>
      <c r="F1" s="112" t="s">
        <v>7</v>
      </c>
      <c r="G1" s="112" t="s">
        <v>19</v>
      </c>
      <c r="H1" s="113" t="s">
        <v>268</v>
      </c>
    </row>
    <row r="2" spans="1:8" ht="30.5" thickBot="1" x14ac:dyDescent="0.4">
      <c r="A2" s="157" t="s">
        <v>326</v>
      </c>
      <c r="B2" s="158" t="s">
        <v>411</v>
      </c>
      <c r="C2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2" s="160">
        <f>SUMPRODUCT(О_Б_4.1,О_К_4.1)+D9</f>
        <v>0</v>
      </c>
      <c r="E2" s="161"/>
      <c r="F2" s="42">
        <f>SUMPRODUCT(О_К_4.1,О_Н_4.1)*VLOOKUP("Выполняется полностью",Статус[],2)+F9</f>
        <v>0</v>
      </c>
      <c r="G2" s="47"/>
      <c r="H2" s="11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3" spans="1:8" ht="31" x14ac:dyDescent="0.35">
      <c r="A3" s="61" t="s">
        <v>414</v>
      </c>
      <c r="B3" s="48" t="s">
        <v>409</v>
      </c>
      <c r="C3" s="57" t="s">
        <v>15</v>
      </c>
      <c r="D3" s="62" t="str">
        <f>VLOOKUP(ТаблОбщ[[#This Row],[Выполнение]],Статус[],2)</f>
        <v>&lt;- Выберите</v>
      </c>
      <c r="E3" s="63" t="s">
        <v>9</v>
      </c>
      <c r="F3" s="26">
        <f>VLOOKUP(ТаблОбщ[[#This Row],[Критичность]],Важность[],2)</f>
        <v>4</v>
      </c>
      <c r="G3" s="22">
        <f>IF(OR(ТаблОбщ[[#This Row],[Баллы]]="#",ТаблОбщ[[#This Row],[Выполнение]]=" "),0,1)</f>
        <v>0</v>
      </c>
      <c r="H3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4" spans="1:8" ht="46.5" x14ac:dyDescent="0.35">
      <c r="A4" s="64" t="s">
        <v>415</v>
      </c>
      <c r="B4" s="65" t="s">
        <v>410</v>
      </c>
      <c r="C4" s="58" t="s">
        <v>15</v>
      </c>
      <c r="D4" s="66" t="str">
        <f>VLOOKUP(ТаблОбщ[[#This Row],[Выполнение]],Статус[],2)</f>
        <v>&lt;- Выберите</v>
      </c>
      <c r="E4" s="67" t="s">
        <v>9</v>
      </c>
      <c r="F4" s="28">
        <f>VLOOKUP(ТаблОбщ[[#This Row],[Критичность]],Важность[],2)</f>
        <v>4</v>
      </c>
      <c r="G4" s="20">
        <f>IF(OR(ТаблОбщ[[#This Row],[Баллы]]="#",ТаблОбщ[[#This Row],[Выполнение]]=" "),0,1)</f>
        <v>0</v>
      </c>
      <c r="H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5" spans="1:8" ht="31" x14ac:dyDescent="0.35">
      <c r="A5" s="64" t="s">
        <v>416</v>
      </c>
      <c r="B5" s="65" t="s">
        <v>20</v>
      </c>
      <c r="C5" s="58" t="s">
        <v>15</v>
      </c>
      <c r="D5" s="66" t="str">
        <f>VLOOKUP(ТаблОбщ[[#This Row],[Выполнение]],Статус[],2)</f>
        <v>&lt;- Выберите</v>
      </c>
      <c r="E5" s="67" t="s">
        <v>9</v>
      </c>
      <c r="F5" s="28">
        <f>VLOOKUP(ТаблОбщ[[#This Row],[Критичность]],Важность[],2)</f>
        <v>4</v>
      </c>
      <c r="G5" s="20">
        <f>IF(OR(ТаблОбщ[[#This Row],[Баллы]]="#",ТаблОбщ[[#This Row],[Выполнение]]=" "),0,1)</f>
        <v>0</v>
      </c>
      <c r="H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" spans="1:8" ht="46.5" x14ac:dyDescent="0.35">
      <c r="A6" s="64" t="s">
        <v>417</v>
      </c>
      <c r="B6" s="65" t="s">
        <v>541</v>
      </c>
      <c r="C6" s="58" t="s">
        <v>15</v>
      </c>
      <c r="D6" s="66" t="str">
        <f>VLOOKUP(ТаблОбщ[[#This Row],[Выполнение]],Статус[],2)</f>
        <v>&lt;- Выберите</v>
      </c>
      <c r="E6" s="67" t="s">
        <v>9</v>
      </c>
      <c r="F6" s="28">
        <f>VLOOKUP(ТаблОбщ[[#This Row],[Критичность]],Важность[],2)</f>
        <v>4</v>
      </c>
      <c r="G6" s="20">
        <f>IF(OR(ТаблОбщ[[#This Row],[Баллы]]="#",ТаблОбщ[[#This Row],[Выполнение]]=" "),0,1)</f>
        <v>0</v>
      </c>
      <c r="H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" spans="1:8" x14ac:dyDescent="0.35">
      <c r="A7" s="64" t="s">
        <v>418</v>
      </c>
      <c r="B7" s="65" t="s">
        <v>21</v>
      </c>
      <c r="C7" s="58" t="s">
        <v>15</v>
      </c>
      <c r="D7" s="66" t="str">
        <f>VLOOKUP(ТаблОбщ[[#This Row],[Выполнение]],Статус[],2)</f>
        <v>&lt;- Выберите</v>
      </c>
      <c r="E7" s="67" t="s">
        <v>9</v>
      </c>
      <c r="F7" s="28">
        <f>VLOOKUP(ТаблОбщ[[#This Row],[Критичность]],Важность[],2)</f>
        <v>4</v>
      </c>
      <c r="G7" s="20">
        <f>IF(OR(ТаблОбщ[[#This Row],[Баллы]]="#",ТаблОбщ[[#This Row],[Выполнение]]=" "),0,1)</f>
        <v>0</v>
      </c>
      <c r="H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8" spans="1:8" ht="31.5" thickBot="1" x14ac:dyDescent="0.4">
      <c r="A8" s="68" t="s">
        <v>419</v>
      </c>
      <c r="B8" s="50" t="s">
        <v>22</v>
      </c>
      <c r="C8" s="59" t="s">
        <v>15</v>
      </c>
      <c r="D8" s="69" t="str">
        <f>VLOOKUP(ТаблОбщ[[#This Row],[Выполнение]],Статус[],2)</f>
        <v>&lt;- Выберите</v>
      </c>
      <c r="E8" s="70" t="s">
        <v>9</v>
      </c>
      <c r="F8" s="27">
        <f>VLOOKUP(ТаблОбщ[[#This Row],[Критичность]],Важность[],2)</f>
        <v>4</v>
      </c>
      <c r="G8" s="21">
        <f>IF(OR(ТаблОбщ[[#This Row],[Баллы]]="#",ТаблОбщ[[#This Row],[Выполнение]]=" "),0,1)</f>
        <v>0</v>
      </c>
      <c r="H8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9" spans="1:8" ht="30.5" thickBot="1" x14ac:dyDescent="0.4">
      <c r="A9" s="157" t="s">
        <v>420</v>
      </c>
      <c r="B9" s="158" t="s">
        <v>412</v>
      </c>
      <c r="C9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9" s="160">
        <f>SUMPRODUCT(О_Б_4.1.7,О_К_4.1.7)</f>
        <v>0</v>
      </c>
      <c r="E9" s="161"/>
      <c r="F9" s="42">
        <f>SUMPRODUCT(О_К_4.1.7,О_Н_4.1.7)*VLOOKUP("Выполняется полностью",Статус[],2)</f>
        <v>0</v>
      </c>
      <c r="G9" s="47"/>
      <c r="H9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0" spans="1:8" ht="46.5" x14ac:dyDescent="0.35">
      <c r="A10" s="61" t="s">
        <v>421</v>
      </c>
      <c r="B10" s="48" t="s">
        <v>286</v>
      </c>
      <c r="C10" s="57" t="s">
        <v>15</v>
      </c>
      <c r="D10" s="62" t="str">
        <f>VLOOKUP(ТаблОбщ[[#This Row],[Выполнение]],Статус[],2)</f>
        <v>&lt;- Выберите</v>
      </c>
      <c r="E10" s="63" t="s">
        <v>9</v>
      </c>
      <c r="F10" s="26">
        <f>VLOOKUP(ТаблОбщ[[#This Row],[Критичность]],Важность[],2)</f>
        <v>4</v>
      </c>
      <c r="G10" s="22">
        <f>IF(OR(ТаблОбщ[[#This Row],[Баллы]]="#",ТаблОбщ[[#This Row],[Выполнение]]=" "),0,1)</f>
        <v>0</v>
      </c>
      <c r="H10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" spans="1:8" ht="47" thickBot="1" x14ac:dyDescent="0.4">
      <c r="A11" s="68" t="s">
        <v>422</v>
      </c>
      <c r="B11" s="50" t="s">
        <v>287</v>
      </c>
      <c r="C11" s="59" t="s">
        <v>15</v>
      </c>
      <c r="D11" s="69" t="str">
        <f>VLOOKUP(ТаблОбщ[[#This Row],[Выполнение]],Статус[],2)</f>
        <v>&lt;- Выберите</v>
      </c>
      <c r="E11" s="70" t="s">
        <v>13</v>
      </c>
      <c r="F11" s="27">
        <f>VLOOKUP(ТаблОбщ[[#This Row],[Критичность]],Важность[],2)</f>
        <v>1</v>
      </c>
      <c r="G11" s="21">
        <f>IF(OR(ТаблОбщ[[#This Row],[Баллы]]="#",ТаблОбщ[[#This Row],[Выполнение]]=" "),0,1)</f>
        <v>0</v>
      </c>
      <c r="H11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2" spans="1:8" ht="30.5" thickBot="1" x14ac:dyDescent="0.4">
      <c r="A12" s="157" t="s">
        <v>327</v>
      </c>
      <c r="B12" s="158" t="s">
        <v>413</v>
      </c>
      <c r="C12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12" s="163">
        <f>SUMPRODUCT(О_Б_4.2,О_К_4.2)+D35</f>
        <v>0</v>
      </c>
      <c r="E12" s="161"/>
      <c r="F12" s="42">
        <f>SUMPRODUCT(О_К_4.2,О_Н_4.2)*VLOOKUP("Выполняется полностью",Статус[],2)+F35</f>
        <v>0</v>
      </c>
      <c r="G12" s="47"/>
      <c r="H12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3" spans="1:8" ht="46.5" x14ac:dyDescent="0.35">
      <c r="A13" s="61" t="s">
        <v>423</v>
      </c>
      <c r="B13" s="71" t="s">
        <v>23</v>
      </c>
      <c r="C13" s="57" t="s">
        <v>15</v>
      </c>
      <c r="D13" s="72" t="str">
        <f>VLOOKUP(ТаблОбщ[[#This Row],[Выполнение]],Статус[],2)</f>
        <v>&lt;- Выберите</v>
      </c>
      <c r="E13" s="63" t="s">
        <v>9</v>
      </c>
      <c r="F13" s="26">
        <f>VLOOKUP(ТаблОбщ[[#This Row],[Критичность]],Важность[],2)</f>
        <v>4</v>
      </c>
      <c r="G13" s="22">
        <f>IF(OR(ТаблОбщ[[#This Row],[Баллы]]="#",ТаблОбщ[[#This Row],[Выполнение]]=" "),0,1)</f>
        <v>0</v>
      </c>
      <c r="H13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4" spans="1:8" ht="31" x14ac:dyDescent="0.35">
      <c r="A14" s="64" t="s">
        <v>424</v>
      </c>
      <c r="B14" s="43" t="s">
        <v>24</v>
      </c>
      <c r="C14" s="58" t="s">
        <v>15</v>
      </c>
      <c r="D14" s="73" t="str">
        <f>VLOOKUP(ТаблОбщ[[#This Row],[Выполнение]],Статус[],2)</f>
        <v>&lt;- Выберите</v>
      </c>
      <c r="E14" s="67" t="s">
        <v>14</v>
      </c>
      <c r="F14" s="28">
        <f>VLOOKUP(ТаблОбщ[[#This Row],[Критичность]],Важность[],2)</f>
        <v>2</v>
      </c>
      <c r="G14" s="20">
        <f>IF(OR(ТаблОбщ[[#This Row],[Баллы]]="#",ТаблОбщ[[#This Row],[Выполнение]]=" "),0,1)</f>
        <v>0</v>
      </c>
      <c r="H1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5" spans="1:8" x14ac:dyDescent="0.35">
      <c r="A15" s="64" t="s">
        <v>425</v>
      </c>
      <c r="B15" s="43" t="s">
        <v>25</v>
      </c>
      <c r="C15" s="58" t="s">
        <v>15</v>
      </c>
      <c r="D15" s="73" t="str">
        <f>VLOOKUP(ТаблОбщ[[#This Row],[Выполнение]],Статус[],2)</f>
        <v>&lt;- Выберите</v>
      </c>
      <c r="E15" s="67" t="s">
        <v>9</v>
      </c>
      <c r="F15" s="28">
        <f>VLOOKUP(ТаблОбщ[[#This Row],[Критичность]],Важность[],2)</f>
        <v>4</v>
      </c>
      <c r="G15" s="20">
        <f>IF(OR(ТаблОбщ[[#This Row],[Баллы]]="#",ТаблОбщ[[#This Row],[Выполнение]]=" "),0,1)</f>
        <v>0</v>
      </c>
      <c r="H1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6" spans="1:8" x14ac:dyDescent="0.35">
      <c r="A16" s="64" t="s">
        <v>426</v>
      </c>
      <c r="B16" s="43" t="s">
        <v>26</v>
      </c>
      <c r="C16" s="58" t="s">
        <v>15</v>
      </c>
      <c r="D16" s="73" t="str">
        <f>VLOOKUP(ТаблОбщ[[#This Row],[Выполнение]],Статус[],2)</f>
        <v>&lt;- Выберите</v>
      </c>
      <c r="E16" s="67" t="s">
        <v>9</v>
      </c>
      <c r="F16" s="28">
        <f>VLOOKUP(ТаблОбщ[[#This Row],[Критичность]],Важность[],2)</f>
        <v>4</v>
      </c>
      <c r="G16" s="20">
        <f>IF(OR(ТаблОбщ[[#This Row],[Баллы]]="#",ТаблОбщ[[#This Row],[Выполнение]]=" "),0,1)</f>
        <v>0</v>
      </c>
      <c r="H1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7" spans="1:8" ht="31" x14ac:dyDescent="0.35">
      <c r="A17" s="64" t="s">
        <v>427</v>
      </c>
      <c r="B17" s="43" t="s">
        <v>284</v>
      </c>
      <c r="C17" s="58" t="s">
        <v>15</v>
      </c>
      <c r="D17" s="73" t="str">
        <f>VLOOKUP(ТаблОбщ[[#This Row],[Выполнение]],Статус[],2)</f>
        <v>&lt;- Выберите</v>
      </c>
      <c r="E17" s="67" t="s">
        <v>14</v>
      </c>
      <c r="F17" s="28">
        <f>VLOOKUP(ТаблОбщ[[#This Row],[Критичность]],Важность[],2)</f>
        <v>2</v>
      </c>
      <c r="G17" s="20">
        <f>IF(OR(ТаблОбщ[[#This Row],[Баллы]]="#",ТаблОбщ[[#This Row],[Выполнение]]=" "),0,1)</f>
        <v>0</v>
      </c>
      <c r="H1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8" spans="1:8" ht="62" x14ac:dyDescent="0.35">
      <c r="A18" s="64" t="s">
        <v>428</v>
      </c>
      <c r="B18" s="74" t="s">
        <v>27</v>
      </c>
      <c r="C18" s="58" t="s">
        <v>15</v>
      </c>
      <c r="D18" s="73" t="str">
        <f>VLOOKUP(ТаблОбщ[[#This Row],[Выполнение]],Статус[],2)</f>
        <v>&lt;- Выберите</v>
      </c>
      <c r="E18" s="67" t="s">
        <v>9</v>
      </c>
      <c r="F18" s="28">
        <f>VLOOKUP(ТаблОбщ[[#This Row],[Критичность]],Важность[],2)</f>
        <v>4</v>
      </c>
      <c r="G18" s="20">
        <f>IF(OR(ТаблОбщ[[#This Row],[Баллы]]="#",ТаблОбщ[[#This Row],[Выполнение]]=" "),0,1)</f>
        <v>0</v>
      </c>
      <c r="H1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9" spans="1:8" ht="31" x14ac:dyDescent="0.35">
      <c r="A19" s="64" t="s">
        <v>429</v>
      </c>
      <c r="B19" s="43" t="s">
        <v>28</v>
      </c>
      <c r="C19" s="58" t="s">
        <v>15</v>
      </c>
      <c r="D19" s="73" t="str">
        <f>VLOOKUP(ТаблОбщ[[#This Row],[Выполнение]],Статус[],2)</f>
        <v>&lt;- Выберите</v>
      </c>
      <c r="E19" s="67" t="s">
        <v>14</v>
      </c>
      <c r="F19" s="28">
        <f>VLOOKUP(ТаблОбщ[[#This Row],[Критичность]],Важность[],2)</f>
        <v>2</v>
      </c>
      <c r="G19" s="20">
        <f>IF(OR(ТаблОбщ[[#This Row],[Баллы]]="#",ТаблОбщ[[#This Row],[Выполнение]]=" "),0,1)</f>
        <v>0</v>
      </c>
      <c r="H1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20" spans="1:8" x14ac:dyDescent="0.35">
      <c r="A20" s="64" t="s">
        <v>430</v>
      </c>
      <c r="B20" s="43" t="s">
        <v>29</v>
      </c>
      <c r="C20" s="58" t="s">
        <v>15</v>
      </c>
      <c r="D20" s="73" t="str">
        <f>VLOOKUP(ТаблОбщ[[#This Row],[Выполнение]],Статус[],2)</f>
        <v>&lt;- Выберите</v>
      </c>
      <c r="E20" s="67" t="s">
        <v>14</v>
      </c>
      <c r="F20" s="28">
        <f>VLOOKUP(ТаблОбщ[[#This Row],[Критичность]],Важность[],2)</f>
        <v>2</v>
      </c>
      <c r="G20" s="20">
        <f>IF(OR(ТаблОбщ[[#This Row],[Баллы]]="#",ТаблОбщ[[#This Row],[Выполнение]]=" "),0,1)</f>
        <v>0</v>
      </c>
      <c r="H2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21" spans="1:8" ht="31" x14ac:dyDescent="0.35">
      <c r="A21" s="64" t="s">
        <v>431</v>
      </c>
      <c r="B21" s="43" t="s">
        <v>30</v>
      </c>
      <c r="C21" s="58" t="s">
        <v>15</v>
      </c>
      <c r="D21" s="73" t="str">
        <f>VLOOKUP(ТаблОбщ[[#This Row],[Выполнение]],Статус[],2)</f>
        <v>&lt;- Выберите</v>
      </c>
      <c r="E21" s="67" t="s">
        <v>9</v>
      </c>
      <c r="F21" s="28">
        <f>VLOOKUP(ТаблОбщ[[#This Row],[Критичность]],Важность[],2)</f>
        <v>4</v>
      </c>
      <c r="G21" s="20">
        <f>IF(OR(ТаблОбщ[[#This Row],[Баллы]]="#",ТаблОбщ[[#This Row],[Выполнение]]=" "),0,1)</f>
        <v>0</v>
      </c>
      <c r="H2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22" spans="1:8" ht="31" x14ac:dyDescent="0.35">
      <c r="A22" s="64" t="s">
        <v>432</v>
      </c>
      <c r="B22" s="43" t="s">
        <v>31</v>
      </c>
      <c r="C22" s="58" t="s">
        <v>15</v>
      </c>
      <c r="D22" s="73" t="str">
        <f>VLOOKUP(ТаблОбщ[[#This Row],[Выполнение]],Статус[],2)</f>
        <v>&lt;- Выберите</v>
      </c>
      <c r="E22" s="67" t="s">
        <v>9</v>
      </c>
      <c r="F22" s="28">
        <f>VLOOKUP(ТаблОбщ[[#This Row],[Критичность]],Важность[],2)</f>
        <v>4</v>
      </c>
      <c r="G22" s="20">
        <f>IF(OR(ТаблОбщ[[#This Row],[Баллы]]="#",ТаблОбщ[[#This Row],[Выполнение]]=" "),0,1)</f>
        <v>0</v>
      </c>
      <c r="H2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23" spans="1:8" ht="46.5" x14ac:dyDescent="0.35">
      <c r="A23" s="64" t="s">
        <v>433</v>
      </c>
      <c r="B23" s="43" t="s">
        <v>32</v>
      </c>
      <c r="C23" s="58" t="s">
        <v>15</v>
      </c>
      <c r="D23" s="73" t="str">
        <f>VLOOKUP(ТаблОбщ[[#This Row],[Выполнение]],Статус[],2)</f>
        <v>&lt;- Выберите</v>
      </c>
      <c r="E23" s="67" t="s">
        <v>9</v>
      </c>
      <c r="F23" s="28">
        <f>VLOOKUP(ТаблОбщ[[#This Row],[Критичность]],Важность[],2)</f>
        <v>4</v>
      </c>
      <c r="G23" s="20">
        <f>IF(OR(ТаблОбщ[[#This Row],[Баллы]]="#",ТаблОбщ[[#This Row],[Выполнение]]=" "),0,1)</f>
        <v>0</v>
      </c>
      <c r="H2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24" spans="1:8" ht="31" x14ac:dyDescent="0.35">
      <c r="A24" s="64" t="s">
        <v>434</v>
      </c>
      <c r="B24" s="43" t="s">
        <v>33</v>
      </c>
      <c r="C24" s="58" t="s">
        <v>15</v>
      </c>
      <c r="D24" s="73" t="str">
        <f>VLOOKUP(ТаблОбщ[[#This Row],[Выполнение]],Статус[],2)</f>
        <v>&lt;- Выберите</v>
      </c>
      <c r="E24" s="67" t="s">
        <v>13</v>
      </c>
      <c r="F24" s="28">
        <f>VLOOKUP(ТаблОбщ[[#This Row],[Критичность]],Важность[],2)</f>
        <v>1</v>
      </c>
      <c r="G24" s="20">
        <f>IF(OR(ТаблОбщ[[#This Row],[Баллы]]="#",ТаблОбщ[[#This Row],[Выполнение]]=" "),0,1)</f>
        <v>0</v>
      </c>
      <c r="H2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25" spans="1:8" ht="46.5" x14ac:dyDescent="0.35">
      <c r="A25" s="64" t="s">
        <v>435</v>
      </c>
      <c r="B25" s="43" t="s">
        <v>34</v>
      </c>
      <c r="C25" s="58" t="s">
        <v>15</v>
      </c>
      <c r="D25" s="73" t="str">
        <f>VLOOKUP(ТаблОбщ[[#This Row],[Выполнение]],Статус[],2)</f>
        <v>&lt;- Выберите</v>
      </c>
      <c r="E25" s="67" t="s">
        <v>13</v>
      </c>
      <c r="F25" s="28">
        <f>VLOOKUP(ТаблОбщ[[#This Row],[Критичность]],Важность[],2)</f>
        <v>1</v>
      </c>
      <c r="G25" s="20">
        <f>IF(OR(ТаблОбщ[[#This Row],[Баллы]]="#",ТаблОбщ[[#This Row],[Выполнение]]=" "),0,1)</f>
        <v>0</v>
      </c>
      <c r="H2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26" spans="1:8" ht="31" x14ac:dyDescent="0.35">
      <c r="A26" s="64" t="s">
        <v>436</v>
      </c>
      <c r="B26" s="43" t="s">
        <v>35</v>
      </c>
      <c r="C26" s="58" t="s">
        <v>15</v>
      </c>
      <c r="D26" s="73" t="str">
        <f>VLOOKUP(ТаблОбщ[[#This Row],[Выполнение]],Статус[],2)</f>
        <v>&lt;- Выберите</v>
      </c>
      <c r="E26" s="67" t="s">
        <v>9</v>
      </c>
      <c r="F26" s="28">
        <f>VLOOKUP(ТаблОбщ[[#This Row],[Критичность]],Важность[],2)</f>
        <v>4</v>
      </c>
      <c r="G26" s="20">
        <f>IF(OR(ТаблОбщ[[#This Row],[Баллы]]="#",ТаблОбщ[[#This Row],[Выполнение]]=" "),0,1)</f>
        <v>0</v>
      </c>
      <c r="H2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27" spans="1:8" ht="46.5" x14ac:dyDescent="0.35">
      <c r="A27" s="64" t="s">
        <v>437</v>
      </c>
      <c r="B27" s="43" t="s">
        <v>36</v>
      </c>
      <c r="C27" s="58" t="s">
        <v>15</v>
      </c>
      <c r="D27" s="73" t="str">
        <f>VLOOKUP(ТаблОбщ[[#This Row],[Выполнение]],Статус[],2)</f>
        <v>&lt;- Выберите</v>
      </c>
      <c r="E27" s="67" t="s">
        <v>9</v>
      </c>
      <c r="F27" s="28">
        <f>VLOOKUP(ТаблОбщ[[#This Row],[Критичность]],Важность[],2)</f>
        <v>4</v>
      </c>
      <c r="G27" s="20">
        <f>IF(OR(ТаблОбщ[[#This Row],[Баллы]]="#",ТаблОбщ[[#This Row],[Выполнение]]=" "),0,1)</f>
        <v>0</v>
      </c>
      <c r="H2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28" spans="1:8" ht="31" x14ac:dyDescent="0.35">
      <c r="A28" s="64" t="s">
        <v>438</v>
      </c>
      <c r="B28" s="43" t="s">
        <v>37</v>
      </c>
      <c r="C28" s="58" t="s">
        <v>15</v>
      </c>
      <c r="D28" s="73" t="str">
        <f>VLOOKUP(ТаблОбщ[[#This Row],[Выполнение]],Статус[],2)</f>
        <v>&lt;- Выберите</v>
      </c>
      <c r="E28" s="67" t="s">
        <v>9</v>
      </c>
      <c r="F28" s="28">
        <f>VLOOKUP(ТаблОбщ[[#This Row],[Критичность]],Важность[],2)</f>
        <v>4</v>
      </c>
      <c r="G28" s="20">
        <f>IF(OR(ТаблОбщ[[#This Row],[Баллы]]="#",ТаблОбщ[[#This Row],[Выполнение]]=" "),0,1)</f>
        <v>0</v>
      </c>
      <c r="H2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29" spans="1:8" ht="31" x14ac:dyDescent="0.35">
      <c r="A29" s="64" t="s">
        <v>439</v>
      </c>
      <c r="B29" s="43" t="s">
        <v>38</v>
      </c>
      <c r="C29" s="58" t="s">
        <v>15</v>
      </c>
      <c r="D29" s="73" t="str">
        <f>VLOOKUP(ТаблОбщ[[#This Row],[Выполнение]],Статус[],2)</f>
        <v>&lt;- Выберите</v>
      </c>
      <c r="E29" s="67" t="s">
        <v>14</v>
      </c>
      <c r="F29" s="28">
        <f>VLOOKUP(ТаблОбщ[[#This Row],[Критичность]],Важность[],2)</f>
        <v>2</v>
      </c>
      <c r="G29" s="20">
        <f>IF(OR(ТаблОбщ[[#This Row],[Баллы]]="#",ТаблОбщ[[#This Row],[Выполнение]]=" "),0,1)</f>
        <v>0</v>
      </c>
      <c r="H2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30" spans="1:8" ht="46.5" x14ac:dyDescent="0.35">
      <c r="A30" s="64" t="s">
        <v>440</v>
      </c>
      <c r="B30" s="43" t="s">
        <v>39</v>
      </c>
      <c r="C30" s="58" t="s">
        <v>15</v>
      </c>
      <c r="D30" s="73" t="str">
        <f>VLOOKUP(ТаблОбщ[[#This Row],[Выполнение]],Статус[],2)</f>
        <v>&lt;- Выберите</v>
      </c>
      <c r="E30" s="67" t="s">
        <v>9</v>
      </c>
      <c r="F30" s="28">
        <f>VLOOKUP(ТаблОбщ[[#This Row],[Критичность]],Важность[],2)</f>
        <v>4</v>
      </c>
      <c r="G30" s="20">
        <f>IF(OR(ТаблОбщ[[#This Row],[Баллы]]="#",ТаблОбщ[[#This Row],[Выполнение]]=" "),0,1)</f>
        <v>0</v>
      </c>
      <c r="H3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31" spans="1:8" ht="31" x14ac:dyDescent="0.35">
      <c r="A31" s="64" t="s">
        <v>441</v>
      </c>
      <c r="B31" s="43" t="s">
        <v>40</v>
      </c>
      <c r="C31" s="58" t="s">
        <v>15</v>
      </c>
      <c r="D31" s="73" t="str">
        <f>VLOOKUP(ТаблОбщ[[#This Row],[Выполнение]],Статус[],2)</f>
        <v>&lt;- Выберите</v>
      </c>
      <c r="E31" s="67" t="s">
        <v>14</v>
      </c>
      <c r="F31" s="28">
        <f>VLOOKUP(ТаблОбщ[[#This Row],[Критичность]],Важность[],2)</f>
        <v>2</v>
      </c>
      <c r="G31" s="20">
        <f>IF(OR(ТаблОбщ[[#This Row],[Баллы]]="#",ТаблОбщ[[#This Row],[Выполнение]]=" "),0,1)</f>
        <v>0</v>
      </c>
      <c r="H3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32" spans="1:8" ht="46.5" x14ac:dyDescent="0.35">
      <c r="A32" s="64" t="s">
        <v>442</v>
      </c>
      <c r="B32" s="43" t="s">
        <v>41</v>
      </c>
      <c r="C32" s="58" t="s">
        <v>15</v>
      </c>
      <c r="D32" s="73" t="str">
        <f>VLOOKUP(ТаблОбщ[[#This Row],[Выполнение]],Статус[],2)</f>
        <v>&lt;- Выберите</v>
      </c>
      <c r="E32" s="67" t="s">
        <v>14</v>
      </c>
      <c r="F32" s="28">
        <f>VLOOKUP(ТаблОбщ[[#This Row],[Критичность]],Важность[],2)</f>
        <v>2</v>
      </c>
      <c r="G32" s="20">
        <f>IF(OR(ТаблОбщ[[#This Row],[Баллы]]="#",ТаблОбщ[[#This Row],[Выполнение]]=" "),0,1)</f>
        <v>0</v>
      </c>
      <c r="H3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33" spans="1:8" ht="31" x14ac:dyDescent="0.35">
      <c r="A33" s="64" t="s">
        <v>443</v>
      </c>
      <c r="B33" s="43" t="s">
        <v>42</v>
      </c>
      <c r="C33" s="58" t="s">
        <v>15</v>
      </c>
      <c r="D33" s="73" t="str">
        <f>VLOOKUP(ТаблОбщ[[#This Row],[Выполнение]],Статус[],2)</f>
        <v>&lt;- Выберите</v>
      </c>
      <c r="E33" s="67" t="s">
        <v>9</v>
      </c>
      <c r="F33" s="28">
        <f>VLOOKUP(ТаблОбщ[[#This Row],[Критичность]],Важность[],2)</f>
        <v>4</v>
      </c>
      <c r="G33" s="20">
        <f>IF(OR(ТаблОбщ[[#This Row],[Баллы]]="#",ТаблОбщ[[#This Row],[Выполнение]]=" "),0,1)</f>
        <v>0</v>
      </c>
      <c r="H3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34" spans="1:8" ht="16" thickBot="1" x14ac:dyDescent="0.4">
      <c r="A34" s="68" t="s">
        <v>444</v>
      </c>
      <c r="B34" s="75" t="s">
        <v>43</v>
      </c>
      <c r="C34" s="59" t="s">
        <v>15</v>
      </c>
      <c r="D34" s="76" t="str">
        <f>VLOOKUP(ТаблОбщ[[#This Row],[Выполнение]],Статус[],2)</f>
        <v>&lt;- Выберите</v>
      </c>
      <c r="E34" s="70" t="s">
        <v>9</v>
      </c>
      <c r="F34" s="27">
        <f>VLOOKUP(ТаблОбщ[[#This Row],[Критичность]],Важность[],2)</f>
        <v>4</v>
      </c>
      <c r="G34" s="21">
        <f>IF(OR(ТаблОбщ[[#This Row],[Баллы]]="#",ТаблОбщ[[#This Row],[Выполнение]]=" "),0,1)</f>
        <v>0</v>
      </c>
      <c r="H34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35" spans="1:8" ht="30.5" thickBot="1" x14ac:dyDescent="0.4">
      <c r="A35" s="157" t="s">
        <v>522</v>
      </c>
      <c r="B35" s="158" t="s">
        <v>529</v>
      </c>
      <c r="C35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35" s="163">
        <f>SUMPRODUCT(О_Б_4.2.23,О_К_4.2.23)</f>
        <v>0</v>
      </c>
      <c r="E35" s="161"/>
      <c r="F35" s="42">
        <f>SUMPRODUCT(О_К_4.2.23,О_Н_4.2.23)*VLOOKUP("Выполняется полностью",Статус[],2)</f>
        <v>0</v>
      </c>
      <c r="G35" s="47"/>
      <c r="H35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36" spans="1:8" ht="31" x14ac:dyDescent="0.35">
      <c r="A36" s="61" t="s">
        <v>445</v>
      </c>
      <c r="B36" s="71" t="s">
        <v>44</v>
      </c>
      <c r="C36" s="57" t="s">
        <v>15</v>
      </c>
      <c r="D36" s="72" t="str">
        <f>VLOOKUP(ТаблОбщ[[#This Row],[Выполнение]],Статус[],2)</f>
        <v>&lt;- Выберите</v>
      </c>
      <c r="E36" s="63" t="s">
        <v>9</v>
      </c>
      <c r="F36" s="26">
        <f>VLOOKUP(ТаблОбщ[[#This Row],[Критичность]],Важность[],2)</f>
        <v>4</v>
      </c>
      <c r="G36" s="22">
        <f>IF(OR(ТаблОбщ[[#This Row],[Баллы]]="#",ТаблОбщ[[#This Row],[Выполнение]]=" "),0,1)</f>
        <v>0</v>
      </c>
      <c r="H36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37" spans="1:8" x14ac:dyDescent="0.35">
      <c r="A37" s="64" t="s">
        <v>446</v>
      </c>
      <c r="B37" s="43" t="s">
        <v>45</v>
      </c>
      <c r="C37" s="58" t="s">
        <v>15</v>
      </c>
      <c r="D37" s="73" t="str">
        <f>VLOOKUP(ТаблОбщ[[#This Row],[Выполнение]],Статус[],2)</f>
        <v>&lt;- Выберите</v>
      </c>
      <c r="E37" s="67" t="s">
        <v>9</v>
      </c>
      <c r="F37" s="28">
        <f>VLOOKUP(ТаблОбщ[[#This Row],[Критичность]],Важность[],2)</f>
        <v>4</v>
      </c>
      <c r="G37" s="20">
        <f>IF(OR(ТаблОбщ[[#This Row],[Баллы]]="#",ТаблОбщ[[#This Row],[Выполнение]]=" "),0,1)</f>
        <v>0</v>
      </c>
      <c r="H3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38" spans="1:8" ht="31" x14ac:dyDescent="0.35">
      <c r="A38" s="64" t="s">
        <v>447</v>
      </c>
      <c r="B38" s="43" t="s">
        <v>46</v>
      </c>
      <c r="C38" s="58" t="s">
        <v>15</v>
      </c>
      <c r="D38" s="73" t="str">
        <f>VLOOKUP(ТаблОбщ[[#This Row],[Выполнение]],Статус[],2)</f>
        <v>&lt;- Выберите</v>
      </c>
      <c r="E38" s="67" t="s">
        <v>13</v>
      </c>
      <c r="F38" s="28">
        <f>VLOOKUP(ТаблОбщ[[#This Row],[Критичность]],Важность[],2)</f>
        <v>1</v>
      </c>
      <c r="G38" s="20">
        <f>IF(OR(ТаблОбщ[[#This Row],[Баллы]]="#",ТаблОбщ[[#This Row],[Выполнение]]=" "),0,1)</f>
        <v>0</v>
      </c>
      <c r="H3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39" spans="1:8" ht="46.5" x14ac:dyDescent="0.35">
      <c r="A39" s="64" t="s">
        <v>448</v>
      </c>
      <c r="B39" s="43" t="s">
        <v>47</v>
      </c>
      <c r="C39" s="58" t="s">
        <v>15</v>
      </c>
      <c r="D39" s="73" t="str">
        <f>VLOOKUP(ТаблОбщ[[#This Row],[Выполнение]],Статус[],2)</f>
        <v>&lt;- Выберите</v>
      </c>
      <c r="E39" s="67" t="s">
        <v>13</v>
      </c>
      <c r="F39" s="28">
        <f>VLOOKUP(ТаблОбщ[[#This Row],[Критичность]],Важность[],2)</f>
        <v>1</v>
      </c>
      <c r="G39" s="20">
        <f>IF(OR(ТаблОбщ[[#This Row],[Баллы]]="#",ТаблОбщ[[#This Row],[Выполнение]]=" "),0,1)</f>
        <v>0</v>
      </c>
      <c r="H3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40" spans="1:8" ht="31" x14ac:dyDescent="0.35">
      <c r="A40" s="64" t="s">
        <v>449</v>
      </c>
      <c r="B40" s="43" t="s">
        <v>48</v>
      </c>
      <c r="C40" s="58" t="s">
        <v>15</v>
      </c>
      <c r="D40" s="73" t="str">
        <f>VLOOKUP(ТаблОбщ[[#This Row],[Выполнение]],Статус[],2)</f>
        <v>&lt;- Выберите</v>
      </c>
      <c r="E40" s="67" t="s">
        <v>9</v>
      </c>
      <c r="F40" s="28">
        <f>VLOOKUP(ТаблОбщ[[#This Row],[Критичность]],Важность[],2)</f>
        <v>4</v>
      </c>
      <c r="G40" s="20">
        <f>IF(OR(ТаблОбщ[[#This Row],[Баллы]]="#",ТаблОбщ[[#This Row],[Выполнение]]=" "),0,1)</f>
        <v>0</v>
      </c>
      <c r="H4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41" spans="1:8" ht="31" x14ac:dyDescent="0.35">
      <c r="A41" s="64" t="s">
        <v>450</v>
      </c>
      <c r="B41" s="43" t="s">
        <v>49</v>
      </c>
      <c r="C41" s="58" t="s">
        <v>15</v>
      </c>
      <c r="D41" s="73" t="str">
        <f>VLOOKUP(ТаблОбщ[[#This Row],[Выполнение]],Статус[],2)</f>
        <v>&lt;- Выберите</v>
      </c>
      <c r="E41" s="67" t="s">
        <v>9</v>
      </c>
      <c r="F41" s="28">
        <f>VLOOKUP(ТаблОбщ[[#This Row],[Критичность]],Важность[],2)</f>
        <v>4</v>
      </c>
      <c r="G41" s="20">
        <f>IF(OR(ТаблОбщ[[#This Row],[Баллы]]="#",ТаблОбщ[[#This Row],[Выполнение]]=" "),0,1)</f>
        <v>0</v>
      </c>
      <c r="H4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42" spans="1:8" x14ac:dyDescent="0.35">
      <c r="A42" s="64" t="s">
        <v>451</v>
      </c>
      <c r="B42" s="43" t="s">
        <v>50</v>
      </c>
      <c r="C42" s="58" t="s">
        <v>15</v>
      </c>
      <c r="D42" s="73" t="str">
        <f>VLOOKUP(ТаблОбщ[[#This Row],[Выполнение]],Статус[],2)</f>
        <v>&lt;- Выберите</v>
      </c>
      <c r="E42" s="67" t="s">
        <v>14</v>
      </c>
      <c r="F42" s="28">
        <f>VLOOKUP(ТаблОбщ[[#This Row],[Критичность]],Важность[],2)</f>
        <v>2</v>
      </c>
      <c r="G42" s="20">
        <f>IF(OR(ТаблОбщ[[#This Row],[Баллы]]="#",ТаблОбщ[[#This Row],[Выполнение]]=" "),0,1)</f>
        <v>0</v>
      </c>
      <c r="H4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43" spans="1:8" ht="46.5" x14ac:dyDescent="0.35">
      <c r="A43" s="64" t="s">
        <v>452</v>
      </c>
      <c r="B43" s="43" t="s">
        <v>51</v>
      </c>
      <c r="C43" s="58" t="s">
        <v>15</v>
      </c>
      <c r="D43" s="73" t="str">
        <f>VLOOKUP(ТаблОбщ[[#This Row],[Выполнение]],Статус[],2)</f>
        <v>&lt;- Выберите</v>
      </c>
      <c r="E43" s="67" t="s">
        <v>9</v>
      </c>
      <c r="F43" s="28">
        <f>VLOOKUP(ТаблОбщ[[#This Row],[Критичность]],Важность[],2)</f>
        <v>4</v>
      </c>
      <c r="G43" s="20">
        <f>IF(OR(ТаблОбщ[[#This Row],[Баллы]]="#",ТаблОбщ[[#This Row],[Выполнение]]=" "),0,1)</f>
        <v>0</v>
      </c>
      <c r="H4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44" spans="1:8" ht="31" x14ac:dyDescent="0.35">
      <c r="A44" s="64" t="s">
        <v>453</v>
      </c>
      <c r="B44" s="43" t="s">
        <v>52</v>
      </c>
      <c r="C44" s="58" t="s">
        <v>15</v>
      </c>
      <c r="D44" s="73" t="str">
        <f>VLOOKUP(ТаблОбщ[[#This Row],[Выполнение]],Статус[],2)</f>
        <v>&lt;- Выберите</v>
      </c>
      <c r="E44" s="67" t="s">
        <v>14</v>
      </c>
      <c r="F44" s="28">
        <f>VLOOKUP(ТаблОбщ[[#This Row],[Критичность]],Важность[],2)</f>
        <v>2</v>
      </c>
      <c r="G44" s="20">
        <f>IF(OR(ТаблОбщ[[#This Row],[Баллы]]="#",ТаблОбщ[[#This Row],[Выполнение]]=" "),0,1)</f>
        <v>0</v>
      </c>
      <c r="H4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45" spans="1:8" ht="31" x14ac:dyDescent="0.35">
      <c r="A45" s="64" t="s">
        <v>454</v>
      </c>
      <c r="B45" s="43" t="s">
        <v>53</v>
      </c>
      <c r="C45" s="58" t="s">
        <v>15</v>
      </c>
      <c r="D45" s="73" t="str">
        <f>VLOOKUP(ТаблОбщ[[#This Row],[Выполнение]],Статус[],2)</f>
        <v>&lt;- Выберите</v>
      </c>
      <c r="E45" s="67" t="s">
        <v>13</v>
      </c>
      <c r="F45" s="28">
        <f>VLOOKUP(ТаблОбщ[[#This Row],[Критичность]],Важность[],2)</f>
        <v>1</v>
      </c>
      <c r="G45" s="20">
        <f>IF(OR(ТаблОбщ[[#This Row],[Баллы]]="#",ТаблОбщ[[#This Row],[Выполнение]]=" "),0,1)</f>
        <v>0</v>
      </c>
      <c r="H4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46" spans="1:8" ht="46.5" x14ac:dyDescent="0.35">
      <c r="A46" s="64" t="s">
        <v>455</v>
      </c>
      <c r="B46" s="43" t="s">
        <v>54</v>
      </c>
      <c r="C46" s="58" t="s">
        <v>15</v>
      </c>
      <c r="D46" s="73" t="str">
        <f>VLOOKUP(ТаблОбщ[[#This Row],[Выполнение]],Статус[],2)</f>
        <v>&lt;- Выберите</v>
      </c>
      <c r="E46" s="67" t="s">
        <v>9</v>
      </c>
      <c r="F46" s="28">
        <f>VLOOKUP(ТаблОбщ[[#This Row],[Критичность]],Важность[],2)</f>
        <v>4</v>
      </c>
      <c r="G46" s="20">
        <f>IF(OR(ТаблОбщ[[#This Row],[Баллы]]="#",ТаблОбщ[[#This Row],[Выполнение]]=" "),0,1)</f>
        <v>0</v>
      </c>
      <c r="H4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47" spans="1:8" ht="31" x14ac:dyDescent="0.35">
      <c r="A47" s="64" t="s">
        <v>456</v>
      </c>
      <c r="B47" s="43" t="s">
        <v>55</v>
      </c>
      <c r="C47" s="58" t="s">
        <v>15</v>
      </c>
      <c r="D47" s="73" t="str">
        <f>VLOOKUP(ТаблОбщ[[#This Row],[Выполнение]],Статус[],2)</f>
        <v>&lt;- Выберите</v>
      </c>
      <c r="E47" s="67" t="s">
        <v>9</v>
      </c>
      <c r="F47" s="28">
        <f>VLOOKUP(ТаблОбщ[[#This Row],[Критичность]],Важность[],2)</f>
        <v>4</v>
      </c>
      <c r="G47" s="20">
        <f>IF(OR(ТаблОбщ[[#This Row],[Баллы]]="#",ТаблОбщ[[#This Row],[Выполнение]]=" "),0,1)</f>
        <v>0</v>
      </c>
      <c r="H4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48" spans="1:8" ht="31.5" thickBot="1" x14ac:dyDescent="0.4">
      <c r="A48" s="68" t="s">
        <v>457</v>
      </c>
      <c r="B48" s="75" t="s">
        <v>56</v>
      </c>
      <c r="C48" s="59" t="s">
        <v>15</v>
      </c>
      <c r="D48" s="76" t="str">
        <f>VLOOKUP(ТаблОбщ[[#This Row],[Выполнение]],Статус[],2)</f>
        <v>&lt;- Выберите</v>
      </c>
      <c r="E48" s="70" t="s">
        <v>14</v>
      </c>
      <c r="F48" s="27">
        <f>VLOOKUP(ТаблОбщ[[#This Row],[Критичность]],Важность[],2)</f>
        <v>2</v>
      </c>
      <c r="G48" s="21">
        <f>IF(OR(ТаблОбщ[[#This Row],[Баллы]]="#",ТаблОбщ[[#This Row],[Выполнение]]=" "),0,1)</f>
        <v>0</v>
      </c>
      <c r="H48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49" spans="1:8" ht="30.5" thickBot="1" x14ac:dyDescent="0.4">
      <c r="A49" s="157" t="s">
        <v>328</v>
      </c>
      <c r="B49" s="158" t="s">
        <v>530</v>
      </c>
      <c r="C49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49" s="163">
        <f>SUMPRODUCT(О_Б_4.3,О_К_4.3)+D57</f>
        <v>0</v>
      </c>
      <c r="E49" s="161"/>
      <c r="F49" s="42">
        <f>SUMPRODUCT(О_К_4.3,О_Н_4.3)*VLOOKUP("Выполняется полностью",Статус[],2)+F57</f>
        <v>0</v>
      </c>
      <c r="G49" s="47"/>
      <c r="H49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50" spans="1:8" ht="62" x14ac:dyDescent="0.35">
      <c r="A50" s="61" t="s">
        <v>458</v>
      </c>
      <c r="B50" s="71" t="s">
        <v>57</v>
      </c>
      <c r="C50" s="57" t="s">
        <v>15</v>
      </c>
      <c r="D50" s="72" t="str">
        <f>VLOOKUP(ТаблОбщ[[#This Row],[Выполнение]],Статус[],2)</f>
        <v>&lt;- Выберите</v>
      </c>
      <c r="E50" s="63" t="s">
        <v>9</v>
      </c>
      <c r="F50" s="26">
        <f>VLOOKUP(ТаблОбщ[[#This Row],[Критичность]],Важность[],2)</f>
        <v>4</v>
      </c>
      <c r="G50" s="22">
        <f>IF(OR(ТаблОбщ[[#This Row],[Баллы]]="#",ТаблОбщ[[#This Row],[Выполнение]]=" "),0,1)</f>
        <v>0</v>
      </c>
      <c r="H50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51" spans="1:8" ht="93" x14ac:dyDescent="0.35">
      <c r="A51" s="64" t="s">
        <v>459</v>
      </c>
      <c r="B51" s="43" t="s">
        <v>301</v>
      </c>
      <c r="C51" s="58" t="s">
        <v>15</v>
      </c>
      <c r="D51" s="73" t="str">
        <f>VLOOKUP(ТаблОбщ[[#This Row],[Выполнение]],Статус[],2)</f>
        <v>&lt;- Выберите</v>
      </c>
      <c r="E51" s="67" t="s">
        <v>14</v>
      </c>
      <c r="F51" s="28">
        <f>VLOOKUP(ТаблОбщ[[#This Row],[Критичность]],Важность[],2)</f>
        <v>2</v>
      </c>
      <c r="G51" s="20">
        <f>IF(OR(ТаблОбщ[[#This Row],[Баллы]]="#",ТаблОбщ[[#This Row],[Выполнение]]=" "),0,1)</f>
        <v>0</v>
      </c>
      <c r="H5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52" spans="1:8" ht="31" x14ac:dyDescent="0.35">
      <c r="A52" s="64" t="s">
        <v>460</v>
      </c>
      <c r="B52" s="43" t="s">
        <v>58</v>
      </c>
      <c r="C52" s="58" t="s">
        <v>15</v>
      </c>
      <c r="D52" s="73" t="str">
        <f>VLOOKUP(ТаблОбщ[[#This Row],[Выполнение]],Статус[],2)</f>
        <v>&lt;- Выберите</v>
      </c>
      <c r="E52" s="67" t="s">
        <v>13</v>
      </c>
      <c r="F52" s="28">
        <f>VLOOKUP(ТаблОбщ[[#This Row],[Критичность]],Важность[],2)</f>
        <v>1</v>
      </c>
      <c r="G52" s="20">
        <f>IF(OR(ТаблОбщ[[#This Row],[Баллы]]="#",ТаблОбщ[[#This Row],[Выполнение]]=" "),0,1)</f>
        <v>0</v>
      </c>
      <c r="H5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53" spans="1:8" ht="31" x14ac:dyDescent="0.35">
      <c r="A53" s="64" t="s">
        <v>461</v>
      </c>
      <c r="B53" s="43" t="s">
        <v>59</v>
      </c>
      <c r="C53" s="58" t="s">
        <v>15</v>
      </c>
      <c r="D53" s="73" t="str">
        <f>VLOOKUP(ТаблОбщ[[#This Row],[Выполнение]],Статус[],2)</f>
        <v>&lt;- Выберите</v>
      </c>
      <c r="E53" s="67" t="s">
        <v>9</v>
      </c>
      <c r="F53" s="28">
        <f>VLOOKUP(ТаблОбщ[[#This Row],[Критичность]],Важность[],2)</f>
        <v>4</v>
      </c>
      <c r="G53" s="20">
        <f>IF(OR(ТаблОбщ[[#This Row],[Баллы]]="#",ТаблОбщ[[#This Row],[Выполнение]]=" "),0,1)</f>
        <v>0</v>
      </c>
      <c r="H5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54" spans="1:8" ht="46.5" x14ac:dyDescent="0.35">
      <c r="A54" s="64" t="s">
        <v>462</v>
      </c>
      <c r="B54" s="43" t="s">
        <v>60</v>
      </c>
      <c r="C54" s="58" t="s">
        <v>15</v>
      </c>
      <c r="D54" s="73" t="str">
        <f>VLOOKUP(ТаблОбщ[[#This Row],[Выполнение]],Статус[],2)</f>
        <v>&lt;- Выберите</v>
      </c>
      <c r="E54" s="67" t="s">
        <v>9</v>
      </c>
      <c r="F54" s="28">
        <f>VLOOKUP(ТаблОбщ[[#This Row],[Критичность]],Важность[],2)</f>
        <v>4</v>
      </c>
      <c r="G54" s="20">
        <f>IF(OR(ТаблОбщ[[#This Row],[Баллы]]="#",ТаблОбщ[[#This Row],[Выполнение]]=" "),0,1)</f>
        <v>0</v>
      </c>
      <c r="H5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55" spans="1:8" ht="31" x14ac:dyDescent="0.35">
      <c r="A55" s="64" t="s">
        <v>463</v>
      </c>
      <c r="B55" s="43" t="s">
        <v>684</v>
      </c>
      <c r="C55" s="58" t="s">
        <v>15</v>
      </c>
      <c r="D55" s="73" t="str">
        <f>VLOOKUP(ТаблОбщ[[#This Row],[Выполнение]],Статус[],2)</f>
        <v>&lt;- Выберите</v>
      </c>
      <c r="E55" s="67" t="s">
        <v>9</v>
      </c>
      <c r="F55" s="28">
        <f>VLOOKUP(ТаблОбщ[[#This Row],[Критичность]],Важность[],2)</f>
        <v>4</v>
      </c>
      <c r="G55" s="20">
        <f>IF(OR(ТаблОбщ[[#This Row],[Баллы]]="#",ТаблОбщ[[#This Row],[Выполнение]]=" "),0,1)</f>
        <v>0</v>
      </c>
      <c r="H5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56" spans="1:8" ht="47" thickBot="1" x14ac:dyDescent="0.4">
      <c r="A56" s="68" t="s">
        <v>464</v>
      </c>
      <c r="B56" s="75" t="s">
        <v>61</v>
      </c>
      <c r="C56" s="59" t="s">
        <v>15</v>
      </c>
      <c r="D56" s="76" t="str">
        <f>VLOOKUP(ТаблОбщ[[#This Row],[Выполнение]],Статус[],2)</f>
        <v>&lt;- Выберите</v>
      </c>
      <c r="E56" s="70" t="s">
        <v>14</v>
      </c>
      <c r="F56" s="27">
        <f>VLOOKUP(ТаблОбщ[[#This Row],[Критичность]],Важность[],2)</f>
        <v>2</v>
      </c>
      <c r="G56" s="21">
        <f>IF(OR(ТаблОбщ[[#This Row],[Баллы]]="#",ТаблОбщ[[#This Row],[Выполнение]]=" "),0,1)</f>
        <v>0</v>
      </c>
      <c r="H56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57" spans="1:8" ht="30.5" thickBot="1" x14ac:dyDescent="0.4">
      <c r="A57" s="157" t="s">
        <v>523</v>
      </c>
      <c r="B57" s="158" t="s">
        <v>531</v>
      </c>
      <c r="C57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57" s="163">
        <f>SUMPRODUCT(О_Б_4.3.8,О_К_4.3.8)</f>
        <v>0</v>
      </c>
      <c r="E57" s="161"/>
      <c r="F57" s="42">
        <f>SUMPRODUCT(О_К_4.3.8,О_Н_4.3.8)*VLOOKUP("Выполняется полностью",Статус[],2)</f>
        <v>0</v>
      </c>
      <c r="G57" s="47"/>
      <c r="H57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58" spans="1:8" ht="46.5" x14ac:dyDescent="0.35">
      <c r="A58" s="61" t="s">
        <v>465</v>
      </c>
      <c r="B58" s="71" t="s">
        <v>62</v>
      </c>
      <c r="C58" s="57" t="s">
        <v>15</v>
      </c>
      <c r="D58" s="72" t="str">
        <f>VLOOKUP(ТаблОбщ[[#This Row],[Выполнение]],Статус[],2)</f>
        <v>&lt;- Выберите</v>
      </c>
      <c r="E58" s="63" t="s">
        <v>9</v>
      </c>
      <c r="F58" s="26">
        <f>VLOOKUP(ТаблОбщ[[#This Row],[Критичность]],Важность[],2)</f>
        <v>4</v>
      </c>
      <c r="G58" s="22">
        <f>IF(OR(ТаблОбщ[[#This Row],[Баллы]]="#",ТаблОбщ[[#This Row],[Выполнение]]=" "),0,1)</f>
        <v>0</v>
      </c>
      <c r="H58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59" spans="1:8" ht="46.5" x14ac:dyDescent="0.35">
      <c r="A59" s="64" t="s">
        <v>466</v>
      </c>
      <c r="B59" s="43" t="s">
        <v>685</v>
      </c>
      <c r="C59" s="58" t="s">
        <v>15</v>
      </c>
      <c r="D59" s="73" t="str">
        <f>VLOOKUP(ТаблОбщ[[#This Row],[Выполнение]],Статус[],2)</f>
        <v>&lt;- Выберите</v>
      </c>
      <c r="E59" s="67" t="s">
        <v>9</v>
      </c>
      <c r="F59" s="28">
        <f>VLOOKUP(ТаблОбщ[[#This Row],[Критичность]],Важность[],2)</f>
        <v>4</v>
      </c>
      <c r="G59" s="20">
        <f>IF(OR(ТаблОбщ[[#This Row],[Баллы]]="#",ТаблОбщ[[#This Row],[Выполнение]]=" "),0,1)</f>
        <v>0</v>
      </c>
      <c r="H5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0" spans="1:8" ht="31" x14ac:dyDescent="0.35">
      <c r="A60" s="64" t="s">
        <v>467</v>
      </c>
      <c r="B60" s="43" t="s">
        <v>63</v>
      </c>
      <c r="C60" s="58" t="s">
        <v>15</v>
      </c>
      <c r="D60" s="73" t="str">
        <f>VLOOKUP(ТаблОбщ[[#This Row],[Выполнение]],Статус[],2)</f>
        <v>&lt;- Выберите</v>
      </c>
      <c r="E60" s="67" t="s">
        <v>9</v>
      </c>
      <c r="F60" s="28">
        <f>VLOOKUP(ТаблОбщ[[#This Row],[Критичность]],Важность[],2)</f>
        <v>4</v>
      </c>
      <c r="G60" s="20">
        <f>IF(OR(ТаблОбщ[[#This Row],[Баллы]]="#",ТаблОбщ[[#This Row],[Выполнение]]=" "),0,1)</f>
        <v>0</v>
      </c>
      <c r="H6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1" spans="1:8" ht="93" x14ac:dyDescent="0.35">
      <c r="A61" s="64" t="s">
        <v>468</v>
      </c>
      <c r="B61" s="43" t="s">
        <v>64</v>
      </c>
      <c r="C61" s="58" t="s">
        <v>15</v>
      </c>
      <c r="D61" s="73" t="str">
        <f>VLOOKUP(ТаблОбщ[[#This Row],[Выполнение]],Статус[],2)</f>
        <v>&lt;- Выберите</v>
      </c>
      <c r="E61" s="67" t="s">
        <v>9</v>
      </c>
      <c r="F61" s="28">
        <f>VLOOKUP(ТаблОбщ[[#This Row],[Критичность]],Важность[],2)</f>
        <v>4</v>
      </c>
      <c r="G61" s="20">
        <f>IF(OR(ТаблОбщ[[#This Row],[Баллы]]="#",ТаблОбщ[[#This Row],[Выполнение]]=" "),0,1)</f>
        <v>0</v>
      </c>
      <c r="H6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2" spans="1:8" ht="31" x14ac:dyDescent="0.35">
      <c r="A62" s="64" t="s">
        <v>469</v>
      </c>
      <c r="B62" s="43" t="s">
        <v>285</v>
      </c>
      <c r="C62" s="58" t="s">
        <v>15</v>
      </c>
      <c r="D62" s="73" t="str">
        <f>VLOOKUP(ТаблОбщ[[#This Row],[Выполнение]],Статус[],2)</f>
        <v>&lt;- Выберите</v>
      </c>
      <c r="E62" s="67" t="s">
        <v>9</v>
      </c>
      <c r="F62" s="28">
        <f>VLOOKUP(ТаблОбщ[[#This Row],[Критичность]],Важность[],2)</f>
        <v>4</v>
      </c>
      <c r="G62" s="20">
        <f>IF(OR(ТаблОбщ[[#This Row],[Баллы]]="#",ТаблОбщ[[#This Row],[Выполнение]]=" "),0,1)</f>
        <v>0</v>
      </c>
      <c r="H6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3" spans="1:8" ht="31.5" thickBot="1" x14ac:dyDescent="0.4">
      <c r="A63" s="68" t="s">
        <v>470</v>
      </c>
      <c r="B63" s="75" t="s">
        <v>288</v>
      </c>
      <c r="C63" s="59" t="s">
        <v>15</v>
      </c>
      <c r="D63" s="76" t="str">
        <f>VLOOKUP(ТаблОбщ[[#This Row],[Выполнение]],Статус[],2)</f>
        <v>&lt;- Выберите</v>
      </c>
      <c r="E63" s="70" t="s">
        <v>9</v>
      </c>
      <c r="F63" s="27">
        <f>VLOOKUP(ТаблОбщ[[#This Row],[Критичность]],Важность[],2)</f>
        <v>4</v>
      </c>
      <c r="G63" s="21">
        <f>IF(OR(ТаблОбщ[[#This Row],[Баллы]]="#",ТаблОбщ[[#This Row],[Выполнение]]=" "),0,1)</f>
        <v>0</v>
      </c>
      <c r="H63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4" spans="1:8" ht="30.5" thickBot="1" x14ac:dyDescent="0.4">
      <c r="A64" s="157" t="s">
        <v>329</v>
      </c>
      <c r="B64" s="158" t="s">
        <v>532</v>
      </c>
      <c r="C64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64" s="163">
        <f>SUMPRODUCT(О_Б_4.4,О_К_4.4)</f>
        <v>0</v>
      </c>
      <c r="E64" s="161"/>
      <c r="F64" s="42">
        <f>SUMPRODUCT(О_К_4.4,О_Н_4.4)*VLOOKUP("Выполняется полностью",Статус[],2)</f>
        <v>0</v>
      </c>
      <c r="G64" s="47"/>
      <c r="H64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65" spans="1:8" ht="31" x14ac:dyDescent="0.35">
      <c r="A65" s="61" t="s">
        <v>658</v>
      </c>
      <c r="B65" s="71" t="s">
        <v>686</v>
      </c>
      <c r="C65" s="57" t="s">
        <v>15</v>
      </c>
      <c r="D65" s="72" t="str">
        <f>VLOOKUP(ТаблОбщ[[#This Row],[Выполнение]],Статус[],2)</f>
        <v>&lt;- Выберите</v>
      </c>
      <c r="E65" s="63" t="s">
        <v>9</v>
      </c>
      <c r="F65" s="26">
        <f>VLOOKUP(ТаблОбщ[[#This Row],[Критичность]],Важность[],2)</f>
        <v>4</v>
      </c>
      <c r="G65" s="22">
        <f>IF(OR(ТаблОбщ[[#This Row],[Баллы]]="#",ТаблОбщ[[#This Row],[Выполнение]]=" "),0,1)</f>
        <v>0</v>
      </c>
      <c r="H65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6" spans="1:8" ht="31" x14ac:dyDescent="0.35">
      <c r="A66" s="64" t="s">
        <v>659</v>
      </c>
      <c r="B66" s="43" t="s">
        <v>65</v>
      </c>
      <c r="C66" s="58" t="s">
        <v>15</v>
      </c>
      <c r="D66" s="73" t="str">
        <f>VLOOKUP(ТаблОбщ[[#This Row],[Выполнение]],Статус[],2)</f>
        <v>&lt;- Выберите</v>
      </c>
      <c r="E66" s="67" t="s">
        <v>9</v>
      </c>
      <c r="F66" s="28">
        <f>VLOOKUP(ТаблОбщ[[#This Row],[Критичность]],Важность[],2)</f>
        <v>4</v>
      </c>
      <c r="G66" s="20">
        <f>IF(OR(ТаблОбщ[[#This Row],[Баллы]]="#",ТаблОбщ[[#This Row],[Выполнение]]=" "),0,1)</f>
        <v>0</v>
      </c>
      <c r="H6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7" spans="1:8" ht="31" x14ac:dyDescent="0.35">
      <c r="A67" s="64" t="s">
        <v>660</v>
      </c>
      <c r="B67" s="43" t="s">
        <v>66</v>
      </c>
      <c r="C67" s="58" t="s">
        <v>15</v>
      </c>
      <c r="D67" s="73" t="str">
        <f>VLOOKUP(ТаблОбщ[[#This Row],[Выполнение]],Статус[],2)</f>
        <v>&lt;- Выберите</v>
      </c>
      <c r="E67" s="67" t="s">
        <v>9</v>
      </c>
      <c r="F67" s="28">
        <f>VLOOKUP(ТаблОбщ[[#This Row],[Критичность]],Важность[],2)</f>
        <v>4</v>
      </c>
      <c r="G67" s="20">
        <f>IF(OR(ТаблОбщ[[#This Row],[Баллы]]="#",ТаблОбщ[[#This Row],[Выполнение]]=" "),0,1)</f>
        <v>0</v>
      </c>
      <c r="H6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68" spans="1:8" ht="31" x14ac:dyDescent="0.35">
      <c r="A68" s="64" t="s">
        <v>661</v>
      </c>
      <c r="B68" s="43" t="s">
        <v>67</v>
      </c>
      <c r="C68" s="58" t="s">
        <v>15</v>
      </c>
      <c r="D68" s="73" t="str">
        <f>VLOOKUP(ТаблОбщ[[#This Row],[Выполнение]],Статус[],2)</f>
        <v>&lt;- Выберите</v>
      </c>
      <c r="E68" s="67" t="s">
        <v>14</v>
      </c>
      <c r="F68" s="28">
        <f>VLOOKUP(ТаблОбщ[[#This Row],[Критичность]],Важность[],2)</f>
        <v>2</v>
      </c>
      <c r="G68" s="20">
        <f>IF(OR(ТаблОбщ[[#This Row],[Баллы]]="#",ТаблОбщ[[#This Row],[Выполнение]]=" "),0,1)</f>
        <v>0</v>
      </c>
      <c r="H6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69" spans="1:8" ht="62" x14ac:dyDescent="0.35">
      <c r="A69" s="64" t="s">
        <v>662</v>
      </c>
      <c r="B69" s="43" t="s">
        <v>68</v>
      </c>
      <c r="C69" s="58" t="s">
        <v>15</v>
      </c>
      <c r="D69" s="73" t="str">
        <f>VLOOKUP(ТаблОбщ[[#This Row],[Выполнение]],Статус[],2)</f>
        <v>&lt;- Выберите</v>
      </c>
      <c r="E69" s="67" t="s">
        <v>9</v>
      </c>
      <c r="F69" s="28">
        <f>VLOOKUP(ТаблОбщ[[#This Row],[Критичность]],Важность[],2)</f>
        <v>4</v>
      </c>
      <c r="G69" s="20">
        <f>IF(OR(ТаблОбщ[[#This Row],[Баллы]]="#",ТаблОбщ[[#This Row],[Выполнение]]=" "),0,1)</f>
        <v>0</v>
      </c>
      <c r="H6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0" spans="1:8" ht="47" thickBot="1" x14ac:dyDescent="0.4">
      <c r="A70" s="68" t="s">
        <v>663</v>
      </c>
      <c r="B70" s="75" t="s">
        <v>687</v>
      </c>
      <c r="C70" s="59" t="s">
        <v>15</v>
      </c>
      <c r="D70" s="76" t="str">
        <f>VLOOKUP(ТаблОбщ[[#This Row],[Выполнение]],Статус[],2)</f>
        <v>&lt;- Выберите</v>
      </c>
      <c r="E70" s="70" t="s">
        <v>9</v>
      </c>
      <c r="F70" s="27">
        <f>VLOOKUP(ТаблОбщ[[#This Row],[Критичность]],Важность[],2)</f>
        <v>4</v>
      </c>
      <c r="G70" s="21">
        <f>IF(OR(ТаблОбщ[[#This Row],[Баллы]]="#",ТаблОбщ[[#This Row],[Выполнение]]=" "),0,1)</f>
        <v>0</v>
      </c>
      <c r="H70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1" spans="1:8" ht="30.5" thickBot="1" x14ac:dyDescent="0.4">
      <c r="A71" s="157" t="s">
        <v>330</v>
      </c>
      <c r="B71" s="158" t="s">
        <v>533</v>
      </c>
      <c r="C71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71" s="163">
        <f>SUMPRODUCT(О_Б_4.5,О_К_4.5)+D84+D90+D79</f>
        <v>0</v>
      </c>
      <c r="E71" s="161"/>
      <c r="F71" s="42">
        <f>SUMPRODUCT(О_К_4.5,О_Н_4.5)*VLOOKUP("Выполняется полностью",Статус[],2)+F84+F90+F79</f>
        <v>0</v>
      </c>
      <c r="G71" s="47"/>
      <c r="H71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72" spans="1:8" ht="31" x14ac:dyDescent="0.35">
      <c r="A72" s="61" t="s">
        <v>471</v>
      </c>
      <c r="B72" s="71" t="s">
        <v>69</v>
      </c>
      <c r="C72" s="57" t="s">
        <v>15</v>
      </c>
      <c r="D72" s="72" t="str">
        <f>VLOOKUP(ТаблОбщ[[#This Row],[Выполнение]],Статус[],2)</f>
        <v>&lt;- Выберите</v>
      </c>
      <c r="E72" s="77" t="s">
        <v>9</v>
      </c>
      <c r="F72" s="26">
        <f>VLOOKUP(ТаблОбщ[[#This Row],[Критичность]],Важность[],2)</f>
        <v>4</v>
      </c>
      <c r="G72" s="22">
        <f>IF(OR(ТаблОбщ[[#This Row],[Баллы]]="#",ТаблОбщ[[#This Row],[Выполнение]]=" "),0,1)</f>
        <v>0</v>
      </c>
      <c r="H72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3" spans="1:8" ht="46.5" x14ac:dyDescent="0.35">
      <c r="A73" s="64" t="s">
        <v>472</v>
      </c>
      <c r="B73" s="43" t="s">
        <v>70</v>
      </c>
      <c r="C73" s="58" t="s">
        <v>15</v>
      </c>
      <c r="D73" s="73" t="str">
        <f>VLOOKUP(ТаблОбщ[[#This Row],[Выполнение]],Статус[],2)</f>
        <v>&lt;- Выберите</v>
      </c>
      <c r="E73" s="78" t="s">
        <v>9</v>
      </c>
      <c r="F73" s="28">
        <f>VLOOKUP(ТаблОбщ[[#This Row],[Критичность]],Важность[],2)</f>
        <v>4</v>
      </c>
      <c r="G73" s="20">
        <f>IF(OR(ТаблОбщ[[#This Row],[Баллы]]="#",ТаблОбщ[[#This Row],[Выполнение]]=" "),0,1)</f>
        <v>0</v>
      </c>
      <c r="H7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4" spans="1:8" ht="31" x14ac:dyDescent="0.35">
      <c r="A74" s="64" t="s">
        <v>473</v>
      </c>
      <c r="B74" s="43" t="s">
        <v>688</v>
      </c>
      <c r="C74" s="58" t="s">
        <v>15</v>
      </c>
      <c r="D74" s="73" t="str">
        <f>VLOOKUP(ТаблОбщ[[#This Row],[Выполнение]],Статус[],2)</f>
        <v>&lt;- Выберите</v>
      </c>
      <c r="E74" s="78" t="s">
        <v>14</v>
      </c>
      <c r="F74" s="28">
        <f>VLOOKUP(ТаблОбщ[[#This Row],[Критичность]],Важность[],2)</f>
        <v>2</v>
      </c>
      <c r="G74" s="20">
        <f>IF(OR(ТаблОбщ[[#This Row],[Баллы]]="#",ТаблОбщ[[#This Row],[Выполнение]]=" "),0,1)</f>
        <v>0</v>
      </c>
      <c r="H7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75" spans="1:8" ht="31" x14ac:dyDescent="0.35">
      <c r="A75" s="64" t="s">
        <v>474</v>
      </c>
      <c r="B75" s="43" t="s">
        <v>76</v>
      </c>
      <c r="C75" s="58" t="s">
        <v>15</v>
      </c>
      <c r="D75" s="73" t="str">
        <f>VLOOKUP(ТаблОбщ[[#This Row],[Выполнение]],Статус[],2)</f>
        <v>&lt;- Выберите</v>
      </c>
      <c r="E75" s="78" t="s">
        <v>14</v>
      </c>
      <c r="F75" s="28">
        <f>VLOOKUP(ТаблОбщ[[#This Row],[Критичность]],Важность[],2)</f>
        <v>2</v>
      </c>
      <c r="G75" s="20">
        <f>IF(OR(ТаблОбщ[[#This Row],[Баллы]]="#",ТаблОбщ[[#This Row],[Выполнение]]=" "),0,1)</f>
        <v>0</v>
      </c>
      <c r="H7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76" spans="1:8" ht="31" x14ac:dyDescent="0.35">
      <c r="A76" s="64" t="s">
        <v>475</v>
      </c>
      <c r="B76" s="43" t="s">
        <v>77</v>
      </c>
      <c r="C76" s="58" t="s">
        <v>15</v>
      </c>
      <c r="D76" s="73" t="str">
        <f>VLOOKUP(ТаблОбщ[[#This Row],[Выполнение]],Статус[],2)</f>
        <v>&lt;- Выберите</v>
      </c>
      <c r="E76" s="78" t="s">
        <v>9</v>
      </c>
      <c r="F76" s="28">
        <f>VLOOKUP(ТаблОбщ[[#This Row],[Критичность]],Важность[],2)</f>
        <v>4</v>
      </c>
      <c r="G76" s="20">
        <f>IF(OR(ТаблОбщ[[#This Row],[Баллы]]="#",ТаблОбщ[[#This Row],[Выполнение]]=" "),0,1)</f>
        <v>0</v>
      </c>
      <c r="H7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7" spans="1:8" ht="31" x14ac:dyDescent="0.35">
      <c r="A77" s="64" t="s">
        <v>476</v>
      </c>
      <c r="B77" s="43" t="s">
        <v>78</v>
      </c>
      <c r="C77" s="58" t="s">
        <v>15</v>
      </c>
      <c r="D77" s="73" t="str">
        <f>VLOOKUP(ТаблОбщ[[#This Row],[Выполнение]],Статус[],2)</f>
        <v>&lt;- Выберите</v>
      </c>
      <c r="E77" s="78" t="s">
        <v>9</v>
      </c>
      <c r="F77" s="28">
        <f>VLOOKUP(ТаблОбщ[[#This Row],[Критичность]],Важность[],2)</f>
        <v>4</v>
      </c>
      <c r="G77" s="20">
        <f>IF(OR(ТаблОбщ[[#This Row],[Баллы]]="#",ТаблОбщ[[#This Row],[Выполнение]]=" "),0,1)</f>
        <v>0</v>
      </c>
      <c r="H7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8" spans="1:8" ht="16" thickBot="1" x14ac:dyDescent="0.4">
      <c r="A78" s="68" t="s">
        <v>477</v>
      </c>
      <c r="B78" s="75" t="s">
        <v>79</v>
      </c>
      <c r="C78" s="59" t="s">
        <v>15</v>
      </c>
      <c r="D78" s="76" t="str">
        <f>VLOOKUP(ТаблОбщ[[#This Row],[Выполнение]],Статус[],2)</f>
        <v>&lt;- Выберите</v>
      </c>
      <c r="E78" s="79" t="s">
        <v>9</v>
      </c>
      <c r="F78" s="27">
        <f>VLOOKUP(ТаблОбщ[[#This Row],[Критичность]],Важность[],2)</f>
        <v>4</v>
      </c>
      <c r="G78" s="21">
        <f>IF(OR(ТаблОбщ[[#This Row],[Баллы]]="#",ТаблОбщ[[#This Row],[Выполнение]]=" "),0,1)</f>
        <v>0</v>
      </c>
      <c r="H78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79" spans="1:8" ht="30.5" thickBot="1" x14ac:dyDescent="0.4">
      <c r="A79" s="157" t="s">
        <v>524</v>
      </c>
      <c r="B79" s="158" t="s">
        <v>534</v>
      </c>
      <c r="C79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79" s="163">
        <f>SUMPRODUCT(О_Б_4.5.8,О_К_4.5.8)</f>
        <v>0</v>
      </c>
      <c r="E79" s="161"/>
      <c r="F79" s="42">
        <f>SUMPRODUCT(О_К_4.5.8,О_Н_4.5.8)*VLOOKUP("Выполняется полностью",Статус[],2)</f>
        <v>0</v>
      </c>
      <c r="G79" s="47"/>
      <c r="H79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80" spans="1:8" ht="31" x14ac:dyDescent="0.35">
      <c r="A80" s="80" t="s">
        <v>478</v>
      </c>
      <c r="B80" s="81" t="s">
        <v>80</v>
      </c>
      <c r="C80" s="57" t="s">
        <v>15</v>
      </c>
      <c r="D80" s="72" t="str">
        <f>VLOOKUP(ТаблОбщ[[#This Row],[Выполнение]],Статус[],2)</f>
        <v>&lt;- Выберите</v>
      </c>
      <c r="E80" s="77" t="s">
        <v>9</v>
      </c>
      <c r="F80" s="26">
        <f>VLOOKUP(ТаблОбщ[[#This Row],[Критичность]],Важность[],2)</f>
        <v>4</v>
      </c>
      <c r="G80" s="22">
        <f>IF(OR(ТаблОбщ[[#This Row],[Баллы]]="#",ТаблОбщ[[#This Row],[Выполнение]]=" "),0,1)</f>
        <v>0</v>
      </c>
      <c r="H80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81" spans="1:8" ht="46.5" x14ac:dyDescent="0.35">
      <c r="A81" s="82" t="s">
        <v>479</v>
      </c>
      <c r="B81" s="83" t="s">
        <v>81</v>
      </c>
      <c r="C81" s="58" t="s">
        <v>15</v>
      </c>
      <c r="D81" s="73" t="str">
        <f>VLOOKUP(ТаблОбщ[[#This Row],[Выполнение]],Статус[],2)</f>
        <v>&lt;- Выберите</v>
      </c>
      <c r="E81" s="78" t="s">
        <v>13</v>
      </c>
      <c r="F81" s="28">
        <f>VLOOKUP(ТаблОбщ[[#This Row],[Критичность]],Важность[],2)</f>
        <v>1</v>
      </c>
      <c r="G81" s="20">
        <f>IF(OR(ТаблОбщ[[#This Row],[Баллы]]="#",ТаблОбщ[[#This Row],[Выполнение]]=" "),0,1)</f>
        <v>0</v>
      </c>
      <c r="H8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82" spans="1:8" ht="31" x14ac:dyDescent="0.35">
      <c r="A82" s="82" t="s">
        <v>480</v>
      </c>
      <c r="B82" s="83" t="s">
        <v>82</v>
      </c>
      <c r="C82" s="58" t="s">
        <v>15</v>
      </c>
      <c r="D82" s="73" t="str">
        <f>VLOOKUP(ТаблОбщ[[#This Row],[Выполнение]],Статус[],2)</f>
        <v>&lt;- Выберите</v>
      </c>
      <c r="E82" s="78" t="s">
        <v>9</v>
      </c>
      <c r="F82" s="28">
        <f>VLOOKUP(ТаблОбщ[[#This Row],[Критичность]],Важность[],2)</f>
        <v>4</v>
      </c>
      <c r="G82" s="20">
        <f>IF(OR(ТаблОбщ[[#This Row],[Баллы]]="#",ТаблОбщ[[#This Row],[Выполнение]]=" "),0,1)</f>
        <v>0</v>
      </c>
      <c r="H8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83" spans="1:8" ht="31.5" thickBot="1" x14ac:dyDescent="0.4">
      <c r="A83" s="84" t="s">
        <v>481</v>
      </c>
      <c r="B83" s="75" t="s">
        <v>83</v>
      </c>
      <c r="C83" s="59" t="s">
        <v>15</v>
      </c>
      <c r="D83" s="76" t="str">
        <f>VLOOKUP(ТаблОбщ[[#This Row],[Выполнение]],Статус[],2)</f>
        <v>&lt;- Выберите</v>
      </c>
      <c r="E83" s="79" t="s">
        <v>13</v>
      </c>
      <c r="F83" s="27">
        <f>VLOOKUP(ТаблОбщ[[#This Row],[Критичность]],Важность[],2)</f>
        <v>1</v>
      </c>
      <c r="G83" s="21">
        <f>IF(OR(ТаблОбщ[[#This Row],[Баллы]]="#",ТаблОбщ[[#This Row],[Выполнение]]=" "),0,1)</f>
        <v>0</v>
      </c>
      <c r="H83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84" spans="1:8" ht="30.5" thickBot="1" x14ac:dyDescent="0.4">
      <c r="A84" s="157" t="s">
        <v>525</v>
      </c>
      <c r="B84" s="158" t="s">
        <v>535</v>
      </c>
      <c r="C84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84" s="163">
        <f>SUMPRODUCT(О_Б_4.5.9,О_К_4.5.9)</f>
        <v>0</v>
      </c>
      <c r="E84" s="161"/>
      <c r="F84" s="42">
        <f>SUMPRODUCT(О_К_4.5.9,О_Н_4.5.9)*VLOOKUP("Выполняется полностью",Статус[],2)</f>
        <v>0</v>
      </c>
      <c r="G84" s="47"/>
      <c r="H84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85" spans="1:8" ht="31" x14ac:dyDescent="0.35">
      <c r="A85" s="61" t="s">
        <v>482</v>
      </c>
      <c r="B85" s="71" t="s">
        <v>71</v>
      </c>
      <c r="C85" s="57" t="s">
        <v>15</v>
      </c>
      <c r="D85" s="72" t="str">
        <f>VLOOKUP(ТаблОбщ[[#This Row],[Выполнение]],Статус[],2)</f>
        <v>&lt;- Выберите</v>
      </c>
      <c r="E85" s="77" t="s">
        <v>14</v>
      </c>
      <c r="F85" s="26">
        <f>VLOOKUP(ТаблОбщ[[#This Row],[Критичность]],Важность[],2)</f>
        <v>2</v>
      </c>
      <c r="G85" s="22">
        <f>IF(OR(ТаблОбщ[[#This Row],[Баллы]]="#",ТаблОбщ[[#This Row],[Выполнение]]=" "),0,1)</f>
        <v>0</v>
      </c>
      <c r="H85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86" spans="1:8" ht="46.5" x14ac:dyDescent="0.35">
      <c r="A86" s="64" t="s">
        <v>483</v>
      </c>
      <c r="B86" s="43" t="s">
        <v>72</v>
      </c>
      <c r="C86" s="58" t="s">
        <v>15</v>
      </c>
      <c r="D86" s="73" t="str">
        <f>VLOOKUP(ТаблОбщ[[#This Row],[Выполнение]],Статус[],2)</f>
        <v>&lt;- Выберите</v>
      </c>
      <c r="E86" s="78" t="s">
        <v>9</v>
      </c>
      <c r="F86" s="28">
        <f>VLOOKUP(ТаблОбщ[[#This Row],[Критичность]],Важность[],2)</f>
        <v>4</v>
      </c>
      <c r="G86" s="20">
        <f>IF(OR(ТаблОбщ[[#This Row],[Баллы]]="#",ТаблОбщ[[#This Row],[Выполнение]]=" "),0,1)</f>
        <v>0</v>
      </c>
      <c r="H8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87" spans="1:8" ht="46.5" x14ac:dyDescent="0.35">
      <c r="A87" s="64" t="s">
        <v>484</v>
      </c>
      <c r="B87" s="43" t="s">
        <v>73</v>
      </c>
      <c r="C87" s="58" t="s">
        <v>15</v>
      </c>
      <c r="D87" s="73" t="str">
        <f>VLOOKUP(ТаблОбщ[[#This Row],[Выполнение]],Статус[],2)</f>
        <v>&lt;- Выберите</v>
      </c>
      <c r="E87" s="78" t="s">
        <v>9</v>
      </c>
      <c r="F87" s="28">
        <f>VLOOKUP(ТаблОбщ[[#This Row],[Критичность]],Важность[],2)</f>
        <v>4</v>
      </c>
      <c r="G87" s="20">
        <f>IF(OR(ТаблОбщ[[#This Row],[Баллы]]="#",ТаблОбщ[[#This Row],[Выполнение]]=" "),0,1)</f>
        <v>0</v>
      </c>
      <c r="H8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88" spans="1:8" ht="31" x14ac:dyDescent="0.35">
      <c r="A88" s="64" t="s">
        <v>485</v>
      </c>
      <c r="B88" s="43" t="s">
        <v>74</v>
      </c>
      <c r="C88" s="58" t="s">
        <v>15</v>
      </c>
      <c r="D88" s="73" t="str">
        <f>VLOOKUP(ТаблОбщ[[#This Row],[Выполнение]],Статус[],2)</f>
        <v>&lt;- Выберите</v>
      </c>
      <c r="E88" s="78" t="s">
        <v>9</v>
      </c>
      <c r="F88" s="28">
        <f>VLOOKUP(ТаблОбщ[[#This Row],[Критичность]],Важность[],2)</f>
        <v>4</v>
      </c>
      <c r="G88" s="20">
        <f>IF(OR(ТаблОбщ[[#This Row],[Баллы]]="#",ТаблОбщ[[#This Row],[Выполнение]]=" "),0,1)</f>
        <v>0</v>
      </c>
      <c r="H8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89" spans="1:8" ht="16" thickBot="1" x14ac:dyDescent="0.4">
      <c r="A89" s="68" t="s">
        <v>486</v>
      </c>
      <c r="B89" s="75" t="s">
        <v>75</v>
      </c>
      <c r="C89" s="59" t="s">
        <v>15</v>
      </c>
      <c r="D89" s="76" t="str">
        <f>VLOOKUP(ТаблОбщ[[#This Row],[Выполнение]],Статус[],2)</f>
        <v>&lt;- Выберите</v>
      </c>
      <c r="E89" s="79" t="s">
        <v>9</v>
      </c>
      <c r="F89" s="27">
        <f>VLOOKUP(ТаблОбщ[[#This Row],[Критичность]],Важность[],2)</f>
        <v>4</v>
      </c>
      <c r="G89" s="21">
        <f>IF(OR(ТаблОбщ[[#This Row],[Баллы]]="#",ТаблОбщ[[#This Row],[Выполнение]]=" "),0,1)</f>
        <v>0</v>
      </c>
      <c r="H89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90" spans="1:8" ht="30.5" thickBot="1" x14ac:dyDescent="0.4">
      <c r="A90" s="157" t="s">
        <v>526</v>
      </c>
      <c r="B90" s="158" t="s">
        <v>536</v>
      </c>
      <c r="C90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90" s="163">
        <f>SUMPRODUCT(О_Б_4.5.10,О_К_4.5.10)</f>
        <v>0</v>
      </c>
      <c r="E90" s="161"/>
      <c r="F90" s="42">
        <f>SUMPRODUCT(О_К_4.5.10,О_Н_4.5.10)*VLOOKUP("Выполняется полностью",Статус[],2)</f>
        <v>0</v>
      </c>
      <c r="G90" s="47"/>
      <c r="H90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91" spans="1:8" x14ac:dyDescent="0.35">
      <c r="A91" s="80" t="s">
        <v>487</v>
      </c>
      <c r="B91" s="71" t="s">
        <v>289</v>
      </c>
      <c r="C91" s="57" t="s">
        <v>15</v>
      </c>
      <c r="D91" s="72" t="str">
        <f>VLOOKUP(ТаблОбщ[[#This Row],[Выполнение]],Статус[],2)</f>
        <v>&lt;- Выберите</v>
      </c>
      <c r="E91" s="77" t="s">
        <v>9</v>
      </c>
      <c r="F91" s="26">
        <f>VLOOKUP(ТаблОбщ[[#This Row],[Критичность]],Важность[],2)</f>
        <v>4</v>
      </c>
      <c r="G91" s="22">
        <f>IF(OR(ТаблОбщ[[#This Row],[Баллы]]="#",ТаблОбщ[[#This Row],[Выполнение]]=" "),0,1)</f>
        <v>0</v>
      </c>
      <c r="H91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92" spans="1:8" x14ac:dyDescent="0.35">
      <c r="A92" s="82" t="s">
        <v>488</v>
      </c>
      <c r="B92" s="43" t="s">
        <v>290</v>
      </c>
      <c r="C92" s="58" t="s">
        <v>15</v>
      </c>
      <c r="D92" s="73" t="str">
        <f>VLOOKUP(ТаблОбщ[[#This Row],[Выполнение]],Статус[],2)</f>
        <v>&lt;- Выберите</v>
      </c>
      <c r="E92" s="78" t="s">
        <v>9</v>
      </c>
      <c r="F92" s="28">
        <f>VLOOKUP(ТаблОбщ[[#This Row],[Критичность]],Важность[],2)</f>
        <v>4</v>
      </c>
      <c r="G92" s="20">
        <f>IF(OR(ТаблОбщ[[#This Row],[Баллы]]="#",ТаблОбщ[[#This Row],[Выполнение]]=" "),0,1)</f>
        <v>0</v>
      </c>
      <c r="H9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93" spans="1:8" ht="31" x14ac:dyDescent="0.35">
      <c r="A93" s="82" t="s">
        <v>489</v>
      </c>
      <c r="B93" s="43" t="s">
        <v>291</v>
      </c>
      <c r="C93" s="58" t="s">
        <v>15</v>
      </c>
      <c r="D93" s="73" t="str">
        <f>VLOOKUP(ТаблОбщ[[#This Row],[Выполнение]],Статус[],2)</f>
        <v>&lt;- Выберите</v>
      </c>
      <c r="E93" s="78" t="s">
        <v>9</v>
      </c>
      <c r="F93" s="28">
        <f>VLOOKUP(ТаблОбщ[[#This Row],[Критичность]],Важность[],2)</f>
        <v>4</v>
      </c>
      <c r="G93" s="20">
        <f>IF(OR(ТаблОбщ[[#This Row],[Баллы]]="#",ТаблОбщ[[#This Row],[Выполнение]]=" "),0,1)</f>
        <v>0</v>
      </c>
      <c r="H9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94" spans="1:8" x14ac:dyDescent="0.35">
      <c r="A94" s="82" t="s">
        <v>490</v>
      </c>
      <c r="B94" s="43" t="s">
        <v>292</v>
      </c>
      <c r="C94" s="58" t="s">
        <v>15</v>
      </c>
      <c r="D94" s="73" t="str">
        <f>VLOOKUP(ТаблОбщ[[#This Row],[Выполнение]],Статус[],2)</f>
        <v>&lt;- Выберите</v>
      </c>
      <c r="E94" s="78" t="s">
        <v>14</v>
      </c>
      <c r="F94" s="28">
        <f>VLOOKUP(ТаблОбщ[[#This Row],[Критичность]],Важность[],2)</f>
        <v>2</v>
      </c>
      <c r="G94" s="20">
        <f>IF(OR(ТаблОбщ[[#This Row],[Баллы]]="#",ТаблОбщ[[#This Row],[Выполнение]]=" "),0,1)</f>
        <v>0</v>
      </c>
      <c r="H9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95" spans="1:8" ht="46.5" x14ac:dyDescent="0.35">
      <c r="A95" s="82" t="s">
        <v>491</v>
      </c>
      <c r="B95" s="43" t="s">
        <v>293</v>
      </c>
      <c r="C95" s="58" t="s">
        <v>15</v>
      </c>
      <c r="D95" s="73" t="str">
        <f>VLOOKUP(ТаблОбщ[[#This Row],[Выполнение]],Статус[],2)</f>
        <v>&lt;- Выберите</v>
      </c>
      <c r="E95" s="78" t="s">
        <v>14</v>
      </c>
      <c r="F95" s="28">
        <f>VLOOKUP(ТаблОбщ[[#This Row],[Критичность]],Важность[],2)</f>
        <v>2</v>
      </c>
      <c r="G95" s="20">
        <f>IF(OR(ТаблОбщ[[#This Row],[Баллы]]="#",ТаблОбщ[[#This Row],[Выполнение]]=" "),0,1)</f>
        <v>0</v>
      </c>
      <c r="H9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96" spans="1:8" ht="31.5" thickBot="1" x14ac:dyDescent="0.4">
      <c r="A96" s="84" t="s">
        <v>492</v>
      </c>
      <c r="B96" s="75" t="s">
        <v>294</v>
      </c>
      <c r="C96" s="59" t="s">
        <v>15</v>
      </c>
      <c r="D96" s="76" t="str">
        <f>VLOOKUP(ТаблОбщ[[#This Row],[Выполнение]],Статус[],2)</f>
        <v>&lt;- Выберите</v>
      </c>
      <c r="E96" s="79" t="s">
        <v>9</v>
      </c>
      <c r="F96" s="27">
        <f>VLOOKUP(ТаблОбщ[[#This Row],[Критичность]],Важность[],2)</f>
        <v>4</v>
      </c>
      <c r="G96" s="21">
        <f>IF(OR(ТаблОбщ[[#This Row],[Баллы]]="#",ТаблОбщ[[#This Row],[Выполнение]]=" "),0,1)</f>
        <v>0</v>
      </c>
      <c r="H96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97" spans="1:8" ht="30.5" thickBot="1" x14ac:dyDescent="0.4">
      <c r="A97" s="157" t="s">
        <v>331</v>
      </c>
      <c r="B97" s="158" t="s">
        <v>537</v>
      </c>
      <c r="C97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97" s="163">
        <f>SUMPRODUCT(О_Б_4.6,О_К_4.6)</f>
        <v>0</v>
      </c>
      <c r="E97" s="161"/>
      <c r="F97" s="42">
        <f>SUMPRODUCT(О_К_4.6,О_Н_4.6)*VLOOKUP("Выполняется полностью",Статус[],2)</f>
        <v>0</v>
      </c>
      <c r="G97" s="47"/>
      <c r="H97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98" spans="1:8" ht="31" x14ac:dyDescent="0.35">
      <c r="A98" s="61" t="s">
        <v>493</v>
      </c>
      <c r="B98" s="71" t="s">
        <v>84</v>
      </c>
      <c r="C98" s="57" t="s">
        <v>15</v>
      </c>
      <c r="D98" s="72" t="str">
        <f>VLOOKUP(ТаблОбщ[[#This Row],[Выполнение]],Статус[],2)</f>
        <v>&lt;- Выберите</v>
      </c>
      <c r="E98" s="77" t="s">
        <v>13</v>
      </c>
      <c r="F98" s="26">
        <f>VLOOKUP(ТаблОбщ[[#This Row],[Критичность]],Важность[],2)</f>
        <v>1</v>
      </c>
      <c r="G98" s="22">
        <f>IF(OR(ТаблОбщ[[#This Row],[Баллы]]="#",ТаблОбщ[[#This Row],[Выполнение]]=" "),0,1)</f>
        <v>0</v>
      </c>
      <c r="H98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99" spans="1:8" ht="31" x14ac:dyDescent="0.35">
      <c r="A99" s="64" t="s">
        <v>494</v>
      </c>
      <c r="B99" s="43" t="s">
        <v>85</v>
      </c>
      <c r="C99" s="58" t="s">
        <v>15</v>
      </c>
      <c r="D99" s="73" t="str">
        <f>VLOOKUP(ТаблОбщ[[#This Row],[Выполнение]],Статус[],2)</f>
        <v>&lt;- Выберите</v>
      </c>
      <c r="E99" s="78" t="s">
        <v>14</v>
      </c>
      <c r="F99" s="28">
        <f>VLOOKUP(ТаблОбщ[[#This Row],[Критичность]],Важность[],2)</f>
        <v>2</v>
      </c>
      <c r="G99" s="20">
        <f>IF(OR(ТаблОбщ[[#This Row],[Баллы]]="#",ТаблОбщ[[#This Row],[Выполнение]]=" "),0,1)</f>
        <v>0</v>
      </c>
      <c r="H9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00" spans="1:8" ht="31" x14ac:dyDescent="0.35">
      <c r="A100" s="64" t="s">
        <v>495</v>
      </c>
      <c r="B100" s="43" t="s">
        <v>86</v>
      </c>
      <c r="C100" s="58" t="s">
        <v>15</v>
      </c>
      <c r="D100" s="73" t="str">
        <f>VLOOKUP(ТаблОбщ[[#This Row],[Выполнение]],Статус[],2)</f>
        <v>&lt;- Выберите</v>
      </c>
      <c r="E100" s="78" t="s">
        <v>13</v>
      </c>
      <c r="F100" s="28">
        <f>VLOOKUP(ТаблОбщ[[#This Row],[Критичность]],Важность[],2)</f>
        <v>1</v>
      </c>
      <c r="G100" s="20">
        <f>IF(OR(ТаблОбщ[[#This Row],[Баллы]]="#",ТаблОбщ[[#This Row],[Выполнение]]=" "),0,1)</f>
        <v>0</v>
      </c>
      <c r="H10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01" spans="1:8" ht="16" thickBot="1" x14ac:dyDescent="0.4">
      <c r="A101" s="68" t="s">
        <v>496</v>
      </c>
      <c r="B101" s="75" t="s">
        <v>87</v>
      </c>
      <c r="C101" s="59" t="s">
        <v>15</v>
      </c>
      <c r="D101" s="76" t="str">
        <f>VLOOKUP(ТаблОбщ[[#This Row],[Выполнение]],Статус[],2)</f>
        <v>&lt;- Выберите</v>
      </c>
      <c r="E101" s="79" t="s">
        <v>13</v>
      </c>
      <c r="F101" s="27">
        <f>VLOOKUP(ТаблОбщ[[#This Row],[Критичность]],Важность[],2)</f>
        <v>1</v>
      </c>
      <c r="G101" s="21">
        <f>IF(OR(ТаблОбщ[[#This Row],[Баллы]]="#",ТаблОбщ[[#This Row],[Выполнение]]=" "),0,1)</f>
        <v>0</v>
      </c>
      <c r="H101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02" spans="1:8" ht="30.5" thickBot="1" x14ac:dyDescent="0.4">
      <c r="A102" s="157" t="s">
        <v>332</v>
      </c>
      <c r="B102" s="158" t="s">
        <v>538</v>
      </c>
      <c r="C102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102" s="163">
        <f>SUMPRODUCT(О_Б_4.7,О_К_4.7)</f>
        <v>0</v>
      </c>
      <c r="E102" s="161"/>
      <c r="F102" s="42">
        <f>SUMPRODUCT(О_К_4.7,О_Н_4.7)*VLOOKUP("Выполняется полностью",Статус[],2)</f>
        <v>0</v>
      </c>
      <c r="G102" s="47"/>
      <c r="H102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03" spans="1:8" ht="31" x14ac:dyDescent="0.35">
      <c r="A103" s="80" t="s">
        <v>497</v>
      </c>
      <c r="B103" s="71" t="s">
        <v>664</v>
      </c>
      <c r="C103" s="57" t="s">
        <v>15</v>
      </c>
      <c r="D103" s="72" t="str">
        <f>VLOOKUP(ТаблОбщ[[#This Row],[Выполнение]],Статус[],2)</f>
        <v>&lt;- Выберите</v>
      </c>
      <c r="E103" s="77" t="s">
        <v>9</v>
      </c>
      <c r="F103" s="26">
        <f>VLOOKUP(ТаблОбщ[[#This Row],[Критичность]],Важность[],2)</f>
        <v>4</v>
      </c>
      <c r="G103" s="22">
        <f>IF(OR(ТаблОбщ[[#This Row],[Баллы]]="#",ТаблОбщ[[#This Row],[Выполнение]]=" "),0,1)</f>
        <v>0</v>
      </c>
      <c r="H103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04" spans="1:8" ht="31" x14ac:dyDescent="0.35">
      <c r="A104" s="82" t="s">
        <v>498</v>
      </c>
      <c r="B104" s="43" t="s">
        <v>88</v>
      </c>
      <c r="C104" s="58" t="s">
        <v>15</v>
      </c>
      <c r="D104" s="73" t="str">
        <f>VLOOKUP(ТаблОбщ[[#This Row],[Выполнение]],Статус[],2)</f>
        <v>&lt;- Выберите</v>
      </c>
      <c r="E104" s="78" t="s">
        <v>9</v>
      </c>
      <c r="F104" s="49">
        <f>VLOOKUP(ТаблОбщ[[#This Row],[Критичность]],Важность[],2)</f>
        <v>4</v>
      </c>
      <c r="G104" s="37">
        <f>IF(OR(ТаблОбщ[[#This Row],[Баллы]]="#",ТаблОбщ[[#This Row],[Выполнение]]=" "),0,1)</f>
        <v>0</v>
      </c>
      <c r="H104" s="38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05" spans="1:8" ht="46.5" x14ac:dyDescent="0.35">
      <c r="A105" s="82" t="s">
        <v>499</v>
      </c>
      <c r="B105" s="43" t="s">
        <v>89</v>
      </c>
      <c r="C105" s="58" t="s">
        <v>15</v>
      </c>
      <c r="D105" s="73" t="str">
        <f>VLOOKUP(ТаблОбщ[[#This Row],[Выполнение]],Статус[],2)</f>
        <v>&lt;- Выберите</v>
      </c>
      <c r="E105" s="78" t="s">
        <v>14</v>
      </c>
      <c r="F105" s="28">
        <f>VLOOKUP(ТаблОбщ[[#This Row],[Критичность]],Важность[],2)</f>
        <v>2</v>
      </c>
      <c r="G105" s="20">
        <f>IF(OR(ТаблОбщ[[#This Row],[Баллы]]="#",ТаблОбщ[[#This Row],[Выполнение]]=" "),0,1)</f>
        <v>0</v>
      </c>
      <c r="H105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06" spans="1:8" ht="31" x14ac:dyDescent="0.35">
      <c r="A106" s="82" t="s">
        <v>500</v>
      </c>
      <c r="B106" s="43" t="s">
        <v>90</v>
      </c>
      <c r="C106" s="58" t="s">
        <v>15</v>
      </c>
      <c r="D106" s="73" t="str">
        <f>VLOOKUP(ТаблОбщ[[#This Row],[Выполнение]],Статус[],2)</f>
        <v>&lt;- Выберите</v>
      </c>
      <c r="E106" s="78" t="s">
        <v>14</v>
      </c>
      <c r="F106" s="28">
        <f>VLOOKUP(ТаблОбщ[[#This Row],[Критичность]],Важность[],2)</f>
        <v>2</v>
      </c>
      <c r="G106" s="20">
        <f>IF(OR(ТаблОбщ[[#This Row],[Баллы]]="#",ТаблОбщ[[#This Row],[Выполнение]]=" "),0,1)</f>
        <v>0</v>
      </c>
      <c r="H106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07" spans="1:8" ht="62" x14ac:dyDescent="0.35">
      <c r="A107" s="82" t="s">
        <v>501</v>
      </c>
      <c r="B107" s="65" t="s">
        <v>92</v>
      </c>
      <c r="C107" s="58" t="s">
        <v>15</v>
      </c>
      <c r="D107" s="73" t="str">
        <f>VLOOKUP(ТаблОбщ[[#This Row],[Выполнение]],Статус[],2)</f>
        <v>&lt;- Выберите</v>
      </c>
      <c r="E107" s="78" t="s">
        <v>9</v>
      </c>
      <c r="F107" s="28">
        <f>VLOOKUP(ТаблОбщ[[#This Row],[Критичность]],Важность[],2)</f>
        <v>4</v>
      </c>
      <c r="G107" s="20">
        <f>IF(OR(ТаблОбщ[[#This Row],[Баллы]]="#",ТаблОбщ[[#This Row],[Выполнение]]=" "),0,1)</f>
        <v>0</v>
      </c>
      <c r="H107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08" spans="1:8" ht="31" x14ac:dyDescent="0.35">
      <c r="A108" s="82" t="s">
        <v>502</v>
      </c>
      <c r="B108" s="43" t="s">
        <v>93</v>
      </c>
      <c r="C108" s="58" t="s">
        <v>15</v>
      </c>
      <c r="D108" s="73" t="str">
        <f>VLOOKUP(ТаблОбщ[[#This Row],[Выполнение]],Статус[],2)</f>
        <v>&lt;- Выберите</v>
      </c>
      <c r="E108" s="78" t="s">
        <v>14</v>
      </c>
      <c r="F108" s="28">
        <f>VLOOKUP(ТаблОбщ[[#This Row],[Критичность]],Важность[],2)</f>
        <v>2</v>
      </c>
      <c r="G108" s="20">
        <f>IF(OR(ТаблОбщ[[#This Row],[Баллы]]="#",ТаблОбщ[[#This Row],[Выполнение]]=" "),0,1)</f>
        <v>0</v>
      </c>
      <c r="H10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09" spans="1:8" ht="46.5" x14ac:dyDescent="0.35">
      <c r="A109" s="82" t="s">
        <v>503</v>
      </c>
      <c r="B109" s="43" t="s">
        <v>94</v>
      </c>
      <c r="C109" s="58" t="s">
        <v>15</v>
      </c>
      <c r="D109" s="73" t="str">
        <f>VLOOKUP(ТаблОбщ[[#This Row],[Выполнение]],Статус[],2)</f>
        <v>&lt;- Выберите</v>
      </c>
      <c r="E109" s="78" t="s">
        <v>9</v>
      </c>
      <c r="F109" s="28">
        <f>VLOOKUP(ТаблОбщ[[#This Row],[Критичность]],Важность[],2)</f>
        <v>4</v>
      </c>
      <c r="G109" s="20">
        <f>IF(OR(ТаблОбщ[[#This Row],[Баллы]]="#",ТаблОбщ[[#This Row],[Выполнение]]=" "),0,1)</f>
        <v>0</v>
      </c>
      <c r="H10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0" spans="1:8" ht="46.5" x14ac:dyDescent="0.35">
      <c r="A110" s="82" t="s">
        <v>504</v>
      </c>
      <c r="B110" s="43" t="s">
        <v>95</v>
      </c>
      <c r="C110" s="58" t="s">
        <v>15</v>
      </c>
      <c r="D110" s="73" t="str">
        <f>VLOOKUP(ТаблОбщ[[#This Row],[Выполнение]],Статус[],2)</f>
        <v>&lt;- Выберите</v>
      </c>
      <c r="E110" s="78" t="s">
        <v>9</v>
      </c>
      <c r="F110" s="28">
        <f>VLOOKUP(ТаблОбщ[[#This Row],[Критичность]],Важность[],2)</f>
        <v>4</v>
      </c>
      <c r="G110" s="20">
        <f>IF(OR(ТаблОбщ[[#This Row],[Баллы]]="#",ТаблОбщ[[#This Row],[Выполнение]]=" "),0,1)</f>
        <v>0</v>
      </c>
      <c r="H11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1" spans="1:8" ht="62" x14ac:dyDescent="0.35">
      <c r="A111" s="82" t="s">
        <v>505</v>
      </c>
      <c r="B111" s="43" t="s">
        <v>96</v>
      </c>
      <c r="C111" s="58" t="s">
        <v>15</v>
      </c>
      <c r="D111" s="73" t="str">
        <f>VLOOKUP(ТаблОбщ[[#This Row],[Выполнение]],Статус[],2)</f>
        <v>&lt;- Выберите</v>
      </c>
      <c r="E111" s="78" t="s">
        <v>9</v>
      </c>
      <c r="F111" s="28">
        <f>VLOOKUP(ТаблОбщ[[#This Row],[Критичность]],Важность[],2)</f>
        <v>4</v>
      </c>
      <c r="G111" s="20">
        <f>IF(OR(ТаблОбщ[[#This Row],[Баллы]]="#",ТаблОбщ[[#This Row],[Выполнение]]=" "),0,1)</f>
        <v>0</v>
      </c>
      <c r="H11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2" spans="1:8" ht="31" x14ac:dyDescent="0.35">
      <c r="A112" s="82" t="s">
        <v>506</v>
      </c>
      <c r="B112" s="43" t="s">
        <v>97</v>
      </c>
      <c r="C112" s="58" t="s">
        <v>15</v>
      </c>
      <c r="D112" s="73" t="str">
        <f>VLOOKUP(ТаблОбщ[[#This Row],[Выполнение]],Статус[],2)</f>
        <v>&lt;- Выберите</v>
      </c>
      <c r="E112" s="78" t="s">
        <v>9</v>
      </c>
      <c r="F112" s="28">
        <f>VLOOKUP(ТаблОбщ[[#This Row],[Критичность]],Важность[],2)</f>
        <v>4</v>
      </c>
      <c r="G112" s="20">
        <f>IF(OR(ТаблОбщ[[#This Row],[Баллы]]="#",ТаблОбщ[[#This Row],[Выполнение]]=" "),0,1)</f>
        <v>0</v>
      </c>
      <c r="H11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3" spans="1:8" ht="46.5" x14ac:dyDescent="0.35">
      <c r="A113" s="82" t="s">
        <v>507</v>
      </c>
      <c r="B113" s="43" t="s">
        <v>99</v>
      </c>
      <c r="C113" s="58" t="s">
        <v>15</v>
      </c>
      <c r="D113" s="73" t="str">
        <f>VLOOKUP(ТаблОбщ[[#This Row],[Выполнение]],Статус[],2)</f>
        <v>&lt;- Выберите</v>
      </c>
      <c r="E113" s="78" t="s">
        <v>9</v>
      </c>
      <c r="F113" s="28">
        <f>VLOOKUP(ТаблОбщ[[#This Row],[Критичность]],Важность[],2)</f>
        <v>4</v>
      </c>
      <c r="G113" s="20">
        <f>IF(OR(ТаблОбщ[[#This Row],[Баллы]]="#",ТаблОбщ[[#This Row],[Выполнение]]=" "),0,1)</f>
        <v>0</v>
      </c>
      <c r="H11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4" spans="1:8" ht="31" x14ac:dyDescent="0.35">
      <c r="A114" s="82" t="s">
        <v>508</v>
      </c>
      <c r="B114" s="43" t="s">
        <v>98</v>
      </c>
      <c r="C114" s="58" t="s">
        <v>15</v>
      </c>
      <c r="D114" s="73" t="str">
        <f>VLOOKUP(ТаблОбщ[[#This Row],[Выполнение]],Статус[],2)</f>
        <v>&lt;- Выберите</v>
      </c>
      <c r="E114" s="78" t="s">
        <v>9</v>
      </c>
      <c r="F114" s="28">
        <f>VLOOKUP(ТаблОбщ[[#This Row],[Критичность]],Важность[],2)</f>
        <v>4</v>
      </c>
      <c r="G114" s="20">
        <f>IF(OR(ТаблОбщ[[#This Row],[Баллы]]="#",ТаблОбщ[[#This Row],[Выполнение]]=" "),0,1)</f>
        <v>0</v>
      </c>
      <c r="H11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5" spans="1:8" ht="31.5" thickBot="1" x14ac:dyDescent="0.4">
      <c r="A115" s="84" t="s">
        <v>509</v>
      </c>
      <c r="B115" s="75" t="s">
        <v>100</v>
      </c>
      <c r="C115" s="59" t="s">
        <v>15</v>
      </c>
      <c r="D115" s="76" t="str">
        <f>VLOOKUP(ТаблОбщ[[#This Row],[Выполнение]],Статус[],2)</f>
        <v>&lt;- Выберите</v>
      </c>
      <c r="E115" s="79" t="s">
        <v>9</v>
      </c>
      <c r="F115" s="27">
        <f>VLOOKUP(ТаблОбщ[[#This Row],[Критичность]],Важность[],2)</f>
        <v>4</v>
      </c>
      <c r="G115" s="21">
        <f>IF(OR(ТаблОбщ[[#This Row],[Баллы]]="#",ТаблОбщ[[#This Row],[Выполнение]]=" "),0,1)</f>
        <v>0</v>
      </c>
      <c r="H115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6" spans="1:8" ht="30.5" thickBot="1" x14ac:dyDescent="0.4">
      <c r="A116" s="157" t="s">
        <v>527</v>
      </c>
      <c r="B116" s="158" t="s">
        <v>539</v>
      </c>
      <c r="C116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116" s="163">
        <f>SUMPRODUCT(О_Б_4.10,О_К_4.10)</f>
        <v>0</v>
      </c>
      <c r="E116" s="161"/>
      <c r="F116" s="42">
        <f>SUMPRODUCT(О_К_4.10,О_Н_4.10)*VLOOKUP("Выполняется полностью",Статус[],2)</f>
        <v>0</v>
      </c>
      <c r="G116" s="47"/>
      <c r="H116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17" spans="1:8" x14ac:dyDescent="0.35">
      <c r="A117" s="80" t="s">
        <v>510</v>
      </c>
      <c r="B117" s="48" t="s">
        <v>103</v>
      </c>
      <c r="C117" s="57" t="s">
        <v>15</v>
      </c>
      <c r="D117" s="72" t="str">
        <f>VLOOKUP(ТаблОбщ[[#This Row],[Выполнение]],Статус[],2)</f>
        <v>&lt;- Выберите</v>
      </c>
      <c r="E117" s="77" t="s">
        <v>9</v>
      </c>
      <c r="F117" s="26">
        <f>VLOOKUP(ТаблОбщ[[#This Row],[Критичность]],Важность[],2)</f>
        <v>4</v>
      </c>
      <c r="G117" s="22">
        <f>IF(OR(ТаблОбщ[[#This Row],[Баллы]]="#",ТаблОбщ[[#This Row],[Выполнение]]=" "),0,1)</f>
        <v>0</v>
      </c>
      <c r="H117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18" spans="1:8" ht="31" x14ac:dyDescent="0.35">
      <c r="A118" s="82" t="s">
        <v>511</v>
      </c>
      <c r="B118" s="43" t="s">
        <v>295</v>
      </c>
      <c r="C118" s="58" t="s">
        <v>15</v>
      </c>
      <c r="D118" s="73" t="str">
        <f>VLOOKUP(ТаблОбщ[[#This Row],[Выполнение]],Статус[],2)</f>
        <v>&lt;- Выберите</v>
      </c>
      <c r="E118" s="78" t="s">
        <v>13</v>
      </c>
      <c r="F118" s="28">
        <f>VLOOKUP(ТаблОбщ[[#This Row],[Критичность]],Важность[],2)</f>
        <v>1</v>
      </c>
      <c r="G118" s="20">
        <f>IF(OR(ТаблОбщ[[#This Row],[Баллы]]="#",ТаблОбщ[[#This Row],[Выполнение]]=" "),0,1)</f>
        <v>0</v>
      </c>
      <c r="H11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19" spans="1:8" x14ac:dyDescent="0.35">
      <c r="A119" s="82" t="s">
        <v>512</v>
      </c>
      <c r="B119" s="43" t="s">
        <v>296</v>
      </c>
      <c r="C119" s="58" t="s">
        <v>15</v>
      </c>
      <c r="D119" s="73" t="str">
        <f>VLOOKUP(ТаблОбщ[[#This Row],[Выполнение]],Статус[],2)</f>
        <v>&lt;- Выберите</v>
      </c>
      <c r="E119" s="78" t="s">
        <v>14</v>
      </c>
      <c r="F119" s="28">
        <f>VLOOKUP(ТаблОбщ[[#This Row],[Критичность]],Важность[],2)</f>
        <v>2</v>
      </c>
      <c r="G119" s="20">
        <f>IF(OR(ТаблОбщ[[#This Row],[Баллы]]="#",ТаблОбщ[[#This Row],[Выполнение]]=" "),0,1)</f>
        <v>0</v>
      </c>
      <c r="H119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20" spans="1:8" x14ac:dyDescent="0.35">
      <c r="A120" s="82" t="s">
        <v>513</v>
      </c>
      <c r="B120" s="43" t="s">
        <v>297</v>
      </c>
      <c r="C120" s="58" t="s">
        <v>15</v>
      </c>
      <c r="D120" s="73" t="str">
        <f>VLOOKUP(ТаблОбщ[[#This Row],[Выполнение]],Статус[],2)</f>
        <v>&lt;- Выберите</v>
      </c>
      <c r="E120" s="78" t="s">
        <v>9</v>
      </c>
      <c r="F120" s="28">
        <f>VLOOKUP(ТаблОбщ[[#This Row],[Критичность]],Важность[],2)</f>
        <v>4</v>
      </c>
      <c r="G120" s="20">
        <f>IF(OR(ТаблОбщ[[#This Row],[Баллы]]="#",ТаблОбщ[[#This Row],[Выполнение]]=" "),0,1)</f>
        <v>0</v>
      </c>
      <c r="H120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21" spans="1:8" x14ac:dyDescent="0.35">
      <c r="A121" s="82" t="s">
        <v>514</v>
      </c>
      <c r="B121" s="43" t="s">
        <v>298</v>
      </c>
      <c r="C121" s="58" t="s">
        <v>15</v>
      </c>
      <c r="D121" s="73" t="str">
        <f>VLOOKUP(ТаблОбщ[[#This Row],[Выполнение]],Статус[],2)</f>
        <v>&lt;- Выберите</v>
      </c>
      <c r="E121" s="78" t="s">
        <v>13</v>
      </c>
      <c r="F121" s="28">
        <f>VLOOKUP(ТаблОбщ[[#This Row],[Критичность]],Важность[],2)</f>
        <v>1</v>
      </c>
      <c r="G121" s="20">
        <f>IF(OR(ТаблОбщ[[#This Row],[Баллы]]="#",ТаблОбщ[[#This Row],[Выполнение]]=" "),0,1)</f>
        <v>0</v>
      </c>
      <c r="H121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22" spans="1:8" x14ac:dyDescent="0.35">
      <c r="A122" s="82" t="s">
        <v>515</v>
      </c>
      <c r="B122" s="43" t="s">
        <v>299</v>
      </c>
      <c r="C122" s="58" t="s">
        <v>15</v>
      </c>
      <c r="D122" s="73" t="str">
        <f>VLOOKUP(ТаблОбщ[[#This Row],[Выполнение]],Статус[],2)</f>
        <v>&lt;- Выберите</v>
      </c>
      <c r="E122" s="78" t="s">
        <v>14</v>
      </c>
      <c r="F122" s="28">
        <f>VLOOKUP(ТаблОбщ[[#This Row],[Критичность]],Важность[],2)</f>
        <v>2</v>
      </c>
      <c r="G122" s="20">
        <f>IF(OR(ТаблОбщ[[#This Row],[Баллы]]="#",ТаблОбщ[[#This Row],[Выполнение]]=" "),0,1)</f>
        <v>0</v>
      </c>
      <c r="H122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23" spans="1:8" x14ac:dyDescent="0.35">
      <c r="A123" s="82" t="s">
        <v>516</v>
      </c>
      <c r="B123" s="43" t="s">
        <v>300</v>
      </c>
      <c r="C123" s="58" t="s">
        <v>15</v>
      </c>
      <c r="D123" s="73" t="str">
        <f>VLOOKUP(ТаблОбщ[[#This Row],[Выполнение]],Статус[],2)</f>
        <v>&lt;- Выберите</v>
      </c>
      <c r="E123" s="78" t="s">
        <v>14</v>
      </c>
      <c r="F123" s="28">
        <f>VLOOKUP(ТаблОбщ[[#This Row],[Критичность]],Важность[],2)</f>
        <v>2</v>
      </c>
      <c r="G123" s="20">
        <f>IF(OR(ТаблОбщ[[#This Row],[Баллы]]="#",ТаблОбщ[[#This Row],[Выполнение]]=" "),0,1)</f>
        <v>0</v>
      </c>
      <c r="H123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Сред. неуд</v>
      </c>
    </row>
    <row r="124" spans="1:8" ht="46.5" x14ac:dyDescent="0.35">
      <c r="A124" s="82" t="s">
        <v>517</v>
      </c>
      <c r="B124" s="43" t="s">
        <v>101</v>
      </c>
      <c r="C124" s="58" t="s">
        <v>15</v>
      </c>
      <c r="D124" s="73" t="str">
        <f>VLOOKUP(ТаблОбщ[[#This Row],[Выполнение]],Статус[],2)</f>
        <v>&lt;- Выберите</v>
      </c>
      <c r="E124" s="78" t="s">
        <v>9</v>
      </c>
      <c r="F124" s="28">
        <f>VLOOKUP(ТаблОбщ[[#This Row],[Критичность]],Важность[],2)</f>
        <v>4</v>
      </c>
      <c r="G124" s="20">
        <f>IF(OR(ТаблОбщ[[#This Row],[Баллы]]="#",ТаблОбщ[[#This Row],[Выполнение]]=" "),0,1)</f>
        <v>0</v>
      </c>
      <c r="H124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25" spans="1:8" ht="31.5" thickBot="1" x14ac:dyDescent="0.4">
      <c r="A125" s="84" t="s">
        <v>518</v>
      </c>
      <c r="B125" s="75" t="s">
        <v>102</v>
      </c>
      <c r="C125" s="59" t="s">
        <v>15</v>
      </c>
      <c r="D125" s="76" t="str">
        <f>VLOOKUP(ТаблОбщ[[#This Row],[Выполнение]],Статус[],2)</f>
        <v>&lt;- Выберите</v>
      </c>
      <c r="E125" s="79" t="s">
        <v>9</v>
      </c>
      <c r="F125" s="27">
        <f>VLOOKUP(ТаблОбщ[[#This Row],[Критичность]],Важность[],2)</f>
        <v>4</v>
      </c>
      <c r="G125" s="21">
        <f>IF(OR(ТаблОбщ[[#This Row],[Баллы]]="#",ТаблОбщ[[#This Row],[Выполнение]]=" "),0,1)</f>
        <v>0</v>
      </c>
      <c r="H125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26" spans="1:8" ht="30.5" thickBot="1" x14ac:dyDescent="0.4">
      <c r="A126" s="157" t="s">
        <v>528</v>
      </c>
      <c r="B126" s="158" t="s">
        <v>540</v>
      </c>
      <c r="C126" s="159" t="str">
        <f>IF(ТаблОбщ[[#This Row],[Коэффициент]]=0,"Требования раздела неприменимы",ТаблОбщ[[#This Row],[Баллы]]/ТаблОбщ[[#This Row],[Коэффициент]])</f>
        <v>Требования раздела неприменимы</v>
      </c>
      <c r="D126" s="163">
        <f>SUMPRODUCT(О_Б_4.11,О_К_4.11)</f>
        <v>0</v>
      </c>
      <c r="E126" s="161"/>
      <c r="F126" s="42">
        <f>SUMPRODUCT(О_К_4.11,О_Н_4.11)*VLOOKUP("Выполняется полностью",Статус[],2)</f>
        <v>0</v>
      </c>
      <c r="G126" s="47"/>
      <c r="H126" s="162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27" spans="1:8" ht="31" x14ac:dyDescent="0.35">
      <c r="A127" s="80" t="s">
        <v>519</v>
      </c>
      <c r="B127" s="71" t="s">
        <v>105</v>
      </c>
      <c r="C127" s="57" t="s">
        <v>15</v>
      </c>
      <c r="D127" s="72" t="str">
        <f>VLOOKUP(ТаблОбщ[[#This Row],[Выполнение]],Статус[],2)</f>
        <v>&lt;- Выберите</v>
      </c>
      <c r="E127" s="77" t="s">
        <v>9</v>
      </c>
      <c r="F127" s="26">
        <f>VLOOKUP(ТаблОбщ[[#This Row],[Критичность]],Важность[],2)</f>
        <v>4</v>
      </c>
      <c r="G127" s="22">
        <f>IF(OR(ТаблОбщ[[#This Row],[Баллы]]="#",ТаблОбщ[[#This Row],[Выполнение]]=" "),0,1)</f>
        <v>0</v>
      </c>
      <c r="H127" s="46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28" spans="1:8" ht="62" x14ac:dyDescent="0.35">
      <c r="A128" s="82" t="s">
        <v>520</v>
      </c>
      <c r="B128" s="43" t="s">
        <v>689</v>
      </c>
      <c r="C128" s="58" t="s">
        <v>15</v>
      </c>
      <c r="D128" s="73" t="str">
        <f>VLOOKUP(ТаблОбщ[[#This Row],[Выполнение]],Статус[],2)</f>
        <v>&lt;- Выберите</v>
      </c>
      <c r="E128" s="78" t="s">
        <v>9</v>
      </c>
      <c r="F128" s="28">
        <f>VLOOKUP(ТаблОбщ[[#This Row],[Критичность]],Важность[],2)</f>
        <v>4</v>
      </c>
      <c r="G128" s="22">
        <f>IF(OR(ТаблОбщ[[#This Row],[Баллы]]="#",ТаблОбщ[[#This Row],[Выполнение]]=" "),0,1)</f>
        <v>0</v>
      </c>
      <c r="H128" s="44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29" spans="1:8" ht="78" thickBot="1" x14ac:dyDescent="0.4">
      <c r="A129" s="84" t="s">
        <v>521</v>
      </c>
      <c r="B129" s="75" t="s">
        <v>104</v>
      </c>
      <c r="C129" s="59" t="s">
        <v>15</v>
      </c>
      <c r="D129" s="76" t="str">
        <f>VLOOKUP(ТаблОбщ[[#This Row],[Выполнение]],Статус[],2)</f>
        <v>&lt;- Выберите</v>
      </c>
      <c r="E129" s="79" t="s">
        <v>9</v>
      </c>
      <c r="F129" s="27">
        <f>VLOOKUP(ТаблОбщ[[#This Row],[Критичность]],Важность[],2)</f>
        <v>4</v>
      </c>
      <c r="G129" s="22">
        <f>IF(OR(ТаблОбщ[[#This Row],[Баллы]]="#",ТаблОбщ[[#This Row],[Выполнение]]=" "),0,1)</f>
        <v>0</v>
      </c>
      <c r="H129" s="45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>Крит. неуд</v>
      </c>
    </row>
    <row r="130" spans="1:8" ht="16" thickBot="1" x14ac:dyDescent="0.4">
      <c r="A130" s="164" t="s">
        <v>106</v>
      </c>
      <c r="B130" s="165" t="s">
        <v>107</v>
      </c>
      <c r="C130" s="166" t="str">
        <f>IF(ТаблОбщ[[#This Row],[Коэффициент]]=0,"Не заполнено",ТаблОбщ[[#This Row],[Баллы]]/ТаблОбщ[[#This Row],[Коэффициент]])</f>
        <v>Не заполнено</v>
      </c>
      <c r="D130" s="167">
        <f>D2+D12+D49+D64+D71+D97+D102+D116+D126</f>
        <v>0</v>
      </c>
      <c r="E130" s="161"/>
      <c r="F130" s="115">
        <f>F2+F12+F49+F64+F71+F97+F102+F116+F126</f>
        <v>0</v>
      </c>
      <c r="G130" s="116"/>
      <c r="H130" s="168" t="str">
        <f>IF(ТаблОбщ[[#This Row],[Коэффициент]]=4,IF(ТаблОбщ[[#This Row],[Баллы]]=4,"","Крит. неуд"),IF(ТаблОбщ[[#This Row],[Коэффициент]]=2,IF(ТаблОбщ[[#This Row],[Баллы]]=4,"","Сред. неуд"),""))</f>
        <v/>
      </c>
    </row>
    <row r="131" spans="1:8" ht="16" thickBot="1" x14ac:dyDescent="0.4"/>
    <row r="132" spans="1:8" ht="30.5" x14ac:dyDescent="0.35">
      <c r="B132" s="169" t="s">
        <v>278</v>
      </c>
      <c r="C132" s="170">
        <f>SUMIF(ТаблОбщ[Удовлетворение],"Крит. неуд",ТаблОбщ[Наличие])</f>
        <v>0</v>
      </c>
      <c r="D132" s="171" t="str">
        <f>IF(C132=0,"У","КН")</f>
        <v>У</v>
      </c>
    </row>
    <row r="133" spans="1:8" ht="31" thickBot="1" x14ac:dyDescent="0.4">
      <c r="B133" s="172" t="s">
        <v>279</v>
      </c>
      <c r="C133" s="173">
        <f>SUMIF(ТаблОбщ[Удовлетворение],"Сред. неуд",ТаблОбщ[Наличие])</f>
        <v>0</v>
      </c>
      <c r="D133" s="174" t="str">
        <f>IF(C133&gt;10,"СН",IF(C133=0,"У","СУ"))</f>
        <v>У</v>
      </c>
      <c r="F133" s="23" t="s">
        <v>15</v>
      </c>
    </row>
  </sheetData>
  <sheetProtection algorithmName="SHA-512" hashValue="lAEGgXqXLrEPOSAWUXOdwUCKoZs6rX0651pC2R2tCtx++h2uJt4qqxwK/hW3AZvH7IWDmdCUmNhT3qSUyBrCxw==" saltValue="ME4SYc/p6L7g7OGycgGccQ==" spinCount="100000" sheet="1" autoFilter="0"/>
  <conditionalFormatting sqref="B130">
    <cfRule type="colorScale" priority="7">
      <colorScale>
        <cfvo type="num" val="&quot;&quot;&quot;ВПР(&quot;&quot;Плохо&quot;&quot;;Цвет;2)&quot;&quot;&quot;"/>
        <cfvo type="num" val="&quot;&quot;&quot;ВПР(&quot;&quot;Нормально&quot;&quot;;Цвет;2)&quot;&quot;&quot;"/>
        <cfvo type="num" val="&quot;&quot;&quot;ВПР(&quot;&quot;Хорошо&quot;&quot;;Цвет;2)&quot;&quot;&quot;"/>
        <color rgb="FFFF9797"/>
        <color rgb="FFFFEB84"/>
        <color theme="9" tint="0.39997558519241921"/>
      </colorScale>
    </cfRule>
  </conditionalFormatting>
  <conditionalFormatting sqref="C130">
    <cfRule type="colorScale" priority="6">
      <colorScale>
        <cfvo type="num" val="&quot;&quot;&quot;ВПР(&quot;&quot;Плохо&quot;&quot;;Цвет;2)&quot;&quot;&quot;"/>
        <cfvo type="num" val="&quot;&quot;&quot;ВПР(&quot;&quot;Нормально&quot;&quot;;Цвет;2)&quot;&quot;&quot;"/>
        <cfvo type="num" val="&quot;&quot;&quot;ВПР(&quot;&quot;Хорошо&quot;&quot;;Цвет;2)&quot;&quot;&quot;"/>
        <color rgb="FFFF9797"/>
        <color rgb="FFFFEB84"/>
        <color theme="9" tint="0.39997558519241921"/>
      </colorScale>
    </cfRule>
  </conditionalFormatting>
  <dataValidations count="2">
    <dataValidation type="list" allowBlank="1" showInputMessage="1" showErrorMessage="1" sqref="C65:C70 C10:C11 C91:C96 C127:C129 C85:C89 C98:C101 C36:C48 C117:C125 C58:C63 C103:C115 C3:C8 C13:C34 C50:C56 C72:C78 C80:C83" xr:uid="{00000000-0002-0000-0100-000000000000}">
      <formula1>INDIRECT("Статус[Выполнение]")</formula1>
    </dataValidation>
    <dataValidation type="list" allowBlank="1" showInputMessage="1" showErrorMessage="1" sqref="E65:E70 E91:E96 E127:E129 E10:E11 E85:E89 E98:E101 E36:E48 E117:E125 E58:E63 E103:E115 E3:E8 E13:E34 E50:E56 E72:E78 E80:E83" xr:uid="{00000000-0002-0000-0100-000001000000}">
      <formula1>INDIRECT("Важность[Критичность]")</formula1>
    </dataValidation>
  </dataValidations>
  <pageMargins left="0.59055118110236227" right="0.78740157480314965" top="1.1811023622047245" bottom="0.78740157480314965" header="0.39370078740157483" footer="0"/>
  <pageSetup paperSize="9" firstPageNumber="44" orientation="landscape" useFirstPageNumber="1" r:id="rId1"/>
  <headerFooter>
    <oddHeader>&amp;C
&amp;P</oddHeader>
  </headerFooter>
  <rowBreaks count="3" manualBreakCount="3">
    <brk id="11" max="4" man="1"/>
    <brk id="34" max="4" man="1"/>
    <brk id="63" max="4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9608224E-F7C7-44B6-A27B-1DED5F4F7F7F}">
            <xm:f>data!$A$10</xm:f>
            <x14:dxf>
              <font>
                <b/>
                <i val="0"/>
              </font>
            </x14:dxf>
          </x14:cfRule>
          <xm:sqref>E1:E1048576</xm:sqref>
        </x14:conditionalFormatting>
        <x14:conditionalFormatting xmlns:xm="http://schemas.microsoft.com/office/excel/2006/main">
          <x14:cfRule type="cellIs" priority="1" operator="equal" id="{BF9FD020-7298-4772-8903-AEB70E78E293}">
            <xm:f>data!$A$6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4FA5D3EF-ED79-4162-882F-51C903EBD09E}">
            <xm:f>data!$A$5</xm:f>
            <x14:dxf>
              <fill>
                <patternFill>
                  <bgColor rgb="FFF9ADAD"/>
                </patternFill>
              </fill>
            </x14:dxf>
          </x14:cfRule>
          <x14:cfRule type="cellIs" priority="3" operator="equal" id="{E7AFE890-7A42-4E1E-B2B2-553C0C512BC4}">
            <xm:f>data!$A$4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4" operator="equal" id="{0CCA370A-68CA-4080-9C52-EDEBDF087EF3}">
            <xm:f>data!$A$3</xm:f>
            <x14:dxf>
              <fill>
                <patternFill>
                  <bgColor theme="9" tint="0.59996337778862885"/>
                </patternFill>
              </fill>
            </x14:dxf>
          </x14:cfRule>
          <xm:sqref>C1:C1048576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H140"/>
  <sheetViews>
    <sheetView zoomScaleNormal="100" zoomScalePageLayoutView="85" workbookViewId="0">
      <selection activeCell="C3" sqref="C3"/>
    </sheetView>
  </sheetViews>
  <sheetFormatPr defaultColWidth="9.1796875" defaultRowHeight="15.5" x14ac:dyDescent="0.35"/>
  <cols>
    <col min="1" max="1" width="12.7265625" style="93" customWidth="1"/>
    <col min="2" max="2" width="60.26953125" style="85" customWidth="1"/>
    <col min="3" max="3" width="25" style="94" customWidth="1"/>
    <col min="4" max="4" width="13" style="60" customWidth="1"/>
    <col min="5" max="5" width="20.1796875" style="60" customWidth="1"/>
    <col min="6" max="6" width="20.1796875" style="25" hidden="1" customWidth="1"/>
    <col min="7" max="7" width="14.453125" style="23" hidden="1" customWidth="1"/>
    <col min="8" max="8" width="22.81640625" style="23" hidden="1" customWidth="1"/>
    <col min="9" max="9" width="6.7265625" style="24" customWidth="1"/>
    <col min="10" max="16384" width="9.1796875" style="24"/>
  </cols>
  <sheetData>
    <row r="1" spans="1:8" s="108" customFormat="1" ht="30.75" customHeight="1" thickBot="1" x14ac:dyDescent="0.4">
      <c r="A1" s="175" t="s">
        <v>542</v>
      </c>
      <c r="B1" s="176" t="s">
        <v>18</v>
      </c>
      <c r="C1" s="177" t="s">
        <v>4</v>
      </c>
      <c r="D1" s="177" t="s">
        <v>5</v>
      </c>
      <c r="E1" s="178" t="s">
        <v>6</v>
      </c>
      <c r="F1" s="51" t="s">
        <v>7</v>
      </c>
      <c r="G1" s="52" t="s">
        <v>19</v>
      </c>
      <c r="H1" s="30" t="s">
        <v>268</v>
      </c>
    </row>
    <row r="2" spans="1:8" s="109" customFormat="1" ht="30.5" thickBot="1" x14ac:dyDescent="0.4">
      <c r="A2" s="157" t="s">
        <v>646</v>
      </c>
      <c r="B2" s="179" t="s">
        <v>617</v>
      </c>
      <c r="C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2" s="160">
        <f>SUMPRODUCT(В_Б_П2.1,В_К_П2.1)+D9</f>
        <v>0</v>
      </c>
      <c r="E2" s="161"/>
      <c r="F2" s="41">
        <f>SUMPRODUCT(В_К_П2.1,В_Н_П2.1)*VLOOKUP("Выполняется полностью",Статус[],2)+F9</f>
        <v>0</v>
      </c>
      <c r="G2" s="118"/>
      <c r="H2" s="136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3" spans="1:8" s="109" customFormat="1" ht="31" x14ac:dyDescent="0.35">
      <c r="A3" s="61" t="s">
        <v>543</v>
      </c>
      <c r="B3" s="48" t="s">
        <v>113</v>
      </c>
      <c r="C3" s="57" t="s">
        <v>15</v>
      </c>
      <c r="D3" s="62" t="str">
        <f>VLOOKUP(ТаблВеб[[#This Row],[Выполнение]],Статус[],2)</f>
        <v>&lt;- Выберите</v>
      </c>
      <c r="E3" s="63" t="s">
        <v>9</v>
      </c>
      <c r="F3" s="119">
        <f>VLOOKUP(ТаблВеб[[#This Row],[Критичность]],Важность[],2)</f>
        <v>4</v>
      </c>
      <c r="G3" s="120">
        <f>IF(OR(ТаблВеб[[#This Row],[Баллы]]="#",ТаблВеб[[#This Row],[Выполнение]]=" "),0,1)</f>
        <v>0</v>
      </c>
      <c r="H3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4" spans="1:8" s="109" customFormat="1" ht="46.5" x14ac:dyDescent="0.35">
      <c r="A4" s="64" t="s">
        <v>544</v>
      </c>
      <c r="B4" s="65" t="s">
        <v>114</v>
      </c>
      <c r="C4" s="58" t="s">
        <v>15</v>
      </c>
      <c r="D4" s="66" t="str">
        <f>VLOOKUP(ТаблВеб[[#This Row],[Выполнение]],Статус[],2)</f>
        <v>&lt;- Выберите</v>
      </c>
      <c r="E4" s="67" t="s">
        <v>9</v>
      </c>
      <c r="F4" s="122">
        <f>VLOOKUP(ТаблВеб[[#This Row],[Критичность]],Важность[],2)</f>
        <v>4</v>
      </c>
      <c r="G4" s="123">
        <f>IF(OR(ТаблВеб[[#This Row],[Баллы]]="#",ТаблВеб[[#This Row],[Выполнение]]=" "),0,1)</f>
        <v>0</v>
      </c>
      <c r="H4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" spans="1:8" s="109" customFormat="1" ht="31" x14ac:dyDescent="0.35">
      <c r="A5" s="64" t="s">
        <v>545</v>
      </c>
      <c r="B5" s="65" t="s">
        <v>115</v>
      </c>
      <c r="C5" s="58" t="s">
        <v>15</v>
      </c>
      <c r="D5" s="66" t="str">
        <f>VLOOKUP(ТаблВеб[[#This Row],[Выполнение]],Статус[],2)</f>
        <v>&lt;- Выберите</v>
      </c>
      <c r="E5" s="67" t="s">
        <v>9</v>
      </c>
      <c r="F5" s="122">
        <f>VLOOKUP(ТаблВеб[[#This Row],[Критичность]],Важность[],2)</f>
        <v>4</v>
      </c>
      <c r="G5" s="123">
        <f>IF(OR(ТаблВеб[[#This Row],[Баллы]]="#",ТаблВеб[[#This Row],[Выполнение]]=" "),0,1)</f>
        <v>0</v>
      </c>
      <c r="H5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" spans="1:8" s="109" customFormat="1" x14ac:dyDescent="0.35">
      <c r="A6" s="64" t="s">
        <v>546</v>
      </c>
      <c r="B6" s="65" t="s">
        <v>116</v>
      </c>
      <c r="C6" s="58" t="s">
        <v>15</v>
      </c>
      <c r="D6" s="66" t="str">
        <f>VLOOKUP(ТаблВеб[[#This Row],[Выполнение]],Статус[],2)</f>
        <v>&lt;- Выберите</v>
      </c>
      <c r="E6" s="67" t="s">
        <v>9</v>
      </c>
      <c r="F6" s="122">
        <f>VLOOKUP(ТаблВеб[[#This Row],[Критичность]],Важность[],2)</f>
        <v>4</v>
      </c>
      <c r="G6" s="123">
        <f>IF(OR(ТаблВеб[[#This Row],[Баллы]]="#",ТаблВеб[[#This Row],[Выполнение]]=" "),0,1)</f>
        <v>0</v>
      </c>
      <c r="H6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" spans="1:8" s="109" customFormat="1" ht="46.5" x14ac:dyDescent="0.35">
      <c r="A7" s="64" t="s">
        <v>547</v>
      </c>
      <c r="B7" s="65" t="s">
        <v>117</v>
      </c>
      <c r="C7" s="58" t="s">
        <v>15</v>
      </c>
      <c r="D7" s="66" t="str">
        <f>VLOOKUP(ТаблВеб[[#This Row],[Выполнение]],Статус[],2)</f>
        <v>&lt;- Выберите</v>
      </c>
      <c r="E7" s="67" t="s">
        <v>9</v>
      </c>
      <c r="F7" s="122">
        <f>VLOOKUP(ТаблВеб[[#This Row],[Критичность]],Важность[],2)</f>
        <v>4</v>
      </c>
      <c r="G7" s="123">
        <f>IF(OR(ТаблВеб[[#This Row],[Баллы]]="#",ТаблВеб[[#This Row],[Выполнение]]=" "),0,1)</f>
        <v>0</v>
      </c>
      <c r="H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" spans="1:8" s="109" customFormat="1" ht="47" thickBot="1" x14ac:dyDescent="0.4">
      <c r="A8" s="68" t="s">
        <v>548</v>
      </c>
      <c r="B8" s="50" t="s">
        <v>118</v>
      </c>
      <c r="C8" s="59" t="s">
        <v>15</v>
      </c>
      <c r="D8" s="69" t="str">
        <f>VLOOKUP(ТаблВеб[[#This Row],[Выполнение]],Статус[],2)</f>
        <v>&lt;- Выберите</v>
      </c>
      <c r="E8" s="70" t="s">
        <v>14</v>
      </c>
      <c r="F8" s="125">
        <f>VLOOKUP(ТаблВеб[[#This Row],[Критичность]],Важность[],2)</f>
        <v>2</v>
      </c>
      <c r="G8" s="126">
        <f>IF(OR(ТаблВеб[[#This Row],[Баллы]]="#",ТаблВеб[[#This Row],[Выполнение]]=" "),0,1)</f>
        <v>0</v>
      </c>
      <c r="H8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9" spans="1:8" s="109" customFormat="1" ht="30.5" thickBot="1" x14ac:dyDescent="0.4">
      <c r="A9" s="157" t="s">
        <v>647</v>
      </c>
      <c r="B9" s="179" t="s">
        <v>618</v>
      </c>
      <c r="C9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9" s="160">
        <f>SUMPRODUCT(В_Б_П2.1.7,В_К_П2.1.7)</f>
        <v>0</v>
      </c>
      <c r="E9" s="161"/>
      <c r="F9" s="41">
        <f>SUMPRODUCT(В_К_П2.1.7,В_Н_П2.1.7)*VLOOKUP("Выполняется полностью",Статус[],2)</f>
        <v>0</v>
      </c>
      <c r="G9" s="118"/>
      <c r="H9" s="136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0" spans="1:8" s="109" customFormat="1" x14ac:dyDescent="0.35">
      <c r="A10" s="61" t="s">
        <v>549</v>
      </c>
      <c r="B10" s="48" t="s">
        <v>119</v>
      </c>
      <c r="C10" s="57" t="s">
        <v>15</v>
      </c>
      <c r="D10" s="62" t="str">
        <f>VLOOKUP(ТаблВеб[[#This Row],[Выполнение]],Статус[],2)</f>
        <v>&lt;- Выберите</v>
      </c>
      <c r="E10" s="63" t="s">
        <v>14</v>
      </c>
      <c r="F10" s="119">
        <f>VLOOKUP(ТаблВеб[[#This Row],[Критичность]],Важность[],2)</f>
        <v>2</v>
      </c>
      <c r="G10" s="120">
        <f>IF(OR(ТаблВеб[[#This Row],[Баллы]]="#",ТаблВеб[[#This Row],[Выполнение]]=" "),0,1)</f>
        <v>0</v>
      </c>
      <c r="H10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1" spans="1:8" s="109" customFormat="1" x14ac:dyDescent="0.35">
      <c r="A11" s="64" t="s">
        <v>550</v>
      </c>
      <c r="B11" s="65" t="s">
        <v>120</v>
      </c>
      <c r="C11" s="58" t="s">
        <v>15</v>
      </c>
      <c r="D11" s="66" t="str">
        <f>VLOOKUP(ТаблВеб[[#This Row],[Выполнение]],Статус[],2)</f>
        <v>&lt;- Выберите</v>
      </c>
      <c r="E11" s="67" t="s">
        <v>14</v>
      </c>
      <c r="F11" s="122">
        <f>VLOOKUP(ТаблВеб[[#This Row],[Критичность]],Важность[],2)</f>
        <v>2</v>
      </c>
      <c r="G11" s="123">
        <f>IF(OR(ТаблВеб[[#This Row],[Баллы]]="#",ТаблВеб[[#This Row],[Выполнение]]=" "),0,1)</f>
        <v>0</v>
      </c>
      <c r="H11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2" spans="1:8" s="109" customFormat="1" x14ac:dyDescent="0.35">
      <c r="A12" s="64" t="s">
        <v>551</v>
      </c>
      <c r="B12" s="65" t="s">
        <v>121</v>
      </c>
      <c r="C12" s="58" t="s">
        <v>15</v>
      </c>
      <c r="D12" s="66" t="str">
        <f>VLOOKUP(ТаблВеб[[#This Row],[Выполнение]],Статус[],2)</f>
        <v>&lt;- Выберите</v>
      </c>
      <c r="E12" s="67" t="s">
        <v>14</v>
      </c>
      <c r="F12" s="122">
        <f>VLOOKUP(ТаблВеб[[#This Row],[Критичность]],Важность[],2)</f>
        <v>2</v>
      </c>
      <c r="G12" s="123">
        <f>IF(OR(ТаблВеб[[#This Row],[Баллы]]="#",ТаблВеб[[#This Row],[Выполнение]]=" "),0,1)</f>
        <v>0</v>
      </c>
      <c r="H12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3" spans="1:8" s="109" customFormat="1" ht="31" x14ac:dyDescent="0.35">
      <c r="A13" s="64" t="s">
        <v>552</v>
      </c>
      <c r="B13" s="65" t="s">
        <v>122</v>
      </c>
      <c r="C13" s="58" t="s">
        <v>15</v>
      </c>
      <c r="D13" s="66" t="str">
        <f>VLOOKUP(ТаблВеб[[#This Row],[Выполнение]],Статус[],2)</f>
        <v>&lt;- Выберите</v>
      </c>
      <c r="E13" s="67" t="s">
        <v>14</v>
      </c>
      <c r="F13" s="122">
        <f>VLOOKUP(ТаблВеб[[#This Row],[Критичность]],Важность[],2)</f>
        <v>2</v>
      </c>
      <c r="G13" s="123">
        <f>IF(OR(ТаблВеб[[#This Row],[Баллы]]="#",ТаблВеб[[#This Row],[Выполнение]]=" "),0,1)</f>
        <v>0</v>
      </c>
      <c r="H13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4" spans="1:8" s="109" customFormat="1" x14ac:dyDescent="0.35">
      <c r="A14" s="64" t="s">
        <v>553</v>
      </c>
      <c r="B14" s="65" t="s">
        <v>123</v>
      </c>
      <c r="C14" s="58" t="s">
        <v>15</v>
      </c>
      <c r="D14" s="66" t="str">
        <f>VLOOKUP(ТаблВеб[[#This Row],[Выполнение]],Статус[],2)</f>
        <v>&lt;- Выберите</v>
      </c>
      <c r="E14" s="67" t="s">
        <v>13</v>
      </c>
      <c r="F14" s="122">
        <f>VLOOKUP(ТаблВеб[[#This Row],[Критичность]],Важность[],2)</f>
        <v>1</v>
      </c>
      <c r="G14" s="123">
        <f>IF(OR(ТаблВеб[[#This Row],[Баллы]]="#",ТаблВеб[[#This Row],[Выполнение]]=" "),0,1)</f>
        <v>0</v>
      </c>
      <c r="H14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5" spans="1:8" s="109" customFormat="1" ht="31" x14ac:dyDescent="0.35">
      <c r="A15" s="64" t="s">
        <v>554</v>
      </c>
      <c r="B15" s="65" t="s">
        <v>124</v>
      </c>
      <c r="C15" s="58" t="s">
        <v>15</v>
      </c>
      <c r="D15" s="66" t="str">
        <f>VLOOKUP(ТаблВеб[[#This Row],[Выполнение]],Статус[],2)</f>
        <v>&lt;- Выберите</v>
      </c>
      <c r="E15" s="67" t="s">
        <v>14</v>
      </c>
      <c r="F15" s="122">
        <f>VLOOKUP(ТаблВеб[[#This Row],[Критичность]],Важность[],2)</f>
        <v>2</v>
      </c>
      <c r="G15" s="123">
        <f>IF(OR(ТаблВеб[[#This Row],[Баллы]]="#",ТаблВеб[[#This Row],[Выполнение]]=" "),0,1)</f>
        <v>0</v>
      </c>
      <c r="H15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6" spans="1:8" s="109" customFormat="1" ht="31" x14ac:dyDescent="0.35">
      <c r="A16" s="64" t="s">
        <v>555</v>
      </c>
      <c r="B16" s="65" t="s">
        <v>125</v>
      </c>
      <c r="C16" s="58" t="s">
        <v>15</v>
      </c>
      <c r="D16" s="66" t="str">
        <f>VLOOKUP(ТаблВеб[[#This Row],[Выполнение]],Статус[],2)</f>
        <v>&lt;- Выберите</v>
      </c>
      <c r="E16" s="67" t="s">
        <v>14</v>
      </c>
      <c r="F16" s="122">
        <f>VLOOKUP(ТаблВеб[[#This Row],[Критичность]],Важность[],2)</f>
        <v>2</v>
      </c>
      <c r="G16" s="123">
        <f>IF(OR(ТаблВеб[[#This Row],[Баллы]]="#",ТаблВеб[[#This Row],[Выполнение]]=" "),0,1)</f>
        <v>0</v>
      </c>
      <c r="H16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7" spans="1:8" s="109" customFormat="1" ht="31" x14ac:dyDescent="0.35">
      <c r="A17" s="64" t="s">
        <v>556</v>
      </c>
      <c r="B17" s="65" t="s">
        <v>126</v>
      </c>
      <c r="C17" s="58" t="s">
        <v>15</v>
      </c>
      <c r="D17" s="66" t="str">
        <f>VLOOKUP(ТаблВеб[[#This Row],[Выполнение]],Статус[],2)</f>
        <v>&lt;- Выберите</v>
      </c>
      <c r="E17" s="67" t="s">
        <v>14</v>
      </c>
      <c r="F17" s="122">
        <f>VLOOKUP(ТаблВеб[[#This Row],[Критичность]],Важность[],2)</f>
        <v>2</v>
      </c>
      <c r="G17" s="123">
        <f>IF(OR(ТаблВеб[[#This Row],[Баллы]]="#",ТаблВеб[[#This Row],[Выполнение]]=" "),0,1)</f>
        <v>0</v>
      </c>
      <c r="H1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8" spans="1:8" s="109" customFormat="1" ht="31.5" thickBot="1" x14ac:dyDescent="0.4">
      <c r="A18" s="68" t="s">
        <v>557</v>
      </c>
      <c r="B18" s="50" t="s">
        <v>127</v>
      </c>
      <c r="C18" s="59" t="s">
        <v>15</v>
      </c>
      <c r="D18" s="69" t="str">
        <f>VLOOKUP(ТаблВеб[[#This Row],[Выполнение]],Статус[],2)</f>
        <v>&lt;- Выберите</v>
      </c>
      <c r="E18" s="70" t="s">
        <v>14</v>
      </c>
      <c r="F18" s="125">
        <f>VLOOKUP(ТаблВеб[[#This Row],[Критичность]],Важность[],2)</f>
        <v>2</v>
      </c>
      <c r="G18" s="126">
        <f>IF(OR(ТаблВеб[[#This Row],[Баллы]]="#",ТаблВеб[[#This Row],[Выполнение]]=" "),0,1)</f>
        <v>0</v>
      </c>
      <c r="H18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9" spans="1:8" s="109" customFormat="1" ht="30.5" thickBot="1" x14ac:dyDescent="0.4">
      <c r="A19" s="180" t="s">
        <v>368</v>
      </c>
      <c r="B19" s="179" t="s">
        <v>619</v>
      </c>
      <c r="C19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9" s="160">
        <f>SUMPRODUCT(В_Б_П2.2,В_К_П2.2)+D22+D25+D28</f>
        <v>0</v>
      </c>
      <c r="E19" s="161"/>
      <c r="F19" s="41">
        <f>SUMPRODUCT(В_К_П2.2,В_Н_П2.2)*VLOOKUP("Выполняется полностью",Статус[],2)+F22+F25+F28</f>
        <v>0</v>
      </c>
      <c r="G19" s="118"/>
      <c r="H19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20" spans="1:8" s="109" customFormat="1" ht="46.5" x14ac:dyDescent="0.35">
      <c r="A20" s="61" t="s">
        <v>370</v>
      </c>
      <c r="B20" s="48" t="s">
        <v>128</v>
      </c>
      <c r="C20" s="57" t="s">
        <v>15</v>
      </c>
      <c r="D20" s="62" t="str">
        <f>VLOOKUP(ТаблВеб[[#This Row],[Выполнение]],Статус[],2)</f>
        <v>&lt;- Выберите</v>
      </c>
      <c r="E20" s="63" t="s">
        <v>9</v>
      </c>
      <c r="F20" s="119">
        <f>VLOOKUP(ТаблВеб[[#This Row],[Критичность]],Важность[],2)</f>
        <v>4</v>
      </c>
      <c r="G20" s="120">
        <f>IF(OR(ТаблВеб[[#This Row],[Баллы]]="#",ТаблВеб[[#This Row],[Выполнение]]=" "),0,1)</f>
        <v>0</v>
      </c>
      <c r="H20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21" spans="1:8" s="109" customFormat="1" ht="31.5" thickBot="1" x14ac:dyDescent="0.4">
      <c r="A21" s="68" t="s">
        <v>400</v>
      </c>
      <c r="B21" s="50" t="s">
        <v>129</v>
      </c>
      <c r="C21" s="59" t="s">
        <v>15</v>
      </c>
      <c r="D21" s="69" t="str">
        <f>VLOOKUP(ТаблВеб[[#This Row],[Выполнение]],Статус[],2)</f>
        <v>&lt;- Выберите</v>
      </c>
      <c r="E21" s="70" t="s">
        <v>9</v>
      </c>
      <c r="F21" s="125">
        <f>VLOOKUP(ТаблВеб[[#This Row],[Критичность]],Важность[],2)</f>
        <v>4</v>
      </c>
      <c r="G21" s="126">
        <f>IF(OR(ТаблВеб[[#This Row],[Баллы]]="#",ТаблВеб[[#This Row],[Выполнение]]=" "),0,1)</f>
        <v>0</v>
      </c>
      <c r="H21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22" spans="1:8" s="109" customFormat="1" ht="30.5" thickBot="1" x14ac:dyDescent="0.4">
      <c r="A22" s="180" t="s">
        <v>648</v>
      </c>
      <c r="B22" s="179" t="s">
        <v>620</v>
      </c>
      <c r="C2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22" s="160">
        <f>SUMPRODUCT(В_Б_П2.2.3,В_К_П2.2.3)</f>
        <v>0</v>
      </c>
      <c r="E22" s="161"/>
      <c r="F22" s="41">
        <f>SUMPRODUCT(В_К_П2.2.3,В_Н_П2.2.3)*VLOOKUP("Выполняется полностью",Статус[],2)</f>
        <v>0</v>
      </c>
      <c r="G22" s="118"/>
      <c r="H22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23" spans="1:8" s="109" customFormat="1" ht="31" x14ac:dyDescent="0.35">
      <c r="A23" s="61" t="s">
        <v>558</v>
      </c>
      <c r="B23" s="48" t="s">
        <v>130</v>
      </c>
      <c r="C23" s="57" t="s">
        <v>15</v>
      </c>
      <c r="D23" s="62" t="str">
        <f>VLOOKUP(ТаблВеб[[#This Row],[Выполнение]],Статус[],2)</f>
        <v>&lt;- Выберите</v>
      </c>
      <c r="E23" s="63" t="s">
        <v>9</v>
      </c>
      <c r="F23" s="119">
        <f>VLOOKUP(ТаблВеб[[#This Row],[Критичность]],Важность[],2)</f>
        <v>4</v>
      </c>
      <c r="G23" s="120">
        <f>IF(OR(ТаблВеб[[#This Row],[Баллы]]="#",ТаблВеб[[#This Row],[Выполнение]]=" "),0,1)</f>
        <v>0</v>
      </c>
      <c r="H23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24" spans="1:8" s="109" customFormat="1" ht="31.5" thickBot="1" x14ac:dyDescent="0.4">
      <c r="A24" s="68" t="s">
        <v>559</v>
      </c>
      <c r="B24" s="50" t="s">
        <v>690</v>
      </c>
      <c r="C24" s="59" t="s">
        <v>15</v>
      </c>
      <c r="D24" s="69" t="str">
        <f>VLOOKUP(ТаблВеб[[#This Row],[Выполнение]],Статус[],2)</f>
        <v>&lt;- Выберите</v>
      </c>
      <c r="E24" s="70" t="s">
        <v>13</v>
      </c>
      <c r="F24" s="125">
        <f>VLOOKUP(ТаблВеб[[#This Row],[Критичность]],Важность[],2)</f>
        <v>1</v>
      </c>
      <c r="G24" s="126">
        <f>IF(OR(ТаблВеб[[#This Row],[Баллы]]="#",ТаблВеб[[#This Row],[Выполнение]]=" "),0,1)</f>
        <v>0</v>
      </c>
      <c r="H24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25" spans="1:8" s="109" customFormat="1" ht="30.5" thickBot="1" x14ac:dyDescent="0.4">
      <c r="A25" s="180" t="s">
        <v>649</v>
      </c>
      <c r="B25" s="179" t="s">
        <v>621</v>
      </c>
      <c r="C25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25" s="160">
        <f>SUMPRODUCT(В_Б_П2.2.4,В_К_П2.2.4)</f>
        <v>0</v>
      </c>
      <c r="E25" s="161"/>
      <c r="F25" s="41">
        <f>SUMPRODUCT(В_К_П2.2.4,В_Н_П2.2.4)*VLOOKUP("Выполняется полностью",Статус[],2)</f>
        <v>0</v>
      </c>
      <c r="G25" s="118"/>
      <c r="H25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26" spans="1:8" s="109" customFormat="1" x14ac:dyDescent="0.35">
      <c r="A26" s="61" t="s">
        <v>560</v>
      </c>
      <c r="B26" s="87" t="s">
        <v>131</v>
      </c>
      <c r="C26" s="57" t="s">
        <v>15</v>
      </c>
      <c r="D26" s="62" t="str">
        <f>VLOOKUP(ТаблВеб[[#This Row],[Выполнение]],Статус[],2)</f>
        <v>&lt;- Выберите</v>
      </c>
      <c r="E26" s="63" t="s">
        <v>9</v>
      </c>
      <c r="F26" s="119">
        <f>VLOOKUP(ТаблВеб[[#This Row],[Критичность]],Важность[],2)</f>
        <v>4</v>
      </c>
      <c r="G26" s="120">
        <f>IF(OR(ТаблВеб[[#This Row],[Баллы]]="#",ТаблВеб[[#This Row],[Выполнение]]=" "),0,1)</f>
        <v>0</v>
      </c>
      <c r="H26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27" spans="1:8" s="109" customFormat="1" ht="16" thickBot="1" x14ac:dyDescent="0.4">
      <c r="A27" s="68" t="s">
        <v>561</v>
      </c>
      <c r="B27" s="50" t="s">
        <v>132</v>
      </c>
      <c r="C27" s="59" t="s">
        <v>15</v>
      </c>
      <c r="D27" s="69" t="str">
        <f>VLOOKUP(ТаблВеб[[#This Row],[Выполнение]],Статус[],2)</f>
        <v>&lt;- Выберите</v>
      </c>
      <c r="E27" s="70" t="s">
        <v>13</v>
      </c>
      <c r="F27" s="125">
        <f>VLOOKUP(ТаблВеб[[#This Row],[Критичность]],Важность[],2)</f>
        <v>1</v>
      </c>
      <c r="G27" s="126">
        <f>IF(OR(ТаблВеб[[#This Row],[Баллы]]="#",ТаблВеб[[#This Row],[Выполнение]]=" "),0,1)</f>
        <v>0</v>
      </c>
      <c r="H27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28" spans="1:8" s="109" customFormat="1" ht="30.5" thickBot="1" x14ac:dyDescent="0.4">
      <c r="A28" s="180" t="s">
        <v>650</v>
      </c>
      <c r="B28" s="179" t="s">
        <v>622</v>
      </c>
      <c r="C28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28" s="160">
        <f>SUMPRODUCT(В_Б_П2.2.5,В_К_П2.2.5)</f>
        <v>0</v>
      </c>
      <c r="E28" s="161"/>
      <c r="F28" s="41">
        <f>SUMPRODUCT(В_К_П2.2.5,В_Н_П2.2.5)*VLOOKUP("Выполняется полностью",Статус[],2)</f>
        <v>0</v>
      </c>
      <c r="G28" s="118"/>
      <c r="H28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29" spans="1:8" s="109" customFormat="1" ht="31" x14ac:dyDescent="0.35">
      <c r="A29" s="61" t="s">
        <v>562</v>
      </c>
      <c r="B29" s="48" t="s">
        <v>133</v>
      </c>
      <c r="C29" s="57" t="s">
        <v>15</v>
      </c>
      <c r="D29" s="62" t="str">
        <f>VLOOKUP(ТаблВеб[[#This Row],[Выполнение]],Статус[],2)</f>
        <v>&lt;- Выберите</v>
      </c>
      <c r="E29" s="63" t="s">
        <v>9</v>
      </c>
      <c r="F29" s="119">
        <f>VLOOKUP(ТаблВеб[[#This Row],[Критичность]],Важность[],2)</f>
        <v>4</v>
      </c>
      <c r="G29" s="120">
        <f>IF(OR(ТаблВеб[[#This Row],[Баллы]]="#",ТаблВеб[[#This Row],[Выполнение]]=" "),0,1)</f>
        <v>0</v>
      </c>
      <c r="H29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0" spans="1:8" s="109" customFormat="1" ht="46.5" x14ac:dyDescent="0.35">
      <c r="A30" s="64" t="s">
        <v>563</v>
      </c>
      <c r="B30" s="65" t="s">
        <v>134</v>
      </c>
      <c r="C30" s="58" t="s">
        <v>15</v>
      </c>
      <c r="D30" s="66" t="str">
        <f>VLOOKUP(ТаблВеб[[#This Row],[Выполнение]],Статус[],2)</f>
        <v>&lt;- Выберите</v>
      </c>
      <c r="E30" s="67" t="s">
        <v>9</v>
      </c>
      <c r="F30" s="122">
        <f>VLOOKUP(ТаблВеб[[#This Row],[Критичность]],Важность[],2)</f>
        <v>4</v>
      </c>
      <c r="G30" s="123">
        <f>IF(OR(ТаблВеб[[#This Row],[Баллы]]="#",ТаблВеб[[#This Row],[Выполнение]]=" "),0,1)</f>
        <v>0</v>
      </c>
      <c r="H30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1" spans="1:8" s="109" customFormat="1" ht="16" thickBot="1" x14ac:dyDescent="0.4">
      <c r="A31" s="68" t="s">
        <v>564</v>
      </c>
      <c r="B31" s="50" t="s">
        <v>135</v>
      </c>
      <c r="C31" s="59" t="s">
        <v>15</v>
      </c>
      <c r="D31" s="69" t="str">
        <f>VLOOKUP(ТаблВеб[[#This Row],[Выполнение]],Статус[],2)</f>
        <v>&lt;- Выберите</v>
      </c>
      <c r="E31" s="70" t="s">
        <v>13</v>
      </c>
      <c r="F31" s="125">
        <f>VLOOKUP(ТаблВеб[[#This Row],[Критичность]],Важность[],2)</f>
        <v>1</v>
      </c>
      <c r="G31" s="126">
        <f>IF(OR(ТаблВеб[[#This Row],[Баллы]]="#",ТаблВеб[[#This Row],[Выполнение]]=" "),0,1)</f>
        <v>0</v>
      </c>
      <c r="H31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32" spans="1:8" s="109" customFormat="1" ht="30.5" thickBot="1" x14ac:dyDescent="0.4">
      <c r="A32" s="180" t="s">
        <v>394</v>
      </c>
      <c r="B32" s="179" t="s">
        <v>623</v>
      </c>
      <c r="C3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32" s="160">
        <f>SUMPRODUCT(В_Б_П2.3,В_К_П2.3)+D39</f>
        <v>0</v>
      </c>
      <c r="E32" s="161"/>
      <c r="F32" s="41">
        <f>SUMPRODUCT(В_К_П2.3,В_Н_П2.3)*VLOOKUP("Выполняется полностью",Статус[],2)+F39</f>
        <v>0</v>
      </c>
      <c r="G32" s="118"/>
      <c r="H32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33" spans="1:8" s="109" customFormat="1" x14ac:dyDescent="0.35">
      <c r="A33" s="61" t="s">
        <v>319</v>
      </c>
      <c r="B33" s="48" t="s">
        <v>136</v>
      </c>
      <c r="C33" s="57" t="s">
        <v>15</v>
      </c>
      <c r="D33" s="62" t="str">
        <f>VLOOKUP(ТаблВеб[[#This Row],[Выполнение]],Статус[],2)</f>
        <v>&lt;- Выберите</v>
      </c>
      <c r="E33" s="63" t="s">
        <v>9</v>
      </c>
      <c r="F33" s="119">
        <f>VLOOKUP(ТаблВеб[[#This Row],[Критичность]],Важность[],2)</f>
        <v>4</v>
      </c>
      <c r="G33" s="120">
        <f>IF(OR(ТаблВеб[[#This Row],[Баллы]]="#",ТаблВеб[[#This Row],[Выполнение]]=" "),0,1)</f>
        <v>0</v>
      </c>
      <c r="H33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4" spans="1:8" s="109" customFormat="1" ht="31" x14ac:dyDescent="0.35">
      <c r="A34" s="64" t="s">
        <v>320</v>
      </c>
      <c r="B34" s="65" t="s">
        <v>137</v>
      </c>
      <c r="C34" s="58" t="s">
        <v>15</v>
      </c>
      <c r="D34" s="66" t="str">
        <f>VLOOKUP(ТаблВеб[[#This Row],[Выполнение]],Статус[],2)</f>
        <v>&lt;- Выберите</v>
      </c>
      <c r="E34" s="67" t="s">
        <v>9</v>
      </c>
      <c r="F34" s="122">
        <f>VLOOKUP(ТаблВеб[[#This Row],[Критичность]],Важность[],2)</f>
        <v>4</v>
      </c>
      <c r="G34" s="123">
        <f>IF(OR(ТаблВеб[[#This Row],[Баллы]]="#",ТаблВеб[[#This Row],[Выполнение]]=" "),0,1)</f>
        <v>0</v>
      </c>
      <c r="H34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5" spans="1:8" s="109" customFormat="1" ht="31" x14ac:dyDescent="0.35">
      <c r="A35" s="64" t="s">
        <v>321</v>
      </c>
      <c r="B35" s="65" t="s">
        <v>138</v>
      </c>
      <c r="C35" s="58" t="s">
        <v>15</v>
      </c>
      <c r="D35" s="66" t="str">
        <f>VLOOKUP(ТаблВеб[[#This Row],[Выполнение]],Статус[],2)</f>
        <v>&lt;- Выберите</v>
      </c>
      <c r="E35" s="67" t="s">
        <v>9</v>
      </c>
      <c r="F35" s="122">
        <f>VLOOKUP(ТаблВеб[[#This Row],[Критичность]],Важность[],2)</f>
        <v>4</v>
      </c>
      <c r="G35" s="123">
        <f>IF(OR(ТаблВеб[[#This Row],[Баллы]]="#",ТаблВеб[[#This Row],[Выполнение]]=" "),0,1)</f>
        <v>0</v>
      </c>
      <c r="H35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6" spans="1:8" s="109" customFormat="1" ht="31" x14ac:dyDescent="0.35">
      <c r="A36" s="64" t="s">
        <v>322</v>
      </c>
      <c r="B36" s="65" t="s">
        <v>139</v>
      </c>
      <c r="C36" s="58" t="s">
        <v>15</v>
      </c>
      <c r="D36" s="66" t="str">
        <f>VLOOKUP(ТаблВеб[[#This Row],[Выполнение]],Статус[],2)</f>
        <v>&lt;- Выберите</v>
      </c>
      <c r="E36" s="67" t="s">
        <v>9</v>
      </c>
      <c r="F36" s="122">
        <f>VLOOKUP(ТаблВеб[[#This Row],[Критичность]],Важность[],2)</f>
        <v>4</v>
      </c>
      <c r="G36" s="123">
        <f>IF(OR(ТаблВеб[[#This Row],[Баллы]]="#",ТаблВеб[[#This Row],[Выполнение]]=" "),0,1)</f>
        <v>0</v>
      </c>
      <c r="H36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7" spans="1:8" s="109" customFormat="1" ht="31" x14ac:dyDescent="0.35">
      <c r="A37" s="64" t="s">
        <v>323</v>
      </c>
      <c r="B37" s="65" t="s">
        <v>140</v>
      </c>
      <c r="C37" s="58" t="s">
        <v>15</v>
      </c>
      <c r="D37" s="66" t="str">
        <f>VLOOKUP(ТаблВеб[[#This Row],[Выполнение]],Статус[],2)</f>
        <v>&lt;- Выберите</v>
      </c>
      <c r="E37" s="67" t="s">
        <v>9</v>
      </c>
      <c r="F37" s="122">
        <f>VLOOKUP(ТаблВеб[[#This Row],[Критичность]],Важность[],2)</f>
        <v>4</v>
      </c>
      <c r="G37" s="123">
        <f>IF(OR(ТаблВеб[[#This Row],[Баллы]]="#",ТаблВеб[[#This Row],[Выполнение]]=" "),0,1)</f>
        <v>0</v>
      </c>
      <c r="H3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38" spans="1:8" s="109" customFormat="1" ht="47" thickBot="1" x14ac:dyDescent="0.4">
      <c r="A38" s="68" t="s">
        <v>392</v>
      </c>
      <c r="B38" s="50" t="s">
        <v>141</v>
      </c>
      <c r="C38" s="59" t="s">
        <v>15</v>
      </c>
      <c r="D38" s="69" t="str">
        <f>VLOOKUP(ТаблВеб[[#This Row],[Выполнение]],Статус[],2)</f>
        <v>&lt;- Выберите</v>
      </c>
      <c r="E38" s="70" t="s">
        <v>13</v>
      </c>
      <c r="F38" s="125">
        <f>VLOOKUP(ТаблВеб[[#This Row],[Критичность]],Важность[],2)</f>
        <v>1</v>
      </c>
      <c r="G38" s="126">
        <f>IF(OR(ТаблВеб[[#This Row],[Баллы]]="#",ТаблВеб[[#This Row],[Выполнение]]=" "),0,1)</f>
        <v>0</v>
      </c>
      <c r="H38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39" spans="1:8" s="109" customFormat="1" ht="30.5" thickBot="1" x14ac:dyDescent="0.4">
      <c r="A39" s="180" t="s">
        <v>651</v>
      </c>
      <c r="B39" s="179" t="s">
        <v>624</v>
      </c>
      <c r="C39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39" s="160">
        <f>SUMPRODUCT(В_Б_П2.3.7,В_К_П2.3.7)</f>
        <v>0</v>
      </c>
      <c r="E39" s="161"/>
      <c r="F39" s="41">
        <f>SUMPRODUCT(В_К_П2.3.7,В_Н_П2.3.7)*VLOOKUP("Выполняется полностью",Статус[],2)</f>
        <v>0</v>
      </c>
      <c r="G39" s="118"/>
      <c r="H39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40" spans="1:8" s="109" customFormat="1" ht="46.5" x14ac:dyDescent="0.35">
      <c r="A40" s="61" t="s">
        <v>565</v>
      </c>
      <c r="B40" s="48" t="s">
        <v>142</v>
      </c>
      <c r="C40" s="57" t="s">
        <v>15</v>
      </c>
      <c r="D40" s="62" t="str">
        <f>VLOOKUP(ТаблВеб[[#This Row],[Выполнение]],Статус[],2)</f>
        <v>&lt;- Выберите</v>
      </c>
      <c r="E40" s="63" t="s">
        <v>14</v>
      </c>
      <c r="F40" s="119">
        <f>VLOOKUP(ТаблВеб[[#This Row],[Критичность]],Важность[],2)</f>
        <v>2</v>
      </c>
      <c r="G40" s="120">
        <f>IF(OR(ТаблВеб[[#This Row],[Баллы]]="#",ТаблВеб[[#This Row],[Выполнение]]=" "),0,1)</f>
        <v>0</v>
      </c>
      <c r="H40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41" spans="1:8" s="109" customFormat="1" ht="31" x14ac:dyDescent="0.35">
      <c r="A41" s="64" t="s">
        <v>566</v>
      </c>
      <c r="B41" s="65" t="s">
        <v>143</v>
      </c>
      <c r="C41" s="58" t="s">
        <v>15</v>
      </c>
      <c r="D41" s="66" t="str">
        <f>VLOOKUP(ТаблВеб[[#This Row],[Выполнение]],Статус[],2)</f>
        <v>&lt;- Выберите</v>
      </c>
      <c r="E41" s="67" t="s">
        <v>13</v>
      </c>
      <c r="F41" s="122">
        <f>VLOOKUP(ТаблВеб[[#This Row],[Критичность]],Важность[],2)</f>
        <v>1</v>
      </c>
      <c r="G41" s="123">
        <f>IF(OR(ТаблВеб[[#This Row],[Баллы]]="#",ТаблВеб[[#This Row],[Выполнение]]=" "),0,1)</f>
        <v>0</v>
      </c>
      <c r="H41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42" spans="1:8" s="109" customFormat="1" ht="47" thickBot="1" x14ac:dyDescent="0.4">
      <c r="A42" s="68" t="s">
        <v>567</v>
      </c>
      <c r="B42" s="50" t="s">
        <v>144</v>
      </c>
      <c r="C42" s="59" t="s">
        <v>15</v>
      </c>
      <c r="D42" s="69" t="str">
        <f>VLOOKUP(ТаблВеб[[#This Row],[Выполнение]],Статус[],2)</f>
        <v>&lt;- Выберите</v>
      </c>
      <c r="E42" s="70" t="s">
        <v>9</v>
      </c>
      <c r="F42" s="125">
        <f>VLOOKUP(ТаблВеб[[#This Row],[Критичность]],Важность[],2)</f>
        <v>4</v>
      </c>
      <c r="G42" s="126">
        <f>IF(OR(ТаблВеб[[#This Row],[Баллы]]="#",ТаблВеб[[#This Row],[Выполнение]]=" "),0,1)</f>
        <v>0</v>
      </c>
      <c r="H42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43" spans="1:8" s="109" customFormat="1" ht="30.5" thickBot="1" x14ac:dyDescent="0.4">
      <c r="A43" s="180" t="s">
        <v>389</v>
      </c>
      <c r="B43" s="179" t="s">
        <v>625</v>
      </c>
      <c r="C43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43" s="160">
        <f>IF(C44=" ",D45+D49,D44*F44+D45+D49)</f>
        <v>0</v>
      </c>
      <c r="E43" s="161"/>
      <c r="F43" s="41">
        <f>(F44*G44)*VLOOKUP("Выполняется полностью",Статус[],2)+F45+F49</f>
        <v>0</v>
      </c>
      <c r="G43" s="118"/>
      <c r="H43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44" spans="1:8" s="109" customFormat="1" ht="31.5" thickBot="1" x14ac:dyDescent="0.4">
      <c r="A44" s="88" t="s">
        <v>326</v>
      </c>
      <c r="B44" s="89" t="s">
        <v>145</v>
      </c>
      <c r="C44" s="90" t="s">
        <v>15</v>
      </c>
      <c r="D44" s="117" t="str">
        <f>VLOOKUP(ТаблВеб[[#This Row],[Выполнение]],Статус[],2)</f>
        <v>&lt;- Выберите</v>
      </c>
      <c r="E44" s="91" t="s">
        <v>9</v>
      </c>
      <c r="F44" s="128">
        <f>VLOOKUP(ТаблВеб[[#This Row],[Критичность]],Важность[],2)</f>
        <v>4</v>
      </c>
      <c r="G44" s="129">
        <f>IF(OR(ТаблВеб[[#This Row],[Баллы]]="#",ТаблВеб[[#This Row],[Выполнение]]=" "),0,1)</f>
        <v>0</v>
      </c>
      <c r="H44" s="130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45" spans="1:8" s="109" customFormat="1" ht="30.5" thickBot="1" x14ac:dyDescent="0.4">
      <c r="A45" s="180" t="s">
        <v>327</v>
      </c>
      <c r="B45" s="179" t="s">
        <v>626</v>
      </c>
      <c r="C45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45" s="160">
        <f>SUMPRODUCT(В_Б_П2.4.2,В_К_П2.4.2)</f>
        <v>0</v>
      </c>
      <c r="E45" s="161"/>
      <c r="F45" s="41">
        <f>SUMPRODUCT(В_К_П2.4.2,В_Н_П2.4.2)*VLOOKUP("Выполняется полностью",Статус[],2)</f>
        <v>0</v>
      </c>
      <c r="G45" s="118"/>
      <c r="H45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46" spans="1:8" s="109" customFormat="1" ht="31" x14ac:dyDescent="0.35">
      <c r="A46" s="61" t="s">
        <v>423</v>
      </c>
      <c r="B46" s="48" t="s">
        <v>146</v>
      </c>
      <c r="C46" s="57" t="s">
        <v>15</v>
      </c>
      <c r="D46" s="62" t="str">
        <f>VLOOKUP(ТаблВеб[[#This Row],[Выполнение]],Статус[],2)</f>
        <v>&lt;- Выберите</v>
      </c>
      <c r="E46" s="63" t="s">
        <v>9</v>
      </c>
      <c r="F46" s="119">
        <f>VLOOKUP(ТаблВеб[[#This Row],[Критичность]],Важность[],2)</f>
        <v>4</v>
      </c>
      <c r="G46" s="120">
        <f>IF(OR(ТаблВеб[[#This Row],[Баллы]]="#",ТаблВеб[[#This Row],[Выполнение]]=" "),0,1)</f>
        <v>0</v>
      </c>
      <c r="H46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47" spans="1:8" s="109" customFormat="1" ht="46.5" x14ac:dyDescent="0.35">
      <c r="A47" s="64" t="s">
        <v>424</v>
      </c>
      <c r="B47" s="65" t="s">
        <v>147</v>
      </c>
      <c r="C47" s="58" t="s">
        <v>15</v>
      </c>
      <c r="D47" s="66" t="str">
        <f>VLOOKUP(ТаблВеб[[#This Row],[Выполнение]],Статус[],2)</f>
        <v>&lt;- Выберите</v>
      </c>
      <c r="E47" s="67" t="s">
        <v>9</v>
      </c>
      <c r="F47" s="122">
        <f>VLOOKUP(ТаблВеб[[#This Row],[Критичность]],Важность[],2)</f>
        <v>4</v>
      </c>
      <c r="G47" s="123">
        <f>IF(OR(ТаблВеб[[#This Row],[Баллы]]="#",ТаблВеб[[#This Row],[Выполнение]]=" "),0,1)</f>
        <v>0</v>
      </c>
      <c r="H4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48" spans="1:8" s="109" customFormat="1" ht="47" thickBot="1" x14ac:dyDescent="0.4">
      <c r="A48" s="68" t="s">
        <v>425</v>
      </c>
      <c r="B48" s="50" t="s">
        <v>148</v>
      </c>
      <c r="C48" s="59" t="s">
        <v>15</v>
      </c>
      <c r="D48" s="69" t="str">
        <f>VLOOKUP(ТаблВеб[[#This Row],[Выполнение]],Статус[],2)</f>
        <v>&lt;- Выберите</v>
      </c>
      <c r="E48" s="70" t="s">
        <v>14</v>
      </c>
      <c r="F48" s="125">
        <f>VLOOKUP(ТаблВеб[[#This Row],[Критичность]],Важность[],2)</f>
        <v>2</v>
      </c>
      <c r="G48" s="126">
        <f>IF(OR(ТаблВеб[[#This Row],[Баллы]]="#",ТаблВеб[[#This Row],[Выполнение]]=" "),0,1)</f>
        <v>0</v>
      </c>
      <c r="H48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49" spans="1:8" s="109" customFormat="1" ht="30.5" thickBot="1" x14ac:dyDescent="0.4">
      <c r="A49" s="180" t="s">
        <v>328</v>
      </c>
      <c r="B49" s="179" t="s">
        <v>627</v>
      </c>
      <c r="C49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49" s="160">
        <f>SUMPRODUCT(В_Б_П2.4.3,В_К_П2.4.3)</f>
        <v>0</v>
      </c>
      <c r="E49" s="161"/>
      <c r="F49" s="41">
        <f>SUMPRODUCT(В_К_П2.4.3,В_Н_П2.4.3)*VLOOKUP("Выполняется полностью",Статус[],2)</f>
        <v>0</v>
      </c>
      <c r="G49" s="118"/>
      <c r="H49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50" spans="1:8" s="109" customFormat="1" x14ac:dyDescent="0.35">
      <c r="A50" s="61" t="s">
        <v>458</v>
      </c>
      <c r="B50" s="48" t="s">
        <v>149</v>
      </c>
      <c r="C50" s="57" t="s">
        <v>15</v>
      </c>
      <c r="D50" s="62" t="str">
        <f>VLOOKUP(ТаблВеб[[#This Row],[Выполнение]],Статус[],2)</f>
        <v>&lt;- Выберите</v>
      </c>
      <c r="E50" s="63" t="s">
        <v>9</v>
      </c>
      <c r="F50" s="119">
        <f>VLOOKUP(ТаблВеб[[#This Row],[Критичность]],Важность[],2)</f>
        <v>4</v>
      </c>
      <c r="G50" s="120">
        <f>IF(OR(ТаблВеб[[#This Row],[Баллы]]="#",ТаблВеб[[#This Row],[Выполнение]]=" "),0,1)</f>
        <v>0</v>
      </c>
      <c r="H50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1" spans="1:8" s="109" customFormat="1" ht="31" x14ac:dyDescent="0.35">
      <c r="A51" s="64" t="s">
        <v>459</v>
      </c>
      <c r="B51" s="65" t="s">
        <v>150</v>
      </c>
      <c r="C51" s="58" t="s">
        <v>15</v>
      </c>
      <c r="D51" s="66" t="str">
        <f>VLOOKUP(ТаблВеб[[#This Row],[Выполнение]],Статус[],2)</f>
        <v>&lt;- Выберите</v>
      </c>
      <c r="E51" s="67" t="s">
        <v>9</v>
      </c>
      <c r="F51" s="122">
        <f>VLOOKUP(ТаблВеб[[#This Row],[Критичность]],Важность[],2)</f>
        <v>4</v>
      </c>
      <c r="G51" s="123">
        <f>IF(OR(ТаблВеб[[#This Row],[Баллы]]="#",ТаблВеб[[#This Row],[Выполнение]]=" "),0,1)</f>
        <v>0</v>
      </c>
      <c r="H51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2" spans="1:8" s="109" customFormat="1" ht="62" x14ac:dyDescent="0.35">
      <c r="A52" s="64" t="s">
        <v>460</v>
      </c>
      <c r="B52" s="65" t="s">
        <v>302</v>
      </c>
      <c r="C52" s="58" t="s">
        <v>15</v>
      </c>
      <c r="D52" s="66" t="str">
        <f>VLOOKUP(ТаблВеб[[#This Row],[Выполнение]],Статус[],2)</f>
        <v>&lt;- Выберите</v>
      </c>
      <c r="E52" s="67" t="s">
        <v>9</v>
      </c>
      <c r="F52" s="122">
        <f>VLOOKUP(ТаблВеб[[#This Row],[Критичность]],Важность[],2)</f>
        <v>4</v>
      </c>
      <c r="G52" s="123">
        <f>IF(OR(ТаблВеб[[#This Row],[Баллы]]="#",ТаблВеб[[#This Row],[Выполнение]]=" "),0,1)</f>
        <v>0</v>
      </c>
      <c r="H52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3" spans="1:8" s="109" customFormat="1" ht="31.5" thickBot="1" x14ac:dyDescent="0.4">
      <c r="A53" s="68" t="s">
        <v>461</v>
      </c>
      <c r="B53" s="50" t="s">
        <v>151</v>
      </c>
      <c r="C53" s="59" t="s">
        <v>15</v>
      </c>
      <c r="D53" s="69" t="str">
        <f>VLOOKUP(ТаблВеб[[#This Row],[Выполнение]],Статус[],2)</f>
        <v>&lt;- Выберите</v>
      </c>
      <c r="E53" s="70" t="s">
        <v>9</v>
      </c>
      <c r="F53" s="125">
        <f>VLOOKUP(ТаблВеб[[#This Row],[Критичность]],Важность[],2)</f>
        <v>4</v>
      </c>
      <c r="G53" s="126">
        <f>IF(OR(ТаблВеб[[#This Row],[Баллы]]="#",ТаблВеб[[#This Row],[Выполнение]]=" "),0,1)</f>
        <v>0</v>
      </c>
      <c r="H53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4" spans="1:8" s="109" customFormat="1" ht="30.5" thickBot="1" x14ac:dyDescent="0.4">
      <c r="A54" s="180" t="s">
        <v>387</v>
      </c>
      <c r="B54" s="179" t="s">
        <v>628</v>
      </c>
      <c r="C54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54" s="160">
        <f>D55+D62+D70</f>
        <v>0</v>
      </c>
      <c r="E54" s="161"/>
      <c r="F54" s="41">
        <f>F55+F62+F70</f>
        <v>0</v>
      </c>
      <c r="G54" s="118"/>
      <c r="H54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55" spans="1:8" s="109" customFormat="1" ht="30.5" thickBot="1" x14ac:dyDescent="0.4">
      <c r="A55" s="180" t="s">
        <v>333</v>
      </c>
      <c r="B55" s="179" t="s">
        <v>629</v>
      </c>
      <c r="C55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55" s="160">
        <f>SUMPRODUCT(В_Б_П2.5.1,В_К_П2.5.1)</f>
        <v>0</v>
      </c>
      <c r="E55" s="161"/>
      <c r="F55" s="41">
        <f>SUMPRODUCT(В_К_П2.5.1,В_Н_П2.5.1)*VLOOKUP("Выполняется полностью",Статус[],2)</f>
        <v>0</v>
      </c>
      <c r="G55" s="118"/>
      <c r="H55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56" spans="1:8" s="109" customFormat="1" x14ac:dyDescent="0.35">
      <c r="A56" s="61" t="s">
        <v>568</v>
      </c>
      <c r="B56" s="48" t="s">
        <v>152</v>
      </c>
      <c r="C56" s="57" t="s">
        <v>15</v>
      </c>
      <c r="D56" s="62" t="str">
        <f>VLOOKUP(ТаблВеб[[#This Row],[Выполнение]],Статус[],2)</f>
        <v>&lt;- Выберите</v>
      </c>
      <c r="E56" s="63" t="s">
        <v>9</v>
      </c>
      <c r="F56" s="119">
        <f>VLOOKUP(ТаблВеб[[#This Row],[Критичность]],Важность[],2)</f>
        <v>4</v>
      </c>
      <c r="G56" s="120">
        <f>IF(OR(ТаблВеб[[#This Row],[Баллы]]="#",ТаблВеб[[#This Row],[Выполнение]]=" "),0,1)</f>
        <v>0</v>
      </c>
      <c r="H56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7" spans="1:8" s="109" customFormat="1" ht="31" x14ac:dyDescent="0.35">
      <c r="A57" s="64" t="s">
        <v>569</v>
      </c>
      <c r="B57" s="65" t="s">
        <v>153</v>
      </c>
      <c r="C57" s="58" t="s">
        <v>15</v>
      </c>
      <c r="D57" s="66" t="str">
        <f>VLOOKUP(ТаблВеб[[#This Row],[Выполнение]],Статус[],2)</f>
        <v>&lt;- Выберите</v>
      </c>
      <c r="E57" s="67" t="s">
        <v>9</v>
      </c>
      <c r="F57" s="122">
        <f>VLOOKUP(ТаблВеб[[#This Row],[Критичность]],Важность[],2)</f>
        <v>4</v>
      </c>
      <c r="G57" s="123">
        <f>IF(OR(ТаблВеб[[#This Row],[Баллы]]="#",ТаблВеб[[#This Row],[Выполнение]]=" "),0,1)</f>
        <v>0</v>
      </c>
      <c r="H5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8" spans="1:8" s="109" customFormat="1" ht="46.5" x14ac:dyDescent="0.35">
      <c r="A58" s="64" t="s">
        <v>570</v>
      </c>
      <c r="B58" s="65" t="s">
        <v>154</v>
      </c>
      <c r="C58" s="58" t="s">
        <v>15</v>
      </c>
      <c r="D58" s="66" t="str">
        <f>VLOOKUP(ТаблВеб[[#This Row],[Выполнение]],Статус[],2)</f>
        <v>&lt;- Выберите</v>
      </c>
      <c r="E58" s="67" t="s">
        <v>9</v>
      </c>
      <c r="F58" s="122">
        <f>VLOOKUP(ТаблВеб[[#This Row],[Критичность]],Важность[],2)</f>
        <v>4</v>
      </c>
      <c r="G58" s="123">
        <f>IF(OR(ТаблВеб[[#This Row],[Баллы]]="#",ТаблВеб[[#This Row],[Выполнение]]=" "),0,1)</f>
        <v>0</v>
      </c>
      <c r="H58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59" spans="1:8" s="109" customFormat="1" ht="31" x14ac:dyDescent="0.35">
      <c r="A59" s="64" t="s">
        <v>571</v>
      </c>
      <c r="B59" s="65" t="s">
        <v>157</v>
      </c>
      <c r="C59" s="58" t="s">
        <v>15</v>
      </c>
      <c r="D59" s="66" t="str">
        <f>VLOOKUP(ТаблВеб[[#This Row],[Выполнение]],Статус[],2)</f>
        <v>&lt;- Выберите</v>
      </c>
      <c r="E59" s="67" t="s">
        <v>9</v>
      </c>
      <c r="F59" s="122">
        <f>VLOOKUP(ТаблВеб[[#This Row],[Критичность]],Важность[],2)</f>
        <v>4</v>
      </c>
      <c r="G59" s="123">
        <f>IF(OR(ТаблВеб[[#This Row],[Баллы]]="#",ТаблВеб[[#This Row],[Выполнение]]=" "),0,1)</f>
        <v>0</v>
      </c>
      <c r="H59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0" spans="1:8" s="109" customFormat="1" ht="46.5" x14ac:dyDescent="0.35">
      <c r="A60" s="64" t="s">
        <v>572</v>
      </c>
      <c r="B60" s="65" t="s">
        <v>155</v>
      </c>
      <c r="C60" s="58" t="s">
        <v>15</v>
      </c>
      <c r="D60" s="66" t="str">
        <f>VLOOKUP(ТаблВеб[[#This Row],[Выполнение]],Статус[],2)</f>
        <v>&lt;- Выберите</v>
      </c>
      <c r="E60" s="67" t="s">
        <v>14</v>
      </c>
      <c r="F60" s="122">
        <f>VLOOKUP(ТаблВеб[[#This Row],[Критичность]],Важность[],2)</f>
        <v>2</v>
      </c>
      <c r="G60" s="123">
        <f>IF(OR(ТаблВеб[[#This Row],[Баллы]]="#",ТаблВеб[[#This Row],[Выполнение]]=" "),0,1)</f>
        <v>0</v>
      </c>
      <c r="H60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61" spans="1:8" s="109" customFormat="1" ht="47" thickBot="1" x14ac:dyDescent="0.4">
      <c r="A61" s="68" t="s">
        <v>573</v>
      </c>
      <c r="B61" s="50" t="s">
        <v>156</v>
      </c>
      <c r="C61" s="59" t="s">
        <v>15</v>
      </c>
      <c r="D61" s="69" t="str">
        <f>VLOOKUP(ТаблВеб[[#This Row],[Выполнение]],Статус[],2)</f>
        <v>&lt;- Выберите</v>
      </c>
      <c r="E61" s="70" t="s">
        <v>9</v>
      </c>
      <c r="F61" s="125">
        <f>VLOOKUP(ТаблВеб[[#This Row],[Критичность]],Важность[],2)</f>
        <v>4</v>
      </c>
      <c r="G61" s="126">
        <f>IF(OR(ТаблВеб[[#This Row],[Баллы]]="#",ТаблВеб[[#This Row],[Выполнение]]=" "),0,1)</f>
        <v>0</v>
      </c>
      <c r="H61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2" spans="1:8" s="109" customFormat="1" ht="30.5" thickBot="1" x14ac:dyDescent="0.4">
      <c r="A62" s="180" t="s">
        <v>334</v>
      </c>
      <c r="B62" s="179" t="s">
        <v>388</v>
      </c>
      <c r="C6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62" s="160">
        <f>SUMPRODUCT(В_Б_П2.5.2,В_К_П2.5.2)</f>
        <v>0</v>
      </c>
      <c r="E62" s="161"/>
      <c r="F62" s="41">
        <f>SUMPRODUCT(В_К_П2.5.2,В_Н_П2.5.2)*VLOOKUP("Выполняется полностью",Статус[],2)</f>
        <v>0</v>
      </c>
      <c r="G62" s="118"/>
      <c r="H62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63" spans="1:8" s="109" customFormat="1" ht="46.5" x14ac:dyDescent="0.35">
      <c r="A63" s="61" t="s">
        <v>574</v>
      </c>
      <c r="B63" s="48" t="s">
        <v>158</v>
      </c>
      <c r="C63" s="57" t="s">
        <v>15</v>
      </c>
      <c r="D63" s="62" t="str">
        <f>VLOOKUP(ТаблВеб[[#This Row],[Выполнение]],Статус[],2)</f>
        <v>&lt;- Выберите</v>
      </c>
      <c r="E63" s="63" t="s">
        <v>9</v>
      </c>
      <c r="F63" s="119">
        <f>VLOOKUP(ТаблВеб[[#This Row],[Критичность]],Важность[],2)</f>
        <v>4</v>
      </c>
      <c r="G63" s="120">
        <f>IF(OR(ТаблВеб[[#This Row],[Баллы]]="#",ТаблВеб[[#This Row],[Выполнение]]=" "),0,1)</f>
        <v>0</v>
      </c>
      <c r="H63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4" spans="1:8" s="109" customFormat="1" x14ac:dyDescent="0.35">
      <c r="A64" s="64" t="s">
        <v>575</v>
      </c>
      <c r="B64" s="65" t="s">
        <v>159</v>
      </c>
      <c r="C64" s="58" t="s">
        <v>15</v>
      </c>
      <c r="D64" s="66" t="str">
        <f>VLOOKUP(ТаблВеб[[#This Row],[Выполнение]],Статус[],2)</f>
        <v>&lt;- Выберите</v>
      </c>
      <c r="E64" s="67" t="s">
        <v>9</v>
      </c>
      <c r="F64" s="122">
        <f>VLOOKUP(ТаблВеб[[#This Row],[Критичность]],Важность[],2)</f>
        <v>4</v>
      </c>
      <c r="G64" s="123">
        <f>IF(OR(ТаблВеб[[#This Row],[Баллы]]="#",ТаблВеб[[#This Row],[Выполнение]]=" "),0,1)</f>
        <v>0</v>
      </c>
      <c r="H64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5" spans="1:8" s="109" customFormat="1" ht="31" x14ac:dyDescent="0.35">
      <c r="A65" s="64" t="s">
        <v>576</v>
      </c>
      <c r="B65" s="65" t="s">
        <v>160</v>
      </c>
      <c r="C65" s="58" t="s">
        <v>15</v>
      </c>
      <c r="D65" s="66" t="str">
        <f>VLOOKUP(ТаблВеб[[#This Row],[Выполнение]],Статус[],2)</f>
        <v>&lt;- Выберите</v>
      </c>
      <c r="E65" s="67" t="s">
        <v>9</v>
      </c>
      <c r="F65" s="122">
        <f>VLOOKUP(ТаблВеб[[#This Row],[Критичность]],Важность[],2)</f>
        <v>4</v>
      </c>
      <c r="G65" s="123">
        <f>IF(OR(ТаблВеб[[#This Row],[Баллы]]="#",ТаблВеб[[#This Row],[Выполнение]]=" "),0,1)</f>
        <v>0</v>
      </c>
      <c r="H65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6" spans="1:8" s="109" customFormat="1" ht="31" x14ac:dyDescent="0.35">
      <c r="A66" s="64" t="s">
        <v>577</v>
      </c>
      <c r="B66" s="65" t="s">
        <v>161</v>
      </c>
      <c r="C66" s="58" t="s">
        <v>15</v>
      </c>
      <c r="D66" s="66" t="str">
        <f>VLOOKUP(ТаблВеб[[#This Row],[Выполнение]],Статус[],2)</f>
        <v>&lt;- Выберите</v>
      </c>
      <c r="E66" s="67" t="s">
        <v>13</v>
      </c>
      <c r="F66" s="122">
        <f>VLOOKUP(ТаблВеб[[#This Row],[Критичность]],Важность[],2)</f>
        <v>1</v>
      </c>
      <c r="G66" s="123">
        <f>IF(OR(ТаблВеб[[#This Row],[Баллы]]="#",ТаблВеб[[#This Row],[Выполнение]]=" "),0,1)</f>
        <v>0</v>
      </c>
      <c r="H66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67" spans="1:8" s="109" customFormat="1" ht="62" x14ac:dyDescent="0.35">
      <c r="A67" s="64" t="s">
        <v>578</v>
      </c>
      <c r="B67" s="65" t="s">
        <v>162</v>
      </c>
      <c r="C67" s="58" t="s">
        <v>15</v>
      </c>
      <c r="D67" s="66" t="str">
        <f>VLOOKUP(ТаблВеб[[#This Row],[Выполнение]],Статус[],2)</f>
        <v>&lt;- Выберите</v>
      </c>
      <c r="E67" s="67" t="s">
        <v>9</v>
      </c>
      <c r="F67" s="122">
        <f>VLOOKUP(ТаблВеб[[#This Row],[Критичность]],Важность[],2)</f>
        <v>4</v>
      </c>
      <c r="G67" s="123">
        <f>IF(OR(ТаблВеб[[#This Row],[Баллы]]="#",ТаблВеб[[#This Row],[Выполнение]]=" "),0,1)</f>
        <v>0</v>
      </c>
      <c r="H6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8" spans="1:8" s="109" customFormat="1" ht="46.5" x14ac:dyDescent="0.35">
      <c r="A68" s="64" t="s">
        <v>579</v>
      </c>
      <c r="B68" s="65" t="s">
        <v>163</v>
      </c>
      <c r="C68" s="58" t="s">
        <v>15</v>
      </c>
      <c r="D68" s="66" t="str">
        <f>VLOOKUP(ТаблВеб[[#This Row],[Выполнение]],Статус[],2)</f>
        <v>&lt;- Выберите</v>
      </c>
      <c r="E68" s="67" t="s">
        <v>9</v>
      </c>
      <c r="F68" s="122">
        <f>VLOOKUP(ТаблВеб[[#This Row],[Критичность]],Важность[],2)</f>
        <v>4</v>
      </c>
      <c r="G68" s="123">
        <f>IF(OR(ТаблВеб[[#This Row],[Баллы]]="#",ТаблВеб[[#This Row],[Выполнение]]=" "),0,1)</f>
        <v>0</v>
      </c>
      <c r="H68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69" spans="1:8" s="109" customFormat="1" ht="47" thickBot="1" x14ac:dyDescent="0.4">
      <c r="A69" s="68" t="s">
        <v>580</v>
      </c>
      <c r="B69" s="50" t="s">
        <v>164</v>
      </c>
      <c r="C69" s="59" t="s">
        <v>15</v>
      </c>
      <c r="D69" s="69" t="str">
        <f>VLOOKUP(ТаблВеб[[#This Row],[Выполнение]],Статус[],2)</f>
        <v>&lt;- Выберите</v>
      </c>
      <c r="E69" s="70" t="s">
        <v>9</v>
      </c>
      <c r="F69" s="125">
        <f>VLOOKUP(ТаблВеб[[#This Row],[Критичность]],Важность[],2)</f>
        <v>4</v>
      </c>
      <c r="G69" s="126">
        <f>IF(OR(ТаблВеб[[#This Row],[Баллы]]="#",ТаблВеб[[#This Row],[Выполнение]]=" "),0,1)</f>
        <v>0</v>
      </c>
      <c r="H69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0" spans="1:8" s="109" customFormat="1" ht="30.5" thickBot="1" x14ac:dyDescent="0.4">
      <c r="A70" s="180" t="s">
        <v>335</v>
      </c>
      <c r="B70" s="179" t="s">
        <v>630</v>
      </c>
      <c r="C70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70" s="160">
        <f>SUMPRODUCT(В_Б_П2.5.3,В_К_П2.5.3)</f>
        <v>0</v>
      </c>
      <c r="E70" s="161"/>
      <c r="F70" s="41">
        <f>SUMPRODUCT(В_К_П2.5.3,В_Н_П2.5.3)*VLOOKUP("Выполняется полностью",Статус[],2)</f>
        <v>0</v>
      </c>
      <c r="G70" s="118"/>
      <c r="H70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71" spans="1:8" s="109" customFormat="1" ht="31" x14ac:dyDescent="0.35">
      <c r="A71" s="61" t="s">
        <v>581</v>
      </c>
      <c r="B71" s="48" t="s">
        <v>165</v>
      </c>
      <c r="C71" s="57" t="s">
        <v>15</v>
      </c>
      <c r="D71" s="62" t="str">
        <f>VLOOKUP(ТаблВеб[[#This Row],[Выполнение]],Статус[],2)</f>
        <v>&lt;- Выберите</v>
      </c>
      <c r="E71" s="63" t="s">
        <v>9</v>
      </c>
      <c r="F71" s="119">
        <f>VLOOKUP(ТаблВеб[[#This Row],[Критичность]],Важность[],2)</f>
        <v>4</v>
      </c>
      <c r="G71" s="120">
        <f>IF(OR(ТаблВеб[[#This Row],[Баллы]]="#",ТаблВеб[[#This Row],[Выполнение]]=" "),0,1)</f>
        <v>0</v>
      </c>
      <c r="H71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2" spans="1:8" s="109" customFormat="1" ht="31" x14ac:dyDescent="0.35">
      <c r="A72" s="64" t="s">
        <v>582</v>
      </c>
      <c r="B72" s="65" t="s">
        <v>166</v>
      </c>
      <c r="C72" s="58" t="s">
        <v>15</v>
      </c>
      <c r="D72" s="66" t="str">
        <f>VLOOKUP(ТаблВеб[[#This Row],[Выполнение]],Статус[],2)</f>
        <v>&lt;- Выберите</v>
      </c>
      <c r="E72" s="67" t="s">
        <v>9</v>
      </c>
      <c r="F72" s="122">
        <f>VLOOKUP(ТаблВеб[[#This Row],[Критичность]],Важность[],2)</f>
        <v>4</v>
      </c>
      <c r="G72" s="123">
        <f>IF(OR(ТаблВеб[[#This Row],[Баллы]]="#",ТаблВеб[[#This Row],[Выполнение]]=" "),0,1)</f>
        <v>0</v>
      </c>
      <c r="H72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3" spans="1:8" s="109" customFormat="1" ht="31" x14ac:dyDescent="0.35">
      <c r="A73" s="64" t="s">
        <v>583</v>
      </c>
      <c r="B73" s="65" t="s">
        <v>167</v>
      </c>
      <c r="C73" s="58" t="s">
        <v>15</v>
      </c>
      <c r="D73" s="66" t="str">
        <f>VLOOKUP(ТаблВеб[[#This Row],[Выполнение]],Статус[],2)</f>
        <v>&lt;- Выберите</v>
      </c>
      <c r="E73" s="67" t="s">
        <v>9</v>
      </c>
      <c r="F73" s="122">
        <f>VLOOKUP(ТаблВеб[[#This Row],[Критичность]],Важность[],2)</f>
        <v>4</v>
      </c>
      <c r="G73" s="123">
        <f>IF(OR(ТаблВеб[[#This Row],[Баллы]]="#",ТаблВеб[[#This Row],[Выполнение]]=" "),0,1)</f>
        <v>0</v>
      </c>
      <c r="H73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4" spans="1:8" s="109" customFormat="1" ht="16" thickBot="1" x14ac:dyDescent="0.4">
      <c r="A74" s="68" t="s">
        <v>584</v>
      </c>
      <c r="B74" s="50" t="s">
        <v>168</v>
      </c>
      <c r="C74" s="59" t="s">
        <v>15</v>
      </c>
      <c r="D74" s="69" t="str">
        <f>VLOOKUP(ТаблВеб[[#This Row],[Выполнение]],Статус[],2)</f>
        <v>&lt;- Выберите</v>
      </c>
      <c r="E74" s="70" t="s">
        <v>13</v>
      </c>
      <c r="F74" s="125">
        <f>VLOOKUP(ТаблВеб[[#This Row],[Критичность]],Важность[],2)</f>
        <v>1</v>
      </c>
      <c r="G74" s="126">
        <f>IF(OR(ТаблВеб[[#This Row],[Баллы]]="#",ТаблВеб[[#This Row],[Выполнение]]=" "),0,1)</f>
        <v>0</v>
      </c>
      <c r="H74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75" spans="1:8" s="109" customFormat="1" ht="30.5" thickBot="1" x14ac:dyDescent="0.4">
      <c r="A75" s="180" t="s">
        <v>385</v>
      </c>
      <c r="B75" s="179" t="s">
        <v>631</v>
      </c>
      <c r="C75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75" s="160">
        <f>SUMPRODUCT(D76:D77,F76:F77)+D78</f>
        <v>0</v>
      </c>
      <c r="E75" s="161"/>
      <c r="F75" s="41">
        <f>SUMPRODUCT(F76:F77,G76:G77)*VLOOKUP("Выполняется полностью",Статус[],2)+F78</f>
        <v>0</v>
      </c>
      <c r="G75" s="118"/>
      <c r="H75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76" spans="1:8" s="109" customFormat="1" ht="46.5" x14ac:dyDescent="0.35">
      <c r="A76" s="61" t="s">
        <v>337</v>
      </c>
      <c r="B76" s="48" t="s">
        <v>169</v>
      </c>
      <c r="C76" s="57" t="s">
        <v>15</v>
      </c>
      <c r="D76" s="62" t="str">
        <f>VLOOKUP(ТаблВеб[[#This Row],[Выполнение]],Статус[],2)</f>
        <v>&lt;- Выберите</v>
      </c>
      <c r="E76" s="63" t="s">
        <v>9</v>
      </c>
      <c r="F76" s="119">
        <f>VLOOKUP(ТаблВеб[[#This Row],[Критичность]],Важность[],2)</f>
        <v>4</v>
      </c>
      <c r="G76" s="120">
        <f>IF(OR(ТаблВеб[[#This Row],[Баллы]]="#",ТаблВеб[[#This Row],[Выполнение]]=" "),0,1)</f>
        <v>0</v>
      </c>
      <c r="H76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7" spans="1:8" s="109" customFormat="1" ht="31.5" thickBot="1" x14ac:dyDescent="0.4">
      <c r="A77" s="68" t="s">
        <v>338</v>
      </c>
      <c r="B77" s="50" t="s">
        <v>170</v>
      </c>
      <c r="C77" s="59" t="s">
        <v>15</v>
      </c>
      <c r="D77" s="69" t="str">
        <f>VLOOKUP(ТаблВеб[[#This Row],[Выполнение]],Статус[],2)</f>
        <v>&lt;- Выберите</v>
      </c>
      <c r="E77" s="70" t="s">
        <v>9</v>
      </c>
      <c r="F77" s="125">
        <f>VLOOKUP(ТаблВеб[[#This Row],[Критичность]],Важность[],2)</f>
        <v>4</v>
      </c>
      <c r="G77" s="126">
        <f>IF(OR(ТаблВеб[[#This Row],[Баллы]]="#",ТаблВеб[[#This Row],[Выполнение]]=" "),0,1)</f>
        <v>0</v>
      </c>
      <c r="H77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78" spans="1:8" s="109" customFormat="1" ht="30.5" thickBot="1" x14ac:dyDescent="0.4">
      <c r="A78" s="180" t="s">
        <v>339</v>
      </c>
      <c r="B78" s="179" t="s">
        <v>632</v>
      </c>
      <c r="C78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78" s="160">
        <f>SUMPRODUCT(В_Б_П2.6.3,В_К_П2.6.3)</f>
        <v>0</v>
      </c>
      <c r="E78" s="161"/>
      <c r="F78" s="41">
        <f>SUMPRODUCT(В_К_П2.6.3,В_Н_П2.6.3)*VLOOKUP("Выполняется полностью",Статус[],2)</f>
        <v>0</v>
      </c>
      <c r="G78" s="118"/>
      <c r="H78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79" spans="1:8" s="109" customFormat="1" x14ac:dyDescent="0.35">
      <c r="A79" s="61" t="s">
        <v>585</v>
      </c>
      <c r="B79" s="48" t="s">
        <v>171</v>
      </c>
      <c r="C79" s="57" t="s">
        <v>15</v>
      </c>
      <c r="D79" s="62" t="str">
        <f>VLOOKUP(ТаблВеб[[#This Row],[Выполнение]],Статус[],2)</f>
        <v>&lt;- Выберите</v>
      </c>
      <c r="E79" s="63" t="s">
        <v>9</v>
      </c>
      <c r="F79" s="119">
        <f>VLOOKUP(ТаблВеб[[#This Row],[Критичность]],Важность[],2)</f>
        <v>4</v>
      </c>
      <c r="G79" s="120">
        <f>IF(OR(ТаблВеб[[#This Row],[Баллы]]="#",ТаблВеб[[#This Row],[Выполнение]]=" "),0,1)</f>
        <v>0</v>
      </c>
      <c r="H79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0" spans="1:8" s="109" customFormat="1" ht="31" x14ac:dyDescent="0.35">
      <c r="A80" s="64" t="s">
        <v>586</v>
      </c>
      <c r="B80" s="65" t="s">
        <v>172</v>
      </c>
      <c r="C80" s="58" t="s">
        <v>15</v>
      </c>
      <c r="D80" s="66" t="str">
        <f>VLOOKUP(ТаблВеб[[#This Row],[Выполнение]],Статус[],2)</f>
        <v>&lt;- Выберите</v>
      </c>
      <c r="E80" s="67" t="s">
        <v>9</v>
      </c>
      <c r="F80" s="122">
        <f>VLOOKUP(ТаблВеб[[#This Row],[Критичность]],Важность[],2)</f>
        <v>4</v>
      </c>
      <c r="G80" s="123">
        <f>IF(OR(ТаблВеб[[#This Row],[Баллы]]="#",ТаблВеб[[#This Row],[Выполнение]]=" "),0,1)</f>
        <v>0</v>
      </c>
      <c r="H80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1" spans="1:8" s="109" customFormat="1" ht="31" x14ac:dyDescent="0.35">
      <c r="A81" s="64" t="s">
        <v>587</v>
      </c>
      <c r="B81" s="65" t="s">
        <v>173</v>
      </c>
      <c r="C81" s="58" t="s">
        <v>15</v>
      </c>
      <c r="D81" s="66" t="str">
        <f>VLOOKUP(ТаблВеб[[#This Row],[Выполнение]],Статус[],2)</f>
        <v>&lt;- Выберите</v>
      </c>
      <c r="E81" s="67" t="s">
        <v>9</v>
      </c>
      <c r="F81" s="122">
        <f>VLOOKUP(ТаблВеб[[#This Row],[Критичность]],Важность[],2)</f>
        <v>4</v>
      </c>
      <c r="G81" s="123">
        <f>IF(OR(ТаблВеб[[#This Row],[Баллы]]="#",ТаблВеб[[#This Row],[Выполнение]]=" "),0,1)</f>
        <v>0</v>
      </c>
      <c r="H81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2" spans="1:8" s="109" customFormat="1" ht="47" thickBot="1" x14ac:dyDescent="0.4">
      <c r="A82" s="68" t="s">
        <v>588</v>
      </c>
      <c r="B82" s="50" t="s">
        <v>174</v>
      </c>
      <c r="C82" s="59" t="s">
        <v>15</v>
      </c>
      <c r="D82" s="69" t="str">
        <f>VLOOKUP(ТаблВеб[[#This Row],[Выполнение]],Статус[],2)</f>
        <v>&lt;- Выберите</v>
      </c>
      <c r="E82" s="70" t="s">
        <v>9</v>
      </c>
      <c r="F82" s="125">
        <f>VLOOKUP(ТаблВеб[[#This Row],[Критичность]],Важность[],2)</f>
        <v>4</v>
      </c>
      <c r="G82" s="126">
        <f>IF(OR(ТаблВеб[[#This Row],[Баллы]]="#",ТаблВеб[[#This Row],[Выполнение]]=" "),0,1)</f>
        <v>0</v>
      </c>
      <c r="H82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3" spans="1:8" s="109" customFormat="1" ht="30.5" thickBot="1" x14ac:dyDescent="0.4">
      <c r="A83" s="180" t="s">
        <v>381</v>
      </c>
      <c r="B83" s="179" t="s">
        <v>633</v>
      </c>
      <c r="C83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83" s="160">
        <f>D84+D87</f>
        <v>0</v>
      </c>
      <c r="E83" s="161"/>
      <c r="F83" s="41">
        <f>F84+F87</f>
        <v>0</v>
      </c>
      <c r="G83" s="118"/>
      <c r="H83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84" spans="1:8" s="109" customFormat="1" ht="30.5" thickBot="1" x14ac:dyDescent="0.4">
      <c r="A84" s="180" t="s">
        <v>345</v>
      </c>
      <c r="B84" s="179" t="s">
        <v>634</v>
      </c>
      <c r="C84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84" s="160">
        <f>SUMPRODUCT(В_Б_П2.7.1,В_К_П2.7.1)</f>
        <v>0</v>
      </c>
      <c r="E84" s="161"/>
      <c r="F84" s="41">
        <f>SUMPRODUCT(В_К_П2.7.1,В_Н_П2.7.1)*VLOOKUP("Выполняется полностью",Статус[],2)</f>
        <v>0</v>
      </c>
      <c r="G84" s="118"/>
      <c r="H84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85" spans="1:8" s="109" customFormat="1" ht="46.5" x14ac:dyDescent="0.35">
      <c r="A85" s="61" t="s">
        <v>589</v>
      </c>
      <c r="B85" s="48" t="s">
        <v>175</v>
      </c>
      <c r="C85" s="57" t="s">
        <v>15</v>
      </c>
      <c r="D85" s="62" t="str">
        <f>VLOOKUP(ТаблВеб[[#This Row],[Выполнение]],Статус[],2)</f>
        <v>&lt;- Выберите</v>
      </c>
      <c r="E85" s="63" t="s">
        <v>9</v>
      </c>
      <c r="F85" s="119">
        <f>VLOOKUP(ТаблВеб[[#This Row],[Критичность]],Важность[],2)</f>
        <v>4</v>
      </c>
      <c r="G85" s="120">
        <f>IF(OR(ТаблВеб[[#This Row],[Баллы]]="#",ТаблВеб[[#This Row],[Выполнение]]=" "),0,1)</f>
        <v>0</v>
      </c>
      <c r="H85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6" spans="1:8" s="109" customFormat="1" ht="62.5" thickBot="1" x14ac:dyDescent="0.4">
      <c r="A86" s="68" t="s">
        <v>590</v>
      </c>
      <c r="B86" s="50" t="s">
        <v>176</v>
      </c>
      <c r="C86" s="59" t="s">
        <v>15</v>
      </c>
      <c r="D86" s="69" t="str">
        <f>VLOOKUP(ТаблВеб[[#This Row],[Выполнение]],Статус[],2)</f>
        <v>&lt;- Выберите</v>
      </c>
      <c r="E86" s="70" t="s">
        <v>9</v>
      </c>
      <c r="F86" s="125">
        <f>VLOOKUP(ТаблВеб[[#This Row],[Критичность]],Важность[],2)</f>
        <v>4</v>
      </c>
      <c r="G86" s="126">
        <f>IF(OR(ТаблВеб[[#This Row],[Баллы]]="#",ТаблВеб[[#This Row],[Выполнение]]=" "),0,1)</f>
        <v>0</v>
      </c>
      <c r="H86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7" spans="1:8" s="109" customFormat="1" ht="30.5" thickBot="1" x14ac:dyDescent="0.4">
      <c r="A87" s="180" t="s">
        <v>346</v>
      </c>
      <c r="B87" s="179" t="s">
        <v>635</v>
      </c>
      <c r="C87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87" s="160">
        <f>SUMPRODUCT(В_Б_П2.7.2,В_К_П2.7.2)</f>
        <v>0</v>
      </c>
      <c r="E87" s="161"/>
      <c r="F87" s="41">
        <f>SUMPRODUCT(В_К_П2.7.2,В_Н_П2.7.2)*VLOOKUP("Выполняется полностью",Статус[],2)</f>
        <v>0</v>
      </c>
      <c r="G87" s="118"/>
      <c r="H87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88" spans="1:8" s="109" customFormat="1" ht="31" x14ac:dyDescent="0.35">
      <c r="A88" s="61" t="s">
        <v>591</v>
      </c>
      <c r="B88" s="48" t="s">
        <v>177</v>
      </c>
      <c r="C88" s="57" t="s">
        <v>15</v>
      </c>
      <c r="D88" s="62" t="str">
        <f>VLOOKUP(ТаблВеб[[#This Row],[Выполнение]],Статус[],2)</f>
        <v>&lt;- Выберите</v>
      </c>
      <c r="E88" s="63" t="s">
        <v>9</v>
      </c>
      <c r="F88" s="119">
        <f>VLOOKUP(ТаблВеб[[#This Row],[Критичность]],Важность[],2)</f>
        <v>4</v>
      </c>
      <c r="G88" s="120">
        <f>IF(OR(ТаблВеб[[#This Row],[Баллы]]="#",ТаблВеб[[#This Row],[Выполнение]]=" "),0,1)</f>
        <v>0</v>
      </c>
      <c r="H88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89" spans="1:8" s="109" customFormat="1" ht="31.5" thickBot="1" x14ac:dyDescent="0.4">
      <c r="A89" s="68" t="s">
        <v>592</v>
      </c>
      <c r="B89" s="50" t="s">
        <v>178</v>
      </c>
      <c r="C89" s="59" t="s">
        <v>15</v>
      </c>
      <c r="D89" s="69" t="str">
        <f>VLOOKUP(ТаблВеб[[#This Row],[Выполнение]],Статус[],2)</f>
        <v>&lt;- Выберите</v>
      </c>
      <c r="E89" s="70" t="s">
        <v>9</v>
      </c>
      <c r="F89" s="125">
        <f>VLOOKUP(ТаблВеб[[#This Row],[Критичность]],Важность[],2)</f>
        <v>4</v>
      </c>
      <c r="G89" s="126">
        <f>IF(OR(ТаблВеб[[#This Row],[Баллы]]="#",ТаблВеб[[#This Row],[Выполнение]]=" "),0,1)</f>
        <v>0</v>
      </c>
      <c r="H89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0" spans="1:8" s="109" customFormat="1" ht="30.5" thickBot="1" x14ac:dyDescent="0.4">
      <c r="A90" s="180" t="s">
        <v>379</v>
      </c>
      <c r="B90" s="179" t="s">
        <v>395</v>
      </c>
      <c r="C90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90" s="160">
        <f>SUMPRODUCT(В_Б_П2.8,В_К_П2.8)</f>
        <v>0</v>
      </c>
      <c r="E90" s="161"/>
      <c r="F90" s="41">
        <f>SUMPRODUCT(В_К_П2.8,В_Н_П2.8)*VLOOKUP("Выполняется полностью",Статус[],2)</f>
        <v>0</v>
      </c>
      <c r="G90" s="118"/>
      <c r="H90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91" spans="1:8" s="109" customFormat="1" ht="31" x14ac:dyDescent="0.35">
      <c r="A91" s="61" t="s">
        <v>354</v>
      </c>
      <c r="B91" s="48" t="s">
        <v>180</v>
      </c>
      <c r="C91" s="57" t="s">
        <v>15</v>
      </c>
      <c r="D91" s="62" t="str">
        <f>VLOOKUP(ТаблВеб[[#This Row],[Выполнение]],Статус[],2)</f>
        <v>&lt;- Выберите</v>
      </c>
      <c r="E91" s="63" t="s">
        <v>9</v>
      </c>
      <c r="F91" s="119">
        <f>VLOOKUP(ТаблВеб[[#This Row],[Критичность]],Важность[],2)</f>
        <v>4</v>
      </c>
      <c r="G91" s="120">
        <f>IF(OR(ТаблВеб[[#This Row],[Баллы]]="#",ТаблВеб[[#This Row],[Выполнение]]=" "),0,1)</f>
        <v>0</v>
      </c>
      <c r="H91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2" spans="1:8" s="109" customFormat="1" ht="62" x14ac:dyDescent="0.35">
      <c r="A92" s="64" t="s">
        <v>377</v>
      </c>
      <c r="B92" s="65" t="s">
        <v>179</v>
      </c>
      <c r="C92" s="58" t="s">
        <v>15</v>
      </c>
      <c r="D92" s="66" t="str">
        <f>VLOOKUP(ТаблВеб[[#This Row],[Выполнение]],Статус[],2)</f>
        <v>&lt;- Выберите</v>
      </c>
      <c r="E92" s="67" t="s">
        <v>9</v>
      </c>
      <c r="F92" s="122">
        <f>VLOOKUP(ТаблВеб[[#This Row],[Критичность]],Важность[],2)</f>
        <v>4</v>
      </c>
      <c r="G92" s="123">
        <f>IF(OR(ТаблВеб[[#This Row],[Баллы]]="#",ТаблВеб[[#This Row],[Выполнение]]=" "),0,1)</f>
        <v>0</v>
      </c>
      <c r="H92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3" spans="1:8" s="109" customFormat="1" ht="31" x14ac:dyDescent="0.35">
      <c r="A93" s="64" t="s">
        <v>375</v>
      </c>
      <c r="B93" s="65" t="s">
        <v>181</v>
      </c>
      <c r="C93" s="58" t="s">
        <v>15</v>
      </c>
      <c r="D93" s="66" t="str">
        <f>VLOOKUP(ТаблВеб[[#This Row],[Выполнение]],Статус[],2)</f>
        <v>&lt;- Выберите</v>
      </c>
      <c r="E93" s="67" t="s">
        <v>9</v>
      </c>
      <c r="F93" s="122">
        <f>VLOOKUP(ТаблВеб[[#This Row],[Критичность]],Важность[],2)</f>
        <v>4</v>
      </c>
      <c r="G93" s="123">
        <f>IF(OR(ТаблВеб[[#This Row],[Баллы]]="#",ТаблВеб[[#This Row],[Выполнение]]=" "),0,1)</f>
        <v>0</v>
      </c>
      <c r="H93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4" spans="1:8" s="109" customFormat="1" ht="62.5" thickBot="1" x14ac:dyDescent="0.4">
      <c r="A94" s="64" t="s">
        <v>593</v>
      </c>
      <c r="B94" s="65" t="s">
        <v>182</v>
      </c>
      <c r="C94" s="110" t="s">
        <v>15</v>
      </c>
      <c r="D94" s="66" t="str">
        <f>VLOOKUP(ТаблВеб[[#This Row],[Выполнение]],Статус[],2)</f>
        <v>&lt;- Выберите</v>
      </c>
      <c r="E94" s="131" t="s">
        <v>9</v>
      </c>
      <c r="F94" s="122">
        <f>VLOOKUP(ТаблВеб[[#This Row],[Критичность]],Важность[],2)</f>
        <v>4</v>
      </c>
      <c r="G94" s="123">
        <f>IF(OR(ТаблВеб[[#This Row],[Баллы]]="#",ТаблВеб[[#This Row],[Выполнение]]=" "),0,1)</f>
        <v>0</v>
      </c>
      <c r="H94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5" spans="1:8" s="109" customFormat="1" ht="30.5" thickBot="1" x14ac:dyDescent="0.4">
      <c r="A95" s="180" t="s">
        <v>373</v>
      </c>
      <c r="B95" s="179" t="s">
        <v>636</v>
      </c>
      <c r="C95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95" s="160">
        <f>IF(C96=" ",0,D96*F96)+D97+D102+D106+D112+D115+D121+D124</f>
        <v>0</v>
      </c>
      <c r="E95" s="161"/>
      <c r="F95" s="41">
        <f>(F96*G96)*VLOOKUP("Выполняется полностью",Статус[],2)+F97+F102+F106+F112+F115+F121+F124</f>
        <v>0</v>
      </c>
      <c r="G95" s="118"/>
      <c r="H95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96" spans="1:8" s="109" customFormat="1" ht="31.5" thickBot="1" x14ac:dyDescent="0.4">
      <c r="A96" s="88" t="s">
        <v>363</v>
      </c>
      <c r="B96" s="89" t="s">
        <v>183</v>
      </c>
      <c r="C96" s="90" t="s">
        <v>15</v>
      </c>
      <c r="D96" s="117" t="str">
        <f>VLOOKUP(ТаблВеб[[#This Row],[Выполнение]],Статус[],2)</f>
        <v>&lt;- Выберите</v>
      </c>
      <c r="E96" s="91" t="s">
        <v>9</v>
      </c>
      <c r="F96" s="128">
        <f>VLOOKUP(ТаблВеб[[#This Row],[Критичность]],Важность[],2)</f>
        <v>4</v>
      </c>
      <c r="G96" s="129">
        <f>IF(OR(ТаблВеб[[#This Row],[Баллы]]="#",ТаблВеб[[#This Row],[Выполнение]]=" "),0,1)</f>
        <v>0</v>
      </c>
      <c r="H96" s="130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7" spans="1:8" s="109" customFormat="1" ht="30.5" thickBot="1" x14ac:dyDescent="0.4">
      <c r="A97" s="180" t="s">
        <v>364</v>
      </c>
      <c r="B97" s="179" t="s">
        <v>637</v>
      </c>
      <c r="C97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97" s="160">
        <f>SUMPRODUCT(В_Б_П2.9.2,В_К_П2.9.2)</f>
        <v>0</v>
      </c>
      <c r="E97" s="161"/>
      <c r="F97" s="41">
        <f>SUMPRODUCT(В_К_П2.9.2,В_Н_П2.9.2)*VLOOKUP("Выполняется полностью",Статус[],2)</f>
        <v>0</v>
      </c>
      <c r="G97" s="118"/>
      <c r="H97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98" spans="1:8" s="109" customFormat="1" ht="31" x14ac:dyDescent="0.35">
      <c r="A98" s="61" t="s">
        <v>594</v>
      </c>
      <c r="B98" s="48" t="s">
        <v>188</v>
      </c>
      <c r="C98" s="57" t="s">
        <v>15</v>
      </c>
      <c r="D98" s="62" t="str">
        <f>VLOOKUP(ТаблВеб[[#This Row],[Выполнение]],Статус[],2)</f>
        <v>&lt;- Выберите</v>
      </c>
      <c r="E98" s="63" t="s">
        <v>9</v>
      </c>
      <c r="F98" s="119">
        <f>VLOOKUP(ТаблВеб[[#This Row],[Критичность]],Важность[],2)</f>
        <v>4</v>
      </c>
      <c r="G98" s="120">
        <f>IF(OR(ТаблВеб[[#This Row],[Баллы]]="#",ТаблВеб[[#This Row],[Выполнение]]=" "),0,1)</f>
        <v>0</v>
      </c>
      <c r="H98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99" spans="1:8" s="109" customFormat="1" ht="31" x14ac:dyDescent="0.35">
      <c r="A99" s="64" t="s">
        <v>595</v>
      </c>
      <c r="B99" s="65" t="s">
        <v>185</v>
      </c>
      <c r="C99" s="58" t="s">
        <v>15</v>
      </c>
      <c r="D99" s="66" t="str">
        <f>VLOOKUP(ТаблВеб[[#This Row],[Выполнение]],Статус[],2)</f>
        <v>&lt;- Выберите</v>
      </c>
      <c r="E99" s="67" t="s">
        <v>13</v>
      </c>
      <c r="F99" s="122">
        <f>VLOOKUP(ТаблВеб[[#This Row],[Критичность]],Важность[],2)</f>
        <v>1</v>
      </c>
      <c r="G99" s="123">
        <f>IF(OR(ТаблВеб[[#This Row],[Баллы]]="#",ТаблВеб[[#This Row],[Выполнение]]=" "),0,1)</f>
        <v>0</v>
      </c>
      <c r="H99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00" spans="1:8" s="109" customFormat="1" ht="31" x14ac:dyDescent="0.35">
      <c r="A100" s="64" t="s">
        <v>596</v>
      </c>
      <c r="B100" s="65" t="s">
        <v>186</v>
      </c>
      <c r="C100" s="58" t="s">
        <v>15</v>
      </c>
      <c r="D100" s="66" t="str">
        <f>VLOOKUP(ТаблВеб[[#This Row],[Выполнение]],Статус[],2)</f>
        <v>&lt;- Выберите</v>
      </c>
      <c r="E100" s="67" t="s">
        <v>9</v>
      </c>
      <c r="F100" s="122">
        <f>VLOOKUP(ТаблВеб[[#This Row],[Критичность]],Важность[],2)</f>
        <v>4</v>
      </c>
      <c r="G100" s="123">
        <f>IF(OR(ТаблВеб[[#This Row],[Баллы]]="#",ТаблВеб[[#This Row],[Выполнение]]=" "),0,1)</f>
        <v>0</v>
      </c>
      <c r="H100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1" spans="1:8" s="109" customFormat="1" ht="31.5" thickBot="1" x14ac:dyDescent="0.4">
      <c r="A101" s="68" t="s">
        <v>597</v>
      </c>
      <c r="B101" s="50" t="s">
        <v>187</v>
      </c>
      <c r="C101" s="59" t="s">
        <v>15</v>
      </c>
      <c r="D101" s="69" t="str">
        <f>VLOOKUP(ТаблВеб[[#This Row],[Выполнение]],Статус[],2)</f>
        <v>&lt;- Выберите</v>
      </c>
      <c r="E101" s="70" t="s">
        <v>9</v>
      </c>
      <c r="F101" s="125">
        <f>VLOOKUP(ТаблВеб[[#This Row],[Критичность]],Важность[],2)</f>
        <v>4</v>
      </c>
      <c r="G101" s="126">
        <f>IF(OR(ТаблВеб[[#This Row],[Баллы]]="#",ТаблВеб[[#This Row],[Выполнение]]=" "),0,1)</f>
        <v>0</v>
      </c>
      <c r="H101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2" spans="1:8" s="109" customFormat="1" ht="30.5" thickBot="1" x14ac:dyDescent="0.4">
      <c r="A102" s="180" t="s">
        <v>365</v>
      </c>
      <c r="B102" s="179" t="s">
        <v>638</v>
      </c>
      <c r="C10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02" s="160">
        <f>SUMPRODUCT(В_Б_П2.9.3,В_К_П2.9.3)</f>
        <v>0</v>
      </c>
      <c r="E102" s="161"/>
      <c r="F102" s="41">
        <f>SUMPRODUCT(В_К_П2.9.3,В_Н_П2.9.3)*VLOOKUP("Выполняется полностью",Статус[],2)</f>
        <v>0</v>
      </c>
      <c r="G102" s="118"/>
      <c r="H102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03" spans="1:8" s="109" customFormat="1" ht="46.5" x14ac:dyDescent="0.35">
      <c r="A103" s="61" t="s">
        <v>598</v>
      </c>
      <c r="B103" s="48" t="s">
        <v>189</v>
      </c>
      <c r="C103" s="57" t="s">
        <v>15</v>
      </c>
      <c r="D103" s="62" t="str">
        <f>VLOOKUP(ТаблВеб[[#This Row],[Выполнение]],Статус[],2)</f>
        <v>&lt;- Выберите</v>
      </c>
      <c r="E103" s="63" t="s">
        <v>9</v>
      </c>
      <c r="F103" s="119">
        <f>VLOOKUP(ТаблВеб[[#This Row],[Критичность]],Важность[],2)</f>
        <v>4</v>
      </c>
      <c r="G103" s="120">
        <f>IF(OR(ТаблВеб[[#This Row],[Баллы]]="#",ТаблВеб[[#This Row],[Выполнение]]=" "),0,1)</f>
        <v>0</v>
      </c>
      <c r="H103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4" spans="1:8" s="109" customFormat="1" ht="31" x14ac:dyDescent="0.35">
      <c r="A104" s="64" t="s">
        <v>599</v>
      </c>
      <c r="B104" s="65" t="s">
        <v>190</v>
      </c>
      <c r="C104" s="58" t="s">
        <v>15</v>
      </c>
      <c r="D104" s="66" t="str">
        <f>VLOOKUP(ТаблВеб[[#This Row],[Выполнение]],Статус[],2)</f>
        <v>&lt;- Выберите</v>
      </c>
      <c r="E104" s="67" t="s">
        <v>9</v>
      </c>
      <c r="F104" s="122">
        <f>VLOOKUP(ТаблВеб[[#This Row],[Критичность]],Важность[],2)</f>
        <v>4</v>
      </c>
      <c r="G104" s="123">
        <f>IF(OR(ТаблВеб[[#This Row],[Баллы]]="#",ТаблВеб[[#This Row],[Выполнение]]=" "),0,1)</f>
        <v>0</v>
      </c>
      <c r="H104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5" spans="1:8" s="109" customFormat="1" ht="31.5" thickBot="1" x14ac:dyDescent="0.4">
      <c r="A105" s="68" t="s">
        <v>600</v>
      </c>
      <c r="B105" s="50" t="s">
        <v>191</v>
      </c>
      <c r="C105" s="59" t="s">
        <v>15</v>
      </c>
      <c r="D105" s="69" t="str">
        <f>VLOOKUP(ТаблВеб[[#This Row],[Выполнение]],Статус[],2)</f>
        <v>&lt;- Выберите</v>
      </c>
      <c r="E105" s="70" t="s">
        <v>9</v>
      </c>
      <c r="F105" s="125">
        <f>VLOOKUP(ТаблВеб[[#This Row],[Критичность]],Важность[],2)</f>
        <v>4</v>
      </c>
      <c r="G105" s="126">
        <f>IF(OR(ТаблВеб[[#This Row],[Баллы]]="#",ТаблВеб[[#This Row],[Выполнение]]=" "),0,1)</f>
        <v>0</v>
      </c>
      <c r="H105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6" spans="1:8" s="109" customFormat="1" ht="30.5" thickBot="1" x14ac:dyDescent="0.4">
      <c r="A106" s="180" t="s">
        <v>652</v>
      </c>
      <c r="B106" s="179" t="s">
        <v>639</v>
      </c>
      <c r="C106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06" s="160">
        <f>SUMPRODUCT(В_Б_П2.9.4,В_К_П2.9.4)</f>
        <v>0</v>
      </c>
      <c r="E106" s="161"/>
      <c r="F106" s="41">
        <f>SUMPRODUCT(В_К_П2.9.4,В_Н_П2.9.4)*VLOOKUP("Выполняется полностью",Статус[],2)</f>
        <v>0</v>
      </c>
      <c r="G106" s="118"/>
      <c r="H106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07" spans="1:8" s="109" customFormat="1" ht="30" customHeight="1" x14ac:dyDescent="0.35">
      <c r="A107" s="61" t="s">
        <v>601</v>
      </c>
      <c r="B107" s="48" t="s">
        <v>192</v>
      </c>
      <c r="C107" s="57" t="s">
        <v>15</v>
      </c>
      <c r="D107" s="62" t="str">
        <f>VLOOKUP(ТаблВеб[[#This Row],[Выполнение]],Статус[],2)</f>
        <v>&lt;- Выберите</v>
      </c>
      <c r="E107" s="63" t="s">
        <v>9</v>
      </c>
      <c r="F107" s="119">
        <f>VLOOKUP(ТаблВеб[[#This Row],[Критичность]],Важность[],2)</f>
        <v>4</v>
      </c>
      <c r="G107" s="120">
        <f>IF(OR(ТаблВеб[[#This Row],[Баллы]]="#",ТаблВеб[[#This Row],[Выполнение]]=" "),0,1)</f>
        <v>0</v>
      </c>
      <c r="H107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8" spans="1:8" s="109" customFormat="1" ht="31" x14ac:dyDescent="0.35">
      <c r="A108" s="64" t="s">
        <v>602</v>
      </c>
      <c r="B108" s="65" t="s">
        <v>193</v>
      </c>
      <c r="C108" s="58" t="s">
        <v>15</v>
      </c>
      <c r="D108" s="66" t="str">
        <f>VLOOKUP(ТаблВеб[[#This Row],[Выполнение]],Статус[],2)</f>
        <v>&lt;- Выберите</v>
      </c>
      <c r="E108" s="67" t="s">
        <v>9</v>
      </c>
      <c r="F108" s="122">
        <f>VLOOKUP(ТаблВеб[[#This Row],[Критичность]],Важность[],2)</f>
        <v>4</v>
      </c>
      <c r="G108" s="123">
        <f>IF(OR(ТаблВеб[[#This Row],[Баллы]]="#",ТаблВеб[[#This Row],[Выполнение]]=" "),0,1)</f>
        <v>0</v>
      </c>
      <c r="H108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09" spans="1:8" s="109" customFormat="1" ht="46.5" x14ac:dyDescent="0.35">
      <c r="A109" s="64" t="s">
        <v>603</v>
      </c>
      <c r="B109" s="65" t="s">
        <v>194</v>
      </c>
      <c r="C109" s="58" t="s">
        <v>15</v>
      </c>
      <c r="D109" s="66" t="str">
        <f>VLOOKUP(ТаблВеб[[#This Row],[Выполнение]],Статус[],2)</f>
        <v>&lt;- Выберите</v>
      </c>
      <c r="E109" s="67" t="s">
        <v>14</v>
      </c>
      <c r="F109" s="122">
        <f>VLOOKUP(ТаблВеб[[#This Row],[Критичность]],Важность[],2)</f>
        <v>2</v>
      </c>
      <c r="G109" s="123">
        <f>IF(OR(ТаблВеб[[#This Row],[Баллы]]="#",ТаблВеб[[#This Row],[Выполнение]]=" "),0,1)</f>
        <v>0</v>
      </c>
      <c r="H109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10" spans="1:8" s="109" customFormat="1" ht="46.5" x14ac:dyDescent="0.35">
      <c r="A110" s="64" t="s">
        <v>604</v>
      </c>
      <c r="B110" s="65" t="s">
        <v>195</v>
      </c>
      <c r="C110" s="58" t="s">
        <v>15</v>
      </c>
      <c r="D110" s="66" t="str">
        <f>VLOOKUP(ТаблВеб[[#This Row],[Выполнение]],Статус[],2)</f>
        <v>&lt;- Выберите</v>
      </c>
      <c r="E110" s="67" t="s">
        <v>14</v>
      </c>
      <c r="F110" s="122">
        <f>VLOOKUP(ТаблВеб[[#This Row],[Критичность]],Важность[],2)</f>
        <v>2</v>
      </c>
      <c r="G110" s="123">
        <f>IF(OR(ТаблВеб[[#This Row],[Баллы]]="#",ТаблВеб[[#This Row],[Выполнение]]=" "),0,1)</f>
        <v>0</v>
      </c>
      <c r="H110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11" spans="1:8" s="109" customFormat="1" ht="31.5" thickBot="1" x14ac:dyDescent="0.4">
      <c r="A111" s="68" t="s">
        <v>605</v>
      </c>
      <c r="B111" s="50" t="s">
        <v>196</v>
      </c>
      <c r="C111" s="59" t="s">
        <v>15</v>
      </c>
      <c r="D111" s="69" t="str">
        <f>VLOOKUP(ТаблВеб[[#This Row],[Выполнение]],Статус[],2)</f>
        <v>&lt;- Выберите</v>
      </c>
      <c r="E111" s="70" t="s">
        <v>9</v>
      </c>
      <c r="F111" s="125">
        <f>VLOOKUP(ТаблВеб[[#This Row],[Критичность]],Важность[],2)</f>
        <v>4</v>
      </c>
      <c r="G111" s="126">
        <f>IF(OR(ТаблВеб[[#This Row],[Баллы]]="#",ТаблВеб[[#This Row],[Выполнение]]=" "),0,1)</f>
        <v>0</v>
      </c>
      <c r="H111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12" spans="1:8" s="109" customFormat="1" ht="30.5" thickBot="1" x14ac:dyDescent="0.4">
      <c r="A112" s="180" t="s">
        <v>653</v>
      </c>
      <c r="B112" s="179" t="s">
        <v>640</v>
      </c>
      <c r="C11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12" s="160">
        <f>SUMPRODUCT(В_Б_П2.9.5,В_К_П2.9.5)</f>
        <v>0</v>
      </c>
      <c r="E112" s="161"/>
      <c r="F112" s="41">
        <f>SUMPRODUCT(В_К_П2.9.5,В_Н_П2.9.5)*VLOOKUP("Выполняется полностью",Статус[],2)</f>
        <v>0</v>
      </c>
      <c r="G112" s="118"/>
      <c r="H112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13" spans="1:8" s="109" customFormat="1" ht="46.5" x14ac:dyDescent="0.35">
      <c r="A113" s="61" t="s">
        <v>606</v>
      </c>
      <c r="B113" s="48" t="s">
        <v>197</v>
      </c>
      <c r="C113" s="57" t="s">
        <v>15</v>
      </c>
      <c r="D113" s="62" t="str">
        <f>VLOOKUP(ТаблВеб[[#This Row],[Выполнение]],Статус[],2)</f>
        <v>&lt;- Выберите</v>
      </c>
      <c r="E113" s="63" t="s">
        <v>14</v>
      </c>
      <c r="F113" s="119">
        <f>VLOOKUP(ТаблВеб[[#This Row],[Критичность]],Важность[],2)</f>
        <v>2</v>
      </c>
      <c r="G113" s="120">
        <f>IF(OR(ТаблВеб[[#This Row],[Баллы]]="#",ТаблВеб[[#This Row],[Выполнение]]=" "),0,1)</f>
        <v>0</v>
      </c>
      <c r="H113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14" spans="1:8" s="109" customFormat="1" ht="62.5" thickBot="1" x14ac:dyDescent="0.4">
      <c r="A114" s="68" t="s">
        <v>607</v>
      </c>
      <c r="B114" s="50" t="s">
        <v>198</v>
      </c>
      <c r="C114" s="59" t="s">
        <v>15</v>
      </c>
      <c r="D114" s="69" t="str">
        <f>VLOOKUP(ТаблВеб[[#This Row],[Выполнение]],Статус[],2)</f>
        <v>&lt;- Выберите</v>
      </c>
      <c r="E114" s="70" t="s">
        <v>9</v>
      </c>
      <c r="F114" s="125">
        <f>VLOOKUP(ТаблВеб[[#This Row],[Критичность]],Важность[],2)</f>
        <v>4</v>
      </c>
      <c r="G114" s="126">
        <f>IF(OR(ТаблВеб[[#This Row],[Баллы]]="#",ТаблВеб[[#This Row],[Выполнение]]=" "),0,1)</f>
        <v>0</v>
      </c>
      <c r="H114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15" spans="1:8" s="109" customFormat="1" ht="30.5" thickBot="1" x14ac:dyDescent="0.4">
      <c r="A115" s="180" t="s">
        <v>654</v>
      </c>
      <c r="B115" s="179" t="s">
        <v>641</v>
      </c>
      <c r="C115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15" s="160">
        <f>SUMPRODUCT(В_Б_П2.9.6,В_К_П2.9.6)</f>
        <v>0</v>
      </c>
      <c r="E115" s="161"/>
      <c r="F115" s="41">
        <f>SUMPRODUCT(В_К_П2.9.6,В_Н_П2.9.6)*VLOOKUP("Выполняется полностью",Статус[],2)</f>
        <v>0</v>
      </c>
      <c r="G115" s="118"/>
      <c r="H115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16" spans="1:8" s="109" customFormat="1" ht="46.5" x14ac:dyDescent="0.35">
      <c r="A116" s="61" t="s">
        <v>608</v>
      </c>
      <c r="B116" s="48" t="s">
        <v>199</v>
      </c>
      <c r="C116" s="57" t="s">
        <v>15</v>
      </c>
      <c r="D116" s="62" t="str">
        <f>VLOOKUP(ТаблВеб[[#This Row],[Выполнение]],Статус[],2)</f>
        <v>&lt;- Выберите</v>
      </c>
      <c r="E116" s="63" t="s">
        <v>9</v>
      </c>
      <c r="F116" s="119">
        <f>VLOOKUP(ТаблВеб[[#This Row],[Критичность]],Важность[],2)</f>
        <v>4</v>
      </c>
      <c r="G116" s="120">
        <f>IF(OR(ТаблВеб[[#This Row],[Баллы]]="#",ТаблВеб[[#This Row],[Выполнение]]=" "),0,1)</f>
        <v>0</v>
      </c>
      <c r="H116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17" spans="1:8" s="109" customFormat="1" ht="46.5" x14ac:dyDescent="0.35">
      <c r="A117" s="64" t="s">
        <v>609</v>
      </c>
      <c r="B117" s="65" t="s">
        <v>200</v>
      </c>
      <c r="C117" s="58" t="s">
        <v>15</v>
      </c>
      <c r="D117" s="66" t="str">
        <f>VLOOKUP(ТаблВеб[[#This Row],[Выполнение]],Статус[],2)</f>
        <v>&lt;- Выберите</v>
      </c>
      <c r="E117" s="67" t="s">
        <v>9</v>
      </c>
      <c r="F117" s="122">
        <f>VLOOKUP(ТаблВеб[[#This Row],[Критичность]],Важность[],2)</f>
        <v>4</v>
      </c>
      <c r="G117" s="123">
        <f>IF(OR(ТаблВеб[[#This Row],[Баллы]]="#",ТаблВеб[[#This Row],[Выполнение]]=" "),0,1)</f>
        <v>0</v>
      </c>
      <c r="H117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18" spans="1:8" s="109" customFormat="1" ht="31" x14ac:dyDescent="0.35">
      <c r="A118" s="64" t="s">
        <v>610</v>
      </c>
      <c r="B118" s="65" t="s">
        <v>201</v>
      </c>
      <c r="C118" s="58" t="s">
        <v>15</v>
      </c>
      <c r="D118" s="66" t="str">
        <f>VLOOKUP(ТаблВеб[[#This Row],[Выполнение]],Статус[],2)</f>
        <v>&lt;- Выберите</v>
      </c>
      <c r="E118" s="67" t="s">
        <v>9</v>
      </c>
      <c r="F118" s="122">
        <f>VLOOKUP(ТаблВеб[[#This Row],[Критичность]],Важность[],2)</f>
        <v>4</v>
      </c>
      <c r="G118" s="123">
        <f>IF(OR(ТаблВеб[[#This Row],[Баллы]]="#",ТаблВеб[[#This Row],[Выполнение]]=" "),0,1)</f>
        <v>0</v>
      </c>
      <c r="H118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19" spans="1:8" s="109" customFormat="1" ht="62" x14ac:dyDescent="0.35">
      <c r="A119" s="64" t="s">
        <v>611</v>
      </c>
      <c r="B119" s="65" t="s">
        <v>202</v>
      </c>
      <c r="C119" s="58" t="s">
        <v>15</v>
      </c>
      <c r="D119" s="66" t="str">
        <f>VLOOKUP(ТаблВеб[[#This Row],[Выполнение]],Статус[],2)</f>
        <v>&lt;- Выберите</v>
      </c>
      <c r="E119" s="67" t="s">
        <v>9</v>
      </c>
      <c r="F119" s="122">
        <f>VLOOKUP(ТаблВеб[[#This Row],[Критичность]],Важность[],2)</f>
        <v>4</v>
      </c>
      <c r="G119" s="123">
        <f>IF(OR(ТаблВеб[[#This Row],[Баллы]]="#",ТаблВеб[[#This Row],[Выполнение]]=" "),0,1)</f>
        <v>0</v>
      </c>
      <c r="H119" s="12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20" spans="1:8" s="109" customFormat="1" ht="31.5" thickBot="1" x14ac:dyDescent="0.4">
      <c r="A120" s="68" t="s">
        <v>612</v>
      </c>
      <c r="B120" s="50" t="s">
        <v>203</v>
      </c>
      <c r="C120" s="59" t="s">
        <v>15</v>
      </c>
      <c r="D120" s="69" t="str">
        <f>VLOOKUP(ТаблВеб[[#This Row],[Выполнение]],Статус[],2)</f>
        <v>&lt;- Выберите</v>
      </c>
      <c r="E120" s="70" t="s">
        <v>9</v>
      </c>
      <c r="F120" s="125">
        <f>VLOOKUP(ТаблВеб[[#This Row],[Критичность]],Важность[],2)</f>
        <v>4</v>
      </c>
      <c r="G120" s="126">
        <f>IF(OR(ТаблВеб[[#This Row],[Баллы]]="#",ТаблВеб[[#This Row],[Выполнение]]=" "),0,1)</f>
        <v>0</v>
      </c>
      <c r="H120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21" spans="1:8" s="109" customFormat="1" ht="30.5" thickBot="1" x14ac:dyDescent="0.4">
      <c r="A121" s="180" t="s">
        <v>655</v>
      </c>
      <c r="B121" s="179" t="s">
        <v>642</v>
      </c>
      <c r="C121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21" s="160">
        <f>SUMPRODUCT(В_Б_П2.9.7,В_К_П2.9.7)</f>
        <v>0</v>
      </c>
      <c r="E121" s="161"/>
      <c r="F121" s="41">
        <f>SUMPRODUCT(В_К_П2.9.7,В_Н_П2.9.7)*VLOOKUP("Выполняется полностью",Статус[],2)</f>
        <v>0</v>
      </c>
      <c r="G121" s="118"/>
      <c r="H121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22" spans="1:8" s="109" customFormat="1" ht="46.5" x14ac:dyDescent="0.35">
      <c r="A122" s="61" t="s">
        <v>613</v>
      </c>
      <c r="B122" s="48" t="s">
        <v>204</v>
      </c>
      <c r="C122" s="57" t="s">
        <v>15</v>
      </c>
      <c r="D122" s="62" t="str">
        <f>VLOOKUP(ТаблВеб[[#This Row],[Выполнение]],Статус[],2)</f>
        <v>&lt;- Выберите</v>
      </c>
      <c r="E122" s="63" t="s">
        <v>14</v>
      </c>
      <c r="F122" s="119">
        <f>VLOOKUP(ТаблВеб[[#This Row],[Критичность]],Важность[],2)</f>
        <v>2</v>
      </c>
      <c r="G122" s="120">
        <f>IF(OR(ТаблВеб[[#This Row],[Баллы]]="#",ТаблВеб[[#This Row],[Выполнение]]=" "),0,1)</f>
        <v>0</v>
      </c>
      <c r="H122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23" spans="1:8" s="109" customFormat="1" ht="47" thickBot="1" x14ac:dyDescent="0.4">
      <c r="A123" s="68" t="s">
        <v>614</v>
      </c>
      <c r="B123" s="50" t="s">
        <v>205</v>
      </c>
      <c r="C123" s="59" t="s">
        <v>15</v>
      </c>
      <c r="D123" s="69" t="str">
        <f>VLOOKUP(ТаблВеб[[#This Row],[Выполнение]],Статус[],2)</f>
        <v>&lt;- Выберите</v>
      </c>
      <c r="E123" s="70" t="s">
        <v>9</v>
      </c>
      <c r="F123" s="125">
        <f>VLOOKUP(ТаблВеб[[#This Row],[Критичность]],Важность[],2)</f>
        <v>4</v>
      </c>
      <c r="G123" s="126">
        <f>IF(OR(ТаблВеб[[#This Row],[Баллы]]="#",ТаблВеб[[#This Row],[Выполнение]]=" "),0,1)</f>
        <v>0</v>
      </c>
      <c r="H123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24" spans="1:8" s="109" customFormat="1" ht="30.5" thickBot="1" x14ac:dyDescent="0.4">
      <c r="A124" s="180" t="s">
        <v>656</v>
      </c>
      <c r="B124" s="179" t="s">
        <v>643</v>
      </c>
      <c r="C124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24" s="160">
        <f>SUMPRODUCT(В_Б_П2.9.8,В_К_П2.9.8)</f>
        <v>0</v>
      </c>
      <c r="E124" s="161"/>
      <c r="F124" s="41">
        <f>SUMPRODUCT(В_К_П2.9.8,В_Н_П2.9.8)*VLOOKUP("Выполняется полностью",Статус[],2)</f>
        <v>0</v>
      </c>
      <c r="G124" s="118"/>
      <c r="H124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25" spans="1:8" s="109" customFormat="1" ht="31" x14ac:dyDescent="0.35">
      <c r="A125" s="61" t="s">
        <v>615</v>
      </c>
      <c r="B125" s="48" t="s">
        <v>206</v>
      </c>
      <c r="C125" s="57" t="s">
        <v>15</v>
      </c>
      <c r="D125" s="62" t="str">
        <f>VLOOKUP(ТаблВеб[[#This Row],[Выполнение]],Статус[],2)</f>
        <v>&lt;- Выберите</v>
      </c>
      <c r="E125" s="63" t="s">
        <v>9</v>
      </c>
      <c r="F125" s="119">
        <f>VLOOKUP(ТаблВеб[[#This Row],[Критичность]],Важность[],2)</f>
        <v>4</v>
      </c>
      <c r="G125" s="120">
        <f>IF(OR(ТаблВеб[[#This Row],[Баллы]]="#",ТаблВеб[[#This Row],[Выполнение]]=" "),0,1)</f>
        <v>0</v>
      </c>
      <c r="H125" s="12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26" spans="1:8" s="109" customFormat="1" ht="47" thickBot="1" x14ac:dyDescent="0.4">
      <c r="A126" s="68" t="s">
        <v>616</v>
      </c>
      <c r="B126" s="50" t="s">
        <v>691</v>
      </c>
      <c r="C126" s="59" t="s">
        <v>15</v>
      </c>
      <c r="D126" s="69" t="str">
        <f>VLOOKUP(ТаблВеб[[#This Row],[Выполнение]],Статус[],2)</f>
        <v>&lt;- Выберите</v>
      </c>
      <c r="E126" s="70" t="s">
        <v>9</v>
      </c>
      <c r="F126" s="125">
        <f>VLOOKUP(ТаблВеб[[#This Row],[Критичность]],Важность[],2)</f>
        <v>4</v>
      </c>
      <c r="G126" s="126">
        <f>IF(OR(ТаблВеб[[#This Row],[Баллы]]="#",ТаблВеб[[#This Row],[Выполнение]]=" "),0,1)</f>
        <v>0</v>
      </c>
      <c r="H126" s="127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27" spans="1:8" s="109" customFormat="1" ht="30.5" thickBot="1" x14ac:dyDescent="0.4">
      <c r="A127" s="180" t="s">
        <v>657</v>
      </c>
      <c r="B127" s="179" t="s">
        <v>644</v>
      </c>
      <c r="C127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27" s="160">
        <f>SUMPRODUCT(В_Б_П2.10,В_К_П2.10)+D132</f>
        <v>0</v>
      </c>
      <c r="E127" s="161"/>
      <c r="F127" s="41">
        <f>SUMPRODUCT(В_К_П2.10,В_Н_П2.10)*VLOOKUP("Выполняется полностью",Статус[],2)+F132</f>
        <v>0</v>
      </c>
      <c r="G127" s="118"/>
      <c r="H127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28" spans="1:8" s="109" customFormat="1" x14ac:dyDescent="0.35">
      <c r="A128" s="61" t="s">
        <v>674</v>
      </c>
      <c r="B128" s="48" t="s">
        <v>666</v>
      </c>
      <c r="C128" s="111" t="s">
        <v>15</v>
      </c>
      <c r="D128" s="69" t="str">
        <f>VLOOKUP(ТаблВеб[[#This Row],[Выполнение]],Статус[],2)</f>
        <v>&lt;- Выберите</v>
      </c>
      <c r="E128" s="132" t="s">
        <v>9</v>
      </c>
      <c r="F128" s="125">
        <f>VLOOKUP(ТаблВеб[[#This Row],[Критичность]],Важность[],2)</f>
        <v>4</v>
      </c>
      <c r="G128" s="126">
        <f>IF(OR(ТаблВеб[[#This Row],[Баллы]]="#",ТаблВеб[[#This Row],[Выполнение]]=" "),0,1)</f>
        <v>0</v>
      </c>
      <c r="H128" s="133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29" spans="1:8" s="109" customFormat="1" x14ac:dyDescent="0.35">
      <c r="A129" s="61" t="s">
        <v>675</v>
      </c>
      <c r="B129" s="65" t="s">
        <v>667</v>
      </c>
      <c r="C129" s="58" t="s">
        <v>15</v>
      </c>
      <c r="D129" s="69" t="str">
        <f>VLOOKUP(ТаблВеб[[#This Row],[Выполнение]],Статус[],2)</f>
        <v>&lt;- Выберите</v>
      </c>
      <c r="E129" s="131" t="s">
        <v>9</v>
      </c>
      <c r="F129" s="125">
        <f>VLOOKUP(ТаблВеб[[#This Row],[Критичность]],Важность[],2)</f>
        <v>4</v>
      </c>
      <c r="G129" s="126">
        <f>IF(OR(ТаблВеб[[#This Row],[Баллы]]="#",ТаблВеб[[#This Row],[Выполнение]]=" "),0,1)</f>
        <v>0</v>
      </c>
      <c r="H129" s="13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30" spans="1:8" s="109" customFormat="1" ht="31" x14ac:dyDescent="0.35">
      <c r="A130" s="61" t="s">
        <v>676</v>
      </c>
      <c r="B130" s="92" t="s">
        <v>668</v>
      </c>
      <c r="C130" s="58" t="s">
        <v>15</v>
      </c>
      <c r="D130" s="69" t="str">
        <f>VLOOKUP(ТаблВеб[[#This Row],[Выполнение]],Статус[],2)</f>
        <v>&lt;- Выберите</v>
      </c>
      <c r="E130" s="131" t="s">
        <v>13</v>
      </c>
      <c r="F130" s="125">
        <f>VLOOKUP(ТаблВеб[[#This Row],[Критичность]],Важность[],2)</f>
        <v>1</v>
      </c>
      <c r="G130" s="126">
        <f>IF(OR(ТаблВеб[[#This Row],[Баллы]]="#",ТаблВеб[[#This Row],[Выполнение]]=" "),0,1)</f>
        <v>0</v>
      </c>
      <c r="H130" s="135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31" spans="1:8" s="109" customFormat="1" ht="31.5" thickBot="1" x14ac:dyDescent="0.4">
      <c r="A131" s="61" t="s">
        <v>677</v>
      </c>
      <c r="B131" s="92" t="s">
        <v>669</v>
      </c>
      <c r="C131" s="58" t="s">
        <v>15</v>
      </c>
      <c r="D131" s="69" t="str">
        <f>VLOOKUP(ТаблВеб[[#This Row],[Выполнение]],Статус[],2)</f>
        <v>&lt;- Выберите</v>
      </c>
      <c r="E131" s="131" t="s">
        <v>9</v>
      </c>
      <c r="F131" s="125">
        <f>VLOOKUP(ТаблВеб[[#This Row],[Критичность]],Важность[],2)</f>
        <v>4</v>
      </c>
      <c r="G131" s="126">
        <f>IF(OR(ТаблВеб[[#This Row],[Баллы]]="#",ТаблВеб[[#This Row],[Выполнение]]=" "),0,1)</f>
        <v>0</v>
      </c>
      <c r="H131" s="135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32" spans="1:8" s="109" customFormat="1" ht="30.5" thickBot="1" x14ac:dyDescent="0.4">
      <c r="A132" s="180" t="s">
        <v>678</v>
      </c>
      <c r="B132" s="179" t="s">
        <v>665</v>
      </c>
      <c r="C132" s="159" t="str">
        <f>IF(ТаблВеб[[#This Row],[Коэффициент]]=0,"Требования раздела неприменимы",ТаблВеб[[#This Row],[Баллы]]/ТаблВеб[[#This Row],[Коэффициент]])</f>
        <v>Требования раздела неприменимы</v>
      </c>
      <c r="D132" s="160">
        <f>SUMPRODUCT(В_Б_П2.10.5,В_К_П2.10.5)</f>
        <v>0</v>
      </c>
      <c r="E132" s="161"/>
      <c r="F132" s="41">
        <f>SUMPRODUCT(В_К_П2.10.5,В_Н_П2.10.5)*VLOOKUP("Выполняется полностью",Статус[],2)</f>
        <v>0</v>
      </c>
      <c r="G132" s="118"/>
      <c r="H132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33" spans="1:8" s="109" customFormat="1" ht="31" x14ac:dyDescent="0.35">
      <c r="A133" s="64" t="s">
        <v>679</v>
      </c>
      <c r="B133" s="92" t="s">
        <v>670</v>
      </c>
      <c r="C133" s="58" t="s">
        <v>15</v>
      </c>
      <c r="D133" s="69" t="str">
        <f>VLOOKUP(ТаблВеб[[#This Row],[Выполнение]],Статус[],2)</f>
        <v>&lt;- Выберите</v>
      </c>
      <c r="E133" s="131" t="s">
        <v>9</v>
      </c>
      <c r="F133" s="125">
        <f>VLOOKUP(ТаблВеб[[#This Row],[Критичность]],Важность[],2)</f>
        <v>4</v>
      </c>
      <c r="G133" s="126">
        <f>IF(OR(ТаблВеб[[#This Row],[Баллы]]="#",ТаблВеб[[#This Row],[Выполнение]]=" "),0,1)</f>
        <v>0</v>
      </c>
      <c r="H133" s="135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34" spans="1:8" s="109" customFormat="1" x14ac:dyDescent="0.35">
      <c r="A134" s="64" t="s">
        <v>680</v>
      </c>
      <c r="B134" s="92" t="s">
        <v>671</v>
      </c>
      <c r="C134" s="58" t="s">
        <v>15</v>
      </c>
      <c r="D134" s="69" t="str">
        <f>VLOOKUP(ТаблВеб[[#This Row],[Выполнение]],Статус[],2)</f>
        <v>&lt;- Выберите</v>
      </c>
      <c r="E134" s="131" t="s">
        <v>9</v>
      </c>
      <c r="F134" s="125">
        <f>VLOOKUP(ТаблВеб[[#This Row],[Критичность]],Важность[],2)</f>
        <v>4</v>
      </c>
      <c r="G134" s="126">
        <f>IF(OR(ТаблВеб[[#This Row],[Баллы]]="#",ТаблВеб[[#This Row],[Выполнение]]=" "),0,1)</f>
        <v>0</v>
      </c>
      <c r="H134" s="135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Крит. неуд</v>
      </c>
    </row>
    <row r="135" spans="1:8" s="109" customFormat="1" ht="31" x14ac:dyDescent="0.35">
      <c r="A135" s="64" t="s">
        <v>681</v>
      </c>
      <c r="B135" s="65" t="s">
        <v>672</v>
      </c>
      <c r="C135" s="58" t="s">
        <v>15</v>
      </c>
      <c r="D135" s="69" t="str">
        <f>VLOOKUP(ТаблВеб[[#This Row],[Выполнение]],Статус[],2)</f>
        <v>&lt;- Выберите</v>
      </c>
      <c r="E135" s="131" t="s">
        <v>14</v>
      </c>
      <c r="F135" s="125">
        <f>VLOOKUP(ТаблВеб[[#This Row],[Критичность]],Важность[],2)</f>
        <v>2</v>
      </c>
      <c r="G135" s="126">
        <f>IF(OR(ТаблВеб[[#This Row],[Баллы]]="#",ТаблВеб[[#This Row],[Выполнение]]=" "),0,1)</f>
        <v>0</v>
      </c>
      <c r="H135" s="134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>Сред. неуд</v>
      </c>
    </row>
    <row r="136" spans="1:8" s="109" customFormat="1" ht="16" thickBot="1" x14ac:dyDescent="0.4">
      <c r="A136" s="64" t="s">
        <v>682</v>
      </c>
      <c r="B136" s="65" t="s">
        <v>673</v>
      </c>
      <c r="C136" s="58" t="s">
        <v>15</v>
      </c>
      <c r="D136" s="69" t="str">
        <f>VLOOKUP(ТаблВеб[[#This Row],[Выполнение]],Статус[],2)</f>
        <v>&lt;- Выберите</v>
      </c>
      <c r="E136" s="131" t="s">
        <v>14</v>
      </c>
      <c r="F136" s="125">
        <f>VLOOKUP(ТаблВеб[[#This Row],[Критичность]],Важность[],2)</f>
        <v>2</v>
      </c>
      <c r="G136" s="126">
        <f>IF(OR(ТаблВеб[[#This Row],[Баллы]]="#",ТаблВеб[[#This Row],[Выполнение]]=" "),0,1)</f>
        <v>0</v>
      </c>
      <c r="H136" s="134"/>
    </row>
    <row r="137" spans="1:8" s="109" customFormat="1" ht="16" thickBot="1" x14ac:dyDescent="0.4">
      <c r="A137" s="180" t="s">
        <v>106</v>
      </c>
      <c r="B137" s="182" t="s">
        <v>184</v>
      </c>
      <c r="C137" s="159" t="str">
        <f>IF(ТаблВеб[[#This Row],[Коэффициент]]=0,"Не заполнено",ТаблВеб[[#This Row],[Баллы]]/ТаблВеб[[#This Row],[Коэффициент]])</f>
        <v>Не заполнено</v>
      </c>
      <c r="D137" s="160">
        <f>D2+D19+D32+D43+D54+D75+D83+D90+D95+D127</f>
        <v>0</v>
      </c>
      <c r="E137" s="161"/>
      <c r="F137" s="41">
        <f>F2+F19+F32+F43+F54+F75+F83+F90+F95+F127</f>
        <v>0</v>
      </c>
      <c r="G137" s="118"/>
      <c r="H137" s="181" t="str">
        <f>IF(ТаблВеб[[#This Row],[Коэффициент]]=4,IF(ТаблВеб[[#This Row],[Баллы]]=4,"","Крит. неуд"),IF(ТаблВеб[[#This Row],[Коэффициент]]=2,IF(ТаблВеб[[#This Row],[Баллы]]=4,"","Сред. неуд"),""))</f>
        <v/>
      </c>
    </row>
    <row r="138" spans="1:8" ht="16" thickBot="1" x14ac:dyDescent="0.4"/>
    <row r="139" spans="1:8" ht="30.5" x14ac:dyDescent="0.35">
      <c r="B139" s="169" t="s">
        <v>278</v>
      </c>
      <c r="C139" s="170">
        <f>SUMIF(ТаблВеб[Удовлетворение],"Крит. неуд",ТаблВеб[Наличие])</f>
        <v>0</v>
      </c>
      <c r="D139" s="171" t="str">
        <f>IF(C139=0,"У","КН")</f>
        <v>У</v>
      </c>
    </row>
    <row r="140" spans="1:8" ht="31" thickBot="1" x14ac:dyDescent="0.4">
      <c r="B140" s="172" t="s">
        <v>279</v>
      </c>
      <c r="C140" s="173">
        <f>SUMIF(ТаблВеб[[#All],[Удовлетворение]],"Сред. неуд",ТаблВеб[[#All],[Наличие]])</f>
        <v>0</v>
      </c>
      <c r="D140" s="174" t="str">
        <f>IF(C140&gt;10,"СН",IF(C140=0,"У","СУ"))</f>
        <v>У</v>
      </c>
    </row>
  </sheetData>
  <sheetProtection algorithmName="SHA-512" hashValue="RTACc868UOhHLyqwn4lxenQvaSEVSysXuA25iujJB4RA0pi9E4TMq8b9KgK90EXXK5u3K8FtBPt2FA1UlCGjVw==" saltValue="/YyrOmsC+u5S+HJIea4bag==" spinCount="100000" sheet="1" autoFilter="0"/>
  <dataValidations count="2">
    <dataValidation type="list" allowBlank="1" showInputMessage="1" showErrorMessage="1" sqref="C98:C101 C10:C18 C26:C27 C29:C31 C23:C24 C50:C53 C56:C61 C63:C69 C71:C74 C46:C48 C85:C86 C88:C89 C91:C94 C79:C82 C103:C105 C107:C111 C113:C114 C116:C120 C122:C123 C3:C8 C20:C21 C33:C38 C40:C42 C44 C76:C77 C96 C125:C126 C128:C131 C133:C136" xr:uid="{00000000-0002-0000-0200-000000000000}">
      <formula1>INDIRECT("Статус[Выполнение]")</formula1>
    </dataValidation>
    <dataValidation type="list" allowBlank="1" showInputMessage="1" showErrorMessage="1" sqref="E98:E101 E10:E18 E26:E27 E29:E31 E23:E24 E50:E53 E56:E61 E63:E69 E71:E74 E46:E48 E85:E86 E88:E89 E91:E94 E79:E82 E103:E105 E107:E111 E113:E114 E116:E120 E122:E123 E3:E8 E20:E21 E33:E38 E40:E42 E44 E76:E77 E96 E125:E126 E128:E136" xr:uid="{00000000-0002-0000-0200-000001000000}">
      <formula1>INDIRECT("Важность[Критичность]")</formula1>
    </dataValidation>
  </dataValidations>
  <pageMargins left="0.59055118110236227" right="0.78740157480314965" top="1.1811023622047245" bottom="0.78740157480314965" header="0.39370078740157483" footer="0"/>
  <pageSetup paperSize="9" firstPageNumber="56" fitToHeight="0" orientation="landscape" useFirstPageNumber="1" r:id="rId1"/>
  <headerFooter>
    <oddHeader>&amp;C
&amp;P</oddHeader>
  </headerFooter>
  <rowBreaks count="2" manualBreakCount="2">
    <brk id="42" max="4" man="1"/>
    <brk id="82" max="4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equal" id="{EEF84B1D-090A-46D9-90FF-14974E5B82A1}">
            <xm:f>data!$A$10</xm:f>
            <x14:dxf>
              <font>
                <b/>
                <i val="0"/>
              </font>
            </x14:dxf>
          </x14:cfRule>
          <xm:sqref>E133:E135 E137:E1048576 E1:E131</xm:sqref>
        </x14:conditionalFormatting>
        <x14:conditionalFormatting xmlns:xm="http://schemas.microsoft.com/office/excel/2006/main">
          <x14:cfRule type="cellIs" priority="16" operator="equal" id="{FFC91438-DE79-41BC-B983-21DC576EA1CB}">
            <xm:f>data!$A$6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17" operator="equal" id="{77F62905-0166-4A38-892D-49A67734CAE7}">
            <xm:f>data!$A$3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18" operator="equal" id="{EA529283-640B-4EA2-A610-9C3AE4837A23}">
            <xm:f>data!$A$4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19" operator="equal" id="{F5543C4A-638B-4EE2-9EBF-F717A3BADDD8}">
            <xm:f>data!$A$5</xm:f>
            <x14:dxf>
              <fill>
                <patternFill>
                  <bgColor rgb="FFF8B3AE"/>
                </patternFill>
              </fill>
            </x14:dxf>
          </x14:cfRule>
          <xm:sqref>C133:C135 C137:C1048576 C1:C131</xm:sqref>
        </x14:conditionalFormatting>
        <x14:conditionalFormatting xmlns:xm="http://schemas.microsoft.com/office/excel/2006/main">
          <x14:cfRule type="cellIs" priority="15" operator="equal" id="{A7041E79-F96E-448C-9475-2F14134BDD3F}">
            <xm:f>data!$A$10</xm:f>
            <x14:dxf>
              <font>
                <b/>
                <i val="0"/>
              </font>
            </x14:dxf>
          </x14:cfRule>
          <xm:sqref>E132</xm:sqref>
        </x14:conditionalFormatting>
        <x14:conditionalFormatting xmlns:xm="http://schemas.microsoft.com/office/excel/2006/main">
          <x14:cfRule type="cellIs" priority="5" operator="equal" id="{D3F954C7-106B-4AFE-A747-1110BF53131F}">
            <xm:f>data!$A$10</xm:f>
            <x14:dxf>
              <font>
                <b/>
                <i val="0"/>
              </font>
            </x14:dxf>
          </x14:cfRule>
          <xm:sqref>E136</xm:sqref>
        </x14:conditionalFormatting>
        <x14:conditionalFormatting xmlns:xm="http://schemas.microsoft.com/office/excel/2006/main">
          <x14:cfRule type="cellIs" priority="6" operator="equal" id="{DE32B284-7937-4864-8F27-E44634FBAFED}">
            <xm:f>data!$A$6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7" operator="equal" id="{C9D2320E-A39C-4BE5-A1B0-E1275B9AABC8}">
            <xm:f>data!$A$3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8" operator="equal" id="{9A0E12CA-B189-4DD9-987B-C4C84D148882}">
            <xm:f>data!$A$4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9" operator="equal" id="{AAB4A01C-70E2-4D04-BF80-42CBCEAE1F02}">
            <xm:f>data!$A$5</xm:f>
            <x14:dxf>
              <fill>
                <patternFill>
                  <bgColor rgb="FFF8B3AE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ellIs" priority="1" operator="equal" id="{C6138FAD-3169-4967-87FF-8F8505B14355}">
            <xm:f>data!$A$6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2" operator="equal" id="{8CCE41FA-65BF-4F67-B52C-F8C209E1EF5F}">
            <xm:f>data!$A$3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3" operator="equal" id="{0822F49C-BBE8-47D4-A363-89A8F7C687AB}">
            <xm:f>data!$A$4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4" operator="equal" id="{47BE1583-EF9F-4042-9F2E-ECEA8F8B3D54}">
            <xm:f>data!$A$5</xm:f>
            <x14:dxf>
              <fill>
                <patternFill>
                  <bgColor rgb="FFF8B3AE"/>
                </patternFill>
              </fill>
            </x14:dxf>
          </x14:cfRule>
          <xm:sqref>C132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87"/>
  <sheetViews>
    <sheetView tabSelected="1" topLeftCell="A43" zoomScaleNormal="100" workbookViewId="0">
      <selection activeCell="C4" sqref="C4"/>
    </sheetView>
  </sheetViews>
  <sheetFormatPr defaultColWidth="9.1796875" defaultRowHeight="15.5" x14ac:dyDescent="0.35"/>
  <cols>
    <col min="1" max="1" width="12.7265625" style="145" customWidth="1"/>
    <col min="2" max="2" width="59.1796875" style="146" customWidth="1"/>
    <col min="3" max="3" width="25" style="117" customWidth="1"/>
    <col min="4" max="4" width="13.54296875" style="117" customWidth="1"/>
    <col min="5" max="5" width="20.1796875" style="147" customWidth="1"/>
    <col min="6" max="6" width="21" style="148" hidden="1" customWidth="1"/>
    <col min="7" max="7" width="15.54296875" style="148" hidden="1" customWidth="1"/>
    <col min="8" max="8" width="20.81640625" style="108" hidden="1" customWidth="1"/>
    <col min="9" max="16384" width="9.1796875" style="108"/>
  </cols>
  <sheetData>
    <row r="1" spans="1:8" ht="29.25" customHeight="1" thickBot="1" x14ac:dyDescent="0.4">
      <c r="A1" s="183" t="s">
        <v>408</v>
      </c>
      <c r="B1" s="184" t="s">
        <v>18</v>
      </c>
      <c r="C1" s="185" t="s">
        <v>4</v>
      </c>
      <c r="D1" s="186" t="s">
        <v>5</v>
      </c>
      <c r="E1" s="185" t="s">
        <v>6</v>
      </c>
      <c r="F1" s="40" t="s">
        <v>7</v>
      </c>
      <c r="G1" s="29" t="s">
        <v>19</v>
      </c>
      <c r="H1" s="31" t="s">
        <v>268</v>
      </c>
    </row>
    <row r="2" spans="1:8" ht="30.5" thickBot="1" x14ac:dyDescent="0.4">
      <c r="A2" s="157" t="s">
        <v>368</v>
      </c>
      <c r="B2" s="158" t="s">
        <v>369</v>
      </c>
      <c r="C2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2" s="187">
        <f>D3+D8</f>
        <v>0</v>
      </c>
      <c r="E2" s="161"/>
      <c r="F2" s="41">
        <f>F3+F8</f>
        <v>0</v>
      </c>
      <c r="G2" s="136"/>
      <c r="H2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3" spans="1:8" ht="30.5" thickBot="1" x14ac:dyDescent="0.4">
      <c r="A3" s="180" t="s">
        <v>370</v>
      </c>
      <c r="B3" s="158" t="s">
        <v>371</v>
      </c>
      <c r="C3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3" s="187">
        <f>SUMPRODUCT(М_Б_П3.2.1,М_К_П3.2.1)</f>
        <v>0</v>
      </c>
      <c r="E3" s="161"/>
      <c r="F3" s="41">
        <f>SUMPRODUCT(М_К_П3.2.1,М_Н_П3.2.1)*VLOOKUP("Выполняется полностью",Статус[],2)</f>
        <v>0</v>
      </c>
      <c r="G3" s="136"/>
      <c r="H3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4" spans="1:8" ht="31" x14ac:dyDescent="0.35">
      <c r="A4" s="95" t="s">
        <v>305</v>
      </c>
      <c r="B4" s="96" t="s">
        <v>303</v>
      </c>
      <c r="C4" s="97" t="s">
        <v>15</v>
      </c>
      <c r="D4" s="98" t="str">
        <f>VLOOKUP(ТаблМоб[[#This Row],[Выполнение]],Статус[],2)</f>
        <v>&lt;- Выберите</v>
      </c>
      <c r="E4" s="98" t="s">
        <v>9</v>
      </c>
      <c r="F4" s="138">
        <f>VLOOKUP(ТаблМоб[[#This Row],[Критичность]],Важность[],2)</f>
        <v>4</v>
      </c>
      <c r="G4" s="139">
        <f>IF(OR(ТаблМоб[[#This Row],[Баллы]]="#",ТаблМоб[[#This Row],[Выполнение]]=" "),0,1)</f>
        <v>0</v>
      </c>
      <c r="H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" spans="1:8" ht="31" x14ac:dyDescent="0.35">
      <c r="A5" s="99" t="s">
        <v>306</v>
      </c>
      <c r="B5" s="65" t="s">
        <v>207</v>
      </c>
      <c r="C5" s="58" t="s">
        <v>15</v>
      </c>
      <c r="D5" s="67" t="str">
        <f>VLOOKUP(ТаблМоб[[#This Row],[Выполнение]],Статус[],2)</f>
        <v>&lt;- Выберите</v>
      </c>
      <c r="E5" s="67" t="s">
        <v>9</v>
      </c>
      <c r="F5" s="122">
        <f>VLOOKUP(ТаблМоб[[#This Row],[Критичность]],Важность[],2)</f>
        <v>4</v>
      </c>
      <c r="G5" s="124">
        <f>IF(OR(ТаблМоб[[#This Row],[Баллы]]="#",ТаблМоб[[#This Row],[Выполнение]]=" "),0,1)</f>
        <v>0</v>
      </c>
      <c r="H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" spans="1:8" ht="46.5" x14ac:dyDescent="0.35">
      <c r="A6" s="99" t="s">
        <v>307</v>
      </c>
      <c r="B6" s="65" t="s">
        <v>208</v>
      </c>
      <c r="C6" s="58" t="s">
        <v>15</v>
      </c>
      <c r="D6" s="67" t="str">
        <f>VLOOKUP(ТаблМоб[[#This Row],[Выполнение]],Статус[],2)</f>
        <v>&lt;- Выберите</v>
      </c>
      <c r="E6" s="67" t="s">
        <v>9</v>
      </c>
      <c r="F6" s="122">
        <f>VLOOKUP(ТаблМоб[[#This Row],[Критичность]],Важность[],2)</f>
        <v>4</v>
      </c>
      <c r="G6" s="124">
        <f>IF(OR(ТаблМоб[[#This Row],[Баллы]]="#",ТаблМоб[[#This Row],[Выполнение]]=" "),0,1)</f>
        <v>0</v>
      </c>
      <c r="H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7" spans="1:8" ht="31.5" thickBot="1" x14ac:dyDescent="0.4">
      <c r="A7" s="100" t="s">
        <v>308</v>
      </c>
      <c r="B7" s="50" t="s">
        <v>209</v>
      </c>
      <c r="C7" s="59" t="s">
        <v>15</v>
      </c>
      <c r="D7" s="70" t="str">
        <f>VLOOKUP(ТаблМоб[[#This Row],[Выполнение]],Статус[],2)</f>
        <v>&lt;- Выберите</v>
      </c>
      <c r="E7" s="70" t="s">
        <v>9</v>
      </c>
      <c r="F7" s="125">
        <f>VLOOKUP(ТаблМоб[[#This Row],[Критичность]],Важность[],2)</f>
        <v>4</v>
      </c>
      <c r="G7" s="127">
        <f>IF(OR(ТаблМоб[[#This Row],[Баллы]]="#",ТаблМоб[[#This Row],[Выполнение]]=" "),0,1)</f>
        <v>0</v>
      </c>
      <c r="H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8" spans="1:8" ht="30.5" thickBot="1" x14ac:dyDescent="0.4">
      <c r="A8" s="157" t="s">
        <v>400</v>
      </c>
      <c r="B8" s="158" t="s">
        <v>401</v>
      </c>
      <c r="C8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8" s="187">
        <f>SUMPRODUCT(М_Б_П3.2.2,М_К_П3.2.2)+D14+D18</f>
        <v>0</v>
      </c>
      <c r="E8" s="161"/>
      <c r="F8" s="41">
        <f>SUMPRODUCT(М_К_П3.2.2,М_Н_П3.2.2)*VLOOKUP("Выполняется полностью",Статус[],2)+F14+F18</f>
        <v>0</v>
      </c>
      <c r="G8" s="136"/>
      <c r="H8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9" spans="1:8" ht="31" x14ac:dyDescent="0.35">
      <c r="A9" s="101" t="s">
        <v>309</v>
      </c>
      <c r="B9" s="48" t="s">
        <v>210</v>
      </c>
      <c r="C9" s="57" t="s">
        <v>15</v>
      </c>
      <c r="D9" s="63" t="str">
        <f>VLOOKUP(ТаблМоб[[#This Row],[Выполнение]],Статус[],2)</f>
        <v>&lt;- Выберите</v>
      </c>
      <c r="E9" s="63" t="s">
        <v>9</v>
      </c>
      <c r="F9" s="119">
        <f>VLOOKUP(ТаблМоб[[#This Row],[Критичность]],Важность[],2)</f>
        <v>4</v>
      </c>
      <c r="G9" s="121">
        <f>IF(OR(ТаблМоб[[#This Row],[Баллы]]="#",ТаблМоб[[#This Row],[Выполнение]]=" "),0,1)</f>
        <v>0</v>
      </c>
      <c r="H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10" spans="1:8" ht="31" x14ac:dyDescent="0.35">
      <c r="A10" s="99" t="s">
        <v>310</v>
      </c>
      <c r="B10" s="65" t="s">
        <v>211</v>
      </c>
      <c r="C10" s="58" t="s">
        <v>15</v>
      </c>
      <c r="D10" s="67" t="str">
        <f>VLOOKUP(ТаблМоб[[#This Row],[Выполнение]],Статус[],2)</f>
        <v>&lt;- Выберите</v>
      </c>
      <c r="E10" s="67" t="s">
        <v>9</v>
      </c>
      <c r="F10" s="122">
        <f>VLOOKUP(ТаблМоб[[#This Row],[Критичность]],Важность[],2)</f>
        <v>4</v>
      </c>
      <c r="G10" s="124">
        <f>IF(OR(ТаблМоб[[#This Row],[Баллы]]="#",ТаблМоб[[#This Row],[Выполнение]]=" "),0,1)</f>
        <v>0</v>
      </c>
      <c r="H10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11" spans="1:8" ht="31" x14ac:dyDescent="0.35">
      <c r="A11" s="99" t="s">
        <v>311</v>
      </c>
      <c r="B11" s="65" t="s">
        <v>212</v>
      </c>
      <c r="C11" s="58" t="s">
        <v>15</v>
      </c>
      <c r="D11" s="67" t="str">
        <f>VLOOKUP(ТаблМоб[[#This Row],[Выполнение]],Статус[],2)</f>
        <v>&lt;- Выберите</v>
      </c>
      <c r="E11" s="67" t="s">
        <v>14</v>
      </c>
      <c r="F11" s="122">
        <f>VLOOKUP(ТаблМоб[[#This Row],[Критичность]],Важность[],2)</f>
        <v>2</v>
      </c>
      <c r="G11" s="124">
        <f>IF(OR(ТаблМоб[[#This Row],[Баллы]]="#",ТаблМоб[[#This Row],[Выполнение]]=" "),0,1)</f>
        <v>0</v>
      </c>
      <c r="H1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12" spans="1:8" ht="31" x14ac:dyDescent="0.35">
      <c r="A12" s="99" t="s">
        <v>312</v>
      </c>
      <c r="B12" s="65" t="s">
        <v>213</v>
      </c>
      <c r="C12" s="58" t="s">
        <v>15</v>
      </c>
      <c r="D12" s="67" t="str">
        <f>VLOOKUP(ТаблМоб[[#This Row],[Выполнение]],Статус[],2)</f>
        <v>&lt;- Выберите</v>
      </c>
      <c r="E12" s="67" t="s">
        <v>14</v>
      </c>
      <c r="F12" s="122">
        <f>VLOOKUP(ТаблМоб[[#This Row],[Критичность]],Важность[],2)</f>
        <v>2</v>
      </c>
      <c r="G12" s="124">
        <f>IF(OR(ТаблМоб[[#This Row],[Баллы]]="#",ТаблМоб[[#This Row],[Выполнение]]=" "),0,1)</f>
        <v>0</v>
      </c>
      <c r="H1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13" spans="1:8" ht="16" thickBot="1" x14ac:dyDescent="0.4">
      <c r="A13" s="100" t="s">
        <v>313</v>
      </c>
      <c r="B13" s="50" t="s">
        <v>214</v>
      </c>
      <c r="C13" s="59" t="s">
        <v>15</v>
      </c>
      <c r="D13" s="70" t="str">
        <f>VLOOKUP(ТаблМоб[[#This Row],[Выполнение]],Статус[],2)</f>
        <v>&lt;- Выберите</v>
      </c>
      <c r="E13" s="70" t="s">
        <v>14</v>
      </c>
      <c r="F13" s="125">
        <f>VLOOKUP(ТаблМоб[[#This Row],[Критичность]],Важность[],2)</f>
        <v>2</v>
      </c>
      <c r="G13" s="127">
        <f>IF(OR(ТаблМоб[[#This Row],[Баллы]]="#",ТаблМоб[[#This Row],[Выполнение]]=" "),0,1)</f>
        <v>0</v>
      </c>
      <c r="H13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14" spans="1:8" ht="30.5" thickBot="1" x14ac:dyDescent="0.4">
      <c r="A14" s="180" t="s">
        <v>398</v>
      </c>
      <c r="B14" s="158" t="s">
        <v>399</v>
      </c>
      <c r="C14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14" s="187">
        <f>SUMPRODUCT(М_Б_П3.2.2.6,М_К_П3.2.2.6)</f>
        <v>0</v>
      </c>
      <c r="E14" s="161"/>
      <c r="F14" s="41">
        <f>SUMPRODUCT(М_К_П3.2.2.6,М_Н_П3.2.2.6)*VLOOKUP("Выполняется полностью",Статус[],2)</f>
        <v>0</v>
      </c>
      <c r="G14" s="136"/>
      <c r="H14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15" spans="1:8" ht="46.5" x14ac:dyDescent="0.35">
      <c r="A15" s="95" t="s">
        <v>314</v>
      </c>
      <c r="B15" s="96" t="s">
        <v>402</v>
      </c>
      <c r="C15" s="97" t="s">
        <v>15</v>
      </c>
      <c r="D15" s="98" t="str">
        <f>VLOOKUP(ТаблМоб[[#This Row],[Выполнение]],Статус[],2)</f>
        <v>&lt;- Выберите</v>
      </c>
      <c r="E15" s="98" t="s">
        <v>9</v>
      </c>
      <c r="F15" s="138">
        <f>VLOOKUP(ТаблМоб[[#This Row],[Критичность]],Важность[],2)</f>
        <v>4</v>
      </c>
      <c r="G15" s="139">
        <f>IF(OR(ТаблМоб[[#This Row],[Баллы]]="#",ТаблМоб[[#This Row],[Выполнение]]=" "),0,1)</f>
        <v>0</v>
      </c>
      <c r="H1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16" spans="1:8" ht="18" customHeight="1" x14ac:dyDescent="0.35">
      <c r="A16" s="99" t="s">
        <v>315</v>
      </c>
      <c r="B16" s="65" t="s">
        <v>215</v>
      </c>
      <c r="C16" s="58" t="s">
        <v>15</v>
      </c>
      <c r="D16" s="67" t="str">
        <f>VLOOKUP(ТаблМоб[[#This Row],[Выполнение]],Статус[],2)</f>
        <v>&lt;- Выберите</v>
      </c>
      <c r="E16" s="67" t="s">
        <v>14</v>
      </c>
      <c r="F16" s="122">
        <f>VLOOKUP(ТаблМоб[[#This Row],[Критичность]],Важность[],2)</f>
        <v>2</v>
      </c>
      <c r="G16" s="124">
        <f>IF(OR(ТаблМоб[[#This Row],[Баллы]]="#",ТаблМоб[[#This Row],[Выполнение]]=" "),0,1)</f>
        <v>0</v>
      </c>
      <c r="H1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17" spans="1:8" ht="16" thickBot="1" x14ac:dyDescent="0.4">
      <c r="A17" s="100" t="s">
        <v>316</v>
      </c>
      <c r="B17" s="50" t="s">
        <v>216</v>
      </c>
      <c r="C17" s="59" t="s">
        <v>15</v>
      </c>
      <c r="D17" s="70" t="str">
        <f>VLOOKUP(ТаблМоб[[#This Row],[Выполнение]],Статус[],2)</f>
        <v>&lt;- Выберите</v>
      </c>
      <c r="E17" s="70" t="s">
        <v>9</v>
      </c>
      <c r="F17" s="125">
        <f>VLOOKUP(ТаблМоб[[#This Row],[Критичность]],Важность[],2)</f>
        <v>4</v>
      </c>
      <c r="G17" s="127">
        <f>IF(OR(ТаблМоб[[#This Row],[Баллы]]="#",ТаблМоб[[#This Row],[Выполнение]]=" "),0,1)</f>
        <v>0</v>
      </c>
      <c r="H1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18" spans="1:8" ht="30.5" thickBot="1" x14ac:dyDescent="0.4">
      <c r="A18" s="157" t="s">
        <v>396</v>
      </c>
      <c r="B18" s="158" t="s">
        <v>397</v>
      </c>
      <c r="C18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18" s="187">
        <f>SUMPRODUCT(М_Б_П3.2.2.7,М_К_П3.2.2.7)</f>
        <v>0</v>
      </c>
      <c r="E18" s="161"/>
      <c r="F18" s="41">
        <f>SUMPRODUCT(М_К_П3.2.2.7,М_Н_П3.2.2.7)*VLOOKUP("Выполняется полностью",Статус[],2)</f>
        <v>0</v>
      </c>
      <c r="G18" s="136"/>
      <c r="H18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19" spans="1:8" ht="31" x14ac:dyDescent="0.35">
      <c r="A19" s="101" t="s">
        <v>317</v>
      </c>
      <c r="B19" s="102" t="s">
        <v>217</v>
      </c>
      <c r="C19" s="57" t="s">
        <v>15</v>
      </c>
      <c r="D19" s="63" t="str">
        <f>VLOOKUP(ТаблМоб[[#This Row],[Выполнение]],Статус[],2)</f>
        <v>&lt;- Выберите</v>
      </c>
      <c r="E19" s="98" t="s">
        <v>9</v>
      </c>
      <c r="F19" s="138">
        <f>VLOOKUP(ТаблМоб[[#This Row],[Критичность]],Важность[],2)</f>
        <v>4</v>
      </c>
      <c r="G19" s="139">
        <f>IF(OR(ТаблМоб[[#This Row],[Баллы]]="#",ТаблМоб[[#This Row],[Выполнение]]=" "),0,1)</f>
        <v>0</v>
      </c>
      <c r="H1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0" spans="1:8" ht="31.5" thickBot="1" x14ac:dyDescent="0.4">
      <c r="A20" s="100" t="s">
        <v>318</v>
      </c>
      <c r="B20" s="103" t="s">
        <v>218</v>
      </c>
      <c r="C20" s="59" t="s">
        <v>15</v>
      </c>
      <c r="D20" s="70" t="str">
        <f>VLOOKUP(ТаблМоб[[#This Row],[Выполнение]],Статус[],2)</f>
        <v>&lt;- Выберите</v>
      </c>
      <c r="E20" s="67" t="s">
        <v>9</v>
      </c>
      <c r="F20" s="122">
        <f>VLOOKUP(ТаблМоб[[#This Row],[Критичность]],Важность[],2)</f>
        <v>4</v>
      </c>
      <c r="G20" s="124">
        <f>IF(OR(ТаблМоб[[#This Row],[Баллы]]="#",ТаблМоб[[#This Row],[Выполнение]]=" "),0,1)</f>
        <v>0</v>
      </c>
      <c r="H20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1" spans="1:8" ht="30.5" thickBot="1" x14ac:dyDescent="0.4">
      <c r="A21" s="157" t="s">
        <v>394</v>
      </c>
      <c r="B21" s="158" t="s">
        <v>395</v>
      </c>
      <c r="C21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21" s="187">
        <f>SUMPRODUCT(М_Б_П3.3,М_К_П3.3)+D26+D29</f>
        <v>0</v>
      </c>
      <c r="E21" s="161"/>
      <c r="F21" s="41">
        <f>SUMPRODUCT(М_К_П3.3,М_Н_П3.3)*VLOOKUP("Выполняется полностью",Статус[],2)+F26+F29</f>
        <v>0</v>
      </c>
      <c r="G21" s="136"/>
      <c r="H21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22" spans="1:8" ht="32.25" customHeight="1" x14ac:dyDescent="0.35">
      <c r="A22" s="140" t="s">
        <v>319</v>
      </c>
      <c r="B22" s="104" t="s">
        <v>219</v>
      </c>
      <c r="C22" s="58" t="s">
        <v>15</v>
      </c>
      <c r="D22" s="70" t="str">
        <f>VLOOKUP(ТаблМоб[[#This Row],[Выполнение]],Статус[],2)</f>
        <v>&lt;- Выберите</v>
      </c>
      <c r="E22" s="67" t="s">
        <v>9</v>
      </c>
      <c r="F22" s="122">
        <f>VLOOKUP(ТаблМоб[[#This Row],[Критичность]],Важность[],2)</f>
        <v>4</v>
      </c>
      <c r="G22" s="124">
        <f>IF(OR(ТаблМоб[[#This Row],[Баллы]]="#",ТаблМоб[[#This Row],[Выполнение]]=" "),0,1)</f>
        <v>0</v>
      </c>
      <c r="H2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3" spans="1:8" ht="31" x14ac:dyDescent="0.35">
      <c r="A23" s="140" t="s">
        <v>320</v>
      </c>
      <c r="B23" s="104" t="s">
        <v>220</v>
      </c>
      <c r="C23" s="58" t="s">
        <v>15</v>
      </c>
      <c r="D23" s="70" t="str">
        <f>VLOOKUP(ТаблМоб[[#This Row],[Выполнение]],Статус[],2)</f>
        <v>&lt;- Выберите</v>
      </c>
      <c r="E23" s="67" t="s">
        <v>9</v>
      </c>
      <c r="F23" s="122">
        <f>VLOOKUP(ТаблМоб[[#This Row],[Критичность]],Важность[],2)</f>
        <v>4</v>
      </c>
      <c r="G23" s="124">
        <f>IF(OR(ТаблМоб[[#This Row],[Баллы]]="#",ТаблМоб[[#This Row],[Выполнение]]=" "),0,1)</f>
        <v>0</v>
      </c>
      <c r="H23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4" spans="1:8" ht="46.5" x14ac:dyDescent="0.35">
      <c r="A24" s="140" t="s">
        <v>321</v>
      </c>
      <c r="B24" s="104" t="s">
        <v>221</v>
      </c>
      <c r="C24" s="58" t="s">
        <v>15</v>
      </c>
      <c r="D24" s="70" t="str">
        <f>VLOOKUP(ТаблМоб[[#This Row],[Выполнение]],Статус[],2)</f>
        <v>&lt;- Выберите</v>
      </c>
      <c r="E24" s="67" t="s">
        <v>14</v>
      </c>
      <c r="F24" s="122">
        <f>VLOOKUP(ТаблМоб[[#This Row],[Критичность]],Важность[],2)</f>
        <v>2</v>
      </c>
      <c r="G24" s="124">
        <f>IF(OR(ТаблМоб[[#This Row],[Баллы]]="#",ТаблМоб[[#This Row],[Выполнение]]=" "),0,1)</f>
        <v>0</v>
      </c>
      <c r="H2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25" spans="1:8" ht="16" thickBot="1" x14ac:dyDescent="0.4">
      <c r="A25" s="140" t="s">
        <v>322</v>
      </c>
      <c r="B25" s="104" t="s">
        <v>222</v>
      </c>
      <c r="C25" s="58" t="s">
        <v>15</v>
      </c>
      <c r="D25" s="70" t="str">
        <f>VLOOKUP(ТаблМоб[[#This Row],[Выполнение]],Статус[],2)</f>
        <v>&lt;- Выберите</v>
      </c>
      <c r="E25" s="67" t="s">
        <v>9</v>
      </c>
      <c r="F25" s="122">
        <f>VLOOKUP(ТаблМоб[[#This Row],[Критичность]],Важность[],2)</f>
        <v>4</v>
      </c>
      <c r="G25" s="124">
        <f>IF(OR(ТаблМоб[[#This Row],[Баллы]]="#",ТаблМоб[[#This Row],[Выполнение]]=" "),0,1)</f>
        <v>0</v>
      </c>
      <c r="H2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6" spans="1:8" ht="30.5" thickBot="1" x14ac:dyDescent="0.4">
      <c r="A26" s="180" t="s">
        <v>323</v>
      </c>
      <c r="B26" s="158" t="s">
        <v>393</v>
      </c>
      <c r="C26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26" s="187">
        <f>SUMPRODUCT(М_Б_П3.3.6,М_К_П3.3.6)</f>
        <v>0</v>
      </c>
      <c r="E26" s="161"/>
      <c r="F26" s="41">
        <f>SUMPRODUCT(М_К_П3.3.6,М_Н_П3.3.6)*VLOOKUP("Выполняется полностью",Статус[],2)</f>
        <v>0</v>
      </c>
      <c r="G26" s="136"/>
      <c r="H26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27" spans="1:8" x14ac:dyDescent="0.35">
      <c r="A27" s="141" t="s">
        <v>403</v>
      </c>
      <c r="B27" s="105" t="s">
        <v>223</v>
      </c>
      <c r="C27" s="97" t="s">
        <v>15</v>
      </c>
      <c r="D27" s="106" t="str">
        <f>VLOOKUP(ТаблМоб[[#This Row],[Выполнение]],Статус[],2)</f>
        <v>&lt;- Выберите</v>
      </c>
      <c r="E27" s="98" t="s">
        <v>9</v>
      </c>
      <c r="F27" s="138">
        <f>VLOOKUP(ТаблМоб[[#This Row],[Критичность]],Важность[],2)</f>
        <v>4</v>
      </c>
      <c r="G27" s="139">
        <f>IF(OR(ТаблМоб[[#This Row],[Баллы]]="#",ТаблМоб[[#This Row],[Выполнение]]=" "),0,1)</f>
        <v>0</v>
      </c>
      <c r="H2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8" spans="1:8" ht="31.5" thickBot="1" x14ac:dyDescent="0.4">
      <c r="A28" s="142" t="s">
        <v>404</v>
      </c>
      <c r="B28" s="104" t="s">
        <v>224</v>
      </c>
      <c r="C28" s="58" t="s">
        <v>15</v>
      </c>
      <c r="D28" s="70" t="str">
        <f>VLOOKUP(ТаблМоб[[#This Row],[Выполнение]],Статус[],2)</f>
        <v>&lt;- Выберите</v>
      </c>
      <c r="E28" s="67" t="s">
        <v>9</v>
      </c>
      <c r="F28" s="122">
        <f>VLOOKUP(ТаблМоб[[#This Row],[Критичность]],Важность[],2)</f>
        <v>4</v>
      </c>
      <c r="G28" s="124">
        <f>IF(OR(ТаблМоб[[#This Row],[Баллы]]="#",ТаблМоб[[#This Row],[Выполнение]]=" "),0,1)</f>
        <v>0</v>
      </c>
      <c r="H28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29" spans="1:8" ht="30.5" thickBot="1" x14ac:dyDescent="0.4">
      <c r="A29" s="157" t="s">
        <v>392</v>
      </c>
      <c r="B29" s="158" t="s">
        <v>391</v>
      </c>
      <c r="C29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29" s="187">
        <f>SUMPRODUCT(М_Б_П3.3.7,М_К_П3.3.7)</f>
        <v>0</v>
      </c>
      <c r="E29" s="161"/>
      <c r="F29" s="41">
        <f>SUMPRODUCT(М_К_П3.3.7,М_Н_П3.3.7)*VLOOKUP("Выполняется полностью",Статус[],2)</f>
        <v>0</v>
      </c>
      <c r="G29" s="136"/>
      <c r="H29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30" spans="1:8" ht="31" x14ac:dyDescent="0.35">
      <c r="A30" s="142" t="s">
        <v>324</v>
      </c>
      <c r="B30" s="43" t="s">
        <v>225</v>
      </c>
      <c r="C30" s="58" t="s">
        <v>15</v>
      </c>
      <c r="D30" s="70" t="str">
        <f>VLOOKUP(ТаблМоб[[#This Row],[Выполнение]],Статус[],2)</f>
        <v>&lt;- Выберите</v>
      </c>
      <c r="E30" s="67" t="s">
        <v>9</v>
      </c>
      <c r="F30" s="122">
        <f>VLOOKUP(ТаблМоб[[#This Row],[Критичность]],Важность[],2)</f>
        <v>4</v>
      </c>
      <c r="G30" s="124">
        <f>IF(OR(ТаблМоб[[#This Row],[Баллы]]="#",ТаблМоб[[#This Row],[Выполнение]]=" "),0,1)</f>
        <v>0</v>
      </c>
      <c r="H30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31" spans="1:8" ht="31" x14ac:dyDescent="0.35">
      <c r="A31" s="142" t="s">
        <v>325</v>
      </c>
      <c r="B31" s="43" t="s">
        <v>226</v>
      </c>
      <c r="C31" s="58" t="s">
        <v>15</v>
      </c>
      <c r="D31" s="70" t="str">
        <f>VLOOKUP(ТаблМоб[[#This Row],[Выполнение]],Статус[],2)</f>
        <v>&lt;- Выберите</v>
      </c>
      <c r="E31" s="67" t="s">
        <v>9</v>
      </c>
      <c r="F31" s="122">
        <f>VLOOKUP(ТаблМоб[[#This Row],[Критичность]],Важность[],2)</f>
        <v>4</v>
      </c>
      <c r="G31" s="124">
        <f>IF(OR(ТаблМоб[[#This Row],[Баллы]]="#",ТаблМоб[[#This Row],[Выполнение]]=" "),0,1)</f>
        <v>0</v>
      </c>
      <c r="H3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32" spans="1:8" ht="46.5" x14ac:dyDescent="0.35">
      <c r="A32" s="142" t="s">
        <v>405</v>
      </c>
      <c r="B32" s="43" t="s">
        <v>227</v>
      </c>
      <c r="C32" s="58" t="s">
        <v>15</v>
      </c>
      <c r="D32" s="70" t="str">
        <f>VLOOKUP(ТаблМоб[[#This Row],[Выполнение]],Статус[],2)</f>
        <v>&lt;- Выберите</v>
      </c>
      <c r="E32" s="67" t="s">
        <v>14</v>
      </c>
      <c r="F32" s="122">
        <f>VLOOKUP(ТаблМоб[[#This Row],[Критичность]],Важность[],2)</f>
        <v>2</v>
      </c>
      <c r="G32" s="124">
        <f>IF(OR(ТаблМоб[[#This Row],[Баллы]]="#",ТаблМоб[[#This Row],[Выполнение]]=" "),0,1)</f>
        <v>0</v>
      </c>
      <c r="H3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33" spans="1:8" ht="31" x14ac:dyDescent="0.35">
      <c r="A33" s="142" t="s">
        <v>406</v>
      </c>
      <c r="B33" s="43" t="s">
        <v>228</v>
      </c>
      <c r="C33" s="58" t="s">
        <v>15</v>
      </c>
      <c r="D33" s="70" t="str">
        <f>VLOOKUP(ТаблМоб[[#This Row],[Выполнение]],Статус[],2)</f>
        <v>&lt;- Выберите</v>
      </c>
      <c r="E33" s="67" t="s">
        <v>14</v>
      </c>
      <c r="F33" s="122">
        <f>VLOOKUP(ТаблМоб[[#This Row],[Критичность]],Важность[],2)</f>
        <v>2</v>
      </c>
      <c r="G33" s="124">
        <f>IF(OR(ТаблМоб[[#This Row],[Баллы]]="#",ТаблМоб[[#This Row],[Выполнение]]=" "),0,1)</f>
        <v>0</v>
      </c>
      <c r="H33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34" spans="1:8" ht="31.5" thickBot="1" x14ac:dyDescent="0.4">
      <c r="A34" s="142" t="s">
        <v>407</v>
      </c>
      <c r="B34" s="43" t="s">
        <v>229</v>
      </c>
      <c r="C34" s="58" t="s">
        <v>15</v>
      </c>
      <c r="D34" s="70" t="str">
        <f>VLOOKUP(ТаблМоб[[#This Row],[Выполнение]],Статус[],2)</f>
        <v>&lt;- Выберите</v>
      </c>
      <c r="E34" s="67" t="s">
        <v>9</v>
      </c>
      <c r="F34" s="122">
        <f>VLOOKUP(ТаблМоб[[#This Row],[Критичность]],Важность[],2)</f>
        <v>4</v>
      </c>
      <c r="G34" s="124">
        <f>IF(OR(ТаблМоб[[#This Row],[Баллы]]="#",ТаблМоб[[#This Row],[Выполнение]]=" "),0,1)</f>
        <v>0</v>
      </c>
      <c r="H3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35" spans="1:8" ht="30.5" thickBot="1" x14ac:dyDescent="0.4">
      <c r="A35" s="157" t="s">
        <v>389</v>
      </c>
      <c r="B35" s="158" t="s">
        <v>390</v>
      </c>
      <c r="C35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35" s="187">
        <f>SUMPRODUCT(М_Б_П3.4,М_К_П3.4)</f>
        <v>0</v>
      </c>
      <c r="E35" s="161"/>
      <c r="F35" s="41">
        <f>SUMPRODUCT(М_К_П3.4,М_Н_П3.4)*VLOOKUP("Выполняется полностью",Статус[],2)</f>
        <v>0</v>
      </c>
      <c r="G35" s="136"/>
      <c r="H35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36" spans="1:8" ht="31" x14ac:dyDescent="0.35">
      <c r="A36" s="142" t="s">
        <v>326</v>
      </c>
      <c r="B36" s="43" t="s">
        <v>304</v>
      </c>
      <c r="C36" s="58" t="s">
        <v>15</v>
      </c>
      <c r="D36" s="70" t="str">
        <f>VLOOKUP(ТаблМоб[[#This Row],[Выполнение]],Статус[],2)</f>
        <v>&lt;- Выберите</v>
      </c>
      <c r="E36" s="67" t="s">
        <v>9</v>
      </c>
      <c r="F36" s="122">
        <f>VLOOKUP(ТаблМоб[[#This Row],[Критичность]],Важность[],2)</f>
        <v>4</v>
      </c>
      <c r="G36" s="124">
        <f>IF(OR(ТаблМоб[[#This Row],[Баллы]]="#",ТаблМоб[[#This Row],[Выполнение]]=" "),0,1)</f>
        <v>0</v>
      </c>
      <c r="H3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37" spans="1:8" ht="46.5" x14ac:dyDescent="0.35">
      <c r="A37" s="142" t="s">
        <v>327</v>
      </c>
      <c r="B37" s="43" t="s">
        <v>230</v>
      </c>
      <c r="C37" s="58" t="s">
        <v>15</v>
      </c>
      <c r="D37" s="70" t="str">
        <f>VLOOKUP(ТаблМоб[[#This Row],[Выполнение]],Статус[],2)</f>
        <v>&lt;- Выберите</v>
      </c>
      <c r="E37" s="67" t="s">
        <v>9</v>
      </c>
      <c r="F37" s="122">
        <f>VLOOKUP(ТаблМоб[[#This Row],[Критичность]],Важность[],2)</f>
        <v>4</v>
      </c>
      <c r="G37" s="124">
        <f>IF(OR(ТаблМоб[[#This Row],[Баллы]]="#",ТаблМоб[[#This Row],[Выполнение]]=" "),0,1)</f>
        <v>0</v>
      </c>
      <c r="H3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38" spans="1:8" ht="62" x14ac:dyDescent="0.35">
      <c r="A38" s="142" t="s">
        <v>328</v>
      </c>
      <c r="B38" s="43" t="s">
        <v>231</v>
      </c>
      <c r="C38" s="58" t="s">
        <v>15</v>
      </c>
      <c r="D38" s="70" t="str">
        <f>VLOOKUP(ТаблМоб[[#This Row],[Выполнение]],Статус[],2)</f>
        <v>&lt;- Выберите</v>
      </c>
      <c r="E38" s="67" t="s">
        <v>14</v>
      </c>
      <c r="F38" s="122">
        <f>VLOOKUP(ТаблМоб[[#This Row],[Критичность]],Важность[],2)</f>
        <v>2</v>
      </c>
      <c r="G38" s="124">
        <f>IF(OR(ТаблМоб[[#This Row],[Баллы]]="#",ТаблМоб[[#This Row],[Выполнение]]=" "),0,1)</f>
        <v>0</v>
      </c>
      <c r="H38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39" spans="1:8" ht="31" x14ac:dyDescent="0.35">
      <c r="A39" s="142" t="s">
        <v>329</v>
      </c>
      <c r="B39" s="43" t="s">
        <v>232</v>
      </c>
      <c r="C39" s="58" t="s">
        <v>15</v>
      </c>
      <c r="D39" s="70" t="str">
        <f>VLOOKUP(ТаблМоб[[#This Row],[Выполнение]],Статус[],2)</f>
        <v>&lt;- Выберите</v>
      </c>
      <c r="E39" s="67" t="s">
        <v>9</v>
      </c>
      <c r="F39" s="122">
        <f>VLOOKUP(ТаблМоб[[#This Row],[Критичность]],Важность[],2)</f>
        <v>4</v>
      </c>
      <c r="G39" s="124">
        <f>IF(OR(ТаблМоб[[#This Row],[Баллы]]="#",ТаблМоб[[#This Row],[Выполнение]]=" "),0,1)</f>
        <v>0</v>
      </c>
      <c r="H3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40" spans="1:8" ht="31" x14ac:dyDescent="0.35">
      <c r="A40" s="142" t="s">
        <v>330</v>
      </c>
      <c r="B40" s="43" t="s">
        <v>233</v>
      </c>
      <c r="C40" s="58" t="s">
        <v>15</v>
      </c>
      <c r="D40" s="70" t="str">
        <f>VLOOKUP(ТаблМоб[[#This Row],[Выполнение]],Статус[],2)</f>
        <v>&lt;- Выберите</v>
      </c>
      <c r="E40" s="67" t="s">
        <v>13</v>
      </c>
      <c r="F40" s="122">
        <f>VLOOKUP(ТаблМоб[[#This Row],[Критичность]],Важность[],2)</f>
        <v>1</v>
      </c>
      <c r="G40" s="124">
        <f>IF(OR(ТаблМоб[[#This Row],[Баллы]]="#",ТаблМоб[[#This Row],[Выполнение]]=" "),0,1)</f>
        <v>0</v>
      </c>
      <c r="H40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41" spans="1:8" ht="46.5" x14ac:dyDescent="0.35">
      <c r="A41" s="142" t="s">
        <v>331</v>
      </c>
      <c r="B41" s="43" t="s">
        <v>234</v>
      </c>
      <c r="C41" s="58" t="s">
        <v>15</v>
      </c>
      <c r="D41" s="70" t="str">
        <f>VLOOKUP(ТаблМоб[[#This Row],[Выполнение]],Статус[],2)</f>
        <v>&lt;- Выберите</v>
      </c>
      <c r="E41" s="67" t="s">
        <v>13</v>
      </c>
      <c r="F41" s="122">
        <f>VLOOKUP(ТаблМоб[[#This Row],[Критичность]],Важность[],2)</f>
        <v>1</v>
      </c>
      <c r="G41" s="124">
        <f>IF(OR(ТаблМоб[[#This Row],[Баллы]]="#",ТаблМоб[[#This Row],[Выполнение]]=" "),0,1)</f>
        <v>0</v>
      </c>
      <c r="H4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42" spans="1:8" ht="31.5" thickBot="1" x14ac:dyDescent="0.4">
      <c r="A42" s="142" t="s">
        <v>332</v>
      </c>
      <c r="B42" s="43" t="s">
        <v>235</v>
      </c>
      <c r="C42" s="58" t="s">
        <v>15</v>
      </c>
      <c r="D42" s="70" t="str">
        <f>VLOOKUP(ТаблМоб[[#This Row],[Выполнение]],Статус[],2)</f>
        <v>&lt;- Выберите</v>
      </c>
      <c r="E42" s="67" t="s">
        <v>13</v>
      </c>
      <c r="F42" s="122">
        <f>VLOOKUP(ТаблМоб[[#This Row],[Критичность]],Важность[],2)</f>
        <v>1</v>
      </c>
      <c r="G42" s="124">
        <f>IF(OR(ТаблМоб[[#This Row],[Баллы]]="#",ТаблМоб[[#This Row],[Выполнение]]=" "),0,1)</f>
        <v>0</v>
      </c>
      <c r="H4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43" spans="1:8" ht="30.5" thickBot="1" x14ac:dyDescent="0.4">
      <c r="A43" s="157" t="s">
        <v>387</v>
      </c>
      <c r="B43" s="158" t="s">
        <v>388</v>
      </c>
      <c r="C43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43" s="187">
        <f>SUMPRODUCT(М_Б_П3.5,М_К_П3.5)</f>
        <v>0</v>
      </c>
      <c r="E43" s="161"/>
      <c r="F43" s="41">
        <f>SUMPRODUCT(М_К_П3.5,М_Н_П3.5)*VLOOKUP("Выполняется полностью",Статус[],2)</f>
        <v>0</v>
      </c>
      <c r="G43" s="136"/>
      <c r="H43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44" spans="1:8" ht="17.25" customHeight="1" x14ac:dyDescent="0.35">
      <c r="A44" s="142" t="s">
        <v>333</v>
      </c>
      <c r="B44" s="43" t="s">
        <v>236</v>
      </c>
      <c r="C44" s="58" t="s">
        <v>15</v>
      </c>
      <c r="D44" s="70" t="str">
        <f>VLOOKUP(ТаблМоб[[#This Row],[Выполнение]],Статус[],2)</f>
        <v>&lt;- Выберите</v>
      </c>
      <c r="E44" s="67" t="s">
        <v>9</v>
      </c>
      <c r="F44" s="122">
        <f>VLOOKUP(ТаблМоб[[#This Row],[Критичность]],Важность[],2)</f>
        <v>4</v>
      </c>
      <c r="G44" s="124">
        <f>IF(OR(ТаблМоб[[#This Row],[Баллы]]="#",ТаблМоб[[#This Row],[Выполнение]]=" "),0,1)</f>
        <v>0</v>
      </c>
      <c r="H4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45" spans="1:8" ht="31" x14ac:dyDescent="0.35">
      <c r="A45" s="142" t="s">
        <v>334</v>
      </c>
      <c r="B45" s="43" t="s">
        <v>237</v>
      </c>
      <c r="C45" s="58" t="s">
        <v>15</v>
      </c>
      <c r="D45" s="70" t="str">
        <f>VLOOKUP(ТаблМоб[[#This Row],[Выполнение]],Статус[],2)</f>
        <v>&lt;- Выберите</v>
      </c>
      <c r="E45" s="67" t="s">
        <v>14</v>
      </c>
      <c r="F45" s="122">
        <f>VLOOKUP(ТаблМоб[[#This Row],[Критичность]],Важность[],2)</f>
        <v>2</v>
      </c>
      <c r="G45" s="124">
        <f>IF(OR(ТаблМоб[[#This Row],[Баллы]]="#",ТаблМоб[[#This Row],[Выполнение]]=" "),0,1)</f>
        <v>0</v>
      </c>
      <c r="H4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46" spans="1:8" ht="31" x14ac:dyDescent="0.35">
      <c r="A46" s="142" t="s">
        <v>335</v>
      </c>
      <c r="B46" s="43" t="s">
        <v>238</v>
      </c>
      <c r="C46" s="58" t="s">
        <v>15</v>
      </c>
      <c r="D46" s="70" t="str">
        <f>VLOOKUP(ТаблМоб[[#This Row],[Выполнение]],Статус[],2)</f>
        <v>&lt;- Выберите</v>
      </c>
      <c r="E46" s="67" t="s">
        <v>14</v>
      </c>
      <c r="F46" s="122">
        <f>VLOOKUP(ТаблМоб[[#This Row],[Критичность]],Важность[],2)</f>
        <v>2</v>
      </c>
      <c r="G46" s="124">
        <f>IF(OR(ТаблМоб[[#This Row],[Баллы]]="#",ТаблМоб[[#This Row],[Выполнение]]=" "),0,1)</f>
        <v>0</v>
      </c>
      <c r="H4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47" spans="1:8" ht="47" thickBot="1" x14ac:dyDescent="0.4">
      <c r="A47" s="142" t="s">
        <v>336</v>
      </c>
      <c r="B47" s="43" t="s">
        <v>239</v>
      </c>
      <c r="C47" s="58" t="s">
        <v>15</v>
      </c>
      <c r="D47" s="70" t="str">
        <f>VLOOKUP(ТаблМоб[[#This Row],[Выполнение]],Статус[],2)</f>
        <v>&lt;- Выберите</v>
      </c>
      <c r="E47" s="67" t="s">
        <v>9</v>
      </c>
      <c r="F47" s="122">
        <f>VLOOKUP(ТаблМоб[[#This Row],[Критичность]],Важность[],2)</f>
        <v>4</v>
      </c>
      <c r="G47" s="124">
        <f>IF(OR(ТаблМоб[[#This Row],[Баллы]]="#",ТаблМоб[[#This Row],[Выполнение]]=" "),0,1)</f>
        <v>0</v>
      </c>
      <c r="H4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48" spans="1:8" ht="30.5" thickBot="1" x14ac:dyDescent="0.4">
      <c r="A48" s="157" t="s">
        <v>385</v>
      </c>
      <c r="B48" s="158" t="s">
        <v>386</v>
      </c>
      <c r="C48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48" s="187">
        <f>SUMPRODUCT(М_Б_П3.6,М_К_П3.6)+D53</f>
        <v>0</v>
      </c>
      <c r="E48" s="161"/>
      <c r="F48" s="41">
        <f>SUMPRODUCT(М_К_П3.6,М_Н_П3.6)*VLOOKUP("Выполняется полностью",Статус[],2)+F53</f>
        <v>0</v>
      </c>
      <c r="G48" s="136"/>
      <c r="H48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49" spans="1:8" ht="31" x14ac:dyDescent="0.35">
      <c r="A49" s="99" t="s">
        <v>337</v>
      </c>
      <c r="B49" s="43" t="s">
        <v>240</v>
      </c>
      <c r="C49" s="58" t="s">
        <v>15</v>
      </c>
      <c r="D49" s="70" t="str">
        <f>VLOOKUP(ТаблМоб[[#This Row],[Выполнение]],Статус[],2)</f>
        <v>&lt;- Выберите</v>
      </c>
      <c r="E49" s="67" t="s">
        <v>9</v>
      </c>
      <c r="F49" s="122">
        <f>VLOOKUP(ТаблМоб[[#This Row],[Критичность]],Важность[],2)</f>
        <v>4</v>
      </c>
      <c r="G49" s="124">
        <f>IF(OR(ТаблМоб[[#This Row],[Баллы]]="#",ТаблМоб[[#This Row],[Выполнение]]=" "),0,1)</f>
        <v>0</v>
      </c>
      <c r="H4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0" spans="1:8" ht="31" x14ac:dyDescent="0.35">
      <c r="A50" s="99" t="s">
        <v>338</v>
      </c>
      <c r="B50" s="43" t="s">
        <v>241</v>
      </c>
      <c r="C50" s="58" t="s">
        <v>15</v>
      </c>
      <c r="D50" s="70" t="str">
        <f>VLOOKUP(ТаблМоб[[#This Row],[Выполнение]],Статус[],2)</f>
        <v>&lt;- Выберите</v>
      </c>
      <c r="E50" s="67" t="s">
        <v>14</v>
      </c>
      <c r="F50" s="122">
        <f>VLOOKUP(ТаблМоб[[#This Row],[Критичность]],Важность[],2)</f>
        <v>2</v>
      </c>
      <c r="G50" s="124">
        <f>IF(OR(ТаблМоб[[#This Row],[Баллы]]="#",ТаблМоб[[#This Row],[Выполнение]]=" "),0,1)</f>
        <v>0</v>
      </c>
      <c r="H50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51" spans="1:8" ht="46.5" x14ac:dyDescent="0.35">
      <c r="A51" s="99" t="s">
        <v>339</v>
      </c>
      <c r="B51" s="43" t="s">
        <v>242</v>
      </c>
      <c r="C51" s="58" t="s">
        <v>15</v>
      </c>
      <c r="D51" s="70" t="str">
        <f>VLOOKUP(ТаблМоб[[#This Row],[Выполнение]],Статус[],2)</f>
        <v>&lt;- Выберите</v>
      </c>
      <c r="E51" s="67" t="s">
        <v>14</v>
      </c>
      <c r="F51" s="122">
        <f>VLOOKUP(ТаблМоб[[#This Row],[Критичность]],Важность[],2)</f>
        <v>2</v>
      </c>
      <c r="G51" s="124">
        <f>IF(OR(ТаблМоб[[#This Row],[Баллы]]="#",ТаблМоб[[#This Row],[Выполнение]]=" "),0,1)</f>
        <v>0</v>
      </c>
      <c r="H5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52" spans="1:8" ht="33.75" customHeight="1" thickBot="1" x14ac:dyDescent="0.4">
      <c r="A52" s="100" t="s">
        <v>340</v>
      </c>
      <c r="B52" s="75" t="s">
        <v>243</v>
      </c>
      <c r="C52" s="59" t="s">
        <v>15</v>
      </c>
      <c r="D52" s="70" t="str">
        <f>VLOOKUP(ТаблМоб[[#This Row],[Выполнение]],Статус[],2)</f>
        <v>&lt;- Выберите</v>
      </c>
      <c r="E52" s="70" t="s">
        <v>9</v>
      </c>
      <c r="F52" s="125">
        <f>VLOOKUP(ТаблМоб[[#This Row],[Критичность]],Важность[],2)</f>
        <v>4</v>
      </c>
      <c r="G52" s="127">
        <f>IF(OR(ТаблМоб[[#This Row],[Баллы]]="#",ТаблМоб[[#This Row],[Выполнение]]=" "),0,1)</f>
        <v>0</v>
      </c>
      <c r="H5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3" spans="1:8" ht="30.5" thickBot="1" x14ac:dyDescent="0.4">
      <c r="A53" s="180" t="s">
        <v>383</v>
      </c>
      <c r="B53" s="158" t="s">
        <v>384</v>
      </c>
      <c r="C53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53" s="187">
        <f>SUMPRODUCT(М_Б_П3.6.5,М_К_П3.6.5)</f>
        <v>0</v>
      </c>
      <c r="E53" s="161"/>
      <c r="F53" s="41">
        <f>SUMPRODUCT(М_К_П3.6.5,М_Н_П3.6.5)*VLOOKUP("Выполняется полностью",Статус[],2)</f>
        <v>0</v>
      </c>
      <c r="G53" s="136"/>
      <c r="H53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54" spans="1:8" ht="31" x14ac:dyDescent="0.35">
      <c r="A54" s="95" t="s">
        <v>341</v>
      </c>
      <c r="B54" s="107" t="s">
        <v>244</v>
      </c>
      <c r="C54" s="97" t="s">
        <v>15</v>
      </c>
      <c r="D54" s="106" t="str">
        <f>VLOOKUP(ТаблМоб[[#This Row],[Выполнение]],Статус[],2)</f>
        <v>&lt;- Выберите</v>
      </c>
      <c r="E54" s="98" t="s">
        <v>9</v>
      </c>
      <c r="F54" s="138">
        <f>VLOOKUP(ТаблМоб[[#This Row],[Критичность]],Важность[],2)</f>
        <v>4</v>
      </c>
      <c r="G54" s="139">
        <f>IF(OR(ТаблМоб[[#This Row],[Баллы]]="#",ТаблМоб[[#This Row],[Выполнение]]=" "),0,1)</f>
        <v>0</v>
      </c>
      <c r="H5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5" spans="1:8" x14ac:dyDescent="0.35">
      <c r="A55" s="99" t="s">
        <v>342</v>
      </c>
      <c r="B55" s="43" t="s">
        <v>245</v>
      </c>
      <c r="C55" s="58" t="s">
        <v>15</v>
      </c>
      <c r="D55" s="70" t="str">
        <f>VLOOKUP(ТаблМоб[[#This Row],[Выполнение]],Статус[],2)</f>
        <v>&lt;- Выберите</v>
      </c>
      <c r="E55" s="67" t="s">
        <v>9</v>
      </c>
      <c r="F55" s="122">
        <f>VLOOKUP(ТаблМоб[[#This Row],[Критичность]],Важность[],2)</f>
        <v>4</v>
      </c>
      <c r="G55" s="124">
        <f>IF(OR(ТаблМоб[[#This Row],[Баллы]]="#",ТаблМоб[[#This Row],[Выполнение]]=" "),0,1)</f>
        <v>0</v>
      </c>
      <c r="H5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6" spans="1:8" ht="31" x14ac:dyDescent="0.35">
      <c r="A56" s="99" t="s">
        <v>343</v>
      </c>
      <c r="B56" s="43" t="s">
        <v>246</v>
      </c>
      <c r="C56" s="58" t="s">
        <v>15</v>
      </c>
      <c r="D56" s="70" t="str">
        <f>VLOOKUP(ТаблМоб[[#This Row],[Выполнение]],Статус[],2)</f>
        <v>&lt;- Выберите</v>
      </c>
      <c r="E56" s="67" t="s">
        <v>9</v>
      </c>
      <c r="F56" s="122">
        <f>VLOOKUP(ТаблМоб[[#This Row],[Критичность]],Важность[],2)</f>
        <v>4</v>
      </c>
      <c r="G56" s="124">
        <f>IF(OR(ТаблМоб[[#This Row],[Баллы]]="#",ТаблМоб[[#This Row],[Выполнение]]=" "),0,1)</f>
        <v>0</v>
      </c>
      <c r="H5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7" spans="1:8" ht="16" thickBot="1" x14ac:dyDescent="0.4">
      <c r="A57" s="100" t="s">
        <v>344</v>
      </c>
      <c r="B57" s="75" t="s">
        <v>247</v>
      </c>
      <c r="C57" s="59" t="s">
        <v>15</v>
      </c>
      <c r="D57" s="70" t="str">
        <f>VLOOKUP(ТаблМоб[[#This Row],[Выполнение]],Статус[],2)</f>
        <v>&lt;- Выберите</v>
      </c>
      <c r="E57" s="70" t="s">
        <v>9</v>
      </c>
      <c r="F57" s="125">
        <f>VLOOKUP(ТаблМоб[[#This Row],[Критичность]],Важность[],2)</f>
        <v>4</v>
      </c>
      <c r="G57" s="127">
        <f>IF(OR(ТаблМоб[[#This Row],[Баллы]]="#",ТаблМоб[[#This Row],[Выполнение]]=" "),0,1)</f>
        <v>0</v>
      </c>
      <c r="H5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58" spans="1:8" ht="30.5" thickBot="1" x14ac:dyDescent="0.4">
      <c r="A58" s="157" t="s">
        <v>381</v>
      </c>
      <c r="B58" s="158" t="s">
        <v>382</v>
      </c>
      <c r="C58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58" s="187">
        <f>SUMPRODUCT(М_Б_П3.7,М_К_П3.7)</f>
        <v>0</v>
      </c>
      <c r="E58" s="161"/>
      <c r="F58" s="41">
        <f>SUMPRODUCT(М_К_П3.7,М_Н_П3.7)*VLOOKUP("Выполняется полностью",Статус[],2)</f>
        <v>0</v>
      </c>
      <c r="G58" s="136"/>
      <c r="H58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59" spans="1:8" ht="33.75" customHeight="1" x14ac:dyDescent="0.35">
      <c r="A59" s="99" t="s">
        <v>345</v>
      </c>
      <c r="B59" s="43" t="s">
        <v>248</v>
      </c>
      <c r="C59" s="58" t="s">
        <v>15</v>
      </c>
      <c r="D59" s="70" t="str">
        <f>VLOOKUP(ТаблМоб[[#This Row],[Выполнение]],Статус[],2)</f>
        <v>&lt;- Выберите</v>
      </c>
      <c r="E59" s="67" t="s">
        <v>9</v>
      </c>
      <c r="F59" s="122">
        <f>VLOOKUP(ТаблМоб[[#This Row],[Критичность]],Важность[],2)</f>
        <v>4</v>
      </c>
      <c r="G59" s="124">
        <f>IF(OR(ТаблМоб[[#This Row],[Баллы]]="#",ТаблМоб[[#This Row],[Выполнение]]=" "),0,1)</f>
        <v>0</v>
      </c>
      <c r="H5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0" spans="1:8" ht="31" x14ac:dyDescent="0.35">
      <c r="A60" s="99" t="s">
        <v>346</v>
      </c>
      <c r="B60" s="43" t="s">
        <v>249</v>
      </c>
      <c r="C60" s="58" t="s">
        <v>15</v>
      </c>
      <c r="D60" s="70" t="str">
        <f>VLOOKUP(ТаблМоб[[#This Row],[Выполнение]],Статус[],2)</f>
        <v>&lt;- Выберите</v>
      </c>
      <c r="E60" s="67" t="s">
        <v>9</v>
      </c>
      <c r="F60" s="122">
        <f>VLOOKUP(ТаблМоб[[#This Row],[Критичность]],Важность[],2)</f>
        <v>4</v>
      </c>
      <c r="G60" s="124">
        <f>IF(OR(ТаблМоб[[#This Row],[Баллы]]="#",ТаблМоб[[#This Row],[Выполнение]]=" "),0,1)</f>
        <v>0</v>
      </c>
      <c r="H60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1" spans="1:8" ht="48.75" customHeight="1" x14ac:dyDescent="0.35">
      <c r="A61" s="99" t="s">
        <v>347</v>
      </c>
      <c r="B61" s="43" t="s">
        <v>250</v>
      </c>
      <c r="C61" s="58" t="s">
        <v>15</v>
      </c>
      <c r="D61" s="70" t="str">
        <f>VLOOKUP(ТаблМоб[[#This Row],[Выполнение]],Статус[],2)</f>
        <v>&lt;- Выберите</v>
      </c>
      <c r="E61" s="67" t="s">
        <v>9</v>
      </c>
      <c r="F61" s="122">
        <f>VLOOKUP(ТаблМоб[[#This Row],[Критичность]],Важность[],2)</f>
        <v>4</v>
      </c>
      <c r="G61" s="124">
        <f>IF(OR(ТаблМоб[[#This Row],[Баллы]]="#",ТаблМоб[[#This Row],[Выполнение]]=" "),0,1)</f>
        <v>0</v>
      </c>
      <c r="H6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2" spans="1:8" ht="31" x14ac:dyDescent="0.35">
      <c r="A62" s="99" t="s">
        <v>348</v>
      </c>
      <c r="B62" s="43" t="s">
        <v>251</v>
      </c>
      <c r="C62" s="58" t="s">
        <v>15</v>
      </c>
      <c r="D62" s="70" t="str">
        <f>VLOOKUP(ТаблМоб[[#This Row],[Выполнение]],Статус[],2)</f>
        <v>&lt;- Выберите</v>
      </c>
      <c r="E62" s="67" t="s">
        <v>9</v>
      </c>
      <c r="F62" s="122">
        <f>VLOOKUP(ТаблМоб[[#This Row],[Критичность]],Важность[],2)</f>
        <v>4</v>
      </c>
      <c r="G62" s="124">
        <f>IF(OR(ТаблМоб[[#This Row],[Баллы]]="#",ТаблМоб[[#This Row],[Выполнение]]=" "),0,1)</f>
        <v>0</v>
      </c>
      <c r="H6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3" spans="1:8" ht="31" x14ac:dyDescent="0.35">
      <c r="A63" s="99" t="s">
        <v>349</v>
      </c>
      <c r="B63" s="43" t="s">
        <v>366</v>
      </c>
      <c r="C63" s="58" t="s">
        <v>15</v>
      </c>
      <c r="D63" s="70" t="str">
        <f>VLOOKUP(ТаблМоб[[#This Row],[Выполнение]],Статус[],2)</f>
        <v>&lt;- Выберите</v>
      </c>
      <c r="E63" s="67" t="s">
        <v>9</v>
      </c>
      <c r="F63" s="122">
        <f>VLOOKUP(ТаблМоб[[#This Row],[Критичность]],Важность[],2)</f>
        <v>4</v>
      </c>
      <c r="G63" s="124">
        <f>IF(OR(ТаблМоб[[#This Row],[Баллы]]="#",ТаблМоб[[#This Row],[Выполнение]]=" "),0,1)</f>
        <v>0</v>
      </c>
      <c r="H63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4" spans="1:8" ht="46.5" x14ac:dyDescent="0.35">
      <c r="A64" s="99" t="s">
        <v>350</v>
      </c>
      <c r="B64" s="43" t="s">
        <v>252</v>
      </c>
      <c r="C64" s="58" t="s">
        <v>15</v>
      </c>
      <c r="D64" s="70" t="str">
        <f>VLOOKUP(ТаблМоб[[#This Row],[Выполнение]],Статус[],2)</f>
        <v>&lt;- Выберите</v>
      </c>
      <c r="E64" s="67" t="s">
        <v>13</v>
      </c>
      <c r="F64" s="122">
        <f>VLOOKUP(ТаблМоб[[#This Row],[Критичность]],Важность[],2)</f>
        <v>1</v>
      </c>
      <c r="G64" s="124">
        <f>IF(OR(ТаблМоб[[#This Row],[Баллы]]="#",ТаблМоб[[#This Row],[Выполнение]]=" "),0,1)</f>
        <v>0</v>
      </c>
      <c r="H6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65" spans="1:8" ht="31" x14ac:dyDescent="0.35">
      <c r="A65" s="99" t="s">
        <v>351</v>
      </c>
      <c r="B65" s="43" t="s">
        <v>253</v>
      </c>
      <c r="C65" s="58" t="s">
        <v>15</v>
      </c>
      <c r="D65" s="70" t="str">
        <f>VLOOKUP(ТаблМоб[[#This Row],[Выполнение]],Статус[],2)</f>
        <v>&lt;- Выберите</v>
      </c>
      <c r="E65" s="67" t="s">
        <v>9</v>
      </c>
      <c r="F65" s="122">
        <f>VLOOKUP(ТаблМоб[[#This Row],[Критичность]],Важность[],2)</f>
        <v>4</v>
      </c>
      <c r="G65" s="124">
        <f>IF(OR(ТаблМоб[[#This Row],[Баллы]]="#",ТаблМоб[[#This Row],[Выполнение]]=" "),0,1)</f>
        <v>0</v>
      </c>
      <c r="H6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6" spans="1:8" ht="31" x14ac:dyDescent="0.35">
      <c r="A66" s="99" t="s">
        <v>352</v>
      </c>
      <c r="B66" s="43" t="s">
        <v>254</v>
      </c>
      <c r="C66" s="58" t="s">
        <v>15</v>
      </c>
      <c r="D66" s="70" t="str">
        <f>VLOOKUP(ТаблМоб[[#This Row],[Выполнение]],Статус[],2)</f>
        <v>&lt;- Выберите</v>
      </c>
      <c r="E66" s="67" t="s">
        <v>9</v>
      </c>
      <c r="F66" s="122">
        <f>VLOOKUP(ТаблМоб[[#This Row],[Критичность]],Важность[],2)</f>
        <v>4</v>
      </c>
      <c r="G66" s="124">
        <f>IF(OR(ТаблМоб[[#This Row],[Баллы]]="#",ТаблМоб[[#This Row],[Выполнение]]=" "),0,1)</f>
        <v>0</v>
      </c>
      <c r="H6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7" spans="1:8" ht="31.5" thickBot="1" x14ac:dyDescent="0.4">
      <c r="A67" s="99" t="s">
        <v>353</v>
      </c>
      <c r="B67" s="43" t="s">
        <v>255</v>
      </c>
      <c r="C67" s="58" t="s">
        <v>15</v>
      </c>
      <c r="D67" s="70" t="str">
        <f>VLOOKUP(ТаблМоб[[#This Row],[Выполнение]],Статус[],2)</f>
        <v>&lt;- Выберите</v>
      </c>
      <c r="E67" s="67" t="s">
        <v>9</v>
      </c>
      <c r="F67" s="122">
        <f>VLOOKUP(ТаблМоб[[#This Row],[Критичность]],Важность[],2)</f>
        <v>4</v>
      </c>
      <c r="G67" s="124">
        <f>IF(OR(ТаблМоб[[#This Row],[Баллы]]="#",ТаблМоб[[#This Row],[Выполнение]]=" "),0,1)</f>
        <v>0</v>
      </c>
      <c r="H67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68" spans="1:8" ht="30.5" thickBot="1" x14ac:dyDescent="0.4">
      <c r="A68" s="157" t="s">
        <v>379</v>
      </c>
      <c r="B68" s="158" t="s">
        <v>380</v>
      </c>
      <c r="C68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68" s="187">
        <f>IF(C69=" ",0,1)+D70+D77</f>
        <v>0</v>
      </c>
      <c r="E68" s="161"/>
      <c r="F68" s="41">
        <f>SUMPRODUCT(М_К_П3.8,М_Н_П3.8)*VLOOKUP("Выполняется полностью",Статус[],2)+F70+F77</f>
        <v>0</v>
      </c>
      <c r="G68" s="136"/>
      <c r="H68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69" spans="1:8" ht="16" thickBot="1" x14ac:dyDescent="0.4">
      <c r="A69" s="99" t="s">
        <v>354</v>
      </c>
      <c r="B69" s="43" t="s">
        <v>256</v>
      </c>
      <c r="C69" s="58" t="s">
        <v>15</v>
      </c>
      <c r="D69" s="70" t="str">
        <f>VLOOKUP(ТаблМоб[[#This Row],[Выполнение]],Статус[],2)</f>
        <v>&lt;- Выберите</v>
      </c>
      <c r="E69" s="67" t="s">
        <v>14</v>
      </c>
      <c r="F69" s="122">
        <f>VLOOKUP(ТаблМоб[[#This Row],[Критичность]],Важность[],2)</f>
        <v>2</v>
      </c>
      <c r="G69" s="124">
        <f>IF(OR(ТаблМоб[[#This Row],[Баллы]]="#",ТаблМоб[[#This Row],[Выполнение]]=" "),0,1)</f>
        <v>0</v>
      </c>
      <c r="H6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70" spans="1:8" ht="30.5" thickBot="1" x14ac:dyDescent="0.4">
      <c r="A70" s="157" t="s">
        <v>377</v>
      </c>
      <c r="B70" s="158" t="s">
        <v>378</v>
      </c>
      <c r="C70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70" s="187">
        <f>SUMPRODUCT(М_Б_П3.8.2,М_К_П3.8.2)</f>
        <v>0</v>
      </c>
      <c r="E70" s="161"/>
      <c r="F70" s="41">
        <f>SUMPRODUCT(М_К_П3.8.2,М_Н_П3.8.2)*VLOOKUP("Выполняется полностью",Статус[],2)</f>
        <v>0</v>
      </c>
      <c r="G70" s="136"/>
      <c r="H70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71" spans="1:8" ht="31" x14ac:dyDescent="0.35">
      <c r="A71" s="99" t="s">
        <v>355</v>
      </c>
      <c r="B71" s="43" t="s">
        <v>257</v>
      </c>
      <c r="C71" s="58" t="s">
        <v>15</v>
      </c>
      <c r="D71" s="70" t="str">
        <f>VLOOKUP(ТаблМоб[[#This Row],[Выполнение]],Статус[],2)</f>
        <v>&lt;- Выберите</v>
      </c>
      <c r="E71" s="67" t="s">
        <v>9</v>
      </c>
      <c r="F71" s="122">
        <f>VLOOKUP(ТаблМоб[[#This Row],[Критичность]],Важность[],2)</f>
        <v>4</v>
      </c>
      <c r="G71" s="124">
        <f>IF(OR(ТаблМоб[[#This Row],[Баллы]]="#",ТаблМоб[[#This Row],[Выполнение]]=" "),0,1)</f>
        <v>0</v>
      </c>
      <c r="H7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72" spans="1:8" x14ac:dyDescent="0.35">
      <c r="A72" s="99" t="s">
        <v>356</v>
      </c>
      <c r="B72" s="43" t="s">
        <v>258</v>
      </c>
      <c r="C72" s="58" t="s">
        <v>15</v>
      </c>
      <c r="D72" s="70" t="str">
        <f>VLOOKUP(ТаблМоб[[#This Row],[Выполнение]],Статус[],2)</f>
        <v>&lt;- Выберите</v>
      </c>
      <c r="E72" s="67" t="s">
        <v>14</v>
      </c>
      <c r="F72" s="122">
        <f>VLOOKUP(ТаблМоб[[#This Row],[Критичность]],Важность[],2)</f>
        <v>2</v>
      </c>
      <c r="G72" s="124">
        <f>IF(OR(ТаблМоб[[#This Row],[Баллы]]="#",ТаблМоб[[#This Row],[Выполнение]]=" "),0,1)</f>
        <v>0</v>
      </c>
      <c r="H7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73" spans="1:8" ht="31" x14ac:dyDescent="0.35">
      <c r="A73" s="99" t="s">
        <v>357</v>
      </c>
      <c r="B73" s="43" t="s">
        <v>259</v>
      </c>
      <c r="C73" s="58" t="s">
        <v>15</v>
      </c>
      <c r="D73" s="70" t="str">
        <f>VLOOKUP(ТаблМоб[[#This Row],[Выполнение]],Статус[],2)</f>
        <v>&lt;- Выберите</v>
      </c>
      <c r="E73" s="67" t="s">
        <v>14</v>
      </c>
      <c r="F73" s="122">
        <f>VLOOKUP(ТаблМоб[[#This Row],[Критичность]],Важность[],2)</f>
        <v>2</v>
      </c>
      <c r="G73" s="124">
        <f>IF(OR(ТаблМоб[[#This Row],[Баллы]]="#",ТаблМоб[[#This Row],[Выполнение]]=" "),0,1)</f>
        <v>0</v>
      </c>
      <c r="H73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74" spans="1:8" x14ac:dyDescent="0.35">
      <c r="A74" s="99" t="s">
        <v>358</v>
      </c>
      <c r="B74" s="43" t="s">
        <v>260</v>
      </c>
      <c r="C74" s="58" t="s">
        <v>15</v>
      </c>
      <c r="D74" s="70" t="str">
        <f>VLOOKUP(ТаблМоб[[#This Row],[Выполнение]],Статус[],2)</f>
        <v>&lt;- Выберите</v>
      </c>
      <c r="E74" s="67" t="s">
        <v>14</v>
      </c>
      <c r="F74" s="122">
        <f>VLOOKUP(ТаблМоб[[#This Row],[Критичность]],Важность[],2)</f>
        <v>2</v>
      </c>
      <c r="G74" s="124">
        <f>IF(OR(ТаблМоб[[#This Row],[Баллы]]="#",ТаблМоб[[#This Row],[Выполнение]]=" "),0,1)</f>
        <v>0</v>
      </c>
      <c r="H74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75" spans="1:8" ht="33" customHeight="1" x14ac:dyDescent="0.35">
      <c r="A75" s="99" t="s">
        <v>359</v>
      </c>
      <c r="B75" s="43" t="s">
        <v>261</v>
      </c>
      <c r="C75" s="58" t="s">
        <v>15</v>
      </c>
      <c r="D75" s="70" t="str">
        <f>VLOOKUP(ТаблМоб[[#This Row],[Выполнение]],Статус[],2)</f>
        <v>&lt;- Выберите</v>
      </c>
      <c r="E75" s="67" t="s">
        <v>9</v>
      </c>
      <c r="F75" s="122">
        <f>VLOOKUP(ТаблМоб[[#This Row],[Критичность]],Важность[],2)</f>
        <v>4</v>
      </c>
      <c r="G75" s="124">
        <f>IF(OR(ТаблМоб[[#This Row],[Баллы]]="#",ТаблМоб[[#This Row],[Выполнение]]=" "),0,1)</f>
        <v>0</v>
      </c>
      <c r="H75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76" spans="1:8" ht="31.5" thickBot="1" x14ac:dyDescent="0.4">
      <c r="A76" s="99" t="s">
        <v>360</v>
      </c>
      <c r="B76" s="43" t="s">
        <v>262</v>
      </c>
      <c r="C76" s="58" t="s">
        <v>15</v>
      </c>
      <c r="D76" s="70" t="str">
        <f>VLOOKUP(ТаблМоб[[#This Row],[Выполнение]],Статус[],2)</f>
        <v>&lt;- Выберите</v>
      </c>
      <c r="E76" s="67" t="s">
        <v>9</v>
      </c>
      <c r="F76" s="122">
        <f>VLOOKUP(ТаблМоб[[#This Row],[Критичность]],Важность[],2)</f>
        <v>4</v>
      </c>
      <c r="G76" s="124">
        <f>IF(OR(ТаблМоб[[#This Row],[Баллы]]="#",ТаблМоб[[#This Row],[Выполнение]]=" "),0,1)</f>
        <v>0</v>
      </c>
      <c r="H76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77" spans="1:8" ht="30.5" thickBot="1" x14ac:dyDescent="0.4">
      <c r="A77" s="157" t="s">
        <v>375</v>
      </c>
      <c r="B77" s="158" t="s">
        <v>376</v>
      </c>
      <c r="C77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77" s="187">
        <f>SUMPRODUCT(М_Б_П3.8.3,М_К_П3.8.3)</f>
        <v>0</v>
      </c>
      <c r="E77" s="161"/>
      <c r="F77" s="41">
        <f>SUMPRODUCT(М_К_П3.8.3,М_Н_П3.8.3)*VLOOKUP("Выполняется полностью",Статус[],2)</f>
        <v>0</v>
      </c>
      <c r="G77" s="136"/>
      <c r="H77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78" spans="1:8" x14ac:dyDescent="0.35">
      <c r="A78" s="99" t="s">
        <v>361</v>
      </c>
      <c r="B78" s="43" t="s">
        <v>263</v>
      </c>
      <c r="C78" s="58" t="s">
        <v>15</v>
      </c>
      <c r="D78" s="70" t="str">
        <f>VLOOKUP(ТаблМоб[[#This Row],[Выполнение]],Статус[],2)</f>
        <v>&lt;- Выберите</v>
      </c>
      <c r="E78" s="67" t="s">
        <v>9</v>
      </c>
      <c r="F78" s="122">
        <f>VLOOKUP(ТаблМоб[[#This Row],[Критичность]],Важность[],2)</f>
        <v>4</v>
      </c>
      <c r="G78" s="124">
        <f>IF(OR(ТаблМоб[[#This Row],[Баллы]]="#",ТаблМоб[[#This Row],[Выполнение]]=" "),0,1)</f>
        <v>0</v>
      </c>
      <c r="H78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79" spans="1:8" ht="80.25" customHeight="1" thickBot="1" x14ac:dyDescent="0.4">
      <c r="A79" s="99" t="s">
        <v>362</v>
      </c>
      <c r="B79" s="43" t="s">
        <v>264</v>
      </c>
      <c r="C79" s="58" t="s">
        <v>15</v>
      </c>
      <c r="D79" s="70" t="str">
        <f>VLOOKUP(ТаблМоб[[#This Row],[Выполнение]],Статус[],2)</f>
        <v>&lt;- Выберите</v>
      </c>
      <c r="E79" s="67" t="s">
        <v>9</v>
      </c>
      <c r="F79" s="122">
        <f>VLOOKUP(ТаблМоб[[#This Row],[Критичность]],Важность[],2)</f>
        <v>4</v>
      </c>
      <c r="G79" s="124">
        <f>IF(OR(ТаблМоб[[#This Row],[Баллы]]="#",ТаблМоб[[#This Row],[Выполнение]]=" "),0,1)</f>
        <v>0</v>
      </c>
      <c r="H79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80" spans="1:8" ht="30.5" thickBot="1" x14ac:dyDescent="0.4">
      <c r="A80" s="157" t="s">
        <v>373</v>
      </c>
      <c r="B80" s="158" t="s">
        <v>374</v>
      </c>
      <c r="C80" s="159" t="str">
        <f>IF(ТаблМоб[[#This Row],[Коэффициент]]=0,"Требования раздела неприменимы",ТаблМоб[[#This Row],[Баллы]]/ТаблМоб[[#This Row],[Коэффициент]])</f>
        <v>Требования раздела неприменимы</v>
      </c>
      <c r="D80" s="187">
        <f>SUMPRODUCT(М_Б_П3.9,М_К_П3.9)</f>
        <v>0</v>
      </c>
      <c r="E80" s="161"/>
      <c r="F80" s="41">
        <f>SUMPRODUCT(М_К_П3.9,М_Н_П3.9)*VLOOKUP("Выполняется полностью",Статус[],2)</f>
        <v>0</v>
      </c>
      <c r="G80" s="136"/>
      <c r="H80" s="188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81" spans="1:8" ht="46.5" x14ac:dyDescent="0.35">
      <c r="A81" s="99" t="s">
        <v>363</v>
      </c>
      <c r="B81" s="43" t="s">
        <v>265</v>
      </c>
      <c r="C81" s="58" t="s">
        <v>15</v>
      </c>
      <c r="D81" s="70" t="str">
        <f>VLOOKUP(ТаблМоб[[#This Row],[Выполнение]],Статус[],2)</f>
        <v>&lt;- Выберите</v>
      </c>
      <c r="E81" s="67" t="s">
        <v>9</v>
      </c>
      <c r="F81" s="122">
        <f>VLOOKUP(ТаблМоб[[#This Row],[Критичность]],Важность[],2)</f>
        <v>4</v>
      </c>
      <c r="G81" s="124">
        <f>IF(OR(ТаблМоб[[#This Row],[Баллы]]="#",ТаблМоб[[#This Row],[Выполнение]]=" "),0,1)</f>
        <v>0</v>
      </c>
      <c r="H81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82" spans="1:8" ht="31" x14ac:dyDescent="0.35">
      <c r="A82" s="99" t="s">
        <v>364</v>
      </c>
      <c r="B82" s="43" t="s">
        <v>367</v>
      </c>
      <c r="C82" s="58" t="s">
        <v>15</v>
      </c>
      <c r="D82" s="70" t="str">
        <f>VLOOKUP(ТаблМоб[[#This Row],[Выполнение]],Статус[],2)</f>
        <v>&lt;- Выберите</v>
      </c>
      <c r="E82" s="67" t="s">
        <v>14</v>
      </c>
      <c r="F82" s="122">
        <f>VLOOKUP(ТаблМоб[[#This Row],[Критичность]],Важность[],2)</f>
        <v>2</v>
      </c>
      <c r="G82" s="124">
        <f>IF(OR(ТаблМоб[[#This Row],[Баллы]]="#",ТаблМоб[[#This Row],[Выполнение]]=" "),0,1)</f>
        <v>0</v>
      </c>
      <c r="H82" s="137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Сред. неуд</v>
      </c>
    </row>
    <row r="83" spans="1:8" ht="31.5" thickBot="1" x14ac:dyDescent="0.4">
      <c r="A83" s="100" t="s">
        <v>365</v>
      </c>
      <c r="B83" s="75" t="s">
        <v>266</v>
      </c>
      <c r="C83" s="59" t="s">
        <v>15</v>
      </c>
      <c r="D83" s="70" t="str">
        <f>VLOOKUP(ТаблМоб[[#This Row],[Выполнение]],Статус[],2)</f>
        <v>&lt;- Выберите</v>
      </c>
      <c r="E83" s="70" t="s">
        <v>9</v>
      </c>
      <c r="F83" s="125">
        <f>VLOOKUP(ТаблМоб[[#This Row],[Критичность]],Важность[],2)</f>
        <v>4</v>
      </c>
      <c r="G83" s="127">
        <f>IF(OR(ТаблМоб[[#This Row],[Баллы]]="#",ТаблМоб[[#This Row],[Выполнение]]=" "),0,1)</f>
        <v>0</v>
      </c>
      <c r="H83" s="143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>Крит. неуд</v>
      </c>
    </row>
    <row r="84" spans="1:8" ht="18" customHeight="1" thickBot="1" x14ac:dyDescent="0.4">
      <c r="A84" s="189" t="s">
        <v>372</v>
      </c>
      <c r="B84" s="158" t="s">
        <v>645</v>
      </c>
      <c r="C84" s="159" t="str">
        <f>IF(ТаблМоб[[#This Row],[Коэффициент]]=0,"Не заполнено",ТаблМоб[[#This Row],[Баллы]]/ТаблМоб[[#This Row],[Коэффициент]])</f>
        <v>Не заполнено</v>
      </c>
      <c r="D84" s="187">
        <f>D2+D21+D35+D43+D48+D58+D68+D80</f>
        <v>0</v>
      </c>
      <c r="E84" s="161"/>
      <c r="F84" s="144">
        <f>F2+F21+F35+F43+F48+F58+F68+F80</f>
        <v>0</v>
      </c>
      <c r="G84" s="136"/>
      <c r="H84" s="190" t="str">
        <f>IF(ТаблМоб[[#This Row],[Коэффициент]]=4,IF(ТаблМоб[[#This Row],[Баллы]]=4,"","Крит. неуд"),IF(ТаблМоб[[#This Row],[Коэффициент]]=2,IF(ТаблМоб[[#This Row],[Баллы]]=4,"","Сред. неуд"),""))</f>
        <v/>
      </c>
    </row>
    <row r="85" spans="1:8" ht="16" thickBot="1" x14ac:dyDescent="0.4"/>
    <row r="86" spans="1:8" ht="30" x14ac:dyDescent="0.35">
      <c r="B86" s="191" t="s">
        <v>278</v>
      </c>
      <c r="C86" s="192">
        <f>SUMIF(ТаблМоб[Удовлетворение],"Крит. неуд",ТаблМоб[Наличие])</f>
        <v>0</v>
      </c>
      <c r="D86" s="193" t="str">
        <f>IF(C86=0,"У","КН")</f>
        <v>У</v>
      </c>
    </row>
    <row r="87" spans="1:8" ht="30.5" thickBot="1" x14ac:dyDescent="0.4">
      <c r="B87" s="194" t="s">
        <v>279</v>
      </c>
      <c r="C87" s="195">
        <f>SUMIF(ТаблМоб[[#All],[Удовлетворение]],"Сред. неуд",ТаблМоб[[#All],[Наличие]])</f>
        <v>0</v>
      </c>
      <c r="D87" s="196" t="str">
        <f>IF(C87&gt;10,"СН",IF(C87=0,"У","СУ"))</f>
        <v>У</v>
      </c>
    </row>
  </sheetData>
  <sheetProtection algorithmName="SHA-512" hashValue="o0iVKnjT9HgY6P9H0NAeEX6PI8NAGvJ/SUkY0eKrlgNp8oD38W5VTcW0Corm3h2wiZ4wWaG/MK8gIv13UGnTEg==" saltValue="1XSAwRMRy9ESStnY03zARQ==" spinCount="100000" sheet="1" autoFilter="0"/>
  <conditionalFormatting sqref="B84">
    <cfRule type="colorScale" priority="11">
      <colorScale>
        <cfvo type="num" val="&quot;&quot;&quot;ВПР(&quot;&quot;Плохо&quot;&quot;;Цвет;2)&quot;&quot;&quot;"/>
        <cfvo type="num" val="&quot;&quot;&quot;ВПР(&quot;&quot;Нормально&quot;&quot;;Цвет;2)&quot;&quot;&quot;"/>
        <cfvo type="num" val="&quot;&quot;&quot;ВПР(&quot;&quot;Хорошо&quot;&quot;;Цвет;2)&quot;&quot;&quot;"/>
        <color rgb="FFFF9797"/>
        <color rgb="FFFFEB84"/>
        <color theme="9" tint="0.39997558519241921"/>
      </colorScale>
    </cfRule>
  </conditionalFormatting>
  <conditionalFormatting sqref="A27:A28">
    <cfRule type="duplicateValues" dxfId="44" priority="10"/>
  </conditionalFormatting>
  <conditionalFormatting sqref="C84">
    <cfRule type="colorScale" priority="1">
      <colorScale>
        <cfvo type="num" val="&quot;&quot;&quot;ВПР(&quot;&quot;Плохо&quot;&quot;;Цвет;2)&quot;&quot;&quot;"/>
        <cfvo type="num" val="&quot;&quot;&quot;ВПР(&quot;&quot;Нормально&quot;&quot;;Цвет;2)&quot;&quot;&quot;"/>
        <cfvo type="num" val="&quot;&quot;&quot;ВПР(&quot;&quot;Хорошо&quot;&quot;;Цвет;2)&quot;&quot;&quot;"/>
        <color rgb="FFFF9797"/>
        <color rgb="FFFFEB84"/>
        <color theme="9" tint="0.39997558519241921"/>
      </colorScale>
    </cfRule>
  </conditionalFormatting>
  <dataValidations count="2">
    <dataValidation type="list" allowBlank="1" showInputMessage="1" showErrorMessage="1" sqref="E4:E7 E81:E83 E19:E20 E30:E34 E15:E17 E36:E42 E44:E47 E27:E28 E59:E67 E78:E79 E54:E57 E9:E13 E22:E25 E49:E52 E69 E71:E76" xr:uid="{00000000-0002-0000-0300-000000000000}">
      <formula1>INDIRECT("Важность[Критичность]")</formula1>
    </dataValidation>
    <dataValidation type="list" allowBlank="1" showInputMessage="1" showErrorMessage="1" sqref="C4:C7 C81:C83 C19:C20 C30:C34 C15:C17 C36:C42 C44:C47 C27:C28 C59:C67 C78:C79 C54:C57 C9:C13 C22:C25 C49:C52 C69 C71:C76" xr:uid="{00000000-0002-0000-0300-000001000000}">
      <formula1>INDIRECT("Статус[Выполнение]")</formula1>
    </dataValidation>
  </dataValidations>
  <pageMargins left="0.59055118110236227" right="0.78740157480314965" top="1.1811023622047245" bottom="0.78740157480314965" header="0.39370078740157483" footer="0"/>
  <pageSetup paperSize="9" firstPageNumber="70" orientation="landscape" useFirstPageNumber="1" r:id="rId1"/>
  <headerFooter>
    <oddHeader>&amp;C
&amp;P</oddHeader>
  </headerFooter>
  <rowBreaks count="3" manualBreakCount="3">
    <brk id="13" max="4" man="1"/>
    <brk id="25" max="4" man="1"/>
    <brk id="47" max="4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8E2713D2-9A8F-435C-A881-D7FDBEDFD1C5}">
            <xm:f>data!$A$6</xm:f>
            <x14:dxf>
              <fill>
                <patternFill>
                  <bgColor theme="0" tint="-0.14996795556505021"/>
                </patternFill>
              </fill>
            </x14:dxf>
          </x14:cfRule>
          <x14:cfRule type="cellIs" priority="4" operator="equal" id="{21021352-C49F-43C3-9E0D-12BB68E071A0}">
            <xm:f>data!$A$5</xm:f>
            <x14:dxf>
              <fill>
                <patternFill>
                  <bgColor rgb="FFFFA7A7"/>
                </patternFill>
              </fill>
            </x14:dxf>
          </x14:cfRule>
          <x14:cfRule type="cellIs" priority="5" operator="equal" id="{E5CDDB12-E7ED-42EA-A5D6-8A5B6F897775}">
            <xm:f>data!$A$4</xm:f>
            <x14:dxf>
              <fill>
                <patternFill>
                  <bgColor theme="7" tint="0.59996337778862885"/>
                </patternFill>
              </fill>
            </x14:dxf>
          </x14:cfRule>
          <x14:cfRule type="cellIs" priority="6" operator="equal" id="{22220042-FAD8-4D0F-BFFB-FDAC24276399}">
            <xm:f>data!$A$3</xm:f>
            <x14:dxf>
              <fill>
                <patternFill>
                  <bgColor theme="9" tint="0.59996337778862885"/>
                </patternFill>
              </fill>
            </x14:dxf>
          </x14:cfRule>
          <xm:sqref>C1 C4:C7 C9:C13 C15:C17 C19:C20 C22:C25 C27:C28 C30:C34 C36:C42 C44:C47 C49:C52 C54:C57 C59:C67 C69 C71:C76 C78:C79 C81:C83 C85:C1048576</xm:sqref>
        </x14:conditionalFormatting>
        <x14:conditionalFormatting xmlns:xm="http://schemas.microsoft.com/office/excel/2006/main">
          <x14:cfRule type="cellIs" priority="2" operator="equal" id="{6D386A95-2FE7-4B5F-8933-A39BE90B0B3C}">
            <xm:f>data!$A$10</xm:f>
            <x14:dxf>
              <font>
                <b/>
                <i val="0"/>
              </font>
            </x14:dxf>
          </x14:cfRule>
          <xm:sqref>E1:E1048576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E18"/>
  <sheetViews>
    <sheetView workbookViewId="0">
      <selection activeCell="D2" sqref="D2:E5"/>
    </sheetView>
  </sheetViews>
  <sheetFormatPr defaultRowHeight="15.5" x14ac:dyDescent="0.35"/>
  <cols>
    <col min="1" max="1" width="25.7265625" style="14" customWidth="1"/>
    <col min="2" max="2" width="20.1796875" style="14" bestFit="1" customWidth="1"/>
    <col min="4" max="4" width="20.7265625" customWidth="1"/>
    <col min="5" max="5" width="52.54296875" customWidth="1"/>
  </cols>
  <sheetData>
    <row r="1" spans="1:5" x14ac:dyDescent="0.35">
      <c r="A1" s="2" t="s">
        <v>4</v>
      </c>
      <c r="B1" s="3" t="s">
        <v>5</v>
      </c>
      <c r="D1" s="16" t="s">
        <v>269</v>
      </c>
      <c r="E1" s="17" t="s">
        <v>271</v>
      </c>
    </row>
    <row r="2" spans="1:5" ht="31" x14ac:dyDescent="0.35">
      <c r="A2" s="4" t="s">
        <v>15</v>
      </c>
      <c r="B2" s="5" t="s">
        <v>91</v>
      </c>
      <c r="D2" s="36" t="s">
        <v>270</v>
      </c>
      <c r="E2" s="32" t="s">
        <v>275</v>
      </c>
    </row>
    <row r="3" spans="1:5" ht="31" x14ac:dyDescent="0.35">
      <c r="A3" s="6" t="s">
        <v>10</v>
      </c>
      <c r="B3" s="7">
        <v>4</v>
      </c>
      <c r="D3" s="36" t="s">
        <v>272</v>
      </c>
      <c r="E3" s="32" t="s">
        <v>280</v>
      </c>
    </row>
    <row r="4" spans="1:5" ht="31" x14ac:dyDescent="0.35">
      <c r="A4" s="8" t="s">
        <v>11</v>
      </c>
      <c r="B4" s="9">
        <v>2</v>
      </c>
      <c r="D4" s="8" t="s">
        <v>274</v>
      </c>
      <c r="E4" s="33" t="s">
        <v>276</v>
      </c>
    </row>
    <row r="5" spans="1:5" x14ac:dyDescent="0.35">
      <c r="A5" s="10" t="s">
        <v>12</v>
      </c>
      <c r="B5" s="11">
        <v>0</v>
      </c>
      <c r="D5" s="35" t="s">
        <v>273</v>
      </c>
      <c r="E5" s="34" t="s">
        <v>277</v>
      </c>
    </row>
    <row r="6" spans="1:5" x14ac:dyDescent="0.35">
      <c r="A6" s="12" t="s">
        <v>8</v>
      </c>
      <c r="B6" s="13" t="s">
        <v>16</v>
      </c>
    </row>
    <row r="9" spans="1:5" ht="15" x14ac:dyDescent="0.35">
      <c r="A9" s="2" t="s">
        <v>6</v>
      </c>
      <c r="B9" s="3" t="s">
        <v>7</v>
      </c>
    </row>
    <row r="10" spans="1:5" x14ac:dyDescent="0.35">
      <c r="A10" s="36" t="s">
        <v>9</v>
      </c>
      <c r="B10" s="39">
        <v>4</v>
      </c>
    </row>
    <row r="11" spans="1:5" x14ac:dyDescent="0.35">
      <c r="A11" s="6" t="s">
        <v>13</v>
      </c>
      <c r="B11" s="7">
        <v>1</v>
      </c>
    </row>
    <row r="12" spans="1:5" x14ac:dyDescent="0.35">
      <c r="A12" s="8" t="s">
        <v>14</v>
      </c>
      <c r="B12" s="9">
        <v>2</v>
      </c>
    </row>
    <row r="15" spans="1:5" x14ac:dyDescent="0.35">
      <c r="A15" s="16" t="s">
        <v>108</v>
      </c>
      <c r="B15" s="17" t="s">
        <v>112</v>
      </c>
    </row>
    <row r="16" spans="1:5" x14ac:dyDescent="0.35">
      <c r="A16" s="4" t="s">
        <v>110</v>
      </c>
      <c r="B16" s="18">
        <v>0.8</v>
      </c>
    </row>
    <row r="17" spans="1:2" x14ac:dyDescent="0.35">
      <c r="A17" s="4" t="s">
        <v>109</v>
      </c>
      <c r="B17" s="18">
        <v>0.6</v>
      </c>
    </row>
    <row r="18" spans="1:2" x14ac:dyDescent="0.35">
      <c r="A18" s="15" t="s">
        <v>111</v>
      </c>
      <c r="B18" s="19">
        <v>1</v>
      </c>
    </row>
  </sheetData>
  <sheetProtection sheet="1" objects="1" scenarios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179</vt:i4>
      </vt:variant>
    </vt:vector>
  </HeadingPairs>
  <TitlesOfParts>
    <vt:vector size="184" baseType="lpstr">
      <vt:lpstr>Сведения</vt:lpstr>
      <vt:lpstr>Общие</vt:lpstr>
      <vt:lpstr>Web</vt:lpstr>
      <vt:lpstr>Мобильные</vt:lpstr>
      <vt:lpstr>data</vt:lpstr>
      <vt:lpstr>Сведения!_Toc466304790</vt:lpstr>
      <vt:lpstr>Сведения!_Toc466304791</vt:lpstr>
      <vt:lpstr>В_Б_П2.1</vt:lpstr>
      <vt:lpstr>В_Б_П2.1.7</vt:lpstr>
      <vt:lpstr>В_Б_П2.10</vt:lpstr>
      <vt:lpstr>В_Б_П2.10.5</vt:lpstr>
      <vt:lpstr>В_Б_П2.2</vt:lpstr>
      <vt:lpstr>В_Б_П2.2.3</vt:lpstr>
      <vt:lpstr>В_Б_П2.2.4</vt:lpstr>
      <vt:lpstr>В_Б_П2.2.5</vt:lpstr>
      <vt:lpstr>В_Б_П2.3</vt:lpstr>
      <vt:lpstr>В_Б_П2.3.7</vt:lpstr>
      <vt:lpstr>В_Б_П2.4.2</vt:lpstr>
      <vt:lpstr>В_Б_П2.4.3</vt:lpstr>
      <vt:lpstr>В_Б_П2.5.1</vt:lpstr>
      <vt:lpstr>В_Б_П2.5.2</vt:lpstr>
      <vt:lpstr>В_Б_П2.5.3</vt:lpstr>
      <vt:lpstr>В_Б_П2.6.3</vt:lpstr>
      <vt:lpstr>В_Б_П2.7.1</vt:lpstr>
      <vt:lpstr>В_Б_П2.7.2</vt:lpstr>
      <vt:lpstr>В_Б_П2.8</vt:lpstr>
      <vt:lpstr>В_Б_П2.9.2</vt:lpstr>
      <vt:lpstr>В_Б_П2.9.3</vt:lpstr>
      <vt:lpstr>В_Б_П2.9.4</vt:lpstr>
      <vt:lpstr>В_Б_П2.9.5</vt:lpstr>
      <vt:lpstr>В_Б_П2.9.6</vt:lpstr>
      <vt:lpstr>В_Б_П2.9.7</vt:lpstr>
      <vt:lpstr>В_Б_П2.9.8</vt:lpstr>
      <vt:lpstr>В_К_П2.1</vt:lpstr>
      <vt:lpstr>В_К_П2.1.7</vt:lpstr>
      <vt:lpstr>В_К_П2.10</vt:lpstr>
      <vt:lpstr>В_К_П2.10.5</vt:lpstr>
      <vt:lpstr>В_К_П2.2</vt:lpstr>
      <vt:lpstr>В_К_П2.2.3</vt:lpstr>
      <vt:lpstr>В_К_П2.2.4</vt:lpstr>
      <vt:lpstr>В_К_П2.2.5</vt:lpstr>
      <vt:lpstr>В_К_П2.3</vt:lpstr>
      <vt:lpstr>В_К_П2.3.7</vt:lpstr>
      <vt:lpstr>В_К_П2.4.2</vt:lpstr>
      <vt:lpstr>В_К_П2.4.3</vt:lpstr>
      <vt:lpstr>В_К_П2.5.1</vt:lpstr>
      <vt:lpstr>В_К_П2.5.2</vt:lpstr>
      <vt:lpstr>В_К_П2.5.3</vt:lpstr>
      <vt:lpstr>В_К_П2.6.3</vt:lpstr>
      <vt:lpstr>В_К_П2.7.1</vt:lpstr>
      <vt:lpstr>В_К_П2.7.2</vt:lpstr>
      <vt:lpstr>В_К_П2.8</vt:lpstr>
      <vt:lpstr>В_К_П2.9.2</vt:lpstr>
      <vt:lpstr>В_К_П2.9.3</vt:lpstr>
      <vt:lpstr>В_К_П2.9.4</vt:lpstr>
      <vt:lpstr>В_К_П2.9.5</vt:lpstr>
      <vt:lpstr>В_К_П2.9.6</vt:lpstr>
      <vt:lpstr>В_К_П2.9.7</vt:lpstr>
      <vt:lpstr>В_К_П2.9.8</vt:lpstr>
      <vt:lpstr>В_Н_П2.1</vt:lpstr>
      <vt:lpstr>В_Н_П2.1.7</vt:lpstr>
      <vt:lpstr>В_Н_П2.10</vt:lpstr>
      <vt:lpstr>В_Н_П2.10.5</vt:lpstr>
      <vt:lpstr>В_Н_П2.2</vt:lpstr>
      <vt:lpstr>В_Н_П2.2.3</vt:lpstr>
      <vt:lpstr>В_Н_П2.2.4</vt:lpstr>
      <vt:lpstr>В_Н_П2.2.5</vt:lpstr>
      <vt:lpstr>В_Н_П2.3</vt:lpstr>
      <vt:lpstr>В_Н_П2.3.7</vt:lpstr>
      <vt:lpstr>В_Н_П2.4.2</vt:lpstr>
      <vt:lpstr>В_Н_П2.4.3</vt:lpstr>
      <vt:lpstr>В_Н_П2.5.1</vt:lpstr>
      <vt:lpstr>В_Н_П2.5.2</vt:lpstr>
      <vt:lpstr>В_Н_П2.5.3</vt:lpstr>
      <vt:lpstr>В_Н_П2.6.3</vt:lpstr>
      <vt:lpstr>В_Н_П2.7.1</vt:lpstr>
      <vt:lpstr>В_Н_П2.7.2</vt:lpstr>
      <vt:lpstr>В_Н_П2.8</vt:lpstr>
      <vt:lpstr>В_Н_П2.9.2</vt:lpstr>
      <vt:lpstr>В_Н_П2.9.3</vt:lpstr>
      <vt:lpstr>В_Н_П2.9.4</vt:lpstr>
      <vt:lpstr>В_Н_П2.9.5</vt:lpstr>
      <vt:lpstr>В_Н_П2.9.6</vt:lpstr>
      <vt:lpstr>В_Н_П2.9.7</vt:lpstr>
      <vt:lpstr>В_Н_П2.9.8</vt:lpstr>
      <vt:lpstr>Web!Заголовки_для_печати</vt:lpstr>
      <vt:lpstr>Мобильные!Заголовки_для_печати</vt:lpstr>
      <vt:lpstr>Общие!Заголовки_для_печати</vt:lpstr>
      <vt:lpstr>М_Б_П3.2.1</vt:lpstr>
      <vt:lpstr>М_Б_П3.2.2</vt:lpstr>
      <vt:lpstr>М_Б_П3.2.2.6</vt:lpstr>
      <vt:lpstr>М_Б_П3.2.2.7</vt:lpstr>
      <vt:lpstr>М_Б_П3.3</vt:lpstr>
      <vt:lpstr>М_Б_П3.3.6</vt:lpstr>
      <vt:lpstr>М_Б_П3.3.7</vt:lpstr>
      <vt:lpstr>М_Б_П3.4</vt:lpstr>
      <vt:lpstr>М_Б_П3.5</vt:lpstr>
      <vt:lpstr>М_Б_П3.6</vt:lpstr>
      <vt:lpstr>М_Б_П3.6.5</vt:lpstr>
      <vt:lpstr>М_Б_П3.7</vt:lpstr>
      <vt:lpstr>М_Б_П3.8</vt:lpstr>
      <vt:lpstr>М_Б_П3.8.2</vt:lpstr>
      <vt:lpstr>М_Б_П3.8.3</vt:lpstr>
      <vt:lpstr>М_Б_П3.9</vt:lpstr>
      <vt:lpstr>М_К_П3.2.1</vt:lpstr>
      <vt:lpstr>М_К_П3.2.2</vt:lpstr>
      <vt:lpstr>М_К_П3.2.2.6</vt:lpstr>
      <vt:lpstr>М_К_П3.2.2.7</vt:lpstr>
      <vt:lpstr>М_К_П3.3</vt:lpstr>
      <vt:lpstr>М_К_П3.3.6</vt:lpstr>
      <vt:lpstr>М_К_П3.3.7</vt:lpstr>
      <vt:lpstr>М_К_П3.4</vt:lpstr>
      <vt:lpstr>М_К_П3.5</vt:lpstr>
      <vt:lpstr>М_К_П3.6</vt:lpstr>
      <vt:lpstr>М_К_П3.6.5</vt:lpstr>
      <vt:lpstr>М_К_П3.7</vt:lpstr>
      <vt:lpstr>М_К_П3.8</vt:lpstr>
      <vt:lpstr>М_К_П3.8.2</vt:lpstr>
      <vt:lpstr>М_К_П3.8.3</vt:lpstr>
      <vt:lpstr>М_К_П3.9</vt:lpstr>
      <vt:lpstr>М_Н_П3.2.1</vt:lpstr>
      <vt:lpstr>М_Н_П3.2.2</vt:lpstr>
      <vt:lpstr>М_Н_П3.2.2.6</vt:lpstr>
      <vt:lpstr>М_Н_П3.2.2.7</vt:lpstr>
      <vt:lpstr>М_Н_П3.3</vt:lpstr>
      <vt:lpstr>М_Н_П3.3.6</vt:lpstr>
      <vt:lpstr>М_Н_П3.3.7</vt:lpstr>
      <vt:lpstr>М_Н_П3.4</vt:lpstr>
      <vt:lpstr>М_Н_П3.5</vt:lpstr>
      <vt:lpstr>М_Н_П3.6</vt:lpstr>
      <vt:lpstr>М_Н_П3.6.5</vt:lpstr>
      <vt:lpstr>М_Н_П3.7</vt:lpstr>
      <vt:lpstr>М_Н_П3.8</vt:lpstr>
      <vt:lpstr>М_Н_П3.8.2</vt:lpstr>
      <vt:lpstr>М_Н_П3.8.3</vt:lpstr>
      <vt:lpstr>М_Н_П3.9</vt:lpstr>
      <vt:lpstr>Общие!О_Б_4.1</vt:lpstr>
      <vt:lpstr>Общие!О_Б_4.1.7</vt:lpstr>
      <vt:lpstr>Общие!О_Б_4.10</vt:lpstr>
      <vt:lpstr>Общие!О_Б_4.11</vt:lpstr>
      <vt:lpstr>Общие!О_Б_4.2</vt:lpstr>
      <vt:lpstr>Общие!О_Б_4.2.23</vt:lpstr>
      <vt:lpstr>Общие!О_Б_4.3</vt:lpstr>
      <vt:lpstr>Общие!О_Б_4.3.8</vt:lpstr>
      <vt:lpstr>Общие!О_Б_4.4</vt:lpstr>
      <vt:lpstr>Общие!О_Б_4.5</vt:lpstr>
      <vt:lpstr>Общие!О_Б_4.5.10</vt:lpstr>
      <vt:lpstr>Общие!О_Б_4.5.8</vt:lpstr>
      <vt:lpstr>Общие!О_Б_4.5.9</vt:lpstr>
      <vt:lpstr>Общие!О_Б_4.6</vt:lpstr>
      <vt:lpstr>Общие!О_Б_4.7</vt:lpstr>
      <vt:lpstr>Общие!О_К_4.1</vt:lpstr>
      <vt:lpstr>Общие!О_К_4.1.7</vt:lpstr>
      <vt:lpstr>Общие!О_К_4.10</vt:lpstr>
      <vt:lpstr>Общие!О_К_4.11</vt:lpstr>
      <vt:lpstr>Общие!О_К_4.2</vt:lpstr>
      <vt:lpstr>Общие!О_К_4.2.23</vt:lpstr>
      <vt:lpstr>Общие!О_К_4.3</vt:lpstr>
      <vt:lpstr>Общие!О_К_4.3.8</vt:lpstr>
      <vt:lpstr>Общие!О_К_4.4</vt:lpstr>
      <vt:lpstr>Общие!О_К_4.5</vt:lpstr>
      <vt:lpstr>Общие!О_К_4.5.10</vt:lpstr>
      <vt:lpstr>Общие!О_К_4.5.8</vt:lpstr>
      <vt:lpstr>Общие!О_К_4.5.9</vt:lpstr>
      <vt:lpstr>Общие!О_К_4.6</vt:lpstr>
      <vt:lpstr>Общие!О_К_4.7</vt:lpstr>
      <vt:lpstr>Общие!О_Н_4.1</vt:lpstr>
      <vt:lpstr>Общие!О_Н_4.1.7</vt:lpstr>
      <vt:lpstr>Общие!О_Н_4.10</vt:lpstr>
      <vt:lpstr>Общие!О_Н_4.11</vt:lpstr>
      <vt:lpstr>Общие!О_Н_4.2</vt:lpstr>
      <vt:lpstr>Общие!О_Н_4.2.23</vt:lpstr>
      <vt:lpstr>Общие!О_Н_4.3</vt:lpstr>
      <vt:lpstr>Общие!О_Н_4.3.8</vt:lpstr>
      <vt:lpstr>Общие!О_Н_4.4</vt:lpstr>
      <vt:lpstr>Общие!О_Н_4.5</vt:lpstr>
      <vt:lpstr>Общие!О_Н_4.5.10</vt:lpstr>
      <vt:lpstr>Общие!О_Н_4.5.8</vt:lpstr>
      <vt:lpstr>Общие!О_Н_4.5.9</vt:lpstr>
      <vt:lpstr>Общие!О_Н_4.6</vt:lpstr>
      <vt:lpstr>Общие!О_Н_4.7</vt:lpstr>
      <vt:lpstr>Web!Область_печати</vt:lpstr>
      <vt:lpstr>Мобильные!Область_печати</vt:lpstr>
      <vt:lpstr>Общие!Область_печати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2026-03-30T13:17:16Z</dcterms:modified>
</cp:coreProperties>
</file>