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_rels/workbook.xml.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_rels/sheet7.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2.xml" ContentType="application/vnd.openxmlformats-officedocument.drawing+xml"/>
  <Override PartName="/xl/drawings/vmlDrawing4.vml" ContentType="application/vnd.openxmlformats-officedocument.vmlDrawing"/>
  <Override PartName="/xl/drawings/vmlDrawing2.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drawing4.xml" ContentType="application/vnd.openxmlformats-officedocument.drawing+xml"/>
  <Override PartName="/xl/drawings/vmlDrawing6.vml" ContentType="application/vnd.openxmlformats-officedocument.vmlDrawing"/>
  <Override PartName="/xl/drawings/drawing5.xml" ContentType="application/vnd.openxmlformats-officedocument.drawing+xml"/>
  <Override PartName="/xl/drawings/drawing6.xml" ContentType="application/vnd.openxmlformats-officedocument.drawing+xml"/>
  <Override PartName="/xl/comments7.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5" activeTab="5"/>
  </bookViews>
  <sheets>
    <sheet name="не брать" sheetId="1" state="hidden" r:id="rId2"/>
    <sheet name="общий расчет1 " sheetId="2" state="hidden" r:id="rId3"/>
    <sheet name="общий расчет(до РГС)" sheetId="3" state="hidden" r:id="rId4"/>
    <sheet name="общий расчет (после РГС)..." sheetId="4" state="hidden" r:id="rId5"/>
    <sheet name="Материалы Подряд.+Давальч.мат" sheetId="5" state="hidden" r:id="rId6"/>
    <sheet name="Матер. и Оборуд" sheetId="6" state="visible" r:id="rId7"/>
    <sheet name="Оборудование" sheetId="7" state="hidden" r:id="rId8"/>
  </sheets>
  <definedNames>
    <definedName function="false" hidden="true" localSheetId="4" name="_xlnm._FilterDatabase" vbProcedure="false">'Материалы Подряд.+Давальч.мат'!$A$10:$S$370</definedName>
    <definedName function="false" hidden="true" localSheetId="0" name="_xlnm._FilterDatabase" vbProcedure="false">'не брать'!$A$10:$S$332</definedName>
    <definedName function="false" hidden="true" localSheetId="6" name="_xlnm._FilterDatabase" vbProcedure="false">Оборудование!$A$10:$T$62</definedName>
    <definedName function="false" hidden="true" localSheetId="3" name="_xlnm._FilterDatabase" vbProcedure="false">'общий расчет (после РГС)...'!$A$10:$R$334</definedName>
    <definedName function="false" hidden="true" localSheetId="2" name="_xlnm._FilterDatabase" vbProcedure="false">'общий расчет(до РГС)'!$A$10:$R$334</definedName>
    <definedName function="false" hidden="true" localSheetId="1" name="_xlnm._FilterDatabase" vbProcedure="false">'общий расчет1 '!$A$10:$S$334</definedName>
    <definedName function="false" hidden="false" localSheetId="0" name="Print_Area" vbProcedure="false">'не брать'!$A$1:$Q$333</definedName>
    <definedName function="false" hidden="false" localSheetId="0" name="_FilterDatabase" vbProcedure="false">'не брать'!$B$9:$Q$333</definedName>
    <definedName function="false" hidden="false" localSheetId="0" name="_ftn1" vbProcedure="false">'не брать'!#ref!</definedName>
    <definedName function="false" hidden="false" localSheetId="0" name="_ftnref1" vbProcedure="false">'не брать'!$B$337</definedName>
    <definedName function="false" hidden="false" localSheetId="1" name="Print_Area" vbProcedure="false">'общий расчет1 '!$A$1:$Q$335</definedName>
    <definedName function="false" hidden="false" localSheetId="1" name="_FilterDatabase" vbProcedure="false">'общий расчет1 '!$B$9:$Q$335</definedName>
    <definedName function="false" hidden="false" localSheetId="1" name="_ftn1" vbProcedure="false">'общий расчет1 '!#ref!</definedName>
    <definedName function="false" hidden="false" localSheetId="1" name="_ftnref1" vbProcedure="false">'общий расчет1 '!$B$339</definedName>
    <definedName function="false" hidden="false" localSheetId="2" name="Print_Area" vbProcedure="false">'общий расчет(до РГС)'!$A$1:$P$335</definedName>
    <definedName function="false" hidden="false" localSheetId="2" name="_FilterDatabase" vbProcedure="false">'общий расчет(до РГС)'!$B$9:$P$335</definedName>
    <definedName function="false" hidden="false" localSheetId="2" name="_ftn1" vbProcedure="false">'общий расчет(до ргс)'!#ref!</definedName>
    <definedName function="false" hidden="false" localSheetId="2" name="_ftnref1" vbProcedure="false">'общий расчет(до РГС)'!$B$339</definedName>
    <definedName function="false" hidden="false" localSheetId="3" name="Print_Area" vbProcedure="false">'общий расчет (после РГС)...'!$A$1:$P$335</definedName>
    <definedName function="false" hidden="false" localSheetId="3" name="_FilterDatabase" vbProcedure="false">'общий расчет (после РГС)...'!$B$9:$P$335</definedName>
    <definedName function="false" hidden="false" localSheetId="3" name="_ftn1" vbProcedure="false">'общий расчет (после ргс)...'!#ref!</definedName>
    <definedName function="false" hidden="false" localSheetId="3" name="_ftnref1" vbProcedure="false">'общий расчет (после РГС)...'!$B$339</definedName>
    <definedName function="false" hidden="false" localSheetId="4" name="Print_Area" vbProcedure="false">'Материалы Подряд.+Давальч.мат'!$A$1:$Q$371</definedName>
    <definedName function="false" hidden="false" localSheetId="4" name="_FilterDatabase" vbProcedure="false">'Материалы Подряд.+Давальч.мат'!$B$9:$Q$371</definedName>
    <definedName function="false" hidden="false" localSheetId="4" name="_ftn1" vbProcedure="false">'материалы подряд.+давальч.мат'!#ref!</definedName>
    <definedName function="false" hidden="false" localSheetId="4" name="_ftnref1" vbProcedure="false">'материалы подряд.+давальч.мат'!#ref!</definedName>
    <definedName function="false" hidden="false" localSheetId="5" name="Print_Area" vbProcedure="false">'Матер. и Оборуд'!$A$1:$D$238</definedName>
    <definedName function="false" hidden="false" localSheetId="5" name="_FilterDatabase" vbProcedure="false">'Матер. и Оборуд'!$B$5:$D$238</definedName>
    <definedName function="false" hidden="false" localSheetId="5" name="_ftn1" vbProcedure="false">'матер. и оборуд'!#ref!</definedName>
    <definedName function="false" hidden="false" localSheetId="5" name="_ftnref1" vbProcedure="false">'матер. и оборуд'!#ref!</definedName>
    <definedName function="false" hidden="false" localSheetId="6" name="Print_Area" vbProcedure="false">Оборудование!$A$1:$R$63</definedName>
    <definedName function="false" hidden="false" localSheetId="6" name="_FilterDatabase" vbProcedure="false">Оборудование!$B$9:$R$63</definedName>
    <definedName function="false" hidden="false" localSheetId="6" name="_ftn1" vbProcedure="false">оборудование!#REF!</definedName>
    <definedName function="false" hidden="false" localSheetId="6" name="_ftnref1" vbProcedure="false">оборудование!#REF!</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t</author>
  </authors>
  <commentList>
    <comment ref="Q7" authorId="0">
      <text>
        <r>
          <rPr>
            <sz val="11"/>
            <color rgb="FF000000"/>
            <rFont val="Calibri"/>
            <family val="2"/>
            <charset val="1"/>
          </rPr>
          <t xml:space="preserve">Автор:
</t>
        </r>
        <r>
          <rPr>
            <sz val="9"/>
            <color rgb="FF000000"/>
            <rFont val="Tahoma"/>
            <family val="2"/>
            <charset val="204"/>
          </rPr>
          <t xml:space="preserve">в данном столбце, автоматически выделяется красной заливкой превышение свыше 0
</t>
        </r>
      </text>
    </comment>
    <comment ref="R7" authorId="0">
      <text>
        <r>
          <rPr>
            <sz val="11"/>
            <color rgb="FF000000"/>
            <rFont val="Calibri"/>
            <family val="2"/>
            <charset val="1"/>
          </rPr>
          <t xml:space="preserve">Автор:
</t>
        </r>
        <r>
          <rPr>
            <sz val="9"/>
            <color rgb="FF000000"/>
            <rFont val="Tahoma"/>
            <family val="2"/>
            <charset val="204"/>
          </rPr>
          <t xml:space="preserve">добавила, для исключения замечаний, выдаваемых от группы мониторинга</t>
        </r>
      </text>
    </comment>
    <comment ref="U7" authorId="0">
      <text>
        <r>
          <rPr>
            <sz val="11"/>
            <color rgb="FF000000"/>
            <rFont val="Calibri"/>
            <family val="2"/>
            <charset val="1"/>
          </rPr>
          <t xml:space="preserve">Автор:
</t>
        </r>
        <r>
          <rPr>
            <sz val="9"/>
            <color rgb="FF000000"/>
            <rFont val="Tahoma"/>
            <family val="2"/>
            <charset val="204"/>
          </rPr>
          <t xml:space="preserve">автоматически выделяются:
*красной заливкой превышение свыше 20% от среднеарифметической 
*оранжевой заливкой - превышение менее 20%</t>
        </r>
      </text>
    </comment>
  </commentList>
</comments>
</file>

<file path=xl/comments2.xml><?xml version="1.0" encoding="utf-8"?>
<comments xmlns="http://schemas.openxmlformats.org/spreadsheetml/2006/main" xmlns:xdr="http://schemas.openxmlformats.org/drawingml/2006/spreadsheetDrawing">
  <authors>
    <author>t</author>
  </authors>
  <commentList>
    <comment ref="Q7" authorId="0">
      <text>
        <r>
          <rPr>
            <sz val="11"/>
            <color rgb="FF000000"/>
            <rFont val="Calibri"/>
            <family val="2"/>
            <charset val="1"/>
          </rPr>
          <t xml:space="preserve">Автор:
</t>
        </r>
        <r>
          <rPr>
            <sz val="9"/>
            <color rgb="FF000000"/>
            <rFont val="Tahoma"/>
            <family val="2"/>
            <charset val="204"/>
          </rPr>
          <t xml:space="preserve">в данном столбце, автоматически выделяется красной заливкой превышение свыше 0
</t>
        </r>
      </text>
    </comment>
    <comment ref="R7" authorId="0">
      <text>
        <r>
          <rPr>
            <sz val="11"/>
            <color rgb="FF000000"/>
            <rFont val="Calibri"/>
            <family val="2"/>
            <charset val="1"/>
          </rPr>
          <t xml:space="preserve">Автор:
</t>
        </r>
        <r>
          <rPr>
            <sz val="9"/>
            <color rgb="FF000000"/>
            <rFont val="Tahoma"/>
            <family val="2"/>
            <charset val="204"/>
          </rPr>
          <t xml:space="preserve">добавила, для исключения замечаний, выдаваемых от группы мониторинга</t>
        </r>
      </text>
    </comment>
    <comment ref="U7" authorId="0">
      <text>
        <r>
          <rPr>
            <sz val="11"/>
            <color rgb="FF000000"/>
            <rFont val="Calibri"/>
            <family val="2"/>
            <charset val="1"/>
          </rPr>
          <t xml:space="preserve">Автор:
</t>
        </r>
        <r>
          <rPr>
            <sz val="9"/>
            <color rgb="FF000000"/>
            <rFont val="Tahoma"/>
            <family val="2"/>
            <charset val="204"/>
          </rPr>
          <t xml:space="preserve">автоматически выделяются:
*красной заливкой превышение свыше 20% от среднеарифметической 
*оранжевой заливкой - превышение менее 20%</t>
        </r>
      </text>
    </comment>
  </commentList>
</comments>
</file>

<file path=xl/comments3.xml><?xml version="1.0" encoding="utf-8"?>
<comments xmlns="http://schemas.openxmlformats.org/spreadsheetml/2006/main" xmlns:xdr="http://schemas.openxmlformats.org/drawingml/2006/spreadsheetDrawing">
  <authors>
    <author>t</author>
  </authors>
  <commentList>
    <comment ref="P7" authorId="0">
      <text>
        <r>
          <rPr>
            <sz val="11"/>
            <color rgb="FF000000"/>
            <rFont val="Calibri"/>
            <family val="2"/>
            <charset val="1"/>
          </rPr>
          <t xml:space="preserve">Автор:
</t>
        </r>
        <r>
          <rPr>
            <sz val="9"/>
            <color rgb="FF000000"/>
            <rFont val="Tahoma"/>
            <family val="2"/>
            <charset val="204"/>
          </rPr>
          <t xml:space="preserve">в данном столбце, автоматически выделяется красной заливкой превышение свыше 0
</t>
        </r>
      </text>
    </comment>
    <comment ref="Q7" authorId="0">
      <text>
        <r>
          <rPr>
            <sz val="11"/>
            <color rgb="FF000000"/>
            <rFont val="Calibri"/>
            <family val="2"/>
            <charset val="1"/>
          </rPr>
          <t xml:space="preserve">Автор:
</t>
        </r>
        <r>
          <rPr>
            <sz val="9"/>
            <color rgb="FF000000"/>
            <rFont val="Tahoma"/>
            <family val="2"/>
            <charset val="204"/>
          </rPr>
          <t xml:space="preserve">добавила, для исключения замечаний, выдаваемых от группы мониторинга</t>
        </r>
      </text>
    </comment>
    <comment ref="T7" authorId="0">
      <text>
        <r>
          <rPr>
            <sz val="11"/>
            <color rgb="FF000000"/>
            <rFont val="Calibri"/>
            <family val="2"/>
            <charset val="1"/>
          </rPr>
          <t xml:space="preserve">Автор:
</t>
        </r>
        <r>
          <rPr>
            <sz val="9"/>
            <color rgb="FF000000"/>
            <rFont val="Tahoma"/>
            <family val="2"/>
            <charset val="204"/>
          </rPr>
          <t xml:space="preserve">автоматически выделяются:
*красной заливкой превышение свыше 20% от среднеарифметической 
*оранжевой заливкой - превышение менее 20%</t>
        </r>
      </text>
    </comment>
  </commentList>
</comments>
</file>

<file path=xl/comments4.xml><?xml version="1.0" encoding="utf-8"?>
<comments xmlns="http://schemas.openxmlformats.org/spreadsheetml/2006/main" xmlns:xdr="http://schemas.openxmlformats.org/drawingml/2006/spreadsheetDrawing">
  <authors>
    <author>t</author>
  </authors>
  <commentList>
    <comment ref="P7" authorId="0">
      <text>
        <r>
          <rPr>
            <sz val="11"/>
            <color rgb="FF000000"/>
            <rFont val="Calibri"/>
            <family val="2"/>
            <charset val="1"/>
          </rPr>
          <t xml:space="preserve">Автор:
</t>
        </r>
        <r>
          <rPr>
            <sz val="9"/>
            <color rgb="FF000000"/>
            <rFont val="Tahoma"/>
            <family val="2"/>
            <charset val="204"/>
          </rPr>
          <t xml:space="preserve">в данном столбце, автоматически выделяется красной заливкой превышение свыше 0
</t>
        </r>
      </text>
    </comment>
    <comment ref="Q7" authorId="0">
      <text>
        <r>
          <rPr>
            <sz val="11"/>
            <color rgb="FF000000"/>
            <rFont val="Calibri"/>
            <family val="2"/>
            <charset val="1"/>
          </rPr>
          <t xml:space="preserve">Автор:
</t>
        </r>
        <r>
          <rPr>
            <sz val="9"/>
            <color rgb="FF000000"/>
            <rFont val="Tahoma"/>
            <family val="2"/>
            <charset val="204"/>
          </rPr>
          <t xml:space="preserve">добавила, для исключения замечаний, выдаваемых от группы мониторинга</t>
        </r>
      </text>
    </comment>
    <comment ref="T7" authorId="0">
      <text>
        <r>
          <rPr>
            <sz val="11"/>
            <color rgb="FF000000"/>
            <rFont val="Calibri"/>
            <family val="2"/>
            <charset val="1"/>
          </rPr>
          <t xml:space="preserve">Автор:
</t>
        </r>
        <r>
          <rPr>
            <sz val="9"/>
            <color rgb="FF000000"/>
            <rFont val="Tahoma"/>
            <family val="2"/>
            <charset val="204"/>
          </rPr>
          <t xml:space="preserve">автоматически выделяются:
*красной заливкой превышение свыше 20% от среднеарифметической 
*оранжевой заливкой - превышение менее 20%</t>
        </r>
      </text>
    </comment>
  </commentList>
</comments>
</file>

<file path=xl/comments5.xml><?xml version="1.0" encoding="utf-8"?>
<comments xmlns="http://schemas.openxmlformats.org/spreadsheetml/2006/main" xmlns:xdr="http://schemas.openxmlformats.org/drawingml/2006/spreadsheetDrawing">
  <authors>
    <author>t</author>
  </authors>
  <commentList>
    <comment ref="Q7" authorId="0">
      <text>
        <r>
          <rPr>
            <sz val="11"/>
            <color rgb="FF000000"/>
            <rFont val="Calibri"/>
            <family val="2"/>
            <charset val="1"/>
          </rPr>
          <t xml:space="preserve">Автор:
</t>
        </r>
        <r>
          <rPr>
            <sz val="9"/>
            <color rgb="FF000000"/>
            <rFont val="Tahoma"/>
            <family val="2"/>
            <charset val="204"/>
          </rPr>
          <t xml:space="preserve">в данном столбце, автоматически выделяется красной заливкой превышение свыше 0
</t>
        </r>
      </text>
    </comment>
    <comment ref="R7" authorId="0">
      <text>
        <r>
          <rPr>
            <sz val="11"/>
            <color rgb="FF000000"/>
            <rFont val="Calibri"/>
            <family val="2"/>
            <charset val="1"/>
          </rPr>
          <t xml:space="preserve">Автор:
</t>
        </r>
        <r>
          <rPr>
            <sz val="9"/>
            <color rgb="FF000000"/>
            <rFont val="Tahoma"/>
            <family val="2"/>
            <charset val="204"/>
          </rPr>
          <t xml:space="preserve">добавила, для исключения замечаний, выдаваемых от группы мониторинга</t>
        </r>
      </text>
    </comment>
    <comment ref="U7" authorId="0">
      <text>
        <r>
          <rPr>
            <sz val="11"/>
            <color rgb="FF000000"/>
            <rFont val="Calibri"/>
            <family val="2"/>
            <charset val="1"/>
          </rPr>
          <t xml:space="preserve">Автор:
</t>
        </r>
        <r>
          <rPr>
            <sz val="9"/>
            <color rgb="FF000000"/>
            <rFont val="Tahoma"/>
            <family val="2"/>
            <charset val="204"/>
          </rPr>
          <t xml:space="preserve">автоматически выделяются:
*красной заливкой превышение свыше 20% от среднеарифметической 
*оранжевой заливкой - превышение менее 20%</t>
        </r>
      </text>
    </comment>
  </commentList>
</comments>
</file>

<file path=xl/comments7.xml><?xml version="1.0" encoding="utf-8"?>
<comments xmlns="http://schemas.openxmlformats.org/spreadsheetml/2006/main" xmlns:xdr="http://schemas.openxmlformats.org/drawingml/2006/spreadsheetDrawing">
  <authors>
    <author>t</author>
  </authors>
  <commentList>
    <comment ref="R7" authorId="0">
      <text>
        <r>
          <rPr>
            <sz val="11"/>
            <color rgb="FF000000"/>
            <rFont val="Calibri"/>
            <family val="2"/>
            <charset val="1"/>
          </rPr>
          <t xml:space="preserve">Автор:
</t>
        </r>
        <r>
          <rPr>
            <sz val="9"/>
            <color rgb="FF000000"/>
            <rFont val="Tahoma"/>
            <family val="2"/>
            <charset val="204"/>
          </rPr>
          <t xml:space="preserve">в данном столбце, автоматически выделяется красной заливкой превышение свыше 0
</t>
        </r>
      </text>
    </comment>
    <comment ref="S7" authorId="0">
      <text>
        <r>
          <rPr>
            <sz val="11"/>
            <color rgb="FF000000"/>
            <rFont val="Calibri"/>
            <family val="2"/>
            <charset val="1"/>
          </rPr>
          <t xml:space="preserve">Автор:
</t>
        </r>
        <r>
          <rPr>
            <sz val="9"/>
            <color rgb="FF000000"/>
            <rFont val="Tahoma"/>
            <family val="2"/>
            <charset val="204"/>
          </rPr>
          <t xml:space="preserve">добавила, для исключения замечаний, выдаваемых от группы мониторинга</t>
        </r>
      </text>
    </comment>
    <comment ref="V7" authorId="0">
      <text>
        <r>
          <rPr>
            <sz val="11"/>
            <color rgb="FF000000"/>
            <rFont val="Calibri"/>
            <family val="2"/>
            <charset val="1"/>
          </rPr>
          <t xml:space="preserve">Автор:
</t>
        </r>
        <r>
          <rPr>
            <sz val="9"/>
            <color rgb="FF000000"/>
            <rFont val="Tahoma"/>
            <family val="2"/>
            <charset val="204"/>
          </rPr>
          <t xml:space="preserve">автоматически выделяются:
*красной заливкой превышение свыше 20% от среднеарифметической 
*оранжевой заливкой - превышение менее 20%</t>
        </r>
      </text>
    </comment>
  </commentList>
</comments>
</file>

<file path=xl/sharedStrings.xml><?xml version="1.0" encoding="utf-8"?>
<sst xmlns="http://schemas.openxmlformats.org/spreadsheetml/2006/main" count="8366" uniqueCount="1027">
  <si>
    <t xml:space="preserve">Приложение №3</t>
  </si>
  <si>
    <t xml:space="preserve">к Требованиям к оформлению и составлению сметной документации на работы по программе ремонтов </t>
  </si>
  <si>
    <t xml:space="preserve">                                                ПРИМЕР</t>
  </si>
  <si>
    <t xml:space="preserve">Метод анализа ТКП </t>
  </si>
  <si>
    <t xml:space="preserve">№ п/п</t>
  </si>
  <si>
    <t xml:space="preserve">Наименование планируемой к закупке продукции</t>
  </si>
  <si>
    <t xml:space="preserve">Единица изменения</t>
  </si>
  <si>
    <t xml:space="preserve">Требуемое количество</t>
  </si>
  <si>
    <t xml:space="preserve">Цена 2022 года</t>
  </si>
  <si>
    <t xml:space="preserve">Цена за ед. в смете, руб. без НДС</t>
  </si>
  <si>
    <t xml:space="preserve">Источник информации-1</t>
  </si>
  <si>
    <t xml:space="preserve">Источник информации-2</t>
  </si>
  <si>
    <t xml:space="preserve">Источник информации-3</t>
  </si>
  <si>
    <r>
      <rPr>
        <b val="true"/>
        <sz val="16"/>
        <rFont val="Arial"/>
        <family val="2"/>
        <charset val="204"/>
      </rPr>
      <t xml:space="preserve">Средне арифметическая </t>
    </r>
    <r>
      <rPr>
        <b val="true"/>
        <sz val="16"/>
        <color rgb="FF00B050"/>
        <rFont val="Arial"/>
        <family val="2"/>
        <charset val="204"/>
      </rPr>
      <t xml:space="preserve">(за единицу)</t>
    </r>
    <r>
      <rPr>
        <b val="true"/>
        <sz val="16"/>
        <rFont val="Arial"/>
        <family val="2"/>
        <charset val="204"/>
      </rPr>
      <t xml:space="preserve">, руб. без НДС
</t>
    </r>
    <r>
      <rPr>
        <sz val="11"/>
        <rFont val="Arial"/>
        <family val="2"/>
        <charset val="204"/>
      </rPr>
      <t xml:space="preserve">(гр.7+гр.10+гр.13)/3,
где 3 – количество указанных источников ценовой информации </t>
    </r>
  </si>
  <si>
    <t xml:space="preserve">% отклонения цены за ед. в смете от средне арифметической </t>
  </si>
  <si>
    <r>
      <rPr>
        <b val="true"/>
        <sz val="16"/>
        <rFont val="Arial"/>
        <family val="2"/>
        <charset val="204"/>
      </rPr>
      <t xml:space="preserve">Цена</t>
    </r>
    <r>
      <rPr>
        <b val="true"/>
        <sz val="16"/>
        <color rgb="FFFF0000"/>
        <rFont val="Arial"/>
        <family val="2"/>
        <charset val="204"/>
      </rPr>
      <t xml:space="preserve"> </t>
    </r>
    <r>
      <rPr>
        <b val="true"/>
        <sz val="16"/>
        <color rgb="FF00B050"/>
        <rFont val="Arial"/>
        <family val="2"/>
        <charset val="204"/>
      </rPr>
      <t xml:space="preserve">(за весь объем по смете)</t>
    </r>
    <r>
      <rPr>
        <b val="true"/>
        <sz val="16"/>
        <rFont val="Arial"/>
        <family val="2"/>
        <charset val="204"/>
      </rPr>
      <t xml:space="preserve">, руб. без НДС
</t>
    </r>
    <r>
      <rPr>
        <sz val="11"/>
        <rFont val="Arial"/>
        <family val="2"/>
        <charset val="204"/>
      </rPr>
      <t xml:space="preserve">(гр.4*гр.5)</t>
    </r>
  </si>
  <si>
    <t xml:space="preserve">КОММЕНТАРИЙ</t>
  </si>
  <si>
    <t xml:space="preserve">% отклонения от среднеарифметической (не должен быть более 20%)</t>
  </si>
  <si>
    <t xml:space="preserve">Наименование источника информации</t>
  </si>
  <si>
    <t xml:space="preserve">Стоимость продукции (за единицу), руб. без НДС</t>
  </si>
  <si>
    <t xml:space="preserve">Стоимость продукции (за весь объем), руб. без НДС</t>
  </si>
  <si>
    <t xml:space="preserve">Стоимость продукции (за единицу) с учетом ценообразующих факторов, тыс. руб. без НДС</t>
  </si>
  <si>
    <t xml:space="preserve">Стоимость продукции (за весь объем) с учетом ценообразующих факторов, руб. без НДС</t>
  </si>
  <si>
    <t xml:space="preserve">Материалы</t>
  </si>
  <si>
    <t xml:space="preserve">2-клавишный выключатель Schneider Electric BLANCA 10А, 250B, БЕЛЫЙ BLNVS010501</t>
  </si>
  <si>
    <t xml:space="preserve">ШТ</t>
  </si>
  <si>
    <t xml:space="preserve">-</t>
  </si>
  <si>
    <t xml:space="preserve">КП №31/05_23 от 31.05.23 ООО Проэнергетик </t>
  </si>
  <si>
    <t xml:space="preserve">КП б.н от 26.05.23 ООО ДС-Индастриал</t>
  </si>
  <si>
    <t xml:space="preserve">КП №33 от 24.05.23 ООО ЭнергоХимТорг</t>
  </si>
  <si>
    <t xml:space="preserve">AMV 30 220в Электропривод Danfoss 082G3011</t>
  </si>
  <si>
    <t xml:space="preserve">Счет №495 от 03.05.23 ООО ЭкоСтройКлимат</t>
  </si>
  <si>
    <t xml:space="preserve">Счет №6305 от 03.05.23 ООО Фаворит</t>
  </si>
  <si>
    <t xml:space="preserve">Счет №2302301 от 04.05.23 ООО Пайор</t>
  </si>
  <si>
    <t xml:space="preserve">AMV 33 220в Электропривод Danfoss 082G3013</t>
  </si>
  <si>
    <t xml:space="preserve">DIN-рейка перфорированная 35х15мм L1000 1.5мм усиленная PROxima EKF tdr-1.0</t>
  </si>
  <si>
    <t xml:space="preserve">DIN-рейка перфорированная 35х15мм L2000 1.5мм усиленная PROxima EKF tdr-2.0</t>
  </si>
  <si>
    <t xml:space="preserve">ESCA Лоток перфорированный 100х100х3000 IEK CLP10-100-100-3</t>
  </si>
  <si>
    <t xml:space="preserve">Loctite 510 Уплотнитель для жестких фланцев, высокотемпературный(50мл)</t>
  </si>
  <si>
    <t xml:space="preserve">КП б.н. от 24.05.23 ООО Техноторг </t>
  </si>
  <si>
    <t xml:space="preserve">Счет №8771 от 04.05.23 ООО ТББС</t>
  </si>
  <si>
    <t xml:space="preserve">КП №28 от 22.05.23 ООО Адис</t>
  </si>
  <si>
    <t xml:space="preserve">АВДТ с защитой от сверхтоков YON MDR63-22C20-A (2п, 30mA) DKC</t>
  </si>
  <si>
    <t xml:space="preserve">56</t>
  </si>
  <si>
    <t xml:space="preserve">Автогерметик прокладка 60 гр BSi, универсальный, маслобензостойкий 250 С.</t>
  </si>
  <si>
    <t xml:space="preserve">КГ</t>
  </si>
  <si>
    <t xml:space="preserve">КП б.н. от 25.05.23 ООО Инсис</t>
  </si>
  <si>
    <t xml:space="preserve">Автоматический выключатель IEK ВА47-60M 1Р 10А 6кА MVA31-1-010-C</t>
  </si>
  <si>
    <t xml:space="preserve">Автоматический выключатель IEK ВА47-60M 1Р 20А 6кА С MVA31-1-020-C</t>
  </si>
  <si>
    <t xml:space="preserve">Автоматический модульный выключатель DKC YON MD63 1P 10А C 6kA MD63-1C10-6</t>
  </si>
  <si>
    <t xml:space="preserve">Автоматический модульный выключатель DKC YON MD63 1P 20А C 6kA MD63-1C20-6</t>
  </si>
  <si>
    <t xml:space="preserve">Автоматический модульный выключатель DKC YON MD63 3P 20А C 6kA MD63-3C20-6</t>
  </si>
  <si>
    <t xml:space="preserve">Автошампунь REIN PREMIUM</t>
  </si>
  <si>
    <t xml:space="preserve">Л</t>
  </si>
  <si>
    <t xml:space="preserve">Счет №СВ-186 от 26.05.23 ООО СварТекс</t>
  </si>
  <si>
    <t xml:space="preserve">Азот газообразный (Баллон 40 литров), ГОСТ 9293-74</t>
  </si>
  <si>
    <t xml:space="preserve">Счет №ЦБ-101 от 24.05.23 ИП Ермолаев Д.В.</t>
  </si>
  <si>
    <t xml:space="preserve">КП б.н. от 26.05.23 ООО Развитие</t>
  </si>
  <si>
    <t xml:space="preserve">КП №25/23 от 26.05.23 ООО Контракт Комплект XXI</t>
  </si>
  <si>
    <t xml:space="preserve">Анкерный болт 8х60 с шестигранной головкой IEK</t>
  </si>
  <si>
    <t xml:space="preserve">Арматура сигнальная ML1-100G 220В зеленая</t>
  </si>
  <si>
    <t xml:space="preserve">Асбест листовой толщ. 3-5 мм ГОСТ 2850-80</t>
  </si>
  <si>
    <t xml:space="preserve">Счет №ЕМА6912 от 15.05.23 ООО НПП ТрубТехАрматура</t>
  </si>
  <si>
    <t xml:space="preserve">Блок аварийного питания БАП58-1,0 ИЭК LLVPOD-EPK-58-1H</t>
  </si>
  <si>
    <t xml:space="preserve">Боковые элементы цоколя ZA 00.30 S v.2 из коррозионно-стойкой стали, Провенто</t>
  </si>
  <si>
    <t xml:space="preserve">КОМПЛ</t>
  </si>
  <si>
    <t xml:space="preserve">Счет №15551 от 15.05.23 ООО ЭлекКом Логистик</t>
  </si>
  <si>
    <t xml:space="preserve">КП б.н. от 22.05.23 ООО Промэлектрощит</t>
  </si>
  <si>
    <t xml:space="preserve">КП №30 от 19.05.23 ООО Электромонтаж</t>
  </si>
  <si>
    <t xml:space="preserve">Передние и задние элементы цоколя ZA 80.00 S v.2 из коррозионно-стойкой стали, Провенто</t>
  </si>
  <si>
    <t xml:space="preserve">болт (рифлёных щитов) М12; Н=10; I=16; S=22 ст.3</t>
  </si>
  <si>
    <t xml:space="preserve">болт (рифлёных щитов) М14; Н=10; I=25; S=22 ст.3</t>
  </si>
  <si>
    <t xml:space="preserve">болт (УИГ к конусу подставке) М20; Н=10; I=35; ст.3</t>
  </si>
  <si>
    <t xml:space="preserve">Болт оцинкованный М10х60 класс прочности 5,8 DIN 931</t>
  </si>
  <si>
    <t xml:space="preserve">Болт оцинкованный М12х70 класс прочности 5,8 DIN 931</t>
  </si>
  <si>
    <t xml:space="preserve">Болт оцинкованный М16х60 класс прочности 5,8  DIN 931</t>
  </si>
  <si>
    <t xml:space="preserve">Болт оцинкованный М16х80 класс прочности 5,8  DIN 931</t>
  </si>
  <si>
    <t xml:space="preserve">Болт оцинкованный М20х80 класс прочности 5,8  DIN 931</t>
  </si>
  <si>
    <t xml:space="preserve">Болт оцинкованный М6х30 класс прочности 5,8 DIN 931</t>
  </si>
  <si>
    <t xml:space="preserve">Болт оцинкованный М8х60 класс прочности 5,8 DIN 931</t>
  </si>
  <si>
    <t xml:space="preserve">Бязь отбеленная 142 гр/м2 ГОСТ 29298-2005</t>
  </si>
  <si>
    <t xml:space="preserve">М2</t>
  </si>
  <si>
    <t xml:space="preserve">КП №30 от 19.05.23 ООО Элеткромонтаж</t>
  </si>
  <si>
    <t xml:space="preserve">Вентилятор Sunon KDE2408PTV2 постоянного тока DC 80х80х25</t>
  </si>
  <si>
    <t xml:space="preserve">Счет №ПО-393 от 04.05.23 ООО ПромОборудование</t>
  </si>
  <si>
    <t xml:space="preserve">Вентилятор для электрощитов серии 7F производства Finder 7F.20.8.230.2055</t>
  </si>
  <si>
    <t xml:space="preserve">Верхняя панель - козырек R 80.30 S из коррозионно-стойкой стали, Провенто</t>
  </si>
  <si>
    <t xml:space="preserve">Вилки штепсельные 'евро'</t>
  </si>
  <si>
    <t xml:space="preserve">Винт DIN 912 М16х35 с цилиндрической головкой и внутренним шестигранником</t>
  </si>
  <si>
    <t xml:space="preserve">Войлок тонкошерстный для электрооборудования толщиной 3 мм (Войлок ТЭ 3) ГОСТ 11025-78</t>
  </si>
  <si>
    <t xml:space="preserve">Счет №СМ-1183 от 25.05.23 ООО ПромЭнергоСистемы</t>
  </si>
  <si>
    <t xml:space="preserve">Выключатель автоматический T4N 250 TMA 250-2500 3p F F, артикул 1SDA054179R1</t>
  </si>
  <si>
    <t xml:space="preserve">Выключатель автоматический ВА51-35М1-340010-100А-1250-690AC-УХЛ3</t>
  </si>
  <si>
    <t xml:space="preserve">Выключатель автоматический модульный YON MD63-1C10-6 6kA DKC</t>
  </si>
  <si>
    <t xml:space="preserve">Выключатель автоматический модульный YON MD63-1C16-6 6kA DKC </t>
  </si>
  <si>
    <t xml:space="preserve">48</t>
  </si>
  <si>
    <t xml:space="preserve">Выключатель автоматический модульный YON MD63-3C25-10 10kA DKC</t>
  </si>
  <si>
    <t xml:space="preserve">1</t>
  </si>
  <si>
    <t xml:space="preserve">Выключатель автоматический модульный YON MD63-3C32-10 10kA DKC</t>
  </si>
  <si>
    <t xml:space="preserve">Выключатель автоматический модульный YON MD63-3C40-6 6kA DKC</t>
  </si>
  <si>
    <t xml:space="preserve">Выключатель автоматический модульный YON MD63-3C63-10 10kA DKC</t>
  </si>
  <si>
    <t xml:space="preserve">Выключатель двухклавишный для открытой проводки серии 'Прима', марка: А56-029М-В (Schneider Electric)</t>
  </si>
  <si>
    <t xml:space="preserve">Выключатель одноклавишный для открытой проводки серии 'Прима', марка: А16-051М-В (Schneider Electric)</t>
  </si>
  <si>
    <t xml:space="preserve">25</t>
  </si>
  <si>
    <t xml:space="preserve">Выключатель одноклавишный скрытый белый, арт.BC10-001B, ЭТЮД, Schneider Electric</t>
  </si>
  <si>
    <t xml:space="preserve">8</t>
  </si>
  <si>
    <t xml:space="preserve">Выключатель пакетный 3-полюсный, 16А</t>
  </si>
  <si>
    <t xml:space="preserve">Высокотемпературная пластичная смазка с улучшенными характеристиками LGHP2/0,4 SKF</t>
  </si>
  <si>
    <t xml:space="preserve">Счет-Договор №6304 от 04.05.23 ООО Станкопром</t>
  </si>
  <si>
    <t xml:space="preserve">Гайка оцинкованная М10 класс прочности 6 DIN 934</t>
  </si>
  <si>
    <t xml:space="preserve">Гайка оцинкованная М12 класс прочности 6 DIN 934</t>
  </si>
  <si>
    <t xml:space="preserve">Гайка оцинкованная М16 класс прочности 6  DIN 934</t>
  </si>
  <si>
    <t xml:space="preserve">Гайка оцинкованная М20 класс прочности 6  DIN 934</t>
  </si>
  <si>
    <t xml:space="preserve">Гайка оцинкованная М6 класс прочности 6 DIN 934</t>
  </si>
  <si>
    <t xml:space="preserve">Гайка оцинкованная М8 класс прочности 6 DIN 934</t>
  </si>
  <si>
    <t xml:space="preserve">Герметик автомобильный 180 гр.(требуется Герметик автомобильный ТУ 2384-031-15666764-96  250гр.- 2шт.)</t>
  </si>
  <si>
    <t xml:space="preserve">СРЗАиМ</t>
  </si>
  <si>
    <t xml:space="preserve">Грунт Огнетитан Гф-021 ГОСТ 25129-82</t>
  </si>
  <si>
    <t xml:space="preserve">ЛИТР</t>
  </si>
  <si>
    <t xml:space="preserve">КП №27/23 от 29.05.23 ООО Контракт Комплект XXI</t>
  </si>
  <si>
    <t xml:space="preserve">Датчик абсолютной вибрации ИВП-05-0,8/200</t>
  </si>
  <si>
    <t xml:space="preserve">Двухклавишный выключатель Schneider Electric ОП Этюд 10А IP20 белый BA10-002B</t>
  </si>
  <si>
    <t xml:space="preserve">Двухпозиционный тиристорный модуль МТ3-320-18-С1-У2  Протон Электротекс</t>
  </si>
  <si>
    <t xml:space="preserve">Дроссель «GALAD», 1И100ДНаТ46Н 003УХЛ2 220В</t>
  </si>
  <si>
    <t xml:space="preserve">Дроссель 1И150ДНаТ46Н-015 220В</t>
  </si>
  <si>
    <t xml:space="preserve">Дроссель 1И250ДНаТ46-003УХЛ1 220В с ИЗУ</t>
  </si>
  <si>
    <t xml:space="preserve">Дроссель 1И250ДНаТ46Н-003УХЛ2 220В</t>
  </si>
  <si>
    <t xml:space="preserve">Дроссель 1И400ДНаТ/ДРИ47H-003УХЛ2 GALAD</t>
  </si>
  <si>
    <t xml:space="preserve">Дроссель 1И400ДНаТ46Н-001УХЛ2 220В</t>
  </si>
  <si>
    <t xml:space="preserve">Зажим наборный ЗНИ-70мм2 серый ИЭК</t>
  </si>
  <si>
    <t xml:space="preserve">Заклепка вытяжная 3.2х6</t>
  </si>
  <si>
    <t xml:space="preserve">8000</t>
  </si>
  <si>
    <t xml:space="preserve">замок под трехгранный ключ</t>
  </si>
  <si>
    <t xml:space="preserve">Изолента 15ммх20м черная aviora 305 003</t>
  </si>
  <si>
    <t xml:space="preserve">Изолятор керамический неармированный ОАО “Андреапольский фарфоровый завод” тип – 2830 ГОСТ 5862-79</t>
  </si>
  <si>
    <t xml:space="preserve">Изолятор подвесной ПС-160Д</t>
  </si>
  <si>
    <t xml:space="preserve">Изолятор подвесной стеклянный ПС-300В</t>
  </si>
  <si>
    <t xml:space="preserve">Изолятор ПС 70</t>
  </si>
  <si>
    <t xml:space="preserve">Изолятор Троллеедержатель К-263.00.06</t>
  </si>
  <si>
    <t xml:space="preserve">Изолятор Троллеедержатель К2630005 ГОСТ 13871-78</t>
  </si>
  <si>
    <t xml:space="preserve">Изоляторы линейные подвесные стеклянные ПС-70Е</t>
  </si>
  <si>
    <t xml:space="preserve">21</t>
  </si>
  <si>
    <t xml:space="preserve">был по ФССЦ</t>
  </si>
  <si>
    <t xml:space="preserve">Импульсно зажигающее устройство ИЗУ-400/220-В-012 УХЛ2 GALAD</t>
  </si>
  <si>
    <t xml:space="preserve">Источник питания (драйвер) ИПС35-300Т</t>
  </si>
  <si>
    <t xml:space="preserve">Источник питания (драйвер) ИПС-50-350Т Аргос-Трейд</t>
  </si>
  <si>
    <t xml:space="preserve">Кабель силовой с гибкими медными жилами в резиновой оболочке КГтп-ХЛ 3х2,5 мм2</t>
  </si>
  <si>
    <t xml:space="preserve">М</t>
  </si>
  <si>
    <t xml:space="preserve">КП №34 от 15.05.23 ООО УралЭлектроСнаб</t>
  </si>
  <si>
    <t xml:space="preserve">КП №123 от 26.05.23 ООО ОВК-Р</t>
  </si>
  <si>
    <t xml:space="preserve">Кабель силовой с гибкими медными жилами в резиновой оболочке КГтп-ХЛ 4х4 мм2</t>
  </si>
  <si>
    <t xml:space="preserve">Кабель силовой с гибкими медными жилами в резиновой оболочке КГтп-ХЛ 4х50 мм2</t>
  </si>
  <si>
    <t xml:space="preserve">Кабель силовой с гибкими медными жилами в резиновой оболочке КГтп-ХЛ 4х6 мм2</t>
  </si>
  <si>
    <t xml:space="preserve">Кабель силовой с медными жилами с изоляцией и оболочкой из ПВХ, не распространяющий горение, с низким дымо- и газовыделением, бронированный, марки: ВБШвнг(А)-LS 4х4 (N)-0,66</t>
  </si>
  <si>
    <t xml:space="preserve">1000 М</t>
  </si>
  <si>
    <t xml:space="preserve">Кабель-канал ПВХ белый 20х10х2000мм </t>
  </si>
  <si>
    <t xml:space="preserve">Камера маслоохладителя водяная МО-53-4
</t>
  </si>
  <si>
    <t xml:space="preserve">5</t>
  </si>
  <si>
    <t xml:space="preserve">Клемма вводная для мод. оборуд. КВМ 4-25кв.мм (прямой ввод удлиненная) IEK YKVM-4-25-FL</t>
  </si>
  <si>
    <t xml:space="preserve">Клемма вводная силовая КВС 6-50кв.мм сер. IEK YZN12-050-K03</t>
  </si>
  <si>
    <t xml:space="preserve">Клемма универсальная зажимная КВТ СМК 221-413 400В 0.14-4мм² 3 контактная</t>
  </si>
  <si>
    <t xml:space="preserve">Клеммные зажимы 3-х контактные Wago-222-413</t>
  </si>
  <si>
    <t xml:space="preserve">Клеммный зажим ЗНИ-70 на DIN рейку (серый) арт.YZN10-070-K03</t>
  </si>
  <si>
    <t xml:space="preserve">Клин пазовый чертеж  8БС.781.172</t>
  </si>
  <si>
    <t xml:space="preserve">Кнопка APBB-22N Пуск-Стоп с подсветкой неон 1з+1р 240В IEK</t>
  </si>
  <si>
    <t xml:space="preserve">Кнопка 'Пуск-стоп' МР1-21 (зеленая)</t>
  </si>
  <si>
    <t xml:space="preserve">Кнопка 'Пуск-стоп' МР1-21 (красная)</t>
  </si>
  <si>
    <t xml:space="preserve">Компактный распределительный шкаф SES 100.80.30 из коррозионно-стойкой стали, Провенто</t>
  </si>
  <si>
    <t xml:space="preserve">Компактный распределительный шкаф SES 120.80.30 из коррозионно-стойкой стали, Провенто</t>
  </si>
  <si>
    <t xml:space="preserve">Компактный распределительный шкаф SES 80.80.30 из коррозионно-стойкой стали, Провенто</t>
  </si>
  <si>
    <t xml:space="preserve">Компенсатор шинный НПФ «Сварка-Контакт-Сервис» тип КШМ 100x10БУ2</t>
  </si>
  <si>
    <t xml:space="preserve">Комплект преобразования исполнения KIT MP T4 W 3p (Комплект преобразования), артикул SAC 1SDA0 54841 R1</t>
  </si>
  <si>
    <t xml:space="preserve">Комплект соединительный КС М6х10 IEK CLP1M-CS-6-10-1</t>
  </si>
  <si>
    <t xml:space="preserve">Конвектор электрический iVigo EPK4570M15</t>
  </si>
  <si>
    <t xml:space="preserve">Конвектор электрический iVigo EPK4590M20
</t>
  </si>
  <si>
    <t xml:space="preserve">Контактор КМИ-10910 9А 230В/АС3 1НО ИЭК</t>
  </si>
  <si>
    <t xml:space="preserve">Контактор КМИ-11810 18А 230В/АС3 1НО ИЭК</t>
  </si>
  <si>
    <t xml:space="preserve">Контактор КМИ-22510 25А 230В/АС3 1НО ИЭК</t>
  </si>
  <si>
    <t xml:space="preserve">Контактор КМИ-35012 50А 230В/АС3 1НО 1НЗ ИЭК</t>
  </si>
  <si>
    <t xml:space="preserve">Контактор КМИ-46512 65А 230В/АС3 1НО 1НЗ ИЭК</t>
  </si>
  <si>
    <t xml:space="preserve">Контактор КМИ-49512 95А 230В/АС3 1НО 1НЗ ИЭК</t>
  </si>
  <si>
    <t xml:space="preserve">28</t>
  </si>
  <si>
    <t xml:space="preserve">Контактор модульный КМ40-20</t>
  </si>
  <si>
    <t xml:space="preserve">Коробка монтажная электротехническая общего назначения КМ IP66-1515 из оцинкованной стали, количество вводов 8 (КМ IP66-1515)</t>
  </si>
  <si>
    <t xml:space="preserve">Коробка ответвительная с 10 кабельными вводами д.40мм, IP55, 300х220х120мм ДКС код:54300</t>
  </si>
  <si>
    <t xml:space="preserve">Коробка распаечная разветвительная КМИ 41237</t>
  </si>
  <si>
    <t xml:space="preserve">Коробка распаячная КМ41238 для открытой проводки с откидной крышкой 80х80х50мм IP54 IEK UKO31-080-080-050-K03-54</t>
  </si>
  <si>
    <t xml:space="preserve">Коробка распаячная КМ41255 для открытой проводки 100х100х50мм IP44 IEK</t>
  </si>
  <si>
    <t xml:space="preserve">Краска Tikkurila Pesto 90 A RAL7040 – серая</t>
  </si>
  <si>
    <t xml:space="preserve">Счет №329 от 25.05.23 ИП Шабуневич Д.В.</t>
  </si>
  <si>
    <t xml:space="preserve">Краска Tikkurila Pesto 90 C RAL1016 - желтая</t>
  </si>
  <si>
    <t xml:space="preserve">1,1</t>
  </si>
  <si>
    <t xml:space="preserve">Краска Tikkurila Pesto 90 C RAL3020 - красная
</t>
  </si>
  <si>
    <t xml:space="preserve">3,1</t>
  </si>
  <si>
    <t xml:space="preserve">Краска Tikkurila Pesto 90 C RAL5010 – синяя</t>
  </si>
  <si>
    <t xml:space="preserve">Краска Tikkurila Pesto 90 C RAL9005 – черная</t>
  </si>
  <si>
    <t xml:space="preserve">Краска Tikkurila Pesto C RAL6024 - зеленая</t>
  </si>
  <si>
    <t xml:space="preserve">Краска для металла Goodhim F01
</t>
  </si>
  <si>
    <t xml:space="preserve">Счет №683 от 10.05.23 ООО Дорожный маркет</t>
  </si>
  <si>
    <t xml:space="preserve">Кронштейн IEK КР-4 D=48 L=500 настенный, регулируемый угол, белый LDKU0D-CR-48-0500-33-K01</t>
  </si>
  <si>
    <t xml:space="preserve">Кронштейн настенный основание 200мм IEK CLP1CW-200-1</t>
  </si>
  <si>
    <t xml:space="preserve">Крупный силикагель крупнопористый гранулированный ГОСТ 3956—76</t>
  </si>
  <si>
    <t xml:space="preserve">Счет №СМПВ-РЯБ-5031 от 05.05.23 ООО НПК Специальная металлургия-Поволжье</t>
  </si>
  <si>
    <r>
      <rPr>
        <sz val="11"/>
        <rFont val="Arial"/>
        <family val="2"/>
        <charset val="204"/>
      </rPr>
      <t xml:space="preserve">Крупный силикагель крупнопористый гранулированный </t>
    </r>
    <r>
      <rPr>
        <sz val="11"/>
        <color rgb="FFFF0000"/>
        <rFont val="Arial"/>
        <family val="2"/>
        <charset val="204"/>
      </rPr>
      <t xml:space="preserve">индикаторный</t>
    </r>
    <r>
      <rPr>
        <sz val="11"/>
        <rFont val="Arial"/>
        <family val="2"/>
        <charset val="204"/>
      </rPr>
      <t xml:space="preserve"> ГОСТ 3956—76</t>
    </r>
  </si>
  <si>
    <t xml:space="preserve">Крышка на лоток основание 100х3000мм IEK CLP1K-100-1</t>
  </si>
  <si>
    <t xml:space="preserve">Лампа AD22DS LED матрица 22мм</t>
  </si>
  <si>
    <t xml:space="preserve">Лампа линейная люминесцентная ЛЛ 14вт T5 HE 14/84C G5 белая Osram</t>
  </si>
  <si>
    <t xml:space="preserve">Лампа линейная люминесцентная ЛЛ 18Вт L 18/840 G13 белая Osram</t>
  </si>
  <si>
    <t xml:space="preserve">Лампа линейная люминесцентная ЛЛ 36вт L 36/840 G13 белая Osram</t>
  </si>
  <si>
    <t xml:space="preserve">268</t>
  </si>
  <si>
    <t xml:space="preserve">Лампа линейная люминесцентная ЛЛ 58вт L 58/840 G13 белая Osram</t>
  </si>
  <si>
    <t xml:space="preserve">Лампа натриевая ДНаТ 100Вт NAV-T E40 OSRAM/LEDVANCE</t>
  </si>
  <si>
    <t xml:space="preserve">Лампа натриевая ДНаТ 150Вт NAV-T E40 OSRAM/LEDVANCE</t>
  </si>
  <si>
    <t xml:space="preserve">Лампа натриевая ДНаТ 250Вт NAV-T Е40 OSRAM/LEDVANCE</t>
  </si>
  <si>
    <t xml:space="preserve">Лампа натриевая ДНаТ 400Вт NAV-T E40 OSRAM/LEDVANCE</t>
  </si>
  <si>
    <t xml:space="preserve">Лампа светодиодная Feron LB-65 E27-E40 50W 4000K 25820</t>
  </si>
  <si>
    <t xml:space="preserve">Лампа светодиодная LED 30вт Е27 дневной IEK, арт. LLE-HP-30-230-65-E27</t>
  </si>
  <si>
    <t xml:space="preserve">Лампа светодиодная LED 80Вт Е40 220В Холодный свет iEK</t>
  </si>
  <si>
    <t xml:space="preserve">Лампа светодиодная LED GU5.3 12В 6Вт</t>
  </si>
  <si>
    <t xml:space="preserve">Лампа светодиодная LED-А60 E27 20Вт</t>
  </si>
  <si>
    <t xml:space="preserve">1248</t>
  </si>
  <si>
    <t xml:space="preserve">Лампа светодиодная R50 Е14 5,5Вт</t>
  </si>
  <si>
    <t xml:space="preserve">Лампа светодиодная R63 Е27 8Вт</t>
  </si>
  <si>
    <t xml:space="preserve">Лампа светодиодная R80 Е27 12Вт</t>
  </si>
  <si>
    <t xml:space="preserve">Лампа светодиодная капсульная G4 220В 3Вт</t>
  </si>
  <si>
    <t xml:space="preserve">Лампа светодиодная С37 Е14 5Вт (свечка)</t>
  </si>
  <si>
    <t xml:space="preserve">Лампа светодиодная Шарик Е27 8Вт</t>
  </si>
  <si>
    <t xml:space="preserve">Лампа электрическая 12В, 40Вт ГОСТ 12.2.007.13-2000</t>
  </si>
  <si>
    <t xml:space="preserve">Лампа энергосберегающая КЛЛ 26Вт 2p G24d-3 Osram</t>
  </si>
  <si>
    <t xml:space="preserve">Лента изоляционная ЛСУ 2,0х0,13</t>
  </si>
  <si>
    <t xml:space="preserve">55</t>
  </si>
  <si>
    <t xml:space="preserve">Счет №673 от 11.05.23 ООО ГозСнаб</t>
  </si>
  <si>
    <t xml:space="preserve">Лента изоляционная ПВХ 19мм 20м (7 кВ; от -50 до +80 С; негорючая)</t>
  </si>
  <si>
    <t xml:space="preserve">172</t>
  </si>
  <si>
    <t xml:space="preserve">Лента ЛЭТСАР КФ -0,5</t>
  </si>
  <si>
    <t xml:space="preserve">37,1</t>
  </si>
  <si>
    <t xml:space="preserve">Счет №УТ-744 от 10.05.23 ООО Торговый Партнер</t>
  </si>
  <si>
    <t xml:space="preserve">Лента стеклянная ЛЭС-0,2х25 ГОСТ 5937-81</t>
  </si>
  <si>
    <t xml:space="preserve">2450</t>
  </si>
  <si>
    <t xml:space="preserve">Лента хлопчатобумажная киперная ЛЭ 20-24-х/б 0,38мм ГОСТ4514-78</t>
  </si>
  <si>
    <t xml:space="preserve">Лента хлопчатобумажная киперная ЛЭ 30-46-х/б 0,38мм ГОСТ4514-78</t>
  </si>
  <si>
    <t xml:space="preserve">400</t>
  </si>
  <si>
    <t xml:space="preserve">Лента хлопчатобумажная киперная ЛЭ 40-62-х/б 0,38мм ГОСТ4514-78</t>
  </si>
  <si>
    <t xml:space="preserve">20</t>
  </si>
  <si>
    <t xml:space="preserve">Лента хлопчатобумажная тафтяная ЛЭ 25-38-х/б 0,24мм ГОСТ4514-78</t>
  </si>
  <si>
    <t xml:space="preserve">600,</t>
  </si>
  <si>
    <r>
      <rPr>
        <sz val="11"/>
        <rFont val="Arial"/>
        <family val="2"/>
        <charset val="204"/>
      </rPr>
      <t xml:space="preserve">Лист медный М1М 0,5х600х1500 </t>
    </r>
    <r>
      <rPr>
        <b val="true"/>
        <sz val="11"/>
        <color rgb="FFFF0000"/>
        <rFont val="Arial"/>
        <family val="2"/>
        <charset val="204"/>
      </rPr>
      <t xml:space="preserve">(вес одного листа 4кг)</t>
    </r>
  </si>
  <si>
    <t xml:space="preserve">12</t>
  </si>
  <si>
    <t xml:space="preserve">Счет №00БП-005198 от 10.05.23 ООО МК Уралсталь</t>
  </si>
  <si>
    <t xml:space="preserve">Счет №4660 от 10.05.23 ООО Холдинг МеталлНефтеПроект</t>
  </si>
  <si>
    <t xml:space="preserve">Счет №МСБП-004438 от 10.05.23 ООО МеталлСнаб</t>
  </si>
  <si>
    <t xml:space="preserve">Лоток металлический перфорированный размером 50х50 мм, с крышкой оцинкованный</t>
  </si>
  <si>
    <t xml:space="preserve">Мастика герметизирующая для кабельных проходов МГКП</t>
  </si>
  <si>
    <t xml:space="preserve">Счет №UT-31076 от 10.05.23 ООО ТД Связьстройдеталь</t>
  </si>
  <si>
    <t xml:space="preserve">Счет-договор №1393 от 10.05.23 ООО Прогресс</t>
  </si>
  <si>
    <t xml:space="preserve">Счет №8962 от 10.05.23 ООО СКС</t>
  </si>
  <si>
    <t xml:space="preserve">Модуль светодиодный LINE 470X11.5 2X10 40K80 10W0.3A 2835, Аргос</t>
  </si>
  <si>
    <t xml:space="preserve">Моющее средство Rein PartsWash New</t>
  </si>
  <si>
    <t xml:space="preserve">Счет №176 от 10.05.23 ООО НПК Элемент</t>
  </si>
  <si>
    <t xml:space="preserve">Счет №3949 от 10.05.23 ЗАО Союзхимпром</t>
  </si>
  <si>
    <t xml:space="preserve">Моющее средство МС-15</t>
  </si>
  <si>
    <t xml:space="preserve">Счет -договор №ПХ-АЧ-23-158 от 10.05.23 ООО Полихим</t>
  </si>
  <si>
    <t xml:space="preserve">Набивка сальниковая графитная ф10 (материал Графлекс)ТУ 2573-001-86678852-2008</t>
  </si>
  <si>
    <t xml:space="preserve">Наконечник кабельный медный луженый по DIN ТМЛ (DIN) 240–12 КВТ</t>
  </si>
  <si>
    <t xml:space="preserve">Наконечник медный луженный ТМЛ-10-6-5</t>
  </si>
  <si>
    <t xml:space="preserve">Наконечник медный луженный ТМЛ-150-16-19</t>
  </si>
  <si>
    <t xml:space="preserve">Наконечник штыревой втулочный изолированный НШвИ 2,5-8</t>
  </si>
  <si>
    <t xml:space="preserve">Ограничитель на DIN-рейку для клем. зажимов УХВ IEK YXD10</t>
  </si>
  <si>
    <t xml:space="preserve">Однокомпонентный  силиконовый герметик CHEMLUX 9013 (310мл)</t>
  </si>
  <si>
    <t xml:space="preserve">Оловянно-свинцовый припой ПОС-60 (пруток 8,0-12,0 мм) ГОСТ 21931–76</t>
  </si>
  <si>
    <t xml:space="preserve">Счет №ТРМ-ТС/ДЛ-10582 от 10.05.23 ООО Трубное решение</t>
  </si>
  <si>
    <t xml:space="preserve">Счет №МД-158611 от 10.05.23 ООО ПКФ Цвет</t>
  </si>
  <si>
    <t xml:space="preserve">Счет №УТ-927 от 26.05.23 АО Оборонсталь</t>
  </si>
  <si>
    <t xml:space="preserve">Отвердитель ЭТАЛ 45м</t>
  </si>
  <si>
    <t xml:space="preserve">Счет №270 от 08.05.23 ООО Мастер</t>
  </si>
  <si>
    <t xml:space="preserve">Счет №252 от 10.05.23 ООО Фьюжн</t>
  </si>
  <si>
    <t xml:space="preserve">Очиститель промышленный 'ЭКОАКТИВ'</t>
  </si>
  <si>
    <t xml:space="preserve">Счет №ПХ-ОЕ-23-054 от 10.05.23 ООО Полихим</t>
  </si>
  <si>
    <t xml:space="preserve">КП №Л-000229185 от 10.05.23 ООО Гарвин Индастриал</t>
  </si>
  <si>
    <t xml:space="preserve">Паста шлифовальная ЛМ 60/40 Эльборовая</t>
  </si>
  <si>
    <t xml:space="preserve">0,5</t>
  </si>
  <si>
    <t xml:space="preserve">Счет-договор №320-23/С от 08.05.23 ООО Павмаш</t>
  </si>
  <si>
    <t xml:space="preserve">Патрон Navigator 71 604 NLH-CL-E40 керамический подвесной Е40</t>
  </si>
  <si>
    <t xml:space="preserve">Патрон керамический встраиваемый Е14</t>
  </si>
  <si>
    <t xml:space="preserve">Патрон керамический встраиваемый Е27</t>
  </si>
  <si>
    <t xml:space="preserve">Патрон керамический встраиваемый Е40</t>
  </si>
  <si>
    <t xml:space="preserve">Переключатель ALCLR-22 с фиксацией 3 позиции I-O-II</t>
  </si>
  <si>
    <t xml:space="preserve">Переключатель кулачковый 4G10-51-U-R014</t>
  </si>
  <si>
    <t xml:space="preserve">Переключатель одноклавишный открытой установки VA610-126B-BI Schneider Electric</t>
  </si>
  <si>
    <t xml:space="preserve">Плавкая вставка цилиндрическая ПВЦ 10х38 32А</t>
  </si>
  <si>
    <t xml:space="preserve">Пластина резиновая для трансформаторов универсальная маслотепломорозостойкая (УМ Лист 10х250х5000) ГОСТ 12855-77</t>
  </si>
  <si>
    <t xml:space="preserve">Плёнка  полиэтиленовая 100 микр.</t>
  </si>
  <si>
    <t xml:space="preserve">ПОГ М</t>
  </si>
  <si>
    <t xml:space="preserve">Подшипник 6202 RS Craft</t>
  </si>
  <si>
    <t xml:space="preserve">КП №С205884 от 11.05.23 ООО Подшипник.ру Центр"</t>
  </si>
  <si>
    <t xml:space="preserve">Счет №29 от 18.05.23 ООО Беринг Индастри</t>
  </si>
  <si>
    <t xml:space="preserve">Подшипник 6205-2RS DINROLL</t>
  </si>
  <si>
    <t xml:space="preserve">Подшипник 6207-2RS DINROLL</t>
  </si>
  <si>
    <t xml:space="preserve">Подшипник 6302-2RS DINROLL</t>
  </si>
  <si>
    <t xml:space="preserve">Подшипник 6304-2RS DINROLL</t>
  </si>
  <si>
    <t xml:space="preserve">Подшипник 6305-2RS DINROLL</t>
  </si>
  <si>
    <t xml:space="preserve">Подшипник 6306-2RS DINROLL</t>
  </si>
  <si>
    <t xml:space="preserve">Подшипник 6308-2RS DINROLL</t>
  </si>
  <si>
    <t xml:space="preserve">Подшипник 6309-2RS DINROLL</t>
  </si>
  <si>
    <t xml:space="preserve">Подшипник 6310-2RS DINROLL</t>
  </si>
  <si>
    <t xml:space="preserve">Подшипник 6312-2RS DINROLL</t>
  </si>
  <si>
    <t xml:space="preserve">Подшипник 6317-2RS DINROLL</t>
  </si>
  <si>
    <t xml:space="preserve">45</t>
  </si>
  <si>
    <t xml:space="preserve">Подшипник DINROLL 6002-2Z</t>
  </si>
  <si>
    <t xml:space="preserve">Подшипник NU317EW DINROLL</t>
  </si>
  <si>
    <t xml:space="preserve">Полотно нетканое нитепрошивное 160 гр/м2</t>
  </si>
  <si>
    <t xml:space="preserve">Посты управления кнопочные ПКЕ222-2 У3</t>
  </si>
  <si>
    <t xml:space="preserve">Предохранитель 12,5 URD 84 TQF 1700 PC84UD13C17CTQ FERRAZ</t>
  </si>
  <si>
    <t xml:space="preserve">Предохранитель ПКТ-102-10</t>
  </si>
  <si>
    <t xml:space="preserve">Предохранитель ПКТ103-10-80-20 У3</t>
  </si>
  <si>
    <t xml:space="preserve">Предохранитель ПН2-100-100А-У3 с медными выводами</t>
  </si>
  <si>
    <t xml:space="preserve">Предохранитель ПН2-250-250А-У3 с медными выводами</t>
  </si>
  <si>
    <t xml:space="preserve">Предохранитель ПН2-400-400А-У3 с медными выводами</t>
  </si>
  <si>
    <t xml:space="preserve">Провод МГШВЭ 2х0,75</t>
  </si>
  <si>
    <t xml:space="preserve">250</t>
  </si>
  <si>
    <t xml:space="preserve">Противопожарная пена PENOSIL Premium Fire Rated Gunfoam</t>
  </si>
  <si>
    <t xml:space="preserve">Профиль электромонтажный стальной перфорированный Z-образный типа К239 У2 S=3 мм L=2 метра</t>
  </si>
  <si>
    <t xml:space="preserve">Пруток латунный Д20мм, сплав Л63</t>
  </si>
  <si>
    <t xml:space="preserve">Т</t>
  </si>
  <si>
    <t xml:space="preserve">Разъем  2РМД33КПН32Г5А1Л</t>
  </si>
  <si>
    <t xml:space="preserve">Регулятор напряжения VRS-6 (220В, 6А)
</t>
  </si>
  <si>
    <t xml:space="preserve">Реле РТИ-1308 электротепловое 2,5-4,0 А ИЭК</t>
  </si>
  <si>
    <t xml:space="preserve">Реле РТИ-1314 электротепловое 7-10А ИЭК</t>
  </si>
  <si>
    <t xml:space="preserve">Реле РТИ-3361 электротепловое 55-70 А ИЭК</t>
  </si>
  <si>
    <t xml:space="preserve">Розетка двойная наружная с заземлением без шторок белая, арт. PA16-007B, ЭТЮД, Schneider Electric</t>
  </si>
  <si>
    <t xml:space="preserve">Розетка двойная скрытая с заземлением без шторок белая, арт. PC16-007B, ЭТЮД, Schneider Electric</t>
  </si>
  <si>
    <t xml:space="preserve">Розетка наружная без заземления 250В 10А IP44 RA10-125B-BI</t>
  </si>
  <si>
    <t xml:space="preserve">Розетка наружная с заземлением без шторок белая, арт.PA16-003B, ЭТЮД, Schneider Electric</t>
  </si>
  <si>
    <t xml:space="preserve">46</t>
  </si>
  <si>
    <t xml:space="preserve">Розетка скрытая с заземлением без шторок белая, арт.PС16-003B, ЭТЮД, Schneider Electric</t>
  </si>
  <si>
    <t xml:space="preserve">6</t>
  </si>
  <si>
    <t xml:space="preserve">Рубильник ЯРП-250А IP54</t>
  </si>
  <si>
    <t xml:space="preserve">Рулонный РЭМ толщ. 0,5 мм ТУ 16-503-167-78</t>
  </si>
  <si>
    <t xml:space="preserve">Счет №318 от 16.05.23 ООО Нижневолжский промышленный холдинг</t>
  </si>
  <si>
    <t xml:space="preserve">Счет №МИР 401 от 15.05.23 АО Урал-ОЦМ</t>
  </si>
  <si>
    <t xml:space="preserve">Светильник Feron НБУ 01-60-200 Е27 230V</t>
  </si>
  <si>
    <t xml:space="preserve">Светильник Galad ЖКУ-15-400-101Б с/с IP53</t>
  </si>
  <si>
    <t xml:space="preserve">80</t>
  </si>
  <si>
    <t xml:space="preserve">Светильник Navigator 94 806 NBL-R1-100-E27/WH</t>
  </si>
  <si>
    <t xml:space="preserve">Светильник аварийного освещения URAN 6513-8 EFS193</t>
  </si>
  <si>
    <t xml:space="preserve">Светильник взрывозащищенный  НСП-02-200</t>
  </si>
  <si>
    <t xml:space="preserve">Светильник ЛСПО 2х58</t>
  </si>
  <si>
    <t xml:space="preserve">Светильник люминесцентный встраиваемый OWP/R 418 /595/ IP54/IP54 HF ЭПРА опаловый, Световые Технологии.</t>
  </si>
  <si>
    <t xml:space="preserve">Светильник люминесцентный встраиваемый PRS/R 218 HF ЭПРА опаловый, Световые Технологии.</t>
  </si>
  <si>
    <t xml:space="preserve">Светильник люминесцентный встраиваемый PRS/R 418 /595/ HF ES1 опаловый , ЭПРА с аварийным блоком, Световые Технологии.</t>
  </si>
  <si>
    <t xml:space="preserve">Светильник НПП1201 белый/овал 100Вт IP54 ИЭК</t>
  </si>
  <si>
    <t xml:space="preserve">Светильник НПП-60W круглый термостойкий без решетки IP54</t>
  </si>
  <si>
    <t xml:space="preserve">Светильник под натриевую лампу ДНаТ для наружного освещения ЖКУ 06-250-001 УХЛ1 с защитным стеклом</t>
  </si>
  <si>
    <t xml:space="preserve">16</t>
  </si>
  <si>
    <t xml:space="preserve">Светильник РТУ-06-125-004 со стеклом молочный IP54 Шар матовый GALAD</t>
  </si>
  <si>
    <t xml:space="preserve">Светильник с симметричной кривой света типа ЖО серии 04 под лампу ДНАТ-400 с серией модификации 001 с ударопрочным прозрачным стеклом с климатическим исполнением УХЛ1 IP65 производства GALAD арт.00437</t>
  </si>
  <si>
    <t xml:space="preserve">19</t>
  </si>
  <si>
    <t xml:space="preserve">Светильник светодиодный RC091V LED36S/840 PSU W60L60 RU PHILIPS</t>
  </si>
  <si>
    <t xml:space="preserve">Светильник светодиодный ДБП-8w с оптико-акустическим датчиком 4000К 700Лм овальный пластиковый IP65 белый</t>
  </si>
  <si>
    <t xml:space="preserve">Светильник светодиодный СПО-18, AC170-264/DC200-370, матовое стекло, накладной, ФОКУС.</t>
  </si>
  <si>
    <t xml:space="preserve">Светильник светодиодный СПО-36, AC170-264/DC200-370, матовое стекло, накладной, ФОКУС.</t>
  </si>
  <si>
    <t xml:space="preserve">Светильник светодиодный УСС-12НВ, AC10-38/ DC12-55, матовое стекло, крепление скоба, ФОКУС.</t>
  </si>
  <si>
    <t xml:space="preserve">Светильник светодиодный УСС-18, AC170-264/DC200-370, матовое стекло, крепление скоба, ФОКУС.</t>
  </si>
  <si>
    <t xml:space="preserve">Светильник светодиодный УСС-180 МАГИСТРАЛЬ Ш1-2, AC170-264/DC200-370, крепление консольное, ФОКУС.</t>
  </si>
  <si>
    <t xml:space="preserve">Светильник светодиодный УСС-18НВ, AC10-38/ DC12-55, матовое стекло, крепление скоба, ФОКУС.</t>
  </si>
  <si>
    <t xml:space="preserve">Светильник светодиодный УСС-24 220В (потолочное крепление)</t>
  </si>
  <si>
    <t xml:space="preserve">Светильник светодиодный УСС-24НВ, AC20-38/ DC20-55, матовое стекло, крепление скоба, ФОКУС.</t>
  </si>
  <si>
    <t xml:space="preserve">Светильник светодиодный УСС-36, AC170-264/DC200-370, матовое стекло, крепление скоба, ФОКУС.</t>
  </si>
  <si>
    <t xml:space="preserve">Светильник светодиодный УСС-48, AC170-264/DC200-370, матовое стекло, крепление скоба, ФОКУС.</t>
  </si>
  <si>
    <t xml:space="preserve">Светильник светодиодный УСС-65 МАГИСТРАЛЬ Ш1-2, AC170-264/DC200-370, крепление консольное, ФОКУС.</t>
  </si>
  <si>
    <t xml:space="preserve">Светильник светодиодный УСС-70 220В</t>
  </si>
  <si>
    <t xml:space="preserve">Светодиодный светильник ТЭС серии Леда-1200-55 IP54</t>
  </si>
  <si>
    <t xml:space="preserve">243</t>
  </si>
  <si>
    <t xml:space="preserve">Смазка ЭПС-98</t>
  </si>
  <si>
    <t xml:space="preserve">5,2</t>
  </si>
  <si>
    <t xml:space="preserve">Счет №3268 от 15.05.23 ООО Стройбыт</t>
  </si>
  <si>
    <t xml:space="preserve">Счет №291 от 14.05.23 ООО ГСМ Трейд</t>
  </si>
  <si>
    <t xml:space="preserve">Счет №1079 от 15.05.23 ООО Нектон Сиа</t>
  </si>
  <si>
    <t xml:space="preserve">Сталь листовая нержавеющая, марка: 08Х17, толщиной 3,0 мм</t>
  </si>
  <si>
    <t xml:space="preserve">Стартёр LS111M 4-65Вт IEK</t>
  </si>
  <si>
    <t xml:space="preserve">Стеклоткань пропитанная ПС-ИФ/ЭП-70; толщ. 0,12 мм ТУОЭПП 503.165-60</t>
  </si>
  <si>
    <t xml:space="preserve">РУЛ</t>
  </si>
  <si>
    <t xml:space="preserve">Стяжка нейлоновая 4,6 х 180 мм маслостойкие, 100 шт./упак</t>
  </si>
  <si>
    <t xml:space="preserve">УПАК</t>
  </si>
  <si>
    <t xml:space="preserve">Сухой лёд в гранулах, 3мм</t>
  </si>
  <si>
    <t xml:space="preserve">КП №30 от 17.05.23 ООО Криоген-НК</t>
  </si>
  <si>
    <t xml:space="preserve">КП №7/1 от 17.05.23 ООО КриоТехноСервис</t>
  </si>
  <si>
    <t xml:space="preserve">Термоиндикаторная наклейка с доп.защитой, 240*10 мм, 6 меток, 70-120ОС, Люминофор</t>
  </si>
  <si>
    <t xml:space="preserve">Термоиндикаторная наклейка 50*20 мм, 6 меток, 70-120 *C</t>
  </si>
  <si>
    <t xml:space="preserve">Термоусадочная черная клеевая трубка 2:1 ТТК(2:1)-60/30, черн КВТ</t>
  </si>
  <si>
    <t xml:space="preserve">МЕТР</t>
  </si>
  <si>
    <t xml:space="preserve">Термоусаживаемая трубка ТУТ нг 120/60 черная EKF Proxima</t>
  </si>
  <si>
    <t xml:space="preserve">м</t>
  </si>
  <si>
    <t xml:space="preserve">Тиристор низкочастотный Т183-2500-42-81-УХЛ2  ТУ 3417-062-41687291-2016 Протон Электротекс</t>
  </si>
  <si>
    <t xml:space="preserve">Токопитатель, в составе: Изолятор троллеедержатель К263.00.05 ГОСТ 13871-78 – 2шт; Изолятор троллеедержатель К-263.00.06 ГОСТ 13871-78 – 2шт; Лист медный профильный П-образный 300х170х5 – 1шт; Труба стальная прямоугольного сечения окрашенная цинксодержащей краской 100х40х5, L-270мм – 1шт; Болт М6х25 оцинкованный DIN 933 – 4шт; Гайка М6 оцинкованная DIN 934– 4шт; Шайба 6 оцинкованная DIN 125 – 4шт; Болт М12х90 оцинкованный DIN 933 – 2шт; Болт М12х30 оцинкованный DIN 933 – 1шт; Гайка М12 оцинкованная DIN 934 – 5шт; Шайба 12 оцинкованная DIN 125- 4шт; Шайба 12 увеличенная оцинкованная DIN 9021– 2шт.</t>
  </si>
  <si>
    <t xml:space="preserve">Токопитатель, в составе: Изолятор троллеедержатель К263.00.05 ГОСТ 13871-78 – 2шт; Изолятор троллеедержатель К-263.00.06 ГОСТ 13871-78 – 2шт; Лист медный профильный П-образный 320х200х5 – 1шт; Труба стальная прямоугольного сечения окрашенная цинксодержащей краской 120х40х5, L-270мм – 1шт; Болт М6х25 оцинкованный DIN 933 – 4шт; Гайка М6 оцинкованная DIN 934– 4шт; Шайба 6 оцинкованная DIN 125– 4шт; Болт М12х90 оцинкованный DIN 933 – 2шт; Болт М12х30 оцинкованный DIN 933 – 1шт; Гайка М12 оцинкованная DIN 934 – 5шт; Шайба 12 оцинкованная DIN 125- 4шт; Шайба 12 увеличенная оцинкованная DIN 9021 – 2шт.</t>
  </si>
  <si>
    <t xml:space="preserve">Трансформатор напряжения двухобмоточный ОСМ-1,0 380/24</t>
  </si>
  <si>
    <t xml:space="preserve">Трансформатор напряжения понижающий ОСО-0,25 УХЛ 3 220/24</t>
  </si>
  <si>
    <t xml:space="preserve">Трансформатор понижающий ОСО 025У3 220/36 250 Вт</t>
  </si>
  <si>
    <t xml:space="preserve">Трансформатор понижающий ЯТП 0,4 кВА, 220/36, IP31</t>
  </si>
  <si>
    <t xml:space="preserve">Трансформатор трехфазный 380/36 В, 1,6 кВа ТСЗИ-1,6-УХЛ2</t>
  </si>
  <si>
    <t xml:space="preserve">Трансформатор ТСЗИ 380/36 Cu 2,5кВт</t>
  </si>
  <si>
    <t xml:space="preserve">Трубка ПВХ 6мм</t>
  </si>
  <si>
    <t xml:space="preserve">Трубка ПВХ ГОСТ ГОСТ 19034-82 марка d=10 мм 5МП ВЕС 0,1КГ</t>
  </si>
  <si>
    <t xml:space="preserve">Трубка ПХВ ТВ-40 ПВХ8мм«кембрик»(НПО Изопласт Обнинск)</t>
  </si>
  <si>
    <t xml:space="preserve">Трубка термоусаживаемая зеленая PBF 6,4/3,2мм Т3042 (DSG Canusa)</t>
  </si>
  <si>
    <t xml:space="preserve">Трубчатый электронагреватель ТЭНР-53 2,5кВт 220В (ВУ такелажной мастерской)</t>
  </si>
  <si>
    <t xml:space="preserve">Упор под клин чертеж  8БС.270.480</t>
  </si>
  <si>
    <t xml:space="preserve">Устройство светодиодное УПС-1А-К красн (УПС-1А-К)</t>
  </si>
  <si>
    <t xml:space="preserve">Фиксированная часть выкатного исполнения T4 W FP 3p HR(корзина), артикул SAC 1SDA0 54745 R1</t>
  </si>
  <si>
    <t xml:space="preserve">Флюс ЛТИ-120 (30мл)</t>
  </si>
  <si>
    <t xml:space="preserve">Фотореле М01-1-15 ACDC24B/AC230B УХЛ2 с датчиком</t>
  </si>
  <si>
    <t xml:space="preserve">Хомут из нержавеющей стали AISI 316 4,6х300</t>
  </si>
  <si>
    <t xml:space="preserve">Шайба оцинкованная М10 DIN 125а</t>
  </si>
  <si>
    <t xml:space="preserve">Шайба оцинкованная М12 DIN 125а</t>
  </si>
  <si>
    <t xml:space="preserve">Шайба оцинкованная М16  DIN 125а</t>
  </si>
  <si>
    <t xml:space="preserve">Шайба оцинкованная М20  DIN 125а</t>
  </si>
  <si>
    <t xml:space="preserve">Шайба оцинкованная М6 DIN 125а</t>
  </si>
  <si>
    <t xml:space="preserve">Шайба оцинкованная М8 DIN 125а</t>
  </si>
  <si>
    <t xml:space="preserve">Шайба оцинкованная пружинная (гровер) М10 DIN 127</t>
  </si>
  <si>
    <t xml:space="preserve">Шайба оцинкованная пружинная (гровер) М12  DIN 127</t>
  </si>
  <si>
    <t xml:space="preserve">2460</t>
  </si>
  <si>
    <t xml:space="preserve">Шайба оцинкованная пружинная (гровер) М16  DIN 127</t>
  </si>
  <si>
    <t xml:space="preserve">Шайба оцинкованная пружинная (гровер) М6 DIN 127</t>
  </si>
  <si>
    <t xml:space="preserve">Шайба оцинкованная пружинная (гровер) М8 DIN 127</t>
  </si>
  <si>
    <t xml:space="preserve">Шайба стопорная плоская С21 DIN463</t>
  </si>
  <si>
    <t xml:space="preserve">Шина медная ШМТ 100х10 ГОСТ 434-78</t>
  </si>
  <si>
    <t xml:space="preserve">Шинная опора КИ 898 АО НПО Изолятор</t>
  </si>
  <si>
    <t xml:space="preserve">Шинная опора ШОСК 35-1-Т120-2 УХЛ1</t>
  </si>
  <si>
    <t xml:space="preserve">Шлифовальная шкурка бумажная водостойкая PS8A Р2500 230x280</t>
  </si>
  <si>
    <t xml:space="preserve">Счет №1326 от 17.05.23 ООО Абразивкомплект</t>
  </si>
  <si>
    <t xml:space="preserve">Счет №97 985 от 17.05.23 ООО Крепеж Рус</t>
  </si>
  <si>
    <t xml:space="preserve">Шнур-чулок электротехнический стеклянный АСЭЧ(б) - 3,0 ТУ 8153-001-22741917-2003</t>
  </si>
  <si>
    <t xml:space="preserve">1600</t>
  </si>
  <si>
    <t xml:space="preserve">Щеткодержатель марка ДГ 25х32</t>
  </si>
  <si>
    <t xml:space="preserve">КП №0282 от 17.05.23 ООО ГК ПромТехМаш</t>
  </si>
  <si>
    <t xml:space="preserve">Счет №11380 от 17.05.23 ООО ТД Электромонтажник</t>
  </si>
  <si>
    <t xml:space="preserve">Счет №540 от 17.05.23 ООО ТК Лайтхаус</t>
  </si>
  <si>
    <t xml:space="preserve">Щит автоматического переключения ЩАП-33 40А АВР IP31, ГК Электроспектр, артикул VG212080</t>
  </si>
  <si>
    <t xml:space="preserve">Электродвигатель AIS 71A4 У3 0,25кВ 1320 об/мин, IM1081, РОССИЯ</t>
  </si>
  <si>
    <t xml:space="preserve">Электродвигатель AIS71B2У3 0,55кВ 2730 об/мин, IM1081, РОССИЯ</t>
  </si>
  <si>
    <t xml:space="preserve">Электродвигатель АИР 132 М4 У3 11кВт 1500 об/мин, IM1081, РОССИЯ</t>
  </si>
  <si>
    <t xml:space="preserve">Электродвигатель АИР160М4У2 18,5кВт 1500 об/мин, IM1081, РОССИЯ
</t>
  </si>
  <si>
    <t xml:space="preserve">Электроды сварочные с рутиловым покрытием Э46-МР-3 АРС-3-УД Е432(3)-Р21 ТУ У 28.7-34142621-007:2012-09-14</t>
  </si>
  <si>
    <t xml:space="preserve">Электроды сварочные с рутиловым покрытием Э46-МР-3 АРС-4-УД Е432(3)-Р21 ТУ У 28.7-34142621-007:2012-09-14</t>
  </si>
  <si>
    <t xml:space="preserve">72</t>
  </si>
  <si>
    <t xml:space="preserve">Электроды сварочные с рутиловым покрытием Э46-МР-3 АРС-5-УД
Е432(3)-Р21 ТУ У 28.7-34142621-007:2012-09-14</t>
  </si>
  <si>
    <t xml:space="preserve">Электронагреватель трубчатый ТЭНР-83-13/3,0-0-220В (ВУ-18,19)</t>
  </si>
  <si>
    <t xml:space="preserve">Электронный пускорегулирующий аппарат  ЭПРА HF-S 236 TL-D II 220-240V 50/60Hz, PHILIPS.</t>
  </si>
  <si>
    <t xml:space="preserve">Электронный пускорегулирующий аппарат  ЭПРА HF-S 3/4 18 TL-D II 220-240V 50/60Hz, PHILIPS.</t>
  </si>
  <si>
    <t xml:space="preserve">Электронный пускорегулирующий аппарат ЭПРА QTP5 4x14 встраиваемый OSRAM</t>
  </si>
  <si>
    <t xml:space="preserve">10</t>
  </si>
  <si>
    <t xml:space="preserve">Электрощётка ЭГ-4 ИЛГТ.685241.1283-01 20х32х50, Электроконтакт</t>
  </si>
  <si>
    <t xml:space="preserve">Электрощётка ЭГ-4 ФР2699-12 25х32х50, Электроконтакт</t>
  </si>
  <si>
    <t xml:space="preserve">ЭПРА ЛЛ 2х58 встраиваемый Navigator (94430 NB-ETL)</t>
  </si>
  <si>
    <t xml:space="preserve">Оборудование</t>
  </si>
  <si>
    <t xml:space="preserve">Шайба изоляционная чертеж 3М56437 СТЭФ-У</t>
  </si>
  <si>
    <t xml:space="preserve">КП №27_23 от 29.05.23 ООО Контракт Комплект XXI</t>
  </si>
  <si>
    <t xml:space="preserve">ИТОГО</t>
  </si>
  <si>
    <r>
      <rPr>
        <b val="true"/>
        <sz val="11"/>
        <color rgb="FF000000"/>
        <rFont val="Arial"/>
        <family val="2"/>
        <charset val="204"/>
      </rPr>
      <t xml:space="preserve">* При получении трех и более ТКП, рассчитать цену как среднее арифметическое значение полученных ТКП. Требования к порядку отбора ТКП для расчета цены:
</t>
    </r>
    <r>
      <rPr>
        <sz val="11"/>
        <color rgb="FF000000"/>
        <rFont val="Arial"/>
        <family val="2"/>
        <charset val="204"/>
      </rPr>
      <t xml:space="preserve">1. при отсутствии монопольного или олигопольного рынка не допускается использование ценовой информации, которая превышает более, чем на 20% среднее арифметическое значение всех полученных ценовых предложений. Использование ценовой  информации, которая ниже 20% среднего арифметического значения всех полученных ценовых предложений, является правом Заказчика;
2. в случае несоответствия, указанного в п.1, из расчета исключается ценовая информация, имеющая наибольшее отклонение от среднего арифметического значения и осуществляется повторный расчет. Указанные действия осуществляются до устранения несоответствия (нормы отклонения до 20%). В случае, если по результатам указанных действий, осталось менее трех значений полученной ценовой информации, то необходимо осуществить поиск дополнительной ценовой информации из других источников ценовой информации;
3. в случае олигопольного рынка допускается использовать ценовую информацию из двух источников ценовой информации, которая отличается более, чем на 20% от среднего арифметического значения полученных ценовых предложений (выбор конкретного значения цены из двух полученных согласовывается Заказчиком). При этом Заказчику следует провести дополнительную проверку корректности полученной информации (в том числе корректность направленных им запросов ТКП).</t>
    </r>
  </si>
  <si>
    <t xml:space="preserve">* Если, в связи с условиями рынка, получение ценовой информации из трех и более источников информации невозможно – рассчитать цену, как среднее арифметическое из полученных предложений (при олигопольном рынке) или принять единственное предложение (при монопольном рынке) (с указанием соответствующих пояснений).</t>
  </si>
  <si>
    <t xml:space="preserve">Подшипник 6313-2RS DINROLL</t>
  </si>
  <si>
    <t xml:space="preserve">2</t>
  </si>
  <si>
    <t xml:space="preserve">в работе</t>
  </si>
  <si>
    <t xml:space="preserve">Подшипник 6316-2RS DINROLL</t>
  </si>
  <si>
    <t xml:space="preserve">4</t>
  </si>
  <si>
    <t xml:space="preserve"> превышение на 46 %</t>
  </si>
  <si>
    <t xml:space="preserve">превышение на 16%</t>
  </si>
  <si>
    <t xml:space="preserve">превышение на 122%</t>
  </si>
  <si>
    <t xml:space="preserve">ТКП №101 от 04.07.2023 ООО "Всё для снабжения"</t>
  </si>
  <si>
    <t xml:space="preserve">ТКП №119 от 28.06.2023 ООО "СТ Петрострой"</t>
  </si>
  <si>
    <t xml:space="preserve">ТКП №51 от 07.06.2023 ООО "Тольяттиснаб"</t>
  </si>
  <si>
    <t xml:space="preserve">СРЗАиМ (прайс из ТиГМО)</t>
  </si>
  <si>
    <t xml:space="preserve">превышение на 20%</t>
  </si>
  <si>
    <t xml:space="preserve">превышение на 21%</t>
  </si>
  <si>
    <t xml:space="preserve">превышение на 22%</t>
  </si>
  <si>
    <t xml:space="preserve">превышение на 36%</t>
  </si>
  <si>
    <t xml:space="preserve">превышение на 437%</t>
  </si>
  <si>
    <t xml:space="preserve">превышение на 115%</t>
  </si>
  <si>
    <t xml:space="preserve">превышение на 125%</t>
  </si>
  <si>
    <t xml:space="preserve">учтен по 
ФССЦ-20.2.10.04-0003</t>
  </si>
  <si>
    <t xml:space="preserve">превышение на 41%</t>
  </si>
  <si>
    <t xml:space="preserve">КП №С210390 от 09.06.23 ООО Подшипник.ру</t>
  </si>
  <si>
    <t xml:space="preserve">КП №40/23 от 28.06.23 ООО Контракт Комплект XXI</t>
  </si>
  <si>
    <t xml:space="preserve">КП №34 от 13.06.23 ООО Адис</t>
  </si>
  <si>
    <t xml:space="preserve"> в РЗ_411108</t>
  </si>
  <si>
    <t xml:space="preserve">превышение на 109%</t>
  </si>
  <si>
    <t xml:space="preserve">превышение на 61%</t>
  </si>
  <si>
    <t xml:space="preserve">превышение на 319%</t>
  </si>
  <si>
    <t xml:space="preserve">https://kitenergo.ru/catalog/perednie_i_zadnie_elementy_tsokolya_iz_nerzhaveyushchey_stali_za/perednie_i_zadnie_elementy_tsokolya_iz_nerzhaveyushchey_stali_za_80_00_s_v_2/</t>
  </si>
  <si>
    <t xml:space="preserve">ИЦИ-3 - приняли от эксперта РГС</t>
  </si>
  <si>
    <t xml:space="preserve">КП №58 от 10.10.23 ООО ЭнергоХимТорг</t>
  </si>
  <si>
    <t xml:space="preserve">КП №11/10_23 от 11.10.23 ООО ПроЭнергетик</t>
  </si>
  <si>
    <t xml:space="preserve">КП №76 от 10.10.23 ООО ПромТехноСнаб С</t>
  </si>
  <si>
    <t xml:space="preserve">новые ТКП предоставили в РГС</t>
  </si>
  <si>
    <t xml:space="preserve">цена из смет 2024 г.</t>
  </si>
  <si>
    <r>
      <rPr>
        <b val="true"/>
        <sz val="11"/>
        <rFont val="Arial"/>
        <family val="2"/>
        <charset val="204"/>
      </rPr>
      <t xml:space="preserve">Средне арифметическая </t>
    </r>
    <r>
      <rPr>
        <b val="true"/>
        <sz val="11"/>
        <color rgb="FF00B050"/>
        <rFont val="Arial"/>
        <family val="2"/>
        <charset val="204"/>
      </rPr>
      <t xml:space="preserve">(за единицу)</t>
    </r>
    <r>
      <rPr>
        <b val="true"/>
        <sz val="11"/>
        <rFont val="Arial"/>
        <family val="2"/>
        <charset val="204"/>
      </rPr>
      <t xml:space="preserve">, руб. без НДС
</t>
    </r>
    <r>
      <rPr>
        <sz val="11"/>
        <rFont val="Arial"/>
        <family val="2"/>
        <charset val="204"/>
      </rPr>
      <t xml:space="preserve">(гр.7+гр.10+гр.13)/3,
где 3 – количество указанных источников ценовой информации </t>
    </r>
  </si>
  <si>
    <r>
      <rPr>
        <b val="true"/>
        <sz val="11"/>
        <rFont val="Arial"/>
        <family val="2"/>
        <charset val="204"/>
      </rPr>
      <t xml:space="preserve">Цена</t>
    </r>
    <r>
      <rPr>
        <b val="true"/>
        <sz val="11"/>
        <color rgb="FFFF0000"/>
        <rFont val="Arial"/>
        <family val="2"/>
        <charset val="204"/>
      </rPr>
      <t xml:space="preserve"> </t>
    </r>
    <r>
      <rPr>
        <b val="true"/>
        <sz val="11"/>
        <color rgb="FF00B050"/>
        <rFont val="Arial"/>
        <family val="2"/>
        <charset val="204"/>
      </rPr>
      <t xml:space="preserve">(за весь объем по смете)</t>
    </r>
    <r>
      <rPr>
        <b val="true"/>
        <sz val="11"/>
        <rFont val="Arial"/>
        <family val="2"/>
        <charset val="204"/>
      </rPr>
      <t xml:space="preserve">, руб. без НДС
</t>
    </r>
    <r>
      <rPr>
        <sz val="11"/>
        <rFont val="Arial"/>
        <family val="2"/>
        <charset val="204"/>
      </rPr>
      <t xml:space="preserve">(гр.4*гр.5)</t>
    </r>
  </si>
  <si>
    <t xml:space="preserve">Материалы Подрядчика</t>
  </si>
  <si>
    <t xml:space="preserve">DIN-рейка 7,5см перфорированная оцинкованная</t>
  </si>
  <si>
    <t xml:space="preserve"> - </t>
  </si>
  <si>
    <t xml:space="preserve">KREPTA 3 Корпус пластиковый КМПн 2/4 IP30 белый IEK</t>
  </si>
  <si>
    <t xml:space="preserve">АВДТ с защитой от сверхтоков YON MDR63-22C16-A (2п, 16А, 6кА, 30mA) DKC</t>
  </si>
  <si>
    <t xml:space="preserve">Автоматический выключатель ВА09-35СУХ3 =440В, Iн-40А, Iнпр-20А ООО 'Атомэлектроприбор'</t>
  </si>
  <si>
    <t xml:space="preserve"> -</t>
  </si>
  <si>
    <t xml:space="preserve">Бирка кабельная У-134 квадрат 55х55 мм UZMA-BIK-Y134-S IEK</t>
  </si>
  <si>
    <t xml:space="preserve">Болт DIN 933 с шестигранной головкой, оцинкованный М16х40 прочность 5,8</t>
  </si>
  <si>
    <t xml:space="preserve">Болт с шестигранной головкой М12х30 DIN 933 оцинкованный</t>
  </si>
  <si>
    <t xml:space="preserve">Болт с шестигранной головкой М5х25 DIN 933 оцинкованный</t>
  </si>
  <si>
    <t xml:space="preserve">Болт с шестигранной головкой М6х20 DIN 933 оцинкованный</t>
  </si>
  <si>
    <t xml:space="preserve">Болт с шестигранной головкой М8х30 DIN 933 оцинкованный</t>
  </si>
  <si>
    <t xml:space="preserve">Водонагреватель Ariston PRO1 ECO INOX ABS PW 50 V 3700547</t>
  </si>
  <si>
    <t xml:space="preserve">Выключатель автоматический диф.тока (АВДТ) 1P+N С 16А 6kA 30мА Тип-AС 230В C9D36616, Systeme Electric</t>
  </si>
  <si>
    <r>
      <rPr>
        <sz val="11"/>
        <color rgb="FF000000"/>
        <rFont val="Arial"/>
        <family val="2"/>
        <charset val="204"/>
      </rPr>
      <t xml:space="preserve">Выключатель автоматический модульный 3п C 63А 6кА S203 C63 </t>
    </r>
    <r>
      <rPr>
        <b val="true"/>
        <sz val="11"/>
        <color rgb="FFFF0000"/>
        <rFont val="Arial"/>
        <family val="2"/>
        <charset val="204"/>
      </rPr>
      <t xml:space="preserve">ABB</t>
    </r>
  </si>
  <si>
    <t xml:space="preserve">Выключатель автоматический модульный С 16А 3P 6kA 400В City9 Set C9F36316, Systeme Electric</t>
  </si>
  <si>
    <t xml:space="preserve">Выключатель автоматический модульный С 25А 3P 6kA 400В City9 Set C9F36325 Systeme Electric</t>
  </si>
  <si>
    <t xml:space="preserve">Выключатель автоматический модульный С 32А 3P 6kA 400В City9 Set C9F36332 Systeme Electric</t>
  </si>
  <si>
    <t xml:space="preserve">Выключатель автоматический модульный  С 10А 1P 6kA 230В City9 Set C9F36110, Systeme Electric</t>
  </si>
  <si>
    <r>
      <rPr>
        <sz val="11"/>
        <color rgb="FF000000"/>
        <rFont val="Arial"/>
        <family val="2"/>
        <charset val="204"/>
      </rPr>
      <t xml:space="preserve">Выключатель автоматический однополюсный S201 C10</t>
    </r>
    <r>
      <rPr>
        <b val="true"/>
        <sz val="11"/>
        <color rgb="FFFF0000"/>
        <rFont val="Arial"/>
        <family val="2"/>
        <charset val="204"/>
      </rPr>
      <t xml:space="preserve"> ABB</t>
    </r>
  </si>
  <si>
    <t xml:space="preserve">Выключатель пакетный ПВ1-16А в пл. корп. IP56 Электротехник ET002562</t>
  </si>
  <si>
    <t xml:space="preserve">Гайка самоконтрящаяся шестигранная М12 DIN 985 оцинкованная</t>
  </si>
  <si>
    <t xml:space="preserve">Гайка шестигранная М5 DIN 934 оцинкованная</t>
  </si>
  <si>
    <t xml:space="preserve">Гайка шестигранная М6 DIN 934 оцинкованная</t>
  </si>
  <si>
    <t xml:space="preserve">Гайка шестигранная М8 DIN 934 оцинкованная</t>
  </si>
  <si>
    <t xml:space="preserve">Гибкая шина в ПВХ изоляции, 3x24x1мм, ном. ток 400А, длина 2 метра R5BFC3241 DKC</t>
  </si>
  <si>
    <t xml:space="preserve">Гибкий силовой кабель КГтп-ХЛ 5х10 медный ГОСТ 24334-2020</t>
  </si>
  <si>
    <t xml:space="preserve">Главная заземляющая шина с изоляторами, 6 подкл., 260ммХ40ммХ4мм медь NE2006 DKC</t>
  </si>
  <si>
    <t xml:space="preserve">Грунт Гермоизол Гф-021 ГОСТ 25129-20</t>
  </si>
  <si>
    <t xml:space="preserve">Двухпозиционный тиристорный модуль МТ3-320-18-С1-У2 Протон Электротекс</t>
  </si>
  <si>
    <t xml:space="preserve">Держатель плавкой вставки ДП-35, габарит 1, 250А TDM SQ0713-0042</t>
  </si>
  <si>
    <t xml:space="preserve">Заземляющий проводник ПЗУ-10-500, сечение 10 мм2, длина 500 мм, с наконечниками</t>
  </si>
  <si>
    <t xml:space="preserve">Заклепка вытяжная 3.2х10</t>
  </si>
  <si>
    <t xml:space="preserve">Изолятор опорный низковольтный фарфоровый И-1,8 У2 троллейный</t>
  </si>
  <si>
    <t xml:space="preserve">Кабель КГтп-ХЛ 3х1.5</t>
  </si>
  <si>
    <t xml:space="preserve">Кабель силовой с медными жилами с изоляцией и оболочкой из ПВХ, не распространяющий горение марки: ВВГнг(А)-LS 3х2,5 (N)-0,66</t>
  </si>
  <si>
    <t xml:space="preserve">1000 м</t>
  </si>
  <si>
    <t xml:space="preserve">Кабель силовой с медными жилами с изоляцией и оболочкой из ПВХ, не распространяющий горение, с низким дымо- и газовыделением, бронированный, марки: ВБШвнг(А)-LS 4х10 (N)-0,66</t>
  </si>
  <si>
    <t xml:space="preserve">Кабель-канал ПВХ белый 25х16 L2000</t>
  </si>
  <si>
    <t xml:space="preserve">Кабель-канал перфорированный 15х18 L2000 RL75 G DKC 00670RL</t>
  </si>
  <si>
    <t xml:space="preserve">Кабельный ввод REXANT pgm-16 (14-10 мм) металлический 07-8216</t>
  </si>
  <si>
    <t xml:space="preserve">Кабельный ввод ВК-М32-25-МР25 IP66/IP67/IP68 ГОФРОМАТИК</t>
  </si>
  <si>
    <t xml:space="preserve">Козырек защитный из нержавеющей стали для шкафов SES R 50.25 S Провенто</t>
  </si>
  <si>
    <t xml:space="preserve">Колодка 2-м 16А IP44 2P+PE 220-240В с защ. крышками каучук LEZARD 106-0400-0110/110</t>
  </si>
  <si>
    <t xml:space="preserve">Контактор E 95А катушка управления 220В АС3 50Гц LC1E95M5 Schneider Electric</t>
  </si>
  <si>
    <t xml:space="preserve">Контактор КМИ-49512 95А 230В/АС3 1НО 1НЗ ИЭК
</t>
  </si>
  <si>
    <t xml:space="preserve">Корпус Вектор 33 ЩМП IP66 из нержавеющей стали 300x300x200 УХЛ1 VN66006</t>
  </si>
  <si>
    <t xml:space="preserve">Краска для металла TIKKURILA METALLISTA по ржавчине 3 в 1, черная 259164 (расход 12 м2/л)</t>
  </si>
  <si>
    <r>
      <rPr>
        <sz val="11"/>
        <color rgb="FF000000"/>
        <rFont val="Arial"/>
        <family val="2"/>
        <charset val="204"/>
      </rPr>
      <t xml:space="preserve">Крупный силикагель крупнопористый гранулированный</t>
    </r>
    <r>
      <rPr>
        <b val="true"/>
        <sz val="11"/>
        <color rgb="FFFF0000"/>
        <rFont val="Arial"/>
        <family val="2"/>
        <charset val="204"/>
      </rPr>
      <t xml:space="preserve"> индикаторный </t>
    </r>
    <r>
      <rPr>
        <sz val="11"/>
        <color rgb="FF000000"/>
        <rFont val="Arial"/>
        <family val="2"/>
        <charset val="204"/>
      </rPr>
      <t xml:space="preserve">ГОСТ 3956—76</t>
    </r>
  </si>
  <si>
    <t xml:space="preserve">Материал огнезащитный терморасширяющийся "Огракс-ВВ" для покрытия электрических кабелей</t>
  </si>
  <si>
    <t xml:space="preserve">Металлорукав в ПВХ изоляции МРПИ НГ 25 (50 м/уп.) черный с протяжкой ГОФРОМАТИК zeta44407 ЗЭТАРУС</t>
  </si>
  <si>
    <t xml:space="preserve">Плавкая вставка предохранителя ППНН-35, габарит 1, 250А TDM SQ0713-0025</t>
  </si>
  <si>
    <t xml:space="preserve">Полоса перфорированная 30x2000 мм, 1,5 мм оцинкованная</t>
  </si>
  <si>
    <t xml:space="preserve">Провод ПуВ 1х1.5 белый</t>
  </si>
  <si>
    <t xml:space="preserve">Провод силовой ПуГВнг(А)-LS 1х6 желто зеленый</t>
  </si>
  <si>
    <t xml:space="preserve">Профиль Z-образный К239 60х40х40 мм перфорированный оцинкованный, L-2000мм</t>
  </si>
  <si>
    <t xml:space="preserve">Регулятор скорости VRS-6 (220В, 6А)
</t>
  </si>
  <si>
    <t xml:space="preserve">Розетка (колодка) 2-м 16А IP44 2P+PE 220-240В с защ. крышками каучук</t>
  </si>
  <si>
    <t xml:space="preserve">Розетка РАр10-3-ОПс заземлением на DIN-рейку ИЭК</t>
  </si>
  <si>
    <t xml:space="preserve">Рубильник ВНК-35-1 3П 250А с установленной фронтальной ручкой управления TDM SQ0744-0003</t>
  </si>
  <si>
    <t xml:space="preserve">Сальник mg 13,5 диаметр проводника 6-12 мм, IP68</t>
  </si>
  <si>
    <t xml:space="preserve">Сальник mg 50 диаметр проводника 30-40 мм, IP68</t>
  </si>
  <si>
    <t xml:space="preserve">Сальник mg 63 диаметр проводника 40-50 мм, IP68</t>
  </si>
  <si>
    <t xml:space="preserve">Саморез ШСММ сверло 4,2х16</t>
  </si>
  <si>
    <t xml:space="preserve">Светильник люминесцентный ЛСПО 01-2х58 с ЭПРА с бипараболическим отражателем</t>
  </si>
  <si>
    <t xml:space="preserve">Светильник светодиодный с датчиком Foton FL-LED DPB-01 SENSOR 12W 4500K IP54 овальный</t>
  </si>
  <si>
    <t xml:space="preserve">Светильник светодиодный УСС-18 Д, AC170-264/DC200-370, крепление скоба, ФОКУС</t>
  </si>
  <si>
    <t xml:space="preserve">это одно и то же?</t>
  </si>
  <si>
    <t xml:space="preserve">Светодиодный светильник ТЭС серии Леда-1200-55 ЭКО IP54</t>
  </si>
  <si>
    <t xml:space="preserve">Светодиодный светильник УСС-70 Д, AC170-264/DC200-370, консольное крепление, 4000К, IP67 ФОКУС</t>
  </si>
  <si>
    <t xml:space="preserve">Смазка суперконт </t>
  </si>
  <si>
    <t xml:space="preserve">Термоиндикаторная наклейка  50*20 мм,  6 меток, 70-120 *C</t>
  </si>
  <si>
    <r>
      <rPr>
        <sz val="11"/>
        <color rgb="FF000000"/>
        <rFont val="Arial"/>
        <family val="2"/>
        <charset val="204"/>
      </rPr>
      <t xml:space="preserve">Токопитатель, в составе: Изолятор троллеедержатель К263.00.05 ГОСТ 13871-78 – 2шт; Изолятор троллеедержатель К-263.00.06 ГОСТ 13871-78 – 2шт; Лист медный профильный П-образный </t>
    </r>
    <r>
      <rPr>
        <b val="true"/>
        <sz val="11"/>
        <color rgb="FFFF0000"/>
        <rFont val="Arial"/>
        <family val="2"/>
        <charset val="204"/>
      </rPr>
      <t xml:space="preserve">300х170х5</t>
    </r>
    <r>
      <rPr>
        <sz val="11"/>
        <color rgb="FF000000"/>
        <rFont val="Arial"/>
        <family val="2"/>
        <charset val="204"/>
      </rPr>
      <t xml:space="preserve"> – 1шт; Труба стальная прямоугольного сечения окрашенная цинксодержащей краской 100х40х5, L-270мм – 1шт; Болт М6х25 оцинкованный DIN 933 – 4шт; Гайка М6 оцинкованная DIN 934– 4шт; Шайба 6 оцинкованная DIN 125 – 4шт; Болт М12х90 оцинкованный DIN 933 – 2шт; Болт М12х30 оцинкованный DIN 933 – 1шт; Гайка М12 оцинкованная DIN 934 – 5шт; Шайба 12 оцинкованная DIN 125- 4шт; Шайба 12 увеличенная оцинкованная DIN 9021– 2шт.</t>
    </r>
  </si>
  <si>
    <r>
      <rPr>
        <sz val="11"/>
        <color rgb="FF000000"/>
        <rFont val="Arial"/>
        <family val="2"/>
        <charset val="204"/>
      </rPr>
      <t xml:space="preserve">Токопитатель, в составе: Изолятор троллеедержатель К263.00.05 ГОСТ 13871-78 – 2шт; Изолятор троллеедержатель К-263.00.06 ГОСТ 13871-78 – 2шт; Лист медный профильный П-образный</t>
    </r>
    <r>
      <rPr>
        <b val="true"/>
        <sz val="11"/>
        <color rgb="FFFF0000"/>
        <rFont val="Arial"/>
        <family val="2"/>
        <charset val="204"/>
      </rPr>
      <t xml:space="preserve"> 320х200х5</t>
    </r>
    <r>
      <rPr>
        <sz val="11"/>
        <color rgb="FF000000"/>
        <rFont val="Arial"/>
        <family val="2"/>
        <charset val="204"/>
      </rPr>
      <t xml:space="preserve"> – 1шт; Труба стальная прямоугольного сечения окрашенная цинксодержащей краской 120х40х5, L-270мм – 1шт; Болт М6х25 оцинкованный DIN 933 – 4шт; Гайка М6 оцинкованная DIN 934– 4шт; Шайба 6 оцинкованная DIN 125– 4шт; Болт М12х90 оцинкованный DIN 933 – 2шт; Болт М12х30 оцинкованный DIN 933 – 1шт; Гайка М12 оцинкованная DIN 934 – 5шт; Шайба 12 оцинкованная DIN 125- 4шт; Шайба 12 увеличенная оцинкованная DIN 9021 – 2шт.</t>
    </r>
  </si>
  <si>
    <r>
      <rPr>
        <sz val="11"/>
        <color rgb="FF000000"/>
        <rFont val="Arial"/>
        <family val="2"/>
        <charset val="204"/>
      </rPr>
      <t xml:space="preserve">Фиксированная часть выкатного исполнения T4 W FP 3p</t>
    </r>
    <r>
      <rPr>
        <b val="true"/>
        <sz val="11"/>
        <color rgb="FFFF0000"/>
        <rFont val="Arial"/>
        <family val="2"/>
        <charset val="204"/>
      </rPr>
      <t xml:space="preserve"> HR</t>
    </r>
    <r>
      <rPr>
        <b val="true"/>
        <sz val="11"/>
        <color rgb="FF000000"/>
        <rFont val="Arial"/>
        <family val="2"/>
        <charset val="204"/>
      </rPr>
      <t xml:space="preserve">, </t>
    </r>
    <r>
      <rPr>
        <sz val="11"/>
        <color rgb="FF000000"/>
        <rFont val="Arial"/>
        <family val="2"/>
        <charset val="204"/>
      </rPr>
      <t xml:space="preserve">под выключатель T4N 250</t>
    </r>
  </si>
  <si>
    <r>
      <rPr>
        <sz val="11"/>
        <color rgb="FF000000"/>
        <rFont val="Arial"/>
        <family val="2"/>
        <charset val="204"/>
      </rPr>
      <t xml:space="preserve">Фиксированная часть выкатного исполнения T4 W FP 3p </t>
    </r>
    <r>
      <rPr>
        <b val="true"/>
        <sz val="11"/>
        <color rgb="FFFF0000"/>
        <rFont val="Arial"/>
        <family val="2"/>
        <charset val="204"/>
      </rPr>
      <t xml:space="preserve">VR,</t>
    </r>
    <r>
      <rPr>
        <sz val="11"/>
        <color rgb="FF000000"/>
        <rFont val="Arial"/>
        <family val="2"/>
        <charset val="204"/>
      </rPr>
      <t xml:space="preserve"> под выключатель T4N 250</t>
    </r>
  </si>
  <si>
    <t xml:space="preserve">Хомут нейлоновый Basic plc-c-2.5x250 EKF</t>
  </si>
  <si>
    <t xml:space="preserve">Шайба DINFIX нерж. А2, М8, DIN 125, 100 шт. 00-00002268 (на каждый нагель)</t>
  </si>
  <si>
    <t xml:space="preserve">Шайба оцинкованная пружинная (гровер) М12 DIN 127</t>
  </si>
  <si>
    <r>
      <rPr>
        <sz val="11"/>
        <color rgb="FF000000"/>
        <rFont val="Arial"/>
        <family val="2"/>
        <charset val="204"/>
      </rPr>
      <t xml:space="preserve">Шайба плоская М12 </t>
    </r>
    <r>
      <rPr>
        <sz val="11"/>
        <color rgb="FFFF0000"/>
        <rFont val="Arial"/>
        <family val="2"/>
        <charset val="204"/>
      </rPr>
      <t xml:space="preserve">DIN125</t>
    </r>
    <r>
      <rPr>
        <sz val="11"/>
        <color rgb="FF000000"/>
        <rFont val="Arial"/>
        <family val="2"/>
        <charset val="204"/>
      </rPr>
      <t xml:space="preserve"> оцинкованная</t>
    </r>
  </si>
  <si>
    <t xml:space="preserve">Шайба плоская М5 DIN125 оцинкованная</t>
  </si>
  <si>
    <r>
      <rPr>
        <sz val="11"/>
        <color rgb="FF000000"/>
        <rFont val="Arial"/>
        <family val="2"/>
        <charset val="204"/>
      </rPr>
      <t xml:space="preserve">Шайба плоская М6 </t>
    </r>
    <r>
      <rPr>
        <sz val="11"/>
        <color rgb="FFFF0000"/>
        <rFont val="Arial"/>
        <family val="2"/>
        <charset val="204"/>
      </rPr>
      <t xml:space="preserve">DIN125</t>
    </r>
    <r>
      <rPr>
        <sz val="11"/>
        <color rgb="FF000000"/>
        <rFont val="Arial"/>
        <family val="2"/>
        <charset val="204"/>
      </rPr>
      <t xml:space="preserve"> оцинкованная</t>
    </r>
  </si>
  <si>
    <r>
      <rPr>
        <sz val="11"/>
        <color rgb="FF000000"/>
        <rFont val="Arial"/>
        <family val="2"/>
        <charset val="204"/>
      </rPr>
      <t xml:space="preserve">Шайба плоская М8 </t>
    </r>
    <r>
      <rPr>
        <sz val="11"/>
        <color rgb="FFFF0000"/>
        <rFont val="Arial"/>
        <family val="2"/>
        <charset val="204"/>
      </rPr>
      <t xml:space="preserve">DIN125</t>
    </r>
    <r>
      <rPr>
        <sz val="11"/>
        <color rgb="FF000000"/>
        <rFont val="Arial"/>
        <family val="2"/>
        <charset val="204"/>
      </rPr>
      <t xml:space="preserve"> оцинкованная</t>
    </r>
  </si>
  <si>
    <t xml:space="preserve">Шина N ноль на DIN-изолятор ШНИ-6х9-6-Д-С YNN10-69-6D-K07 IEK</t>
  </si>
  <si>
    <t xml:space="preserve">Шкаф компактный распределительный из нержавеющей стали SES 70.50.25 Провенто</t>
  </si>
  <si>
    <t xml:space="preserve">Шуруп по бетону КРЕП-КОМП Нагель 7,5х72 (кол-во по длине каждые 0,6м) 1100м/0,6шт/м =1833шт</t>
  </si>
  <si>
    <t xml:space="preserve">Щит навесной на 12 модулей.Размеры (ВxГxШ) 210*140*260</t>
  </si>
  <si>
    <t xml:space="preserve">Электрический тепловентилятор ГРЕЕРС ЕС-21 21кВт 380В</t>
  </si>
  <si>
    <r>
      <rPr>
        <sz val="11"/>
        <color rgb="FF000000"/>
        <rFont val="Arial"/>
        <family val="2"/>
        <charset val="204"/>
      </rPr>
      <t xml:space="preserve">Электроды сварочные с рутиловым покрытием МР-3 </t>
    </r>
    <r>
      <rPr>
        <b val="true"/>
        <sz val="11"/>
        <color rgb="FFFF0000"/>
        <rFont val="Arial"/>
        <family val="2"/>
        <charset val="204"/>
      </rPr>
      <t xml:space="preserve">3 мм</t>
    </r>
    <r>
      <rPr>
        <sz val="11"/>
        <color rgb="FF000000"/>
        <rFont val="Arial"/>
        <family val="2"/>
        <charset val="204"/>
      </rPr>
      <t xml:space="preserve"> производства Goodel</t>
    </r>
  </si>
  <si>
    <r>
      <rPr>
        <sz val="11"/>
        <color rgb="FF000000"/>
        <rFont val="Arial"/>
        <family val="2"/>
        <charset val="204"/>
      </rPr>
      <t xml:space="preserve">Электроды сварочные с рутиловым покрытием МР-3 </t>
    </r>
    <r>
      <rPr>
        <b val="true"/>
        <sz val="11"/>
        <color rgb="FFFF0000"/>
        <rFont val="Arial"/>
        <family val="2"/>
        <charset val="204"/>
      </rPr>
      <t xml:space="preserve">4 мм</t>
    </r>
    <r>
      <rPr>
        <sz val="11"/>
        <color rgb="FF000000"/>
        <rFont val="Arial"/>
        <family val="2"/>
        <charset val="204"/>
      </rPr>
      <t xml:space="preserve"> производства Goodel</t>
    </r>
  </si>
  <si>
    <r>
      <rPr>
        <sz val="11"/>
        <color rgb="FF000000"/>
        <rFont val="Arial"/>
        <family val="2"/>
        <charset val="204"/>
      </rPr>
      <t xml:space="preserve">Электроды сварочные с рутиловым покрытием МР-3 </t>
    </r>
    <r>
      <rPr>
        <b val="true"/>
        <sz val="11"/>
        <color rgb="FFFF0000"/>
        <rFont val="Arial"/>
        <family val="2"/>
        <charset val="204"/>
      </rPr>
      <t xml:space="preserve">5 мм</t>
    </r>
    <r>
      <rPr>
        <sz val="11"/>
        <color rgb="FF000000"/>
        <rFont val="Arial"/>
        <family val="2"/>
        <charset val="204"/>
      </rPr>
      <t xml:space="preserve"> производства Goodel
</t>
    </r>
  </si>
  <si>
    <t xml:space="preserve">Электроды угольные GWS (12 пачек)</t>
  </si>
  <si>
    <t xml:space="preserve">Электронный пускорегулирующий аппарат ЭПРА ЛЛ 2х58 встраиваемый LLV258D-EBFL-2-58 IEK</t>
  </si>
  <si>
    <t xml:space="preserve">Электрощётка ЭГ-4 ИЛГТ.685241.1283-01 20х32х50, АО 'Электроконтакт'</t>
  </si>
  <si>
    <t xml:space="preserve">Электрощётка ЭГ-4 ФР2699-12 25х32х50, АО 'Электроконтакт'</t>
  </si>
  <si>
    <t xml:space="preserve">Давальческий материал</t>
  </si>
  <si>
    <t xml:space="preserve">Изолятор подвесной ПС-160Д 112V</t>
  </si>
  <si>
    <t xml:space="preserve">Изолятор подвесной стеклянный ПС-300В 112V</t>
  </si>
  <si>
    <t xml:space="preserve">Изолятор ШПО-60-20-Т140-425 УХЛ1, ООО 'Имприм-Энергия'</t>
  </si>
  <si>
    <t xml:space="preserve">Изоляторы линейные подвесные стеклянные ПС-70Е 212W</t>
  </si>
  <si>
    <t xml:space="preserve">Кабель силовой с медными жилам..ряжением 1,0 кВ (ГОСТ Р 53769-2010), марки ВВГнг(A)-LS 3х2,5oк(N,PE)</t>
  </si>
  <si>
    <t xml:space="preserve">Кабель силовой с медными жилами с изоляцией и оболочкой из ПВХ, не распространяющий горение, с низким дымо- и газовыделением, напряжением 1,0кВ (ГОСТ Р 53769-2010), марки ВВГнг(A)-LS 4х2,5oк(N,PE)</t>
  </si>
  <si>
    <t xml:space="preserve">Лента серебряная 99,99 0,8х200х400 мм</t>
  </si>
  <si>
    <t xml:space="preserve">Г</t>
  </si>
  <si>
    <t xml:space="preserve">Припой ПСР 15</t>
  </si>
  <si>
    <t xml:space="preserve">Светильник Galad ЖКУ16-400-001 : ШО (с/стеклом) 00114 IP54</t>
  </si>
  <si>
    <t xml:space="preserve">Светильник под натриевую лампу ДНаТ для наружного освещения ЖКУ16-250-001 : ШО (с/стеклом) GALAD 00110</t>
  </si>
  <si>
    <t xml:space="preserve">Светильник светодиодный УСС-24 220В</t>
  </si>
  <si>
    <t xml:space="preserve">Тиристор низкочастотный Т183-2500-42-81-УХЛ2  ТУ 3417-062-41687291-2016 Протон Электротекс</t>
  </si>
  <si>
    <t xml:space="preserve">Материалы, взятые по ФССЦ</t>
  </si>
  <si>
    <t xml:space="preserve">наименование</t>
  </si>
  <si>
    <t xml:space="preserve">ед.изм.</t>
  </si>
  <si>
    <t xml:space="preserve">кол-во</t>
  </si>
  <si>
    <t xml:space="preserve">цена 2001г</t>
  </si>
  <si>
    <t xml:space="preserve">Стоимость единицы с учетом Кмат+деф</t>
  </si>
  <si>
    <t xml:space="preserve">Стоимость за весь объем</t>
  </si>
  <si>
    <t xml:space="preserve">Паронит маслобензостойкий, марка ПМБ-1, толщина 3,0 мм</t>
  </si>
  <si>
    <t xml:space="preserve">кг</t>
  </si>
  <si>
    <t xml:space="preserve">Ткань асбестовая с хлопковым волокном АТ-2, толщина 1,7 мм</t>
  </si>
  <si>
    <t xml:space="preserve">м2</t>
  </si>
  <si>
    <t xml:space="preserve">Бензин БР-2 (Нефрас С2 80/120)</t>
  </si>
  <si>
    <t xml:space="preserve">т</t>
  </si>
  <si>
    <t xml:space="preserve">Смазка ЦИАТИМ-201 (ГОСТ 6267-74)</t>
  </si>
  <si>
    <t xml:space="preserve">Смазка ЦИАТИМ-221</t>
  </si>
  <si>
    <t xml:space="preserve">Спирт этиловый ректификованный технический, сорт I</t>
  </si>
  <si>
    <t xml:space="preserve">Топливо дизельное из малосернистых нефтей</t>
  </si>
  <si>
    <t xml:space="preserve">Кислород газообразный технический</t>
  </si>
  <si>
    <t xml:space="preserve">м3</t>
  </si>
  <si>
    <t xml:space="preserve">Пропан-бутан смесь техническая</t>
  </si>
  <si>
    <t xml:space="preserve">Кислота ортофосфорная техническая, сорт I</t>
  </si>
  <si>
    <t xml:space="preserve">Масло вакуумное (ВМ-4)</t>
  </si>
  <si>
    <t xml:space="preserve">Сода кальцинированная (натрий углекислый) техническая</t>
  </si>
  <si>
    <t xml:space="preserve">Дибутилфталат технический, сорт I (ТГМ-3, ГОСТ 8728-88)</t>
  </si>
  <si>
    <t xml:space="preserve">Кварц молотый пылевидный (Маршалит)</t>
  </si>
  <si>
    <t xml:space="preserve">Лакоткань на натуральном шелке ЛШМС-105, ширина 700-740, 870-930 мм, толщина от 0,1 до 0,15 мм (Лакоткань на натуральном шелке марки ЛШМ-105, шириной 700-740, 870-930 мм, толщиной от 0,08 до 0,1 мм)</t>
  </si>
  <si>
    <t xml:space="preserve">10 м2</t>
  </si>
  <si>
    <t xml:space="preserve">Текстолит листовой А, толщина от 2,2 до 4,5 мм (электротехнический листовой 3 мм, ГОСТ 2910-74)</t>
  </si>
  <si>
    <t xml:space="preserve">Пленка полиэтиленовая, толщина 0,2-0,5 мм</t>
  </si>
  <si>
    <t xml:space="preserve">Мел природный кусковой пиленый (Мел для разметки ГОСТ 12085-73 (вес 1шт= 20гр; 15 штх0,02кг=0,3кг))</t>
  </si>
  <si>
    <t xml:space="preserve">Флюс ПВ-209</t>
  </si>
  <si>
    <t xml:space="preserve">Электроды сварочные УОНИ 13/55, Э50А, диаметр 4-5 мм</t>
  </si>
  <si>
    <t xml:space="preserve">Дюбель-гвозди, размер 6х39 мм (Дюбель-гвоздь 6х40)</t>
  </si>
  <si>
    <t xml:space="preserve">100 шт</t>
  </si>
  <si>
    <r>
      <rPr>
        <sz val="11"/>
        <rFont val="Arial"/>
        <family val="2"/>
        <charset val="204"/>
      </rPr>
      <t xml:space="preserve">Шкурка шлифовальная на тканевой основе водостойкая (Шлифовальная шкурка водостойкая на тканной основе, </t>
    </r>
    <r>
      <rPr>
        <b val="true"/>
        <sz val="11"/>
        <color rgb="FFFF0000"/>
        <rFont val="Arial"/>
        <family val="2"/>
        <charset val="204"/>
      </rPr>
      <t xml:space="preserve">№ 16 (Р 80)</t>
    </r>
    <r>
      <rPr>
        <sz val="11"/>
        <rFont val="Arial"/>
        <family val="2"/>
        <charset val="204"/>
      </rPr>
      <t xml:space="preserve">, 17х24см, в кол-ве  шт)</t>
    </r>
  </si>
  <si>
    <r>
      <rPr>
        <sz val="11"/>
        <rFont val="Arial"/>
        <family val="2"/>
        <charset val="204"/>
      </rPr>
      <t xml:space="preserve">Шкурка шлифовальная на тканевой основе водостойкая (Шлифовальная шкурка водостойкая на тканной основе, </t>
    </r>
    <r>
      <rPr>
        <b val="true"/>
        <sz val="11"/>
        <color rgb="FFFF0000"/>
        <rFont val="Arial"/>
        <family val="2"/>
        <charset val="204"/>
      </rPr>
      <t xml:space="preserve">№ 6 (Р 180)</t>
    </r>
    <r>
      <rPr>
        <sz val="11"/>
        <rFont val="Arial"/>
        <family val="2"/>
        <charset val="204"/>
      </rPr>
      <t xml:space="preserve">, 17х24см, в кол-ве  шт)</t>
    </r>
  </si>
  <si>
    <t xml:space="preserve">Пластина резиновая техническая МБС-С (1Ф-I-МБС-С-10 ГОСТ 7338-90)</t>
  </si>
  <si>
    <t xml:space="preserve">Пластина резиновая техническая МБС-С (1Ф-I-МБС-С-4 ГОСТ 7338-90)</t>
  </si>
  <si>
    <t xml:space="preserve">Пластина резиновая техническая МБС-С (1Ф-I-МБС-С-6; ГОСТ 7338-90)</t>
  </si>
  <si>
    <t xml:space="preserve">Салфетки хлопчатобумажные</t>
  </si>
  <si>
    <t xml:space="preserve">Сталь листовая горячекатаная марки Ст3 толщиной: 2,0 мм (1250х2500)</t>
  </si>
  <si>
    <t xml:space="preserve">Сталь листовая горячекатаная марки Ст3 толщиной: 3,0 мм (1250х2500)</t>
  </si>
  <si>
    <t xml:space="preserve">Прокат толстолистовой горячекатаный в листах, марка стали Ст3, толщина 4,0 мм (1250х2500)</t>
  </si>
  <si>
    <t xml:space="preserve">Сталь листовая горячекатаная марки Ст3 толщиной: 5,0 мм (1250х2500)</t>
  </si>
  <si>
    <t xml:space="preserve">Сталь листовая горячекатаная марки Ст3 толщиной: 6-9 мм (толщ.8,0 мм; 1250х2500)</t>
  </si>
  <si>
    <t xml:space="preserve">Сталь листовая горячекатаная марки Ст3 толщиной: 6,0 мм (1250х2500)</t>
  </si>
  <si>
    <t xml:space="preserve">Прокат толстолистовой горячекатаный в листах, марка стали Ст3, толщина 10-13 мм (толщ. 12,0 мм; 1250х2500)</t>
  </si>
  <si>
    <t xml:space="preserve">Прокат толстолистовой горячекатаный в листах, марка стали Ст3, толщина 10-13 мм (толщ.10,0 мм; 1250х2500)</t>
  </si>
  <si>
    <t xml:space="preserve">Сталь листовая холоднокатаная марки: 08пс толщиной 1,0-1,9 мм (толщ.1,0 мм; 1250х2500)</t>
  </si>
  <si>
    <t xml:space="preserve">Прокат полосовой, горячекатаный, размер 40х4 мм (Полоса стальная 40х4мм ГОСТ 103-2006; вес 1 м - 1,26 кг; требуется 1100м)</t>
  </si>
  <si>
    <t xml:space="preserve">Сталь угловая равнополочная, марка стали: Ст3сп, размером 45х45 мм (Уголок стальной равнополочный 45х45х4 г/к, ГОСТ 8509-93; требуется 4 м, вес 1м - 2,73 кг)</t>
  </si>
  <si>
    <t xml:space="preserve">Клей резиновый N 88-Н (ТУ 38.105.1061-76)</t>
  </si>
  <si>
    <t xml:space="preserve">Смола эпоксидная ЭД-16</t>
  </si>
  <si>
    <t xml:space="preserve">Лак битумный для электроизоляционных работ БТ-99 (ГОСТ 8017-74)</t>
  </si>
  <si>
    <t xml:space="preserve">Эмаль ПФ-115, серая (для наружных работ, ГОСТ 6465-76)</t>
  </si>
  <si>
    <t xml:space="preserve">Эмаль ПФ-115 цветная (красная для наружных работ, ГОСТ 6465-76)</t>
  </si>
  <si>
    <t xml:space="preserve">Эмаль ПФ-115 цветная (синяя для наружных работ, ГОСТ 6465-76)</t>
  </si>
  <si>
    <t xml:space="preserve">Эмаль глифталевая, ГФ-92 ХС (красно-коричневая; глянцевая; ГОСТ 9151-75)</t>
  </si>
  <si>
    <t xml:space="preserve">Ацетон технический, сорт I</t>
  </si>
  <si>
    <t xml:space="preserve">Ацетон технический, сорт высший</t>
  </si>
  <si>
    <t xml:space="preserve">Растворитель марки: № 646 (ГОСТ 18188-72)</t>
  </si>
  <si>
    <t xml:space="preserve">Нефрас С4-150/200 (заменитель уайт-спирита)</t>
  </si>
  <si>
    <t xml:space="preserve">Шпатлевка эпоксидная двухкомпонентная, ЭП-0010 (красно-коричневая, ГОСТ 10277-76)</t>
  </si>
  <si>
    <t xml:space="preserve">Гильзы кабельные медные под опрессовку ГМЛ 6-4</t>
  </si>
  <si>
    <t xml:space="preserve">Гильзы кабельные медные под опрессовку ГМЛ 10-5 (Гильза под опрессовку ГМЛ -10-5)</t>
  </si>
  <si>
    <t xml:space="preserve">Гильзы кабельные медные под опрессовку ГМЛ 16-6</t>
  </si>
  <si>
    <t xml:space="preserve">Наконечники кабельные медные луженные ТМЛ-6 (Наконечник ТМЛ 6-6-4 луженый)</t>
  </si>
  <si>
    <t xml:space="preserve">Наконечники кабельные медные луженные ТМЛ-10 (Наконечник медный луженный ТМЛ-10-6-5)</t>
  </si>
  <si>
    <t xml:space="preserve">Наконечники кабельные медные луженные ТМЛ-10 (Наконечник медный луженный ТМЛ-10-8-5)</t>
  </si>
  <si>
    <t xml:space="preserve">Наконечники кабельные медные луженные ТМЛ-150 (Наконечник медный луженный ТМЛ-150-16-19)</t>
  </si>
  <si>
    <t xml:space="preserve">Щиты с монтажной панелью: ЩМП-2, размером 500х400х220 мм, степень защиты IP54</t>
  </si>
  <si>
    <t xml:space="preserve">шт</t>
  </si>
  <si>
    <t xml:space="preserve">Коробки соединительные и ответвительные тип КОР-74 УЗ, электрических кабелей и проводов сечением до 4 мм2, прокладываемых в неметаллических трубах, четырехрожковое исполнение, размер 140х140х50 мм</t>
  </si>
  <si>
    <t xml:space="preserve">10 шт</t>
  </si>
  <si>
    <t xml:space="preserve">Коробка ответвительная КОР-94-3У2 IP43, размер 80х80х43 мм (Коробка распаячная КОР-94-3)</t>
  </si>
  <si>
    <t xml:space="preserve">Кабель силовой с медными жилами ВВГнг(A)-LS 3х1,5ок-1000 (Кабель силовой с медными жилами с изоляцией и оболочкой из ПВХ, не распространяющий горение, с низким дымо- и газовыделением, напряжением 1,0 кВ (ГОСТ Р 53769-2010), марки ВВГнг(A)-LS 3х1,5ок)</t>
  </si>
  <si>
    <t xml:space="preserve">Кабель силовой с медными жилами ВВГнг(A)-LS 3х2,5ок-1000. (прим.-Кабель силовой с медными жилами с изоляцией и оболочкой из ПВХ, не распространяющий горение, с низким дымо- и газовыделением, напряжением 1,0 кВ (ГОСТ Р 53769-2010), марки ВВГнг(A)-LS 3х2,5oк)</t>
  </si>
  <si>
    <t xml:space="preserve">Кабель силовой с медными жилами ВВГнг(A)-LS 3х2,5ок(N, PE)-1000 (Кабель силовой с медными жилами с изоляцией и оболочкой из ПВХ, не распространяющий горение, с низким дымо- и газовыделением, напряжением 1,0 кВ (ГОСТ Р 53769-2010), марки ВВГнг(A)-LS 3х2,5oк(N,PE)</t>
  </si>
  <si>
    <t xml:space="preserve">Кабель силовой с медными жилами ВВГнг(A)-LS 4х1,5ок(N)-1000. (прим.-Кабель силовой с медными жилами с изоляцией и оболочкой из ПВХ, не распространяющий горение, с низким дымо- и газовыделением, напряжением 1,0 кВ (ГОСТ Р 53769-2010), марки ВВГнг(A)-LS 4х1,5ок(N)</t>
  </si>
  <si>
    <t xml:space="preserve">Кабель силовой с медными жилами ВВГнг(A)-LS 4х2,5ок(N)-1000. (прим.-Кабель силовой с медными жилами с изоляцией и оболочкой из ПВХ, не распространяющий горение, с низким дымо- и газовыделением, напряжением 1,0 кВ (ГОСТ Р 53769-2010), марки ВВГнг(A)-LS 4х2,5ок(N)</t>
  </si>
  <si>
    <t xml:space="preserve">Кабель силовой с медными жилами ВВГнг(A)-LS 4х4ок(N)-1000</t>
  </si>
  <si>
    <t xml:space="preserve">Кабель силовой с медными жилами ВВГнг(A)-LS 5х1,5ок(N, PE)-1000</t>
  </si>
  <si>
    <t xml:space="preserve">Кабель силовой с медными жилами ВВГнг(A)-LS 5х2,5ок(N, PE)-1000</t>
  </si>
  <si>
    <t xml:space="preserve">Провод силовой гибкий с медными жилами РКГМ 10-660  (Провода силовые гибкие с изоляцией из кремнийорганической резины в оплетке из стеклянных нитей, пропитанной эмалью или термостойким лаком, марки: РКГМ, сечением 10 мм2)</t>
  </si>
  <si>
    <t xml:space="preserve">Трубы стальные сварные неоцинкованные водогазопроводные с резьбой, обыкновенные, номинальный диаметр 32 мм, толщина стенки 3,2 мм (Труба 42,3х3,2 стальная водогазопроводная ГОСТ 3262-75)</t>
  </si>
  <si>
    <t xml:space="preserve">Трубка термоусадочная цветная полиэтиленовая, коэффициент усадки 2:1, ТУТ 12/6</t>
  </si>
  <si>
    <t xml:space="preserve">Трубка термоусадочная цветная полиэтиленовая, коэффициент усадки 2:1, ТУТ 16/8</t>
  </si>
  <si>
    <t xml:space="preserve">Посты управления кнопочные для установки на ровной поверхности, степень защиты IP54 и IP00/IP54, пластмассовые, 2 управляющих элемента, У3  (Посты управления кнопочные ПКЕ212-2 У3)</t>
  </si>
  <si>
    <t xml:space="preserve">Анкер с гайкой 10х77мм</t>
  </si>
  <si>
    <t xml:space="preserve">Болт М12х70мм 5.8 шестигранная головка (S18) ГОСТ 7798-70</t>
  </si>
  <si>
    <t xml:space="preserve">Болт М16-6gх30.58.019 шестигранная головка ГОСТ 7798</t>
  </si>
  <si>
    <t xml:space="preserve">Болт М16-6gх40.58.019 шестигранная головка ГОСТ 7798</t>
  </si>
  <si>
    <t xml:space="preserve">Болт М16-6gх45.58.019 шестигранная головка ГОСТ 7798</t>
  </si>
  <si>
    <t xml:space="preserve">Болт М16-6gх70.58 шестигранная головка ГОСТ 7798</t>
  </si>
  <si>
    <t xml:space="preserve">Болт М16-6gх80.36 шестигранная головка ГОСТ 7798</t>
  </si>
  <si>
    <t xml:space="preserve">Болт М16х100мм 8.8 оцинкованный шестигранная головка ГОСТ 7798</t>
  </si>
  <si>
    <t xml:space="preserve">Болт М16х120 8.8 310031 для двигателя ЯМЗ-650</t>
  </si>
  <si>
    <t xml:space="preserve">Болт М16х40мм 5.8 шестигранная головка (S24)</t>
  </si>
  <si>
    <t xml:space="preserve">Болт М16х70мм А2-70 шестигранная головка с полной резьбой ISO 4017</t>
  </si>
  <si>
    <t xml:space="preserve">Болт М18-6gх100.58(S27) с неполной резьбой ГОСТ 7798-70</t>
  </si>
  <si>
    <t xml:space="preserve">Болт М18х100мм 5.8 оцинкованный шестигранная головка с полной резьбой</t>
  </si>
  <si>
    <t xml:space="preserve">Болт М20х100мм 5.8 ГОСТ 7798</t>
  </si>
  <si>
    <t xml:space="preserve">Болт М20х100мм 5.8 с неполной резьбой ГОСТ 7798</t>
  </si>
  <si>
    <t xml:space="preserve">Болт М20х75мм 5.8 оцинкованный шестигранная головка (S30) ГОСТ 7798</t>
  </si>
  <si>
    <t xml:space="preserve">Болт М20х80мм 5.8 оцинкованный шестигранная головка (S30) ГОСТ 7798</t>
  </si>
  <si>
    <t xml:space="preserve">Болт М24-6gх60.58.019 шестигранная головка ГОСТ 7798</t>
  </si>
  <si>
    <t xml:space="preserve">Болт М27х120мм шестигранная головка ГОСТ 7798-70</t>
  </si>
  <si>
    <t xml:space="preserve">Болт М30х120 ГОСТ 7798-70</t>
  </si>
  <si>
    <t xml:space="preserve">Буфер резиновый, чертеж 33М1324</t>
  </si>
  <si>
    <t xml:space="preserve">Вал вертикальный ч.08.02.10.01-017 для установки сепараторной маслоочистительной левый наклон витков</t>
  </si>
  <si>
    <t xml:space="preserve">Вал горизонтальный ч.08.02.08.01-012 для установки сепараторной маслоочистительной</t>
  </si>
  <si>
    <t xml:space="preserve">Веревка хлопчатобумажная плетеная 13мм</t>
  </si>
  <si>
    <t xml:space="preserve">Винт М16-6gх100.58 ГОСТ 17475-80</t>
  </si>
  <si>
    <t xml:space="preserve">Втулка клапана обратного ч.2246814 СБ 30х22х28 БрАЖ9-4</t>
  </si>
  <si>
    <t xml:space="preserve">Гайка М16-6Н.5(S24) ГОСТ 5915</t>
  </si>
  <si>
    <t xml:space="preserve">Гайка М20-6Н.5.0115</t>
  </si>
  <si>
    <t xml:space="preserve">Гайка М20-6Н.5 ГОСТ 5915-70</t>
  </si>
  <si>
    <t xml:space="preserve">Гайка М20-6Н.5 Ц15.фос.прм ГОСТ 5915-70</t>
  </si>
  <si>
    <t xml:space="preserve">Гайка М27-6Н.6(S41) ГОСТ 5915-70</t>
  </si>
  <si>
    <t xml:space="preserve">Гайка М36 ГОСТ 5915-70</t>
  </si>
  <si>
    <t xml:space="preserve">Гайка М42-6H.5 (S65) шаг резьбы 3 ГОСТ 5915-70</t>
  </si>
  <si>
    <t xml:space="preserve">Гайка М56-6Н.04 Ц24.фос.прм ГОСТ 10605-94</t>
  </si>
  <si>
    <t xml:space="preserve">Гайка шестигранная кл.пр.6 М16 оцинкованная ГОСТ 5915-70</t>
  </si>
  <si>
    <t xml:space="preserve">Гайка шестигранная М12-6Н.5.029 М12 029 ГОСТ 5915</t>
  </si>
  <si>
    <t xml:space="preserve">Гайка шестигранная М12 ГОСТ ISO 4032</t>
  </si>
  <si>
    <t xml:space="preserve">Гайка шестигранная М16-6Н.5.019 ГОСТ 5915</t>
  </si>
  <si>
    <t xml:space="preserve">Гайка шестигранная М16 ГОСТ ISO 4032-2014</t>
  </si>
  <si>
    <t xml:space="preserve">Гайка шестигранная М18-6Н.6(S27) ГОСТ 5915</t>
  </si>
  <si>
    <t xml:space="preserve">Гайка шестигранная М24-6Н.5 Ц15.фос.прм ГОСТ 5915</t>
  </si>
  <si>
    <t xml:space="preserve">Гайка шестигранная М27-6Н.5 ГОСТ 5915-70</t>
  </si>
  <si>
    <t xml:space="preserve">Гвозди финишные оцинкованные 1.8х50мм</t>
  </si>
  <si>
    <t xml:space="preserve">Герметик автомобильный 180г</t>
  </si>
  <si>
    <t xml:space="preserve">Герметик-прокладка силиконовый универсальный туба 180г</t>
  </si>
  <si>
    <t xml:space="preserve">Герметик-прокладка термостойкий силиконовый автомобильный Авто 180г</t>
  </si>
  <si>
    <t xml:space="preserve">Герметик резьбовой для мелкой резьбы 542 Loctite флакон 10мл</t>
  </si>
  <si>
    <t xml:space="preserve">Герметик силиконовый для аквариумов и стекла Tytan туба 280мл прозрачный</t>
  </si>
  <si>
    <t xml:space="preserve">Гидроуплотнение тип II  ТУ 22.19.73-001-09130365-2019 (вес 1м.п. - 5,6кг)</t>
  </si>
  <si>
    <t xml:space="preserve">Грунт полимерный контрастный для магнитопорошковых суспензий Magnavis WCP-2 Magnaflux белый 400мл</t>
  </si>
  <si>
    <t xml:space="preserve">Грунт-эмалевая композиция Грэмируст 'Премиум' + компонент В код 021 ТУ 2312-088-00209711-2014 RAL3009</t>
  </si>
  <si>
    <t xml:space="preserve">Диафрагма DN20 EPDM для клапана 2W21-20</t>
  </si>
  <si>
    <t xml:space="preserve">Заглушка стальная 210х10мм 12Х18Н10Т-М5Б</t>
  </si>
  <si>
    <t xml:space="preserve">Заглушка стальная 230х10мм 12Х18Н10Т-М5Б</t>
  </si>
  <si>
    <t xml:space="preserve">Задвижка параллельная с выдвижным шпинделем 30ч6бр ПЗТА DN100 PN1МПа чугунная ручная фланцевая ГОСТ 5762</t>
  </si>
  <si>
    <t xml:space="preserve">Задвижка параллельная с выдвижным шпинделем 30ч6бр ПЗТА, ЛМЗ DN100 PN1МПа чугунная ручная фланцевая ГОСТ 5762</t>
  </si>
  <si>
    <t xml:space="preserve">Задвижка параллельная с выдвижным шпинделем 30ч6бр ПЗТА, ЛМЗ DN80 PN1МПа чугунная ручная У3 фланцевая</t>
  </si>
  <si>
    <t xml:space="preserve">Задвижка с обрезиненным клином Гранар KR20 АДЛ DN100 PN16 чугунная фланцевая</t>
  </si>
  <si>
    <t xml:space="preserve">Кабель силовой с резиновой изоляцией КГ-ХЛ 2х10-0.66/1кВ</t>
  </si>
  <si>
    <t xml:space="preserve">Клапан запорный 15с22нж DN80 PN4.0МПа сталь углеродистая ручной (вентиль) фланцевый</t>
  </si>
  <si>
    <t xml:space="preserve">Клапан обратный двухстворчатый DN100 PN1.6МПа чугунный межфланцевый</t>
  </si>
  <si>
    <t xml:space="preserve">Клапан обратный двухстворчатый DN80 PN1.6МПа чугунный межфланцевый</t>
  </si>
  <si>
    <t xml:space="preserve">Клапан обратный однодисковый стяжной DN80, PN1,6 МПа, межфланцевый, уплотнение EPDM, запорный орган и корпус - сталь с гальваническим покрытием, направляющая-индикатор положения сталь оцинкованная, Ду прохода 50мм, толщина 17 мм, диам. корпуса наружный 144 мм</t>
  </si>
  <si>
    <t xml:space="preserve">Клей особопрочный Момент 88 туба 125мл</t>
  </si>
  <si>
    <t xml:space="preserve">Клей секундный 20г цианоакрилатный Cosmofen СА-500.200</t>
  </si>
  <si>
    <t xml:space="preserve">Клей универсальный Момент Супер 3г</t>
  </si>
  <si>
    <t xml:space="preserve">Колесо винтовое ч.08.02.78.00-018 для сепаратора</t>
  </si>
  <si>
    <t xml:space="preserve">Колодка фрикционная 08.02.84.00-031СБ для сепаратора</t>
  </si>
  <si>
    <t xml:space="preserve">Кольцо стопорное А30 стальное для насоса</t>
  </si>
  <si>
    <t xml:space="preserve">Кольцо уплотнительное 0718.754175.056</t>
  </si>
  <si>
    <t xml:space="preserve">Кольцо уплотнительное 08.02.07.03-013 для сепаратора</t>
  </si>
  <si>
    <t xml:space="preserve">Кольцо уплотнительное 08.02.07.05-017 для сепаратора</t>
  </si>
  <si>
    <t xml:space="preserve">Кольцо уплотнительное круглого сечения 006-009-19-2-2 ГОСТ 9833</t>
  </si>
  <si>
    <t xml:space="preserve">Кольцо уплотнительное круглого сечения 014-018-25-2-2 ГОСТ 9833</t>
  </si>
  <si>
    <t xml:space="preserve">Кольцо уплотнительное круглого сечения 020-024-25 20х24мм 2.5мм ГОСТ 9833</t>
  </si>
  <si>
    <t xml:space="preserve">Кольцо уплотнительное круглого сечения 022-028-36-2-2 ГОСТ 9833</t>
  </si>
  <si>
    <t xml:space="preserve">Кольцо уплотнительное круглого сечения 065-071-36-2-2 ГОСТ 9833</t>
  </si>
  <si>
    <t xml:space="preserve">Кольцо уплотнительное круглого сечения 075-081-36-2-2 ГОСТ 9833-73</t>
  </si>
  <si>
    <t xml:space="preserve">Кольцо уплотнительное круглого сечения 100-110-58-2-2 ГОСТ 9833</t>
  </si>
  <si>
    <t xml:space="preserve">Кольцо уплотнительное круглого сечения 170-180-58-2-2 ГОСТ 9833</t>
  </si>
  <si>
    <t xml:space="preserve">Кольцо уплотнительное круглого сечения 200-210-46-2-3 ГОСТ 9833</t>
  </si>
  <si>
    <t xml:space="preserve">Кольцо уплотнительное круглого сечения 210-220-58-2-2 ГОСТ 9833</t>
  </si>
  <si>
    <t xml:space="preserve">Кольцо уплотнительное круглого сечения 220-230-46-2-3 ГОСТ 9833</t>
  </si>
  <si>
    <t xml:space="preserve">Кольцо уплотнительное круглого сечения 225-235-46-2-2 ГОСТ 9833</t>
  </si>
  <si>
    <t xml:space="preserve">Кольцо уплотнительное круглого сечения 250-260-58-2-2 ГОСТ 9833</t>
  </si>
  <si>
    <t xml:space="preserve">Кольцо уплотнительное круглого сечения 255-265-58-2-2 ГОСТ 9833</t>
  </si>
  <si>
    <t xml:space="preserve">Кольцо уплотнительное круглого сечения 265-280-85-2-2 ГОСТ 9833</t>
  </si>
  <si>
    <t xml:space="preserve">Кольцо уплотнительное круглого сечения 285-300-85-2-2 ГОСТ 9833-73</t>
  </si>
  <si>
    <t xml:space="preserve">Кольцо уплотнительное круглого сечения 300-310-58-1-2 ГОСТ 9833</t>
  </si>
  <si>
    <t xml:space="preserve">Кольцо уплотнительное круглого сечения O-ring NBR 70 290х298мм 4мм DIN 3771</t>
  </si>
  <si>
    <t xml:space="preserve">Кольцо уплотнительное медное марка М1 ГОСТ 859-2014 размером 70х92х3
(наружный диаметр 92мм, внутренний диаметр 70мм, толщина 3мм)</t>
  </si>
  <si>
    <t xml:space="preserve">Кольцо уплотнительное резиновое 013-017-25-2-2 ГОСТ 9833</t>
  </si>
  <si>
    <t xml:space="preserve">Кольцо уплотнительное резиновое 018-022-25-2-2 2 18х22мм 2.5мм 2 группа
точности ГОСТ 9833-73</t>
  </si>
  <si>
    <t xml:space="preserve">Кольцо уплотнительное резиновое 020-025-30-2-2</t>
  </si>
  <si>
    <t xml:space="preserve">Кольцо уплотнительное резиновое 038-042-30 МБС ГОСТ 9833-73</t>
  </si>
  <si>
    <t xml:space="preserve">Кольцо уплотнительное резиновое 039-045-36-2-2 ГОСТ 9833</t>
  </si>
  <si>
    <t xml:space="preserve">Кольцо уплотнительное резиновое 045-050-30 ГОСТ 9833-73</t>
  </si>
  <si>
    <t xml:space="preserve">Кольцо уплотнительное резиновое 050-056-36-2-2 2 группа точности ГОСТ 9833</t>
  </si>
  <si>
    <t xml:space="preserve">Кольцо уплотнительное резиновое 051-055-25 МБС ГОСТ 9833-73</t>
  </si>
  <si>
    <t xml:space="preserve">Кольцо уплотнительное резиновое 060-070-58-2-2 ГОСТ 9833</t>
  </si>
  <si>
    <t xml:space="preserve">Кольцо уплотнительное резиновое 064-070-36-2-2 2 группа точности ГОСТ 9833</t>
  </si>
  <si>
    <t xml:space="preserve">Кольцо уплотнительное резиновое 075-085-58-2-2 ГОСТ 9833</t>
  </si>
  <si>
    <t xml:space="preserve">Кольцо уплотнительное резиновое 080-086-36-2-2</t>
  </si>
  <si>
    <t xml:space="preserve">Кольцо уплотнительное резиновое 080-85-30-2-2 ГОСТ 9833</t>
  </si>
  <si>
    <t xml:space="preserve">Кольцо уплотнительное резиновое 110-115-30-2-2 ГОСТ 9833</t>
  </si>
  <si>
    <t xml:space="preserve">Кольцо уплотнительное упругое МУВП К4 45х24х11х6мм</t>
  </si>
  <si>
    <t xml:space="preserve">Комплект сервисный Grundfos TP 50-120/2 A-F-A-BUBE для насоса (уплотнительные кольца O-ring, торцевые уплотнения)</t>
  </si>
  <si>
    <t xml:space="preserve">Комплект сервисный Grundfos TP 50-180/2 A-F-A-BUBE для насоса (уплотнительные кольца O-ring, торцевые уплотнения)</t>
  </si>
  <si>
    <t xml:space="preserve">Комплект сервисный Grundfos TP 65-180/2 A-F-A-BUBE для насоса (уплотнительные кольца O-ring, торцевые уплотнения)</t>
  </si>
  <si>
    <t xml:space="preserve">Кран шаровый трехходовой полнопроходной тип Т Valtec VT.361.N.04 DN15 PN40 латунный ручной (рычаг) муфтовый G1/2'</t>
  </si>
  <si>
    <t xml:space="preserve">Круг лепестковый КЛ 150х30х32 15А 5-П2 С1 Г А</t>
  </si>
  <si>
    <t xml:space="preserve">Круг отрезной армированный по металлу 125х2х22.23мм ГОСТ Р 57978</t>
  </si>
  <si>
    <t xml:space="preserve">Круг отрезной по металлу 125х1.2х22.23мм A 41 S BF 80</t>
  </si>
  <si>
    <t xml:space="preserve">Круг отрезной по металлу 125х22х1.6мм</t>
  </si>
  <si>
    <t xml:space="preserve">Круг отрезной по металлу 230х22.23х2.5мм ГОСТ Р 57978-2017</t>
  </si>
  <si>
    <t xml:space="preserve">Круг отрезной по металлу A 30 S BF 80 2 125х1.2х22.23мм Луга</t>
  </si>
  <si>
    <t xml:space="preserve">Круг шлифовальный 150х25х32 14A F24 BF 80</t>
  </si>
  <si>
    <t xml:space="preserve">Круг шлифовальный 125х6х22.23мм A 24 R BF 80 ex ГОСТ Р 52588</t>
  </si>
  <si>
    <t xml:space="preserve">Лист стальной нержавеющий горячекатаный перфорированный Rv 6.0-8.0 1.1мм
03Х17Н14М3 ГОСТ 5582</t>
  </si>
  <si>
    <t xml:space="preserve">Манжета уплотнительная 0718.754171.008</t>
  </si>
  <si>
    <t xml:space="preserve">Манжета уплотнительная 1.1-70х95-3 ГОСТ 8752</t>
  </si>
  <si>
    <t xml:space="preserve">Манжета уплотнительная 3-70х50-6 ГОСТ 14896</t>
  </si>
  <si>
    <t xml:space="preserve">Манжета уплотнительная армированная I.2.-70х95-1 однокромочная с формованной кромкой NBR ГОСТ 8752</t>
  </si>
  <si>
    <t xml:space="preserve">Манжета уплотнительная электропневмоклапана (ЭПК) 10х22х6 мм ГОСТ 14896-84</t>
  </si>
  <si>
    <t xml:space="preserve">Манжета шевронная М140Х160-1 ГОСТ22704-77</t>
  </si>
  <si>
    <t xml:space="preserve">Масло моторное Mobil Ultra 10W40</t>
  </si>
  <si>
    <t xml:space="preserve">л</t>
  </si>
  <si>
    <t xml:space="preserve">Масло турбинное ТП-30 ГОСТ 9972-2020 (класс чистоты не хуже 13 в соответствии с СТО РусГидро 02.01.112-2015)</t>
  </si>
  <si>
    <t xml:space="preserve">Муфта кулачковая под расточку (диаметр вала 24 мм) в сборе с полиуретановой эластичной вставкой.</t>
  </si>
  <si>
    <t xml:space="preserve">Набивка сальниковая многослойного плетения Графлекс НЧ 4051 10мм
</t>
  </si>
  <si>
    <t xml:space="preserve">Набивка сальниковая многослойного плетения Графлекс НЧ 4051 8мм
</t>
  </si>
  <si>
    <t xml:space="preserve">Набивка сальниковая многослойного плетения Графлекс НЧ 4051 8мм бухта</t>
  </si>
  <si>
    <t xml:space="preserve">Набивка сальниковая НЧС 4051 12х12мм бухта (материал Графлекс)</t>
  </si>
  <si>
    <t xml:space="preserve">Паронит ПОН-Б 1.5мм ГОСТ 481-80</t>
  </si>
  <si>
    <t xml:space="preserve">Переходник манометрический Росма ВР М20х1.5-НР G1/2" латунный</t>
  </si>
  <si>
    <t xml:space="preserve">Песок кварцевый 1.6-1.0мм ГК1
</t>
  </si>
  <si>
    <t xml:space="preserve">Планка прижимная черт.63Л53636 (левая и правая)
</t>
  </si>
  <si>
    <t xml:space="preserve">Планка прижимная черт.63Л53637 (левая и правая)</t>
  </si>
  <si>
    <t xml:space="preserve">Пластина резиновая техническая 2Н-I-ТМКЩ-С 20х55х12000мм ГОСТ 7338-90</t>
  </si>
  <si>
    <t xml:space="preserve">Пленка полиэтиленовая рукав 0.2мм 1.5м 100м</t>
  </si>
  <si>
    <t xml:space="preserve">пог м</t>
  </si>
  <si>
    <t xml:space="preserve">Подшипник шариковый радиально-упорный однорядный 46308 (7308АС) 40х90х23мм</t>
  </si>
  <si>
    <t xml:space="preserve">Подшипник шариковый радиальный однорядный 306 30х72х19мм ГОСТ 8338</t>
  </si>
  <si>
    <t xml:space="preserve">Подшипник шариковый радиальный сферический двухрядный 1309Л 45х100х25мм с латунным сепаратором</t>
  </si>
  <si>
    <t xml:space="preserve">Подшипник шариковый радиальный сферический двухрядный самоустанавливающийся 1306 30х72х19мм</t>
  </si>
  <si>
    <t xml:space="preserve">Подшипник шариковый упорный однорядный со свободным самоустанавливающимся и подкладным кольцами 18207</t>
  </si>
  <si>
    <t xml:space="preserve">Полоса стальная 5х60мм Ст3сп/пс ГОСТ 103-2006</t>
  </si>
  <si>
    <t xml:space="preserve">Полоса стальная горячекатаная 6х70мм Ст3сп ГОСТ 103-2006</t>
  </si>
  <si>
    <t xml:space="preserve">Полотно нетканое ХПП 150см 180г/м2</t>
  </si>
  <si>
    <t xml:space="preserve">Порошок стиральный Sorti Супер Эконом 350г</t>
  </si>
  <si>
    <t xml:space="preserve">Порошок стиральный Лотос</t>
  </si>
  <si>
    <t xml:space="preserve">Предохранитель ПРС-63-У3-П вставка плавкая ПВД-III-40УЗ</t>
  </si>
  <si>
    <t xml:space="preserve">Предохранитель ПРС-6-УЗ-П с плавкой вставкой ПВД1-4 УЗ</t>
  </si>
  <si>
    <t xml:space="preserve">Прокладка 08.02.00.04-019 для сепаратора</t>
  </si>
  <si>
    <t xml:space="preserve">Прокладка медная 21х26х1.5 ГОСТ 23358</t>
  </si>
  <si>
    <t xml:space="preserve">Растворитель Новаксол 272</t>
  </si>
  <si>
    <t xml:space="preserve">Ремкомплект Grundfos 96796255 для насоса</t>
  </si>
  <si>
    <t xml:space="preserve">Рукав напорный с нитяным усилением маслобензостойкий ПВХ 9бар 12х18мм 50м Titan Lock Kaspiy TL012KS_50</t>
  </si>
  <si>
    <t xml:space="preserve">Сетка латунная 07Н 0.7х0.7х0.3мм 1000мм Л-80 ГОСТ 6613-86</t>
  </si>
  <si>
    <t xml:space="preserve">Смазка водостойкая антикоррозийная АМС-1 ГОСТ 2712</t>
  </si>
  <si>
    <t xml:space="preserve">Смазка водостойкая антикоррозийная АМС-3</t>
  </si>
  <si>
    <t xml:space="preserve">Смазка проникающая универсальная Жидкий ключ WD-40 200мл</t>
  </si>
  <si>
    <t xml:space="preserve">Смесь цементно-песчаная М200 мешок 25кг Мастер Микс</t>
  </si>
  <si>
    <t xml:space="preserve">Средство моющее техническое Лабомид-М</t>
  </si>
  <si>
    <t xml:space="preserve">Суспензия магнитная черная Magnaflux Magnavis 7HF 400мл</t>
  </si>
  <si>
    <t xml:space="preserve">Ткань бязь отбеленная 142гр/м2 150см ГОСТ 29298-2005</t>
  </si>
  <si>
    <t xml:space="preserve">Торцевое уплотнение дренажного насоса 385.04.000СБ</t>
  </si>
  <si>
    <t xml:space="preserve">Уплотнение штоков и цилиндров 19х30мм резиновое для гидроагрегата Лайон (профиль Г)</t>
  </si>
  <si>
    <t xml:space="preserve">Уплотнение Этра EPDM для теплообменника ЭТ-009-16-25</t>
  </si>
  <si>
    <t xml:space="preserve">Уплотнение Этра ЭТ005 EPDM для теплообменника</t>
  </si>
  <si>
    <t xml:space="preserve">Уплотнение Этра ЭТ010 EPDM для теплообменника </t>
  </si>
  <si>
    <t xml:space="preserve">Уплотнение Этра ЭТ022 EPDM для теплообменника</t>
  </si>
  <si>
    <t xml:space="preserve">Фиксатор для резьбовых соединений 242 Loctite 50мл</t>
  </si>
  <si>
    <t xml:space="preserve">Фильтр гидравлический PI35006DNDRG25, производитель - Mahle или Filtration
Group</t>
  </si>
  <si>
    <t xml:space="preserve">Фильтроэлемент 01NR.630.25G.10.B.P., производитель — INTERNORMEN</t>
  </si>
  <si>
    <t xml:space="preserve">Фильтроэлемент 1.0120G25-A 00-0-P, производитель — INTERNORMEN</t>
  </si>
  <si>
    <t xml:space="preserve">Фильтроэлемент OMTPR102C25N для фильтра OMTP102 25мкм, производитель — OMT Group (Италия)</t>
  </si>
  <si>
    <t xml:space="preserve">Фильтроэлемент PI8211DRG25, производитель - Mahle или Filtration Group</t>
  </si>
  <si>
    <t xml:space="preserve">Фильтроэлемент тип МС1 ячея 300/250 20мкм нержавеющая сталь. Производитель -
BOLL &amp; KIRCH (BOLLFILTER). Артикул — 1945964</t>
  </si>
  <si>
    <t xml:space="preserve">Фильтр проходной M22A-F12L-100-NE-SS Parker</t>
  </si>
  <si>
    <t xml:space="preserve">Фольга латунная холоднокатаная 0.2мм Л90 ГОСТ 2208</t>
  </si>
  <si>
    <t xml:space="preserve">Фольга латунная холоднокатаная 0.5мм Л90 ГОСТ 2208</t>
  </si>
  <si>
    <t xml:space="preserve">Фольга латунная холоднокатаная 0.7мм Л90 ГОСТ 2208</t>
  </si>
  <si>
    <t xml:space="preserve">Фольга латунная холоднокатаная 1мм Л90 ГОСТ 2208</t>
  </si>
  <si>
    <t xml:space="preserve">Шайба 20 65Г Ц15. Фос.прм ГОСТ 6402-70</t>
  </si>
  <si>
    <t xml:space="preserve">Шайба плоская 16.02.019 ГОСТ 11371</t>
  </si>
  <si>
    <t xml:space="preserve">Шайба плоская 20.02.029 ГОСТ 11371</t>
  </si>
  <si>
    <t xml:space="preserve">Шайба плоская стальная М18 оцинкованная ГОСТ 11371</t>
  </si>
  <si>
    <t xml:space="preserve">Шайба пружинная 24.65Г ГОСТ 6402</t>
  </si>
  <si>
    <t xml:space="preserve">Шайба пружинная 24.65Г Ц24.фос.прм. ГОСТ 6402</t>
  </si>
  <si>
    <t xml:space="preserve">Шайба стопорная 16.03.016 ГОСТ 13463</t>
  </si>
  <si>
    <t xml:space="preserve">Шайба стопорная с лапкой исп.1 М36 стальная ГОСТ 13463</t>
  </si>
  <si>
    <t xml:space="preserve">Шайба стопорная ч.42М20027</t>
  </si>
  <si>
    <t xml:space="preserve">Шайба эластичной муфты 08.02.00-20-013 для сепаратора</t>
  </si>
  <si>
    <t xml:space="preserve">Шкала ч.1Р107ГК887195.13</t>
  </si>
  <si>
    <t xml:space="preserve">Шнур резиновый маслобензостойкий МБС 2-4С 8мм ГОСТ 6467-79</t>
  </si>
  <si>
    <t xml:space="preserve">Шнур резиновый уплотнительный круглого сечения 1-1С 22мм ГОСТ 6467</t>
  </si>
  <si>
    <t xml:space="preserve">Шнур резиновый уплотнительный круглого сечения 1-2М 10мм ГОСТ 6467</t>
  </si>
  <si>
    <t xml:space="preserve">Шнур резиновый уплотнительный круглого сечения 2-4С 12мм ГОСТ 6467-79</t>
  </si>
  <si>
    <t xml:space="preserve">Шнур резиновый уплотнительный круглого сечения 2-4С 25мм ГОСТ 6467</t>
  </si>
  <si>
    <t xml:space="preserve">Шнур резиновый уплотнительный круглого сечения 2-4С 8мм</t>
  </si>
  <si>
    <t xml:space="preserve">Шнур резиновый уплотнительный круглого сечения 2-4С 9мм ГОСТ 6467</t>
  </si>
  <si>
    <t xml:space="preserve">Шнур резиновый уплотнительный круглого сечения МБС 2-4С 16мм</t>
  </si>
  <si>
    <t xml:space="preserve">Шпилька М10-6gx70.58 ГОСТ 22032-76</t>
  </si>
  <si>
    <t xml:space="preserve">Шпилька М16-6gx80.58 ГОСТ 22032-76</t>
  </si>
  <si>
    <t xml:space="preserve">Шпилька М20х100 ГОСТ 22042-76</t>
  </si>
  <si>
    <t xml:space="preserve">Шпилька М24-6gx60.56 Ц15.фос.прм ГОСТ 22033-76</t>
  </si>
  <si>
    <t xml:space="preserve">Шпилька М24-6gx80.58 ГОСТ 22032-76</t>
  </si>
  <si>
    <t xml:space="preserve">Шпилька М24х90мм ГОСТ 22032-76</t>
  </si>
  <si>
    <t xml:space="preserve">Шпилька М36-6gх300 ГОСТ 22032-76</t>
  </si>
  <si>
    <t xml:space="preserve">Шпилька М42-6gх120.58 (P3) ГОСТ 22032-76</t>
  </si>
  <si>
    <t xml:space="preserve">Шпилька полнорезьбовая стальная М12х1000мм А4 DIN 975</t>
  </si>
  <si>
    <t xml:space="preserve">Шпилька полнорезьбовая стальная М16х1000мм А4 DIN 975</t>
  </si>
  <si>
    <t xml:space="preserve">Шпилька резьбовая стальная М16х2000мм 6.8 C1008 оцинкованная DIN 975</t>
  </si>
  <si>
    <t xml:space="preserve">Шпилька стальная М12х60мм ГОСТ 9066</t>
  </si>
  <si>
    <t xml:space="preserve">Шпилька стальная М12х70мм ГОСТ 22032-76</t>
  </si>
  <si>
    <t xml:space="preserve">Шпилька стальная М24х90мм ГОСТ 22032-76</t>
  </si>
  <si>
    <t xml:space="preserve">Шпилька фланцевая стальная М27х150мм ГОСТ 9066</t>
  </si>
  <si>
    <t xml:space="preserve">экс. 01-Изолятор (материал: фторопласт Ф-4; состав:шайба и втулка)</t>
  </si>
  <si>
    <t xml:space="preserve">Электрод сварочный Broco 3/8'(9.5х457мм) для экзотермической резки</t>
  </si>
  <si>
    <t xml:space="preserve">Электрод сварочный Broco Soft Touch 5/32' 4мм для подводной сварки</t>
  </si>
  <si>
    <t xml:space="preserve">Электроды Э46-МР-3С-Ø2-УД/Е 431(3)-РЦ13</t>
  </si>
  <si>
    <t xml:space="preserve">Электрод Э46-МР-3С-Ø3-УД/Е 431(3)-РЦ13</t>
  </si>
  <si>
    <t xml:space="preserve">Электроды Э46-МР-3С-Ø4-УД/Е 431(3)-РЦ13</t>
  </si>
  <si>
    <t xml:space="preserve">Электрод Э46-МР-3С-Ø3-УД/Е 516-Б20</t>
  </si>
  <si>
    <t xml:space="preserve">Электроды Э46-МР-3С-Ø4-УД/Е 516-Б20</t>
  </si>
  <si>
    <t xml:space="preserve">Электроды Э50А-УОНИ-13/55-Ø3-УД/Е 431(3)-РЦ13</t>
  </si>
  <si>
    <t xml:space="preserve">Электроды Э50А-УОНИ-13/55-Ø4-УД/Е 431(3)-РЦ13</t>
  </si>
  <si>
    <t xml:space="preserve">Электроды Э50А-УОНИ-13/55-Ø4-УД/Е 516-Б20</t>
  </si>
  <si>
    <t xml:space="preserve">Источник питания стабилизированный Форпост ИПС-3000-380/12В-100А-23-F 3000Вт
12В 100А</t>
  </si>
  <si>
    <t xml:space="preserve">Клапан электромагнитный YCP31 15мм стальной для поршневого компрессора (PTFE)</t>
  </si>
  <si>
    <t xml:space="preserve">Насос для перекачки масла Gespasa EA-90 25л/мин 40м 0.37кВт 12В</t>
  </si>
  <si>
    <t xml:space="preserve">Насос дренажный нижний забор воды Oasis DN 266/11 4670004376942</t>
  </si>
  <si>
    <t xml:space="preserve">Насос циркуляционный Grundfos UPS 25-100 180 11м3/ч 10м</t>
  </si>
  <si>
    <t xml:space="preserve">Код NSI</t>
  </si>
  <si>
    <t xml:space="preserve">прошлогодняя цена</t>
  </si>
  <si>
    <t xml:space="preserve">Оборудование Подрядчика</t>
  </si>
  <si>
    <t xml:space="preserve">Аппарат электронный пускорегулирующий ЭПРА IEK LLV258D-EBFL-2-58 2х58Вт</t>
  </si>
  <si>
    <t xml:space="preserve">NSI-3300267486</t>
  </si>
  <si>
    <t xml:space="preserve">Аппарат электронный пускорегулирующий ЭПРА Philips HF-S236 TL-DII 72Вт IP20</t>
  </si>
  <si>
    <t xml:space="preserve">NSI-3300266914</t>
  </si>
  <si>
    <t xml:space="preserve">Блок распределительный EKF PROxima КБР plc-kbr125 125А на DIN-рейку и монтажную панель</t>
  </si>
  <si>
    <t xml:space="preserve">NSI-3300130809</t>
  </si>
  <si>
    <t xml:space="preserve">Блок распределительный EKF PROxima КБР plc-kbr80 80А на DIN-рейку и монтажную панель</t>
  </si>
  <si>
    <t xml:space="preserve">NSI-3300266905</t>
  </si>
  <si>
    <t xml:space="preserve">Выключатель автоматический ABB S203 63А C 3P 6кА</t>
  </si>
  <si>
    <t xml:space="preserve">NSI-3300037417</t>
  </si>
  <si>
    <t xml:space="preserve">Выключатель автоматический DKC Yon MD63 16А C 1P 6кА MD63-1C16-6</t>
  </si>
  <si>
    <t xml:space="preserve">NSI-3300267216</t>
  </si>
  <si>
    <t xml:space="preserve">Выключатель автоматический DKC Yon MD63 AC 50А C 3P 6кА AC IP20 MD63-3C50-6</t>
  </si>
  <si>
    <t xml:space="preserve">NSI-3300267133</t>
  </si>
  <si>
    <t xml:space="preserve">Выключатель автоматический Systeme Electric City9 Set AC 10А C 1P 6кА 230В C9F36110</t>
  </si>
  <si>
    <t xml:space="preserve">NSI-3300267934</t>
  </si>
  <si>
    <t xml:space="preserve">Выключатель автоматический Systeme Electric City9 Set AC 25А C 3P 6кА 400В C9F36325</t>
  </si>
  <si>
    <t xml:space="preserve">NSI-3300267884</t>
  </si>
  <si>
    <t xml:space="preserve">Выключатель автоматический Systeme Electric City9 Set AC 32А C 3P 6кА 400В C9F36332</t>
  </si>
  <si>
    <t xml:space="preserve">NSI-3300267928</t>
  </si>
  <si>
    <t xml:space="preserve">Выключатель автоматический дифференциального тока DKC Yon MDR63-22C16-A AC 16А 2P 6кА 30мА</t>
  </si>
  <si>
    <t xml:space="preserve">NSI-3300267581</t>
  </si>
  <si>
    <t xml:space="preserve">Выключатель автоматический модульный ABB S201 C10 AC 10А C 1P 6кА</t>
  </si>
  <si>
    <t xml:space="preserve">NSI-3300267939</t>
  </si>
  <si>
    <t xml:space="preserve">Выключатель автоматический модульный DKC Yon MD125-3C100-20 100А C 3P 20кА</t>
  </si>
  <si>
    <t xml:space="preserve">NSI-3300268496</t>
  </si>
  <si>
    <t xml:space="preserve">Выключатель автоматический модульный DKC Yon MD63 16А C 3P 6кА MD63-3C16-6</t>
  </si>
  <si>
    <t xml:space="preserve">NSI-3300271237</t>
  </si>
  <si>
    <t xml:space="preserve">Выключатель автоматический модульный DKC Yon MD63 25А C 1P 6кА MD63-1C25-6</t>
  </si>
  <si>
    <t xml:space="preserve">Выключатель автоматический модульный DKC Yon MD63-3C16-10 16А C 3P 10кА</t>
  </si>
  <si>
    <t xml:space="preserve">NSI-3300267211</t>
  </si>
  <si>
    <t xml:space="preserve">Выключатель автоматический модульный DKC Yon MD63-3C25-10 25А C 3P 10кА</t>
  </si>
  <si>
    <t xml:space="preserve">Выключатель автоматический модульный DKC Yon MD63-3C32-10 32А 3P 10кА</t>
  </si>
  <si>
    <t xml:space="preserve">NSI-3300267218</t>
  </si>
  <si>
    <t xml:space="preserve">Выключатель автоматический модульный DKC Yon MD63-3C32-6 32А C 3P 6кА</t>
  </si>
  <si>
    <t xml:space="preserve">Выключатель автоматический модульный DKC Yon MD63-3C40-10 40А C 3P 10кА</t>
  </si>
  <si>
    <t xml:space="preserve">Выключатель автоматический модульный DKC Yon MD63-3C63-10 63А C 3P 10кА</t>
  </si>
  <si>
    <t xml:space="preserve">Выключатель автоматический модульный DKC Yon MD63H-3PC63 63А C 3P 10кА</t>
  </si>
  <si>
    <t xml:space="preserve">NSI-3300268749</t>
  </si>
  <si>
    <t xml:space="preserve">Выключатель автоматический модульный DKC Yon MD63H-3PC63 63А C 3P 6кА</t>
  </si>
  <si>
    <t xml:space="preserve">Выключатель автоматический модульный Systeme Electric City9 Set AC 40А C 3P 6кА 400В C9F36340</t>
  </si>
  <si>
    <t xml:space="preserve">NSI-3300268654</t>
  </si>
  <si>
    <t xml:space="preserve">Выключатель пакетный EKF PROxima ПВ 2-16 М1 380В 16А IP56 пластиковый</t>
  </si>
  <si>
    <t xml:space="preserve">NSI-3300045916</t>
  </si>
  <si>
    <t xml:space="preserve">Источник питания Аргос ИПС50-350Т 50Вт</t>
  </si>
  <si>
    <t xml:space="preserve">NSI-3300048976</t>
  </si>
  <si>
    <t xml:space="preserve">Конвектор электрический 1.5кВт напольный/настенный EPK4570M15 Ivigo</t>
  </si>
  <si>
    <t xml:space="preserve">NSI-3300267588</t>
  </si>
  <si>
    <t xml:space="preserve">Конвектор электрический 1кВт напольный/настенный EPK4590M10 Ivigo</t>
  </si>
  <si>
    <t xml:space="preserve">NSI-3300267587</t>
  </si>
  <si>
    <t xml:space="preserve">Конвектор электрический 2кВт напольный/настенный 900х450х80мм EPK4590M20 Ivigo</t>
  </si>
  <si>
    <t xml:space="preserve">NSI-3300256223</t>
  </si>
  <si>
    <t xml:space="preserve">Контактор вакуумный ВК49-400 3Р 400А</t>
  </si>
  <si>
    <t xml:space="preserve">NSI-3300266064</t>
  </si>
  <si>
    <t xml:space="preserve">Контактор электромагнитный IEK KKM41-065-230-11 КМИ-46512 230В 65А IP20 1НО+1НЗ</t>
  </si>
  <si>
    <t xml:space="preserve">NSI-3300267577</t>
  </si>
  <si>
    <t xml:space="preserve">Контактор электромагнитный IEK КМИ-11810 230В 18А IP20 трехполюсной, 1НО</t>
  </si>
  <si>
    <t xml:space="preserve">NSI-3300025120</t>
  </si>
  <si>
    <t xml:space="preserve">Контактор электромагнитный IEK КМИ-22510 230В 25А IP20 трехполюсной, 1НО</t>
  </si>
  <si>
    <t xml:space="preserve">NSI-3300025119</t>
  </si>
  <si>
    <t xml:space="preserve">Контактор электромагнитный IEK КМИ-49512 230В 95А IP20 3Р 1НЗ+1НО</t>
  </si>
  <si>
    <t xml:space="preserve">NSI-3300025022</t>
  </si>
  <si>
    <t xml:space="preserve">Контактор электромагнитный Schneider Electric LC1E95M5 Easypact TVS 3P 400/220В 95А IP2x 3Р 1НЗ+1НО</t>
  </si>
  <si>
    <t xml:space="preserve">NSI-3300025146</t>
  </si>
  <si>
    <t xml:space="preserve">Контактор электромагнитный КМИ-10910 400В 9А IP20 АС3 1НО</t>
  </si>
  <si>
    <t xml:space="preserve">NSI-3300266907</t>
  </si>
  <si>
    <t xml:space="preserve">Крышка передняя ч.ПТ-093.00.05.СБ для маслоохладителя</t>
  </si>
  <si>
    <t xml:space="preserve">NSI-3300266764</t>
  </si>
  <si>
    <t xml:space="preserve">Модуль светодиодный Line 470X11.5 2X10 40K80 10W0.3A 2835 Аргос</t>
  </si>
  <si>
    <t xml:space="preserve">NSI-3300266916</t>
  </si>
  <si>
    <t xml:space="preserve">Модуль тиристорный двухпозиционный МТ3-320-18-С1 У2 Протон-Электротекс</t>
  </si>
  <si>
    <t xml:space="preserve">NSI-3300266896</t>
  </si>
  <si>
    <t xml:space="preserve">Нагреватель трубчатый ТЭНР-83-13/3.0-0-220В (ВУ-18, 19)</t>
  </si>
  <si>
    <t xml:space="preserve">NSI-3300266761</t>
  </si>
  <si>
    <t xml:space="preserve">Переключатель кулачковый КЭАЗ 138251 OptiSwitch 4G10-52-U-R014</t>
  </si>
  <si>
    <t xml:space="preserve">NSI-3300103052</t>
  </si>
  <si>
    <t xml:space="preserve">Реле протока Danfoss FQS U30G</t>
  </si>
  <si>
    <t xml:space="preserve">NSI-3300266742</t>
  </si>
  <si>
    <t xml:space="preserve">Реле электротепловое токовое РТИ-3361 55-70А ИЭК</t>
  </si>
  <si>
    <t xml:space="preserve">NSI-3300187634</t>
  </si>
  <si>
    <t xml:space="preserve">Ремкомплект РТИ для трансформатора ТМ 25-160кВА 22 предмета</t>
  </si>
  <si>
    <t xml:space="preserve">NSI-3300198979</t>
  </si>
  <si>
    <t xml:space="preserve">Счетчик регистрации разрядных импульсов-количества срабатываний ОПН СПО-1</t>
  </si>
  <si>
    <t xml:space="preserve">NSI-3300267636</t>
  </si>
  <si>
    <t xml:space="preserve">Тиристор низкочастотный Т183-2500-42-81 УХЛ2 Протон-Электротекс</t>
  </si>
  <si>
    <t xml:space="preserve">NSI-3300266769</t>
  </si>
  <si>
    <t xml:space="preserve">Трансформатор напряжения ОСМ-1.0 380/24В</t>
  </si>
  <si>
    <t xml:space="preserve">NSI-3300267473</t>
  </si>
  <si>
    <t xml:space="preserve">Трансформатор напряжения понижающий ОСО-0.25-09 0.25кВА 220/24В УХЛЗ</t>
  </si>
  <si>
    <t xml:space="preserve">NSI-3300193435</t>
  </si>
  <si>
    <t xml:space="preserve">Фотореле ООО ТД МЕАНДР 4680019911649 ФР-М01-1-15 230В УХЛ4 93х62х18мм 16А, 3600Вт</t>
  </si>
  <si>
    <t xml:space="preserve">NSI-3300024866</t>
  </si>
  <si>
    <t xml:space="preserve">Шайба полюсная ч.3М56437 СТЭФ-У для генератора</t>
  </si>
  <si>
    <t xml:space="preserve">NSI-3300267628</t>
  </si>
</sst>
</file>

<file path=xl/styles.xml><?xml version="1.0" encoding="utf-8"?>
<styleSheet xmlns="http://schemas.openxmlformats.org/spreadsheetml/2006/main">
  <numFmts count="13">
    <numFmt numFmtId="164" formatCode="General"/>
    <numFmt numFmtId="165" formatCode="_-* #,##0.00\ _₽_-;\-* #,##0.00\ _₽_-;_-* \-??\ _₽_-;_-@_-"/>
    <numFmt numFmtId="166" formatCode="#,##0.00"/>
    <numFmt numFmtId="167" formatCode="_-* #,##0\ _₽_-;\-* #,##0\ _₽_-;_-* \-??\ _₽_-;_-@_-"/>
    <numFmt numFmtId="168" formatCode="@"/>
    <numFmt numFmtId="169" formatCode="#,##0.00&quot; ₽&quot;"/>
    <numFmt numFmtId="170" formatCode="#,##0.000"/>
    <numFmt numFmtId="171" formatCode="0"/>
    <numFmt numFmtId="172" formatCode="0.00"/>
    <numFmt numFmtId="173" formatCode="0.00000"/>
    <numFmt numFmtId="174" formatCode="0.0"/>
    <numFmt numFmtId="175" formatCode="0.000"/>
    <numFmt numFmtId="176" formatCode="0.0000"/>
  </numFmts>
  <fonts count="42">
    <font>
      <sz val="11"/>
      <color rgb="FF000000"/>
      <name val="Calibri"/>
      <family val="2"/>
      <charset val="1"/>
    </font>
    <font>
      <sz val="10"/>
      <name val="Arial"/>
      <family val="0"/>
    </font>
    <font>
      <sz val="10"/>
      <name val="Arial"/>
      <family val="0"/>
    </font>
    <font>
      <sz val="10"/>
      <name val="Arial"/>
      <family val="0"/>
    </font>
    <font>
      <u val="single"/>
      <sz val="11"/>
      <name val="Calibri"/>
      <family val="2"/>
      <charset val="1"/>
    </font>
    <font>
      <sz val="10"/>
      <name val="Arial Cyr"/>
      <family val="0"/>
      <charset val="204"/>
    </font>
    <font>
      <sz val="10"/>
      <name val="Arial Cyr"/>
      <family val="0"/>
      <charset val="1"/>
    </font>
    <font>
      <sz val="11"/>
      <color rgb="FF000000"/>
      <name val="Calibri"/>
      <family val="2"/>
      <charset val="204"/>
    </font>
    <font>
      <sz val="11"/>
      <name val="Calibri"/>
      <family val="2"/>
      <charset val="1"/>
    </font>
    <font>
      <sz val="11"/>
      <name val="Calibri"/>
      <family val="2"/>
      <charset val="204"/>
    </font>
    <font>
      <sz val="11"/>
      <name val="Calibri"/>
      <family val="0"/>
      <charset val="1"/>
    </font>
    <font>
      <sz val="11"/>
      <color rgb="FF000000"/>
      <name val="Arial"/>
      <family val="2"/>
      <charset val="204"/>
    </font>
    <font>
      <i val="true"/>
      <sz val="20"/>
      <color rgb="FFFF0000"/>
      <name val="Arial"/>
      <family val="2"/>
      <charset val="204"/>
    </font>
    <font>
      <sz val="11"/>
      <color rgb="FFFF0000"/>
      <name val="Arial"/>
      <family val="2"/>
      <charset val="204"/>
    </font>
    <font>
      <b val="true"/>
      <sz val="14"/>
      <name val="Arial"/>
      <family val="2"/>
      <charset val="204"/>
    </font>
    <font>
      <sz val="11"/>
      <name val="Arial"/>
      <family val="2"/>
      <charset val="204"/>
    </font>
    <font>
      <b val="true"/>
      <sz val="12"/>
      <name val="Arial"/>
      <family val="2"/>
      <charset val="204"/>
    </font>
    <font>
      <b val="true"/>
      <sz val="16"/>
      <name val="Arial"/>
      <family val="2"/>
      <charset val="204"/>
    </font>
    <font>
      <b val="true"/>
      <sz val="16"/>
      <color rgb="FF00B050"/>
      <name val="Arial"/>
      <family val="2"/>
      <charset val="204"/>
    </font>
    <font>
      <b val="true"/>
      <sz val="16"/>
      <color rgb="FFFF0000"/>
      <name val="Arial"/>
      <family val="2"/>
      <charset val="204"/>
    </font>
    <font>
      <b val="true"/>
      <sz val="12"/>
      <color rgb="FF000000"/>
      <name val="Arial"/>
      <family val="2"/>
      <charset val="204"/>
    </font>
    <font>
      <sz val="10"/>
      <name val="Arial"/>
      <family val="2"/>
      <charset val="204"/>
    </font>
    <font>
      <sz val="12"/>
      <color rgb="FF000000"/>
      <name val="Arial"/>
      <family val="2"/>
      <charset val="204"/>
    </font>
    <font>
      <b val="true"/>
      <sz val="18"/>
      <name val="Arial"/>
      <family val="2"/>
      <charset val="204"/>
    </font>
    <font>
      <b val="true"/>
      <sz val="11"/>
      <name val="Arial"/>
      <family val="2"/>
      <charset val="204"/>
    </font>
    <font>
      <b val="true"/>
      <sz val="11"/>
      <color rgb="FFFF0000"/>
      <name val="Arial"/>
      <family val="2"/>
      <charset val="204"/>
    </font>
    <font>
      <b val="true"/>
      <sz val="11"/>
      <color rgb="FF000000"/>
      <name val="Arial"/>
      <family val="2"/>
      <charset val="204"/>
    </font>
    <font>
      <sz val="9"/>
      <color rgb="FF000000"/>
      <name val="Tahoma"/>
      <family val="2"/>
      <charset val="204"/>
    </font>
    <font>
      <strike val="true"/>
      <sz val="11"/>
      <name val="Arial"/>
      <family val="2"/>
      <charset val="204"/>
    </font>
    <font>
      <b val="true"/>
      <strike val="true"/>
      <sz val="11"/>
      <name val="Arial"/>
      <family val="2"/>
      <charset val="204"/>
    </font>
    <font>
      <sz val="12"/>
      <name val="Times New Roman"/>
      <family val="1"/>
      <charset val="204"/>
    </font>
    <font>
      <u val="single"/>
      <sz val="12"/>
      <color rgb="FF0563C1"/>
      <name val="Times New Roman"/>
      <family val="1"/>
      <charset val="204"/>
    </font>
    <font>
      <u val="single"/>
      <sz val="11"/>
      <color rgb="FF0563C1"/>
      <name val="Calibri"/>
      <family val="2"/>
      <charset val="1"/>
    </font>
    <font>
      <strike val="true"/>
      <sz val="11"/>
      <color rgb="FFFF0000"/>
      <name val="Arial"/>
      <family val="2"/>
      <charset val="204"/>
    </font>
    <font>
      <b val="true"/>
      <strike val="true"/>
      <sz val="11"/>
      <color rgb="FFFF0000"/>
      <name val="Arial"/>
      <family val="2"/>
      <charset val="204"/>
    </font>
    <font>
      <i val="true"/>
      <sz val="11"/>
      <color rgb="FFFF0000"/>
      <name val="Arial"/>
      <family val="2"/>
      <charset val="204"/>
    </font>
    <font>
      <b val="true"/>
      <sz val="11"/>
      <color rgb="FF00B050"/>
      <name val="Arial"/>
      <family val="2"/>
      <charset val="204"/>
    </font>
    <font>
      <sz val="13"/>
      <color rgb="FF000000"/>
      <name val="Arial"/>
      <family val="2"/>
      <charset val="204"/>
    </font>
    <font>
      <sz val="13"/>
      <name val="Arial"/>
      <family val="2"/>
      <charset val="204"/>
    </font>
    <font>
      <b val="true"/>
      <sz val="13"/>
      <name val="Arial"/>
      <family val="2"/>
      <charset val="204"/>
    </font>
    <font>
      <strike val="true"/>
      <sz val="13"/>
      <name val="Arial"/>
      <family val="2"/>
      <charset val="204"/>
    </font>
    <font>
      <strike val="true"/>
      <sz val="13"/>
      <color rgb="FF000000"/>
      <name val="Arial"/>
      <family val="2"/>
      <charset val="204"/>
    </font>
  </fonts>
  <fills count="17">
    <fill>
      <patternFill patternType="none"/>
    </fill>
    <fill>
      <patternFill patternType="gray125"/>
    </fill>
    <fill>
      <patternFill patternType="solid">
        <fgColor rgb="FFF4B183"/>
        <bgColor rgb="FFFF99CC"/>
      </patternFill>
    </fill>
    <fill>
      <patternFill patternType="solid">
        <fgColor rgb="FFD9D9D9"/>
        <bgColor rgb="FFDBDBDB"/>
      </patternFill>
    </fill>
    <fill>
      <patternFill patternType="solid">
        <fgColor rgb="FFFFFFFF"/>
        <bgColor rgb="FFF2F2F2"/>
      </patternFill>
    </fill>
    <fill>
      <patternFill patternType="solid">
        <fgColor rgb="FFC5E0B4"/>
        <bgColor rgb="FFD9D9D9"/>
      </patternFill>
    </fill>
    <fill>
      <patternFill patternType="solid">
        <fgColor rgb="FFF2F2F2"/>
        <bgColor rgb="FFE7E6E6"/>
      </patternFill>
    </fill>
    <fill>
      <patternFill patternType="solid">
        <fgColor rgb="FF9DC3E6"/>
        <bgColor rgb="FFB4C7E7"/>
      </patternFill>
    </fill>
    <fill>
      <patternFill patternType="solid">
        <fgColor rgb="FFE7E6E6"/>
        <bgColor rgb="FFDEEBF7"/>
      </patternFill>
    </fill>
    <fill>
      <patternFill patternType="solid">
        <fgColor rgb="FFFFFF00"/>
        <bgColor rgb="FFFFFF00"/>
      </patternFill>
    </fill>
    <fill>
      <patternFill patternType="solid">
        <fgColor rgb="FFDBDBDB"/>
        <bgColor rgb="FFD9D9D9"/>
      </patternFill>
    </fill>
    <fill>
      <patternFill patternType="solid">
        <fgColor rgb="FFFF0000"/>
        <bgColor rgb="FF993300"/>
      </patternFill>
    </fill>
    <fill>
      <patternFill patternType="solid">
        <fgColor rgb="FF00B050"/>
        <bgColor rgb="FF008080"/>
      </patternFill>
    </fill>
    <fill>
      <patternFill patternType="solid">
        <fgColor rgb="FF92D050"/>
        <bgColor rgb="FFA9D18E"/>
      </patternFill>
    </fill>
    <fill>
      <patternFill patternType="solid">
        <fgColor rgb="FFA9D18E"/>
        <bgColor rgb="FFC5E0B4"/>
      </patternFill>
    </fill>
    <fill>
      <patternFill patternType="solid">
        <fgColor rgb="FFB4C7E7"/>
        <bgColor rgb="FF9DC3E6"/>
      </patternFill>
    </fill>
    <fill>
      <patternFill patternType="solid">
        <fgColor rgb="FFDEEBF7"/>
        <bgColor rgb="FFE7E6E6"/>
      </patternFill>
    </fill>
  </fills>
  <borders count="18">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right/>
      <top/>
      <bottom style="thin"/>
      <diagonal/>
    </border>
    <border diagonalUp="false" diagonalDown="false">
      <left style="thin"/>
      <right style="thin"/>
      <top style="thin"/>
      <bottom style="thin"/>
      <diagonal/>
    </border>
    <border diagonalUp="false" diagonalDown="false">
      <left style="thin">
        <color rgb="FF222A35"/>
      </left>
      <right style="thin">
        <color rgb="FF222A35"/>
      </right>
      <top style="medium"/>
      <bottom style="thin"/>
      <diagonal/>
    </border>
    <border diagonalUp="false" diagonalDown="false">
      <left style="thin">
        <color rgb="FF222A35"/>
      </left>
      <right style="thin">
        <color rgb="FF222A35"/>
      </right>
      <top style="medium"/>
      <bottom/>
      <diagonal/>
    </border>
    <border diagonalUp="false" diagonalDown="false">
      <left style="thin">
        <color rgb="FF222A35"/>
      </left>
      <right/>
      <top style="medium"/>
      <bottom/>
      <diagonal/>
    </border>
    <border diagonalUp="false" diagonalDown="false">
      <left style="thin">
        <color rgb="FF222A35"/>
      </left>
      <right style="thin"/>
      <top style="medium"/>
      <bottom/>
      <diagonal/>
    </border>
    <border diagonalUp="false" diagonalDown="false">
      <left style="medium"/>
      <right style="thin"/>
      <top style="thin"/>
      <bottom style="thin"/>
      <diagonal/>
    </border>
    <border diagonalUp="false" diagonalDown="false">
      <left style="medium"/>
      <right style="thin"/>
      <top/>
      <bottom style="thin"/>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top style="thin"/>
      <bottom style="thin"/>
      <diagonal/>
    </border>
    <border diagonalUp="false" diagonalDown="false">
      <left/>
      <right style="thin"/>
      <top style="thin"/>
      <bottom style="thin"/>
      <diagonal/>
    </border>
  </borders>
  <cellStyleXfs count="3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32"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5" fontId="8" fillId="0" borderId="0" applyFont="true" applyBorder="false" applyAlignment="true" applyProtection="false">
      <alignment horizontal="general" vertical="bottom" textRotation="0" wrapText="false" indent="0" shrinkToFit="false"/>
    </xf>
  </cellStyleXfs>
  <cellXfs count="229">
    <xf numFmtId="164" fontId="0" fillId="0" borderId="0" xfId="0" applyFont="fals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1" fillId="0" borderId="0" xfId="0" applyFont="true" applyBorder="false" applyAlignment="true" applyProtection="true">
      <alignment horizontal="general" vertical="center" textRotation="0" wrapText="false" indent="0" shrinkToFit="false"/>
      <protection locked="true" hidden="false"/>
    </xf>
    <xf numFmtId="166" fontId="11" fillId="2" borderId="0" xfId="0" applyFont="true" applyBorder="false" applyAlignment="true" applyProtection="true">
      <alignment horizontal="general" vertical="center" textRotation="0" wrapText="false" indent="0" shrinkToFit="false"/>
      <protection locked="true" hidden="false"/>
    </xf>
    <xf numFmtId="164" fontId="11" fillId="3" borderId="0" xfId="0" applyFont="true" applyBorder="false" applyAlignment="true" applyProtection="true">
      <alignment horizontal="general" vertical="bottom" textRotation="0" wrapText="false" indent="0" shrinkToFit="false"/>
      <protection locked="true" hidden="false"/>
    </xf>
    <xf numFmtId="164" fontId="11" fillId="0" borderId="0" xfId="0" applyFont="true" applyBorder="true" applyAlignment="true" applyProtection="true">
      <alignment horizontal="general" vertical="bottom" textRotation="0" wrapText="false" indent="0" shrinkToFit="false"/>
      <protection locked="true" hidden="false"/>
    </xf>
    <xf numFmtId="164" fontId="11" fillId="0" borderId="0" xfId="0" applyFont="true" applyBorder="true" applyAlignment="true" applyProtection="true">
      <alignment horizontal="general" vertical="bottom" textRotation="0" wrapText="true" indent="0" shrinkToFit="false"/>
      <protection locked="true" hidden="false"/>
    </xf>
    <xf numFmtId="164" fontId="12" fillId="0" borderId="0" xfId="0" applyFont="true" applyBorder="true" applyAlignment="true" applyProtection="true">
      <alignment horizontal="center" vertical="top" textRotation="0" wrapText="true" indent="0" shrinkToFit="false"/>
      <protection locked="true" hidden="false"/>
    </xf>
    <xf numFmtId="164" fontId="12" fillId="0" borderId="0" xfId="0" applyFont="true" applyBorder="false" applyAlignment="true" applyProtection="true">
      <alignment horizontal="center" vertical="top" textRotation="0" wrapText="true" indent="0" shrinkToFit="false"/>
      <protection locked="true" hidden="false"/>
    </xf>
    <xf numFmtId="164" fontId="13" fillId="0" borderId="0" xfId="0" applyFont="true" applyBorder="false" applyAlignment="true" applyProtection="true">
      <alignment horizontal="left" vertical="top" textRotation="0" wrapText="true" indent="0" shrinkToFit="false"/>
      <protection locked="true" hidden="false"/>
    </xf>
    <xf numFmtId="164" fontId="13" fillId="0" borderId="0" xfId="0" applyFont="true" applyBorder="false" applyAlignment="true" applyProtection="true">
      <alignment horizontal="left" vertical="center" textRotation="0" wrapText="true" indent="0" shrinkToFit="false"/>
      <protection locked="true" hidden="false"/>
    </xf>
    <xf numFmtId="166" fontId="13" fillId="2" borderId="0" xfId="0" applyFont="true" applyBorder="false" applyAlignment="true" applyProtection="true">
      <alignment horizontal="left" vertical="center" textRotation="0" wrapText="true" indent="0" shrinkToFit="false"/>
      <protection locked="true" hidden="false"/>
    </xf>
    <xf numFmtId="164" fontId="13" fillId="3" borderId="0" xfId="0" applyFont="true" applyBorder="false" applyAlignment="true" applyProtection="true">
      <alignment horizontal="left" vertical="top" textRotation="0" wrapText="true" indent="0" shrinkToFit="false"/>
      <protection locked="true" hidden="false"/>
    </xf>
    <xf numFmtId="164" fontId="14" fillId="0" borderId="0" xfId="0" applyFont="true" applyBorder="true" applyAlignment="true" applyProtection="true">
      <alignment horizontal="center" vertical="center" textRotation="0" wrapText="tru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general" vertical="center" textRotation="0" wrapText="false" indent="0" shrinkToFit="false"/>
      <protection locked="true" hidden="false"/>
    </xf>
    <xf numFmtId="166" fontId="15" fillId="2" borderId="0" xfId="0" applyFont="true" applyBorder="false" applyAlignment="true" applyProtection="true">
      <alignment horizontal="general" vertical="center" textRotation="0" wrapText="false" indent="0" shrinkToFit="false"/>
      <protection locked="true" hidden="false"/>
    </xf>
    <xf numFmtId="164" fontId="15" fillId="3" borderId="0" xfId="0" applyFont="true" applyBorder="false" applyAlignment="true" applyProtection="true">
      <alignment horizontal="general" vertical="bottom" textRotation="0" wrapText="false" indent="0" shrinkToFit="false"/>
      <protection locked="true" hidden="false"/>
    </xf>
    <xf numFmtId="164" fontId="16" fillId="4" borderId="1" xfId="0" applyFont="true" applyBorder="true" applyAlignment="true" applyProtection="true">
      <alignment horizontal="center" vertical="center" textRotation="0" wrapText="true" indent="0" shrinkToFit="false"/>
      <protection locked="true" hidden="false"/>
    </xf>
    <xf numFmtId="164" fontId="16" fillId="4" borderId="2" xfId="0" applyFont="true" applyBorder="true" applyAlignment="true" applyProtection="true">
      <alignment horizontal="center" vertical="center" textRotation="0" wrapText="true" indent="0" shrinkToFit="false"/>
      <protection locked="true" hidden="false"/>
    </xf>
    <xf numFmtId="164" fontId="16" fillId="4" borderId="3" xfId="0" applyFont="true" applyBorder="true" applyAlignment="true" applyProtection="true">
      <alignment horizontal="center" vertical="center" textRotation="0" wrapText="true" indent="0" shrinkToFit="false"/>
      <protection locked="true" hidden="false"/>
    </xf>
    <xf numFmtId="166" fontId="16" fillId="2" borderId="3" xfId="0" applyFont="true" applyBorder="true" applyAlignment="true" applyProtection="true">
      <alignment horizontal="center" vertical="center" textRotation="0" wrapText="true" indent="0" shrinkToFit="false"/>
      <protection locked="true" hidden="false"/>
    </xf>
    <xf numFmtId="164" fontId="16" fillId="5" borderId="3" xfId="0" applyFont="true" applyBorder="true" applyAlignment="true" applyProtection="true">
      <alignment horizontal="center" vertical="center" textRotation="0" wrapText="true" indent="0" shrinkToFit="false"/>
      <protection locked="true" hidden="false"/>
    </xf>
    <xf numFmtId="164" fontId="16" fillId="6" borderId="4" xfId="0" applyFont="true" applyBorder="true" applyAlignment="true" applyProtection="true">
      <alignment horizontal="center" vertical="center" textRotation="0" wrapText="false" indent="0" shrinkToFit="false"/>
      <protection locked="true" hidden="false"/>
    </xf>
    <xf numFmtId="164" fontId="16" fillId="6" borderId="3" xfId="0" applyFont="true" applyBorder="true" applyAlignment="true" applyProtection="true">
      <alignment horizontal="center" vertical="center" textRotation="0" wrapText="false" indent="0" shrinkToFit="false"/>
      <protection locked="true" hidden="false"/>
    </xf>
    <xf numFmtId="164" fontId="17" fillId="7" borderId="5" xfId="0" applyFont="true" applyBorder="true" applyAlignment="true" applyProtection="true">
      <alignment horizontal="center" vertical="center" textRotation="0" wrapText="true" indent="0" shrinkToFit="false"/>
      <protection locked="true" hidden="false"/>
    </xf>
    <xf numFmtId="164" fontId="17" fillId="5" borderId="3" xfId="0" applyFont="true" applyBorder="true" applyAlignment="true" applyProtection="true">
      <alignment horizontal="center" vertical="center" textRotation="0" wrapText="true" indent="0" shrinkToFit="false"/>
      <protection locked="true" hidden="false"/>
    </xf>
    <xf numFmtId="164" fontId="20" fillId="5" borderId="6" xfId="0" applyFont="true" applyBorder="true" applyAlignment="true" applyProtection="true">
      <alignment horizontal="center" vertical="center" textRotation="0" wrapText="true" indent="0" shrinkToFit="false"/>
      <protection locked="true" hidden="false"/>
    </xf>
    <xf numFmtId="164" fontId="16" fillId="6" borderId="1" xfId="0" applyFont="true" applyBorder="true" applyAlignment="true" applyProtection="true">
      <alignment horizontal="center" vertical="top" textRotation="0" wrapText="true" indent="0" shrinkToFit="false"/>
      <protection locked="true" hidden="false"/>
    </xf>
    <xf numFmtId="164" fontId="16" fillId="3" borderId="5" xfId="0" applyFont="true" applyBorder="true" applyAlignment="true" applyProtection="true">
      <alignment horizontal="center" vertical="top" textRotation="0" wrapText="true" indent="0" shrinkToFit="false"/>
      <protection locked="true" hidden="false"/>
    </xf>
    <xf numFmtId="164" fontId="16" fillId="6" borderId="5" xfId="0" applyFont="true" applyBorder="true" applyAlignment="true" applyProtection="true">
      <alignment horizontal="center" vertical="top" textRotation="0" wrapText="true" indent="0" shrinkToFit="false"/>
      <protection locked="true" hidden="false"/>
    </xf>
    <xf numFmtId="164" fontId="16" fillId="5" borderId="7" xfId="0" applyFont="true" applyBorder="true" applyAlignment="true" applyProtection="true">
      <alignment horizontal="center" vertical="center" textRotation="0" wrapText="true" indent="0" shrinkToFit="false"/>
      <protection locked="true" hidden="false"/>
    </xf>
    <xf numFmtId="164" fontId="15" fillId="8" borderId="0" xfId="0" applyFont="true" applyBorder="false" applyAlignment="true" applyProtection="true">
      <alignment horizontal="general" vertical="bottom" textRotation="0" wrapText="false" indent="0" shrinkToFit="false"/>
      <protection locked="true" hidden="false"/>
    </xf>
    <xf numFmtId="164" fontId="21" fillId="4" borderId="8" xfId="0" applyFont="true" applyBorder="true" applyAlignment="true" applyProtection="true">
      <alignment horizontal="center" vertical="center" textRotation="0" wrapText="true" indent="0" shrinkToFit="false"/>
      <protection locked="true" hidden="false"/>
    </xf>
    <xf numFmtId="164" fontId="21" fillId="4" borderId="9" xfId="0" applyFont="true" applyBorder="true" applyAlignment="true" applyProtection="true">
      <alignment horizontal="center" vertical="center" textRotation="0" wrapText="true" indent="0" shrinkToFit="false"/>
      <protection locked="true" hidden="false"/>
    </xf>
    <xf numFmtId="164" fontId="21" fillId="4" borderId="10" xfId="0" applyFont="true" applyBorder="true" applyAlignment="true" applyProtection="true">
      <alignment horizontal="center" vertical="center" textRotation="0" wrapText="true" indent="0" shrinkToFit="false"/>
      <protection locked="true" hidden="false"/>
    </xf>
    <xf numFmtId="166" fontId="21" fillId="2" borderId="10" xfId="0" applyFont="true" applyBorder="true" applyAlignment="true" applyProtection="true">
      <alignment horizontal="center" vertical="center" textRotation="0" wrapText="true" indent="0" shrinkToFit="false"/>
      <protection locked="true" hidden="false"/>
    </xf>
    <xf numFmtId="164" fontId="21" fillId="4" borderId="11" xfId="0" applyFont="true" applyBorder="true" applyAlignment="true" applyProtection="true">
      <alignment horizontal="center" vertical="center" textRotation="0" wrapText="true" indent="0" shrinkToFit="false"/>
      <protection locked="true" hidden="false"/>
    </xf>
    <xf numFmtId="164" fontId="21" fillId="3" borderId="11" xfId="0" applyFont="true" applyBorder="true" applyAlignment="true" applyProtection="true">
      <alignment horizontal="center" vertical="center" textRotation="0" wrapText="true" indent="0" shrinkToFit="false"/>
      <protection locked="true" hidden="false"/>
    </xf>
    <xf numFmtId="164" fontId="21" fillId="3" borderId="9" xfId="0" applyFont="true" applyBorder="true" applyAlignment="true" applyProtection="true">
      <alignment horizontal="center" vertical="center" textRotation="0" wrapText="true" indent="0" shrinkToFit="false"/>
      <protection locked="true" hidden="false"/>
    </xf>
    <xf numFmtId="164" fontId="15" fillId="4" borderId="0" xfId="0" applyFont="true" applyBorder="false" applyAlignment="true" applyProtection="true">
      <alignment horizontal="center" vertical="center" textRotation="0" wrapText="false" indent="0" shrinkToFit="false"/>
      <protection locked="true" hidden="false"/>
    </xf>
    <xf numFmtId="164" fontId="22" fillId="0" borderId="0" xfId="0" applyFont="true" applyBorder="false" applyAlignment="true" applyProtection="true">
      <alignment horizontal="center" vertical="center" textRotation="0" wrapText="true" indent="0" shrinkToFit="false"/>
      <protection locked="true" hidden="false"/>
    </xf>
    <xf numFmtId="164" fontId="23" fillId="4" borderId="12" xfId="0" applyFont="true" applyBorder="true" applyAlignment="true" applyProtection="true">
      <alignment horizontal="center" vertical="center"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7" fontId="22" fillId="0" borderId="7" xfId="15" applyFont="true" applyBorder="true" applyAlignment="true" applyProtection="true">
      <alignment horizontal="center" vertical="center" textRotation="0" wrapText="true" indent="0" shrinkToFit="false"/>
      <protection locked="true" hidden="false"/>
    </xf>
    <xf numFmtId="164" fontId="15" fillId="4" borderId="13" xfId="0" applyFont="true" applyBorder="true" applyAlignment="true" applyProtection="true">
      <alignment horizontal="center" vertical="center" textRotation="0" wrapText="false" indent="0" shrinkToFit="false"/>
      <protection locked="true" hidden="false"/>
    </xf>
    <xf numFmtId="164" fontId="15" fillId="0" borderId="7" xfId="0" applyFont="true" applyBorder="true" applyAlignment="true" applyProtection="true">
      <alignment horizontal="left" vertical="center" textRotation="0" wrapText="true" indent="0" shrinkToFit="false"/>
      <protection locked="true" hidden="false"/>
    </xf>
    <xf numFmtId="164" fontId="15" fillId="0" borderId="7" xfId="0" applyFont="true" applyBorder="true" applyAlignment="true" applyProtection="true">
      <alignment horizontal="center" vertical="center" textRotation="0" wrapText="true" indent="0" shrinkToFit="false"/>
      <protection locked="true" hidden="false"/>
    </xf>
    <xf numFmtId="168" fontId="15" fillId="0" borderId="7" xfId="0" applyFont="true" applyBorder="true" applyAlignment="true" applyProtection="true">
      <alignment horizontal="center" vertical="center" textRotation="0" wrapText="true" indent="0" shrinkToFit="false"/>
      <protection locked="true" hidden="false"/>
    </xf>
    <xf numFmtId="166" fontId="15" fillId="2" borderId="14" xfId="0" applyFont="true" applyBorder="true" applyAlignment="true" applyProtection="true">
      <alignment horizontal="center" vertical="center" textRotation="0" wrapText="true" indent="0" shrinkToFit="false"/>
      <protection locked="true" hidden="false"/>
    </xf>
    <xf numFmtId="166" fontId="15" fillId="5" borderId="14" xfId="0" applyFont="true" applyBorder="true" applyAlignment="true" applyProtection="true">
      <alignment horizontal="center" vertical="center" textRotation="0" wrapText="true" indent="0" shrinkToFit="false"/>
      <protection locked="true" hidden="false"/>
    </xf>
    <xf numFmtId="164" fontId="15" fillId="3" borderId="7" xfId="0" applyFont="true" applyBorder="true" applyAlignment="true" applyProtection="true">
      <alignment horizontal="center" vertical="center" textRotation="0" wrapText="true" indent="0" shrinkToFit="false"/>
      <protection locked="true" hidden="false"/>
    </xf>
    <xf numFmtId="169" fontId="15" fillId="3" borderId="7" xfId="0" applyFont="true" applyBorder="true" applyAlignment="true" applyProtection="true">
      <alignment horizontal="center" vertical="center" textRotation="0" wrapText="true" indent="0" shrinkToFit="false"/>
      <protection locked="true" hidden="false"/>
    </xf>
    <xf numFmtId="169" fontId="15" fillId="0" borderId="7" xfId="0" applyFont="true" applyBorder="true" applyAlignment="true" applyProtection="true">
      <alignment horizontal="center" vertical="center" textRotation="0" wrapText="true" indent="0" shrinkToFit="false"/>
      <protection locked="true" hidden="false"/>
    </xf>
    <xf numFmtId="169" fontId="24" fillId="7" borderId="7" xfId="0" applyFont="true" applyBorder="true" applyAlignment="true" applyProtection="true">
      <alignment horizontal="center" vertical="center" textRotation="0" wrapText="true" indent="0" shrinkToFit="false"/>
      <protection locked="true" hidden="false"/>
    </xf>
    <xf numFmtId="170" fontId="24" fillId="0" borderId="7" xfId="0" applyFont="true" applyBorder="true" applyAlignment="true" applyProtection="true">
      <alignment horizontal="center" vertical="center" textRotation="0" wrapText="true" indent="0" shrinkToFit="false"/>
      <protection locked="true" hidden="false"/>
    </xf>
    <xf numFmtId="164" fontId="15" fillId="0" borderId="7" xfId="0" applyFont="true" applyBorder="true" applyAlignment="true" applyProtection="true">
      <alignment horizontal="right" vertical="top" textRotation="0" wrapText="true" indent="0" shrinkToFit="false"/>
      <protection locked="true" hidden="false"/>
    </xf>
    <xf numFmtId="167" fontId="15" fillId="0" borderId="7" xfId="15" applyFont="true" applyBorder="true" applyAlignment="true" applyProtection="true">
      <alignment horizontal="center" vertical="center" textRotation="0" wrapText="true" indent="0" shrinkToFit="false"/>
      <protection locked="true" hidden="false"/>
    </xf>
    <xf numFmtId="166" fontId="15" fillId="2" borderId="7" xfId="0" applyFont="true" applyBorder="true" applyAlignment="true" applyProtection="true">
      <alignment horizontal="center" vertical="center" textRotation="0" wrapText="true" indent="0" shrinkToFit="false"/>
      <protection locked="true" hidden="false"/>
    </xf>
    <xf numFmtId="166" fontId="24" fillId="0" borderId="7" xfId="0" applyFont="true" applyBorder="true" applyAlignment="true" applyProtection="true">
      <alignment horizontal="general" vertical="center" textRotation="0" wrapText="true" indent="0" shrinkToFit="false"/>
      <protection locked="true" hidden="false"/>
    </xf>
    <xf numFmtId="166" fontId="15" fillId="9" borderId="14" xfId="0" applyFont="true" applyBorder="true" applyAlignment="true" applyProtection="true">
      <alignment horizontal="center" vertical="center" textRotation="0" wrapText="true" indent="0" shrinkToFit="false"/>
      <protection locked="true" hidden="false"/>
    </xf>
    <xf numFmtId="166" fontId="25" fillId="0" borderId="15" xfId="0" applyFont="true" applyBorder="true" applyAlignment="true" applyProtection="true">
      <alignment horizontal="center" vertical="center" textRotation="0" wrapText="true" indent="0" shrinkToFit="false"/>
      <protection locked="true" hidden="false"/>
    </xf>
    <xf numFmtId="166" fontId="24" fillId="0" borderId="7" xfId="0" applyFont="true" applyBorder="true" applyAlignment="true" applyProtection="true">
      <alignment horizontal="center" vertical="center" textRotation="0" wrapText="true" indent="0" shrinkToFit="false"/>
      <protection locked="true" hidden="false"/>
    </xf>
    <xf numFmtId="166" fontId="25" fillId="0" borderId="7" xfId="0" applyFont="true" applyBorder="true" applyAlignment="true" applyProtection="true">
      <alignment horizontal="center" vertical="center" textRotation="0" wrapText="true" indent="0" shrinkToFit="false"/>
      <protection locked="true" hidden="false"/>
    </xf>
    <xf numFmtId="164" fontId="15" fillId="9" borderId="7" xfId="0" applyFont="true" applyBorder="true" applyAlignment="true" applyProtection="true">
      <alignment horizontal="center" vertical="center" textRotation="0" wrapText="true" indent="0" shrinkToFit="false"/>
      <protection locked="true" hidden="false"/>
    </xf>
    <xf numFmtId="168" fontId="15" fillId="9" borderId="7" xfId="0" applyFont="true" applyBorder="true" applyAlignment="true" applyProtection="true">
      <alignment horizontal="center" vertical="center" textRotation="0" wrapText="true" indent="0" shrinkToFit="false"/>
      <protection locked="true" hidden="false"/>
    </xf>
    <xf numFmtId="169" fontId="15" fillId="10" borderId="7" xfId="0" applyFont="true" applyBorder="true" applyAlignment="true" applyProtection="true">
      <alignment horizontal="center" vertical="center" textRotation="0" wrapText="true" indent="0" shrinkToFit="false"/>
      <protection locked="true" hidden="false"/>
    </xf>
    <xf numFmtId="169" fontId="15" fillId="0" borderId="7" xfId="0" applyFont="true" applyBorder="true" applyAlignment="true" applyProtection="true">
      <alignment horizontal="right" vertical="top" textRotation="0" wrapText="true" indent="0" shrinkToFit="false"/>
      <protection locked="true" hidden="false"/>
    </xf>
    <xf numFmtId="171" fontId="15" fillId="0" borderId="0" xfId="0" applyFont="true" applyBorder="false" applyAlignment="true" applyProtection="true">
      <alignment horizontal="left" vertical="bottom" textRotation="0" wrapText="false" indent="0" shrinkToFit="false"/>
      <protection locked="true" hidden="false"/>
    </xf>
    <xf numFmtId="172" fontId="15" fillId="0" borderId="7" xfId="15" applyFont="true" applyBorder="true" applyAlignment="true" applyProtection="true">
      <alignment horizontal="center" vertical="center" textRotation="0" wrapText="true" indent="0" shrinkToFit="false"/>
      <protection locked="true" hidden="false"/>
    </xf>
    <xf numFmtId="166" fontId="15" fillId="5" borderId="7" xfId="0" applyFont="true" applyBorder="true" applyAlignment="true" applyProtection="true">
      <alignment horizontal="center" vertical="center" textRotation="0" wrapText="true" indent="0" shrinkToFit="false"/>
      <protection locked="true" hidden="false"/>
    </xf>
    <xf numFmtId="166" fontId="15" fillId="5" borderId="7" xfId="0" applyFont="true" applyBorder="true" applyAlignment="true" applyProtection="true">
      <alignment horizontal="center" vertical="center" textRotation="0" wrapText="false" indent="0" shrinkToFit="false"/>
      <protection locked="true" hidden="false"/>
    </xf>
    <xf numFmtId="166" fontId="15" fillId="0" borderId="7" xfId="0" applyFont="true" applyBorder="true" applyAlignment="true" applyProtection="true">
      <alignment horizontal="center" vertical="center" textRotation="0" wrapText="true" indent="0" shrinkToFit="false"/>
      <protection locked="true" hidden="false"/>
    </xf>
    <xf numFmtId="164" fontId="14" fillId="4" borderId="7" xfId="0" applyFont="true" applyBorder="true" applyAlignment="true" applyProtection="true">
      <alignment horizontal="center" vertical="center" textRotation="0" wrapText="true" indent="0" shrinkToFit="false"/>
      <protection locked="true" hidden="false"/>
    </xf>
    <xf numFmtId="164" fontId="15" fillId="4" borderId="7" xfId="0" applyFont="true" applyBorder="true" applyAlignment="true" applyProtection="true">
      <alignment horizontal="center" vertical="top" textRotation="0" wrapText="false" indent="0" shrinkToFit="false"/>
      <protection locked="true" hidden="false"/>
    </xf>
    <xf numFmtId="164" fontId="21" fillId="0" borderId="0" xfId="0" applyFont="true" applyBorder="true" applyAlignment="true" applyProtection="true">
      <alignment horizontal="general" vertical="bottom" textRotation="0" wrapText="false" indent="0" shrinkToFit="false"/>
      <protection locked="true" hidden="false"/>
    </xf>
    <xf numFmtId="164" fontId="16" fillId="0" borderId="0" xfId="0" applyFont="true" applyBorder="true" applyAlignment="true" applyProtection="true">
      <alignment horizontal="right" vertical="bottom" textRotation="0" wrapText="true" indent="0" shrinkToFit="false"/>
      <protection locked="true" hidden="false"/>
    </xf>
    <xf numFmtId="164" fontId="16" fillId="0" borderId="0" xfId="0" applyFont="true" applyBorder="true" applyAlignment="true" applyProtection="true">
      <alignment horizontal="general" vertical="bottom" textRotation="0" wrapText="false" indent="0" shrinkToFit="false"/>
      <protection locked="true" hidden="false"/>
    </xf>
    <xf numFmtId="164" fontId="21" fillId="3" borderId="0" xfId="0" applyFont="true" applyBorder="true" applyAlignment="true" applyProtection="true">
      <alignment horizontal="general" vertical="bottom" textRotation="0" wrapText="false" indent="0" shrinkToFit="false"/>
      <protection locked="true" hidden="false"/>
    </xf>
    <xf numFmtId="164" fontId="26" fillId="0" borderId="0" xfId="0" applyFont="true" applyBorder="true" applyAlignment="true" applyProtection="true">
      <alignment horizontal="general" vertical="bottom" textRotation="0" wrapText="true" indent="0" shrinkToFit="false"/>
      <protection locked="true" hidden="false"/>
    </xf>
    <xf numFmtId="164" fontId="15" fillId="11" borderId="7" xfId="0" applyFont="true" applyBorder="true" applyAlignment="true" applyProtection="true">
      <alignment horizontal="left" vertical="center" textRotation="0" wrapText="true" indent="0" shrinkToFit="false"/>
      <protection locked="true" hidden="false"/>
    </xf>
    <xf numFmtId="166" fontId="15" fillId="11" borderId="14" xfId="0" applyFont="true" applyBorder="true" applyAlignment="true" applyProtection="true">
      <alignment horizontal="center" vertical="center" textRotation="0" wrapText="true" indent="0" shrinkToFit="false"/>
      <protection locked="true" hidden="false"/>
    </xf>
    <xf numFmtId="166" fontId="25" fillId="0" borderId="7" xfId="0" applyFont="true" applyBorder="true" applyAlignment="true" applyProtection="true">
      <alignment horizontal="general" vertical="center" textRotation="0" wrapText="true" indent="0" shrinkToFit="false"/>
      <protection locked="true" hidden="false"/>
    </xf>
    <xf numFmtId="164" fontId="25" fillId="0" borderId="7" xfId="0" applyFont="true" applyBorder="true" applyAlignment="true" applyProtection="true">
      <alignment horizontal="center" vertical="center" textRotation="0" wrapText="true" indent="0" shrinkToFit="false"/>
      <protection locked="true" hidden="false"/>
    </xf>
    <xf numFmtId="164" fontId="28" fillId="4" borderId="13" xfId="0" applyFont="true" applyBorder="true" applyAlignment="true" applyProtection="true">
      <alignment horizontal="center" vertical="center" textRotation="0" wrapText="false" indent="0" shrinkToFit="false"/>
      <protection locked="true" hidden="false"/>
    </xf>
    <xf numFmtId="164" fontId="28" fillId="0" borderId="7" xfId="0" applyFont="true" applyBorder="true" applyAlignment="true" applyProtection="true">
      <alignment horizontal="left" vertical="center" textRotation="0" wrapText="true" indent="0" shrinkToFit="false"/>
      <protection locked="true" hidden="false"/>
    </xf>
    <xf numFmtId="164" fontId="28" fillId="0" borderId="7" xfId="0" applyFont="true" applyBorder="true" applyAlignment="true" applyProtection="true">
      <alignment horizontal="center" vertical="center" textRotation="0" wrapText="true" indent="0" shrinkToFit="false"/>
      <protection locked="true" hidden="false"/>
    </xf>
    <xf numFmtId="168" fontId="28" fillId="0" borderId="7" xfId="0" applyFont="true" applyBorder="true" applyAlignment="true" applyProtection="true">
      <alignment horizontal="center" vertical="center" textRotation="0" wrapText="true" indent="0" shrinkToFit="false"/>
      <protection locked="true" hidden="false"/>
    </xf>
    <xf numFmtId="166" fontId="28" fillId="5" borderId="14" xfId="0" applyFont="true" applyBorder="true" applyAlignment="true" applyProtection="true">
      <alignment horizontal="center" vertical="center" textRotation="0" wrapText="true" indent="0" shrinkToFit="false"/>
      <protection locked="true" hidden="false"/>
    </xf>
    <xf numFmtId="169" fontId="28" fillId="3" borderId="7" xfId="0" applyFont="true" applyBorder="true" applyAlignment="true" applyProtection="true">
      <alignment horizontal="center" vertical="center" textRotation="0" wrapText="true" indent="0" shrinkToFit="false"/>
      <protection locked="true" hidden="false"/>
    </xf>
    <xf numFmtId="169" fontId="28" fillId="0" borderId="7" xfId="0" applyFont="true" applyBorder="true" applyAlignment="true" applyProtection="true">
      <alignment horizontal="center" vertical="center" textRotation="0" wrapText="true" indent="0" shrinkToFit="false"/>
      <protection locked="true" hidden="false"/>
    </xf>
    <xf numFmtId="169" fontId="29" fillId="7" borderId="7" xfId="0" applyFont="true" applyBorder="true" applyAlignment="true" applyProtection="true">
      <alignment horizontal="center" vertical="center" textRotation="0" wrapText="true" indent="0" shrinkToFit="false"/>
      <protection locked="true" hidden="false"/>
    </xf>
    <xf numFmtId="170" fontId="29" fillId="0" borderId="7" xfId="0" applyFont="true" applyBorder="true" applyAlignment="true" applyProtection="true">
      <alignment horizontal="center" vertical="center" textRotation="0" wrapText="true" indent="0" shrinkToFit="false"/>
      <protection locked="true" hidden="false"/>
    </xf>
    <xf numFmtId="164" fontId="15" fillId="0" borderId="7" xfId="0" applyFont="true" applyBorder="true" applyAlignment="true" applyProtection="true">
      <alignment horizontal="left" vertical="top" textRotation="0" wrapText="true" indent="0" shrinkToFit="false"/>
      <protection locked="true" hidden="false"/>
    </xf>
    <xf numFmtId="166" fontId="15" fillId="12" borderId="14" xfId="0" applyFont="true" applyBorder="true" applyAlignment="true" applyProtection="true">
      <alignment horizontal="center" vertical="center" textRotation="0" wrapText="true" indent="0" shrinkToFit="false"/>
      <protection locked="true" hidden="false"/>
    </xf>
    <xf numFmtId="164" fontId="30" fillId="0" borderId="7" xfId="0" applyFont="true" applyBorder="true" applyAlignment="true" applyProtection="true">
      <alignment horizontal="center" vertical="center" textRotation="0" wrapText="true" indent="0" shrinkToFit="false"/>
      <protection locked="true" hidden="false"/>
    </xf>
    <xf numFmtId="169" fontId="30" fillId="3" borderId="7" xfId="0" applyFont="true" applyBorder="true" applyAlignment="true" applyProtection="true">
      <alignment horizontal="center" vertical="center" textRotation="0" wrapText="true" indent="0" shrinkToFit="false"/>
      <protection locked="true" hidden="false"/>
    </xf>
    <xf numFmtId="169" fontId="30" fillId="0" borderId="7" xfId="0" applyFont="true" applyBorder="true" applyAlignment="true" applyProtection="true">
      <alignment horizontal="center" vertical="center" textRotation="0" wrapText="true" indent="0" shrinkToFit="false"/>
      <protection locked="true" hidden="false"/>
    </xf>
    <xf numFmtId="164" fontId="31" fillId="13" borderId="7" xfId="20" applyFont="true" applyBorder="true" applyAlignment="true" applyProtection="true">
      <alignment horizontal="center" vertical="center" textRotation="0" wrapText="true" indent="0" shrinkToFit="false"/>
      <protection locked="true" hidden="false"/>
    </xf>
    <xf numFmtId="169" fontId="30" fillId="13" borderId="7" xfId="0" applyFont="true" applyBorder="true" applyAlignment="true" applyProtection="true">
      <alignment horizontal="center" vertical="center" textRotation="0" wrapText="true" indent="0" shrinkToFit="false"/>
      <protection locked="true" hidden="false"/>
    </xf>
    <xf numFmtId="164" fontId="33" fillId="4" borderId="13" xfId="0" applyFont="true" applyBorder="true" applyAlignment="true" applyProtection="true">
      <alignment horizontal="center" vertical="center" textRotation="0" wrapText="false" indent="0" shrinkToFit="false"/>
      <protection locked="true" hidden="false"/>
    </xf>
    <xf numFmtId="164" fontId="33" fillId="0" borderId="7" xfId="0" applyFont="true" applyBorder="true" applyAlignment="true" applyProtection="true">
      <alignment horizontal="left" vertical="center" textRotation="0" wrapText="true" indent="0" shrinkToFit="false"/>
      <protection locked="true" hidden="false"/>
    </xf>
    <xf numFmtId="164" fontId="33" fillId="0" borderId="7" xfId="0" applyFont="true" applyBorder="true" applyAlignment="true" applyProtection="true">
      <alignment horizontal="center" vertical="center" textRotation="0" wrapText="true" indent="0" shrinkToFit="false"/>
      <protection locked="true" hidden="false"/>
    </xf>
    <xf numFmtId="168" fontId="33" fillId="0" borderId="7" xfId="0" applyFont="true" applyBorder="true" applyAlignment="true" applyProtection="true">
      <alignment horizontal="center" vertical="center" textRotation="0" wrapText="true" indent="0" shrinkToFit="false"/>
      <protection locked="true" hidden="false"/>
    </xf>
    <xf numFmtId="166" fontId="33" fillId="5" borderId="14" xfId="0" applyFont="true" applyBorder="true" applyAlignment="true" applyProtection="true">
      <alignment horizontal="center" vertical="center" textRotation="0" wrapText="true" indent="0" shrinkToFit="false"/>
      <protection locked="true" hidden="false"/>
    </xf>
    <xf numFmtId="169" fontId="33" fillId="3" borderId="7" xfId="0" applyFont="true" applyBorder="true" applyAlignment="true" applyProtection="true">
      <alignment horizontal="center" vertical="center" textRotation="0" wrapText="true" indent="0" shrinkToFit="false"/>
      <protection locked="true" hidden="false"/>
    </xf>
    <xf numFmtId="169" fontId="33" fillId="0" borderId="7" xfId="0" applyFont="true" applyBorder="true" applyAlignment="true" applyProtection="true">
      <alignment horizontal="center" vertical="center" textRotation="0" wrapText="true" indent="0" shrinkToFit="false"/>
      <protection locked="true" hidden="false"/>
    </xf>
    <xf numFmtId="169" fontId="34" fillId="7" borderId="7" xfId="0" applyFont="true" applyBorder="true" applyAlignment="true" applyProtection="true">
      <alignment horizontal="center" vertical="center" textRotation="0" wrapText="true" indent="0" shrinkToFit="false"/>
      <protection locked="true" hidden="false"/>
    </xf>
    <xf numFmtId="170" fontId="34" fillId="0" borderId="7" xfId="0" applyFont="true" applyBorder="true" applyAlignment="true" applyProtection="true">
      <alignment horizontal="center" vertical="center" textRotation="0" wrapText="true" indent="0" shrinkToFit="false"/>
      <protection locked="true" hidden="false"/>
    </xf>
    <xf numFmtId="164" fontId="13" fillId="0" borderId="7" xfId="0" applyFont="true" applyBorder="tru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left"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false" indent="0" shrinkToFit="false"/>
      <protection locked="true" hidden="false"/>
    </xf>
    <xf numFmtId="166" fontId="11" fillId="0" borderId="0" xfId="0" applyFont="true" applyBorder="fals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center" vertical="bottom" textRotation="0" wrapText="false" indent="0" shrinkToFit="false"/>
      <protection locked="true" hidden="false"/>
    </xf>
    <xf numFmtId="164" fontId="35" fillId="0" borderId="0" xfId="0" applyFont="true" applyBorder="true" applyAlignment="true" applyProtection="true">
      <alignment horizontal="center" vertical="top" textRotation="0" wrapText="true" indent="0" shrinkToFit="false"/>
      <protection locked="true" hidden="false"/>
    </xf>
    <xf numFmtId="164" fontId="35" fillId="0" borderId="0" xfId="0" applyFont="true" applyBorder="false" applyAlignment="true" applyProtection="true">
      <alignment horizontal="center" vertical="top" textRotation="0" wrapText="true" indent="0" shrinkToFit="false"/>
      <protection locked="true" hidden="false"/>
    </xf>
    <xf numFmtId="164" fontId="13" fillId="0" borderId="0" xfId="0" applyFont="true" applyBorder="false" applyAlignment="true" applyProtection="true">
      <alignment horizontal="center" vertical="center" textRotation="0" wrapText="true" indent="0" shrinkToFit="false"/>
      <protection locked="true" hidden="false"/>
    </xf>
    <xf numFmtId="166" fontId="13" fillId="0" borderId="0" xfId="0" applyFont="true" applyBorder="false" applyAlignment="true" applyProtection="true">
      <alignment horizontal="center" vertical="center" textRotation="0" wrapText="true" indent="0" shrinkToFit="false"/>
      <protection locked="true" hidden="false"/>
    </xf>
    <xf numFmtId="164" fontId="24" fillId="0" borderId="0" xfId="0" applyFont="true" applyBorder="true" applyAlignment="true" applyProtection="true">
      <alignment horizontal="center" vertical="center" textRotation="0" wrapText="true" indent="0" shrinkToFit="false"/>
      <protection locked="true" hidden="false"/>
    </xf>
    <xf numFmtId="164" fontId="15" fillId="0" borderId="0" xfId="0" applyFont="true" applyBorder="false" applyAlignment="true" applyProtection="true">
      <alignment horizontal="center" vertical="bottom" textRotation="0" wrapText="false" indent="0" shrinkToFit="false"/>
      <protection locked="true" hidden="false"/>
    </xf>
    <xf numFmtId="164" fontId="15" fillId="0" borderId="0" xfId="0" applyFont="true" applyBorder="false" applyAlignment="true" applyProtection="true">
      <alignment horizontal="left" vertical="center" textRotation="0" wrapText="false" indent="0" shrinkToFit="false"/>
      <protection locked="true" hidden="false"/>
    </xf>
    <xf numFmtId="164" fontId="15" fillId="0" borderId="0" xfId="0" applyFont="true" applyBorder="false" applyAlignment="true" applyProtection="true">
      <alignment horizontal="center" vertical="center" textRotation="0" wrapText="false" indent="0" shrinkToFit="false"/>
      <protection locked="true" hidden="false"/>
    </xf>
    <xf numFmtId="166" fontId="15" fillId="0" borderId="0" xfId="0" applyFont="true" applyBorder="false" applyAlignment="true" applyProtection="true">
      <alignment horizontal="center" vertical="center" textRotation="0" wrapText="false" indent="0" shrinkToFit="false"/>
      <protection locked="true" hidden="false"/>
    </xf>
    <xf numFmtId="164" fontId="24" fillId="4" borderId="1" xfId="0" applyFont="true" applyBorder="true" applyAlignment="true" applyProtection="true">
      <alignment horizontal="center" vertical="center" textRotation="0" wrapText="true" indent="0" shrinkToFit="false"/>
      <protection locked="true" hidden="false"/>
    </xf>
    <xf numFmtId="164" fontId="24" fillId="4" borderId="2" xfId="0" applyFont="true" applyBorder="true" applyAlignment="true" applyProtection="true">
      <alignment horizontal="left" vertical="center" textRotation="0" wrapText="true" indent="0" shrinkToFit="false"/>
      <protection locked="true" hidden="false"/>
    </xf>
    <xf numFmtId="164" fontId="24" fillId="4" borderId="3" xfId="0" applyFont="true" applyBorder="true" applyAlignment="true" applyProtection="true">
      <alignment horizontal="center" vertical="center" textRotation="0" wrapText="true" indent="0" shrinkToFit="false"/>
      <protection locked="true" hidden="false"/>
    </xf>
    <xf numFmtId="166" fontId="25" fillId="4" borderId="3" xfId="0" applyFont="true" applyBorder="true" applyAlignment="true" applyProtection="true">
      <alignment horizontal="center" vertical="center" textRotation="0" wrapText="true" indent="0" shrinkToFit="false"/>
      <protection locked="true" hidden="false"/>
    </xf>
    <xf numFmtId="164" fontId="24" fillId="5" borderId="3" xfId="0" applyFont="true" applyBorder="true" applyAlignment="true" applyProtection="true">
      <alignment horizontal="center" vertical="center" textRotation="0" wrapText="true" indent="0" shrinkToFit="false"/>
      <protection locked="true" hidden="false"/>
    </xf>
    <xf numFmtId="164" fontId="24" fillId="0" borderId="4" xfId="0" applyFont="true" applyBorder="true" applyAlignment="true" applyProtection="true">
      <alignment horizontal="center" vertical="center" textRotation="0" wrapText="false" indent="0" shrinkToFit="false"/>
      <protection locked="true" hidden="false"/>
    </xf>
    <xf numFmtId="164" fontId="24" fillId="0" borderId="3" xfId="0" applyFont="true" applyBorder="true" applyAlignment="true" applyProtection="true">
      <alignment horizontal="center" vertical="center" textRotation="0" wrapText="false" indent="0" shrinkToFit="false"/>
      <protection locked="true" hidden="false"/>
    </xf>
    <xf numFmtId="164" fontId="24" fillId="7" borderId="5" xfId="0" applyFont="true" applyBorder="true" applyAlignment="true" applyProtection="true">
      <alignment horizontal="center" vertical="center" textRotation="0" wrapText="true" indent="0" shrinkToFit="false"/>
      <protection locked="true" hidden="false"/>
    </xf>
    <xf numFmtId="164" fontId="26" fillId="5" borderId="6" xfId="0" applyFont="true" applyBorder="true" applyAlignment="true" applyProtection="true">
      <alignment horizontal="center" vertical="center" textRotation="0" wrapText="true" indent="0" shrinkToFit="false"/>
      <protection locked="true" hidden="false"/>
    </xf>
    <xf numFmtId="164" fontId="24" fillId="0" borderId="1" xfId="0" applyFont="true" applyBorder="true" applyAlignment="true" applyProtection="true">
      <alignment horizontal="center" vertical="top" textRotation="0" wrapText="true" indent="0" shrinkToFit="false"/>
      <protection locked="true" hidden="false"/>
    </xf>
    <xf numFmtId="164" fontId="24" fillId="0" borderId="5" xfId="0" applyFont="true" applyBorder="true" applyAlignment="true" applyProtection="true">
      <alignment horizontal="center" vertical="top" textRotation="0" wrapText="true" indent="0" shrinkToFit="false"/>
      <protection locked="true" hidden="false"/>
    </xf>
    <xf numFmtId="164" fontId="24" fillId="5" borderId="7" xfId="0" applyFont="true" applyBorder="true" applyAlignment="true" applyProtection="true">
      <alignment horizontal="center" vertical="center" textRotation="0" wrapText="true" indent="0" shrinkToFit="false"/>
      <protection locked="true" hidden="false"/>
    </xf>
    <xf numFmtId="164" fontId="15" fillId="4" borderId="8" xfId="0" applyFont="true" applyBorder="true" applyAlignment="true" applyProtection="true">
      <alignment horizontal="center" vertical="center" textRotation="0" wrapText="true" indent="0" shrinkToFit="false"/>
      <protection locked="true" hidden="false"/>
    </xf>
    <xf numFmtId="164" fontId="15" fillId="4" borderId="9" xfId="0" applyFont="true" applyBorder="true" applyAlignment="true" applyProtection="true">
      <alignment horizontal="center" vertical="center" textRotation="0" wrapText="true" indent="0" shrinkToFit="false"/>
      <protection locked="true" hidden="false"/>
    </xf>
    <xf numFmtId="164" fontId="15" fillId="4" borderId="10" xfId="0" applyFont="true" applyBorder="true" applyAlignment="true" applyProtection="true">
      <alignment horizontal="center" vertical="center" textRotation="0" wrapText="true" indent="0" shrinkToFit="false"/>
      <protection locked="true" hidden="false"/>
    </xf>
    <xf numFmtId="166" fontId="15" fillId="4" borderId="10" xfId="0" applyFont="true" applyBorder="true" applyAlignment="true" applyProtection="true">
      <alignment horizontal="center" vertical="center" textRotation="0" wrapText="true" indent="0" shrinkToFit="false"/>
      <protection locked="true" hidden="false"/>
    </xf>
    <xf numFmtId="164" fontId="15" fillId="0" borderId="11" xfId="0" applyFont="true" applyBorder="true" applyAlignment="true" applyProtection="true">
      <alignment horizontal="center" vertical="center" textRotation="0" wrapText="true" indent="0" shrinkToFit="false"/>
      <protection locked="true" hidden="false"/>
    </xf>
    <xf numFmtId="164" fontId="15" fillId="0" borderId="9" xfId="0" applyFont="true" applyBorder="true" applyAlignment="true" applyProtection="true">
      <alignment horizontal="center" vertical="center" textRotation="0" wrapText="true" indent="0" shrinkToFit="false"/>
      <protection locked="true" hidden="false"/>
    </xf>
    <xf numFmtId="164" fontId="15" fillId="4" borderId="11" xfId="0" applyFont="true" applyBorder="tru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center" vertical="center" textRotation="0" wrapText="true" indent="0" shrinkToFit="false"/>
      <protection locked="true" hidden="false"/>
    </xf>
    <xf numFmtId="164" fontId="17" fillId="14" borderId="12" xfId="0" applyFont="true" applyBorder="true" applyAlignment="true" applyProtection="true">
      <alignment horizontal="center" vertical="center" textRotation="0" wrapText="false" indent="0" shrinkToFit="false"/>
      <protection locked="true" hidden="false"/>
    </xf>
    <xf numFmtId="167" fontId="11" fillId="0" borderId="7" xfId="15" applyFont="true" applyBorder="true" applyAlignment="true" applyProtection="true">
      <alignment horizontal="center" vertical="center" textRotation="0" wrapText="true" indent="0" shrinkToFit="false"/>
      <protection locked="true" hidden="false"/>
    </xf>
    <xf numFmtId="164" fontId="11" fillId="0" borderId="7" xfId="0" applyFont="true" applyBorder="true" applyAlignment="true" applyProtection="true">
      <alignment horizontal="left" vertical="center" textRotation="0" wrapText="tru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72" fontId="11" fillId="0" borderId="7" xfId="0" applyFont="true" applyBorder="true" applyAlignment="true" applyProtection="true">
      <alignment horizontal="general" vertical="center" textRotation="0" wrapText="false" indent="0" shrinkToFit="false"/>
      <protection locked="true" hidden="false"/>
    </xf>
    <xf numFmtId="166" fontId="25" fillId="0" borderId="14" xfId="0" applyFont="true" applyBorder="true" applyAlignment="true" applyProtection="true">
      <alignment horizontal="center" vertical="center" textRotation="0" wrapText="false" indent="0" shrinkToFit="false"/>
      <protection locked="true" hidden="false"/>
    </xf>
    <xf numFmtId="164" fontId="15" fillId="4" borderId="7" xfId="0" applyFont="true" applyBorder="true" applyAlignment="true" applyProtection="true">
      <alignment horizontal="center" vertical="center" textRotation="0" wrapText="true" indent="0" shrinkToFit="false"/>
      <protection locked="true" hidden="false"/>
    </xf>
    <xf numFmtId="169" fontId="15" fillId="4" borderId="7" xfId="0" applyFont="true" applyBorder="true" applyAlignment="true" applyProtection="true">
      <alignment horizontal="center" vertical="center" textRotation="0" wrapText="true" indent="0" shrinkToFit="false"/>
      <protection locked="true" hidden="false"/>
    </xf>
    <xf numFmtId="170" fontId="24" fillId="4" borderId="7" xfId="0" applyFont="true" applyBorder="true" applyAlignment="true" applyProtection="true">
      <alignment horizontal="center" vertical="center" textRotation="0" wrapText="true" indent="0" shrinkToFit="false"/>
      <protection locked="true" hidden="false"/>
    </xf>
    <xf numFmtId="166" fontId="25" fillId="0" borderId="14" xfId="0" applyFont="true" applyBorder="true" applyAlignment="true" applyProtection="true">
      <alignment horizontal="general" vertical="center" textRotation="0" wrapText="false" indent="0" shrinkToFit="false"/>
      <protection locked="true" hidden="false"/>
    </xf>
    <xf numFmtId="164" fontId="13" fillId="0" borderId="7" xfId="0" applyFont="true" applyBorder="true" applyAlignment="true" applyProtection="true">
      <alignment horizontal="left" vertical="center" textRotation="0" wrapText="true" indent="0" shrinkToFit="false"/>
      <protection locked="true" hidden="false"/>
    </xf>
    <xf numFmtId="164" fontId="13" fillId="0" borderId="7" xfId="0" applyFont="true" applyBorder="true" applyAlignment="true" applyProtection="true">
      <alignment horizontal="general" vertical="center" textRotation="0" wrapText="true" indent="0" shrinkToFit="false"/>
      <protection locked="true" hidden="false"/>
    </xf>
    <xf numFmtId="166" fontId="25" fillId="0" borderId="7" xfId="0" applyFont="true" applyBorder="true" applyAlignment="true" applyProtection="true">
      <alignment horizontal="center" vertical="center" textRotation="0" wrapText="false" indent="0" shrinkToFit="false"/>
      <protection locked="true" hidden="false"/>
    </xf>
    <xf numFmtId="164" fontId="17" fillId="9" borderId="12" xfId="0" applyFont="true" applyBorder="true" applyAlignment="true" applyProtection="true">
      <alignment horizontal="center" vertical="center" textRotation="0" wrapText="false" indent="0" shrinkToFit="false"/>
      <protection locked="true" hidden="false"/>
    </xf>
    <xf numFmtId="166" fontId="25" fillId="0" borderId="14" xfId="0" applyFont="true" applyBorder="true" applyAlignment="true" applyProtection="true">
      <alignment horizontal="center" vertical="center" textRotation="0" wrapText="true" indent="0" shrinkToFit="false"/>
      <protection locked="true" hidden="false"/>
    </xf>
    <xf numFmtId="164" fontId="15" fillId="15" borderId="0" xfId="0" applyFont="true" applyBorder="false" applyAlignment="true" applyProtection="true">
      <alignment horizontal="left" vertical="bottom" textRotation="0" wrapText="false" indent="0" shrinkToFit="false"/>
      <protection locked="true" hidden="false"/>
    </xf>
    <xf numFmtId="164" fontId="17" fillId="15" borderId="16" xfId="0" applyFont="true" applyBorder="true" applyAlignment="true" applyProtection="true">
      <alignment horizontal="general" vertical="center" textRotation="0" wrapText="false" indent="0" shrinkToFit="false"/>
      <protection locked="true" hidden="false"/>
    </xf>
    <xf numFmtId="166" fontId="17" fillId="15" borderId="16" xfId="0" applyFont="true" applyBorder="true" applyAlignment="true" applyProtection="true">
      <alignment horizontal="general" vertical="center" textRotation="0" wrapText="false" indent="0" shrinkToFit="false"/>
      <protection locked="true" hidden="false"/>
    </xf>
    <xf numFmtId="164" fontId="16" fillId="15" borderId="16" xfId="0" applyFont="true" applyBorder="true" applyAlignment="true" applyProtection="true">
      <alignment horizontal="center" vertical="center" textRotation="0" wrapText="false" indent="0" shrinkToFit="false"/>
      <protection locked="true" hidden="false"/>
    </xf>
    <xf numFmtId="164" fontId="17" fillId="15" borderId="16" xfId="0" applyFont="true" applyBorder="true" applyAlignment="true" applyProtection="true">
      <alignment horizontal="center" vertical="center" textRotation="0" wrapText="false" indent="0" shrinkToFit="false"/>
      <protection locked="true" hidden="false"/>
    </xf>
    <xf numFmtId="164" fontId="17" fillId="15" borderId="17" xfId="0" applyFont="true" applyBorder="true" applyAlignment="true" applyProtection="true">
      <alignment horizontal="general" vertical="center" textRotation="0" wrapText="false" indent="0" shrinkToFit="false"/>
      <protection locked="true" hidden="false"/>
    </xf>
    <xf numFmtId="164" fontId="17" fillId="15" borderId="7" xfId="0" applyFont="true" applyBorder="true" applyAlignment="true" applyProtection="true">
      <alignment horizontal="general" vertical="center" textRotation="0" wrapText="false" indent="0" shrinkToFit="false"/>
      <protection locked="true" hidden="false"/>
    </xf>
    <xf numFmtId="164" fontId="16" fillId="15" borderId="7" xfId="0" applyFont="true" applyBorder="true" applyAlignment="true" applyProtection="true">
      <alignment horizontal="center" vertical="center" textRotation="0" wrapText="false" indent="0" shrinkToFit="false"/>
      <protection locked="true" hidden="false"/>
    </xf>
    <xf numFmtId="166" fontId="16" fillId="15" borderId="7" xfId="0" applyFont="true" applyBorder="true" applyAlignment="true" applyProtection="true">
      <alignment horizontal="center" vertical="center" textRotation="0" wrapText="false" indent="0" shrinkToFit="false"/>
      <protection locked="true" hidden="false"/>
    </xf>
    <xf numFmtId="164" fontId="16" fillId="15" borderId="7" xfId="0" applyFont="true" applyBorder="true" applyAlignment="true" applyProtection="true">
      <alignment horizontal="center" vertical="center" textRotation="0" wrapText="true" indent="0" shrinkToFit="false"/>
      <protection locked="true" hidden="false"/>
    </xf>
    <xf numFmtId="164" fontId="11" fillId="16" borderId="7" xfId="0" applyFont="true" applyBorder="true" applyAlignment="true" applyProtection="true">
      <alignment horizontal="left" vertical="top" textRotation="0" wrapText="true" indent="0" shrinkToFit="false"/>
      <protection locked="true" hidden="false"/>
    </xf>
    <xf numFmtId="164" fontId="11" fillId="16" borderId="7" xfId="0" applyFont="true" applyBorder="true" applyAlignment="true" applyProtection="true">
      <alignment horizontal="center" vertical="top" textRotation="0" wrapText="true" indent="0" shrinkToFit="false"/>
      <protection locked="true" hidden="false"/>
    </xf>
    <xf numFmtId="171" fontId="11" fillId="16" borderId="7" xfId="0" applyFont="true" applyBorder="true" applyAlignment="true" applyProtection="true">
      <alignment horizontal="general" vertical="top" textRotation="0" wrapText="false" indent="0" shrinkToFit="false"/>
      <protection locked="true" hidden="false"/>
    </xf>
    <xf numFmtId="166" fontId="11" fillId="16" borderId="7" xfId="0" applyFont="true" applyBorder="true" applyAlignment="true" applyProtection="true">
      <alignment horizontal="general" vertical="top" textRotation="0" wrapText="false" indent="0" shrinkToFit="false"/>
      <protection locked="true" hidden="false"/>
    </xf>
    <xf numFmtId="172" fontId="11" fillId="16" borderId="7" xfId="0" applyFont="true" applyBorder="true" applyAlignment="true" applyProtection="true">
      <alignment horizontal="right" vertical="top" textRotation="0" wrapText="true" indent="0" shrinkToFit="false"/>
      <protection locked="true" hidden="false"/>
    </xf>
    <xf numFmtId="166" fontId="15" fillId="0" borderId="7" xfId="0" applyFont="true" applyBorder="true" applyAlignment="true" applyProtection="true">
      <alignment horizontal="right" vertical="top" textRotation="0" wrapText="true" indent="0" shrinkToFit="false"/>
      <protection locked="true" hidden="false"/>
    </xf>
    <xf numFmtId="169" fontId="24" fillId="0" borderId="7" xfId="0" applyFont="true" applyBorder="true" applyAlignment="true" applyProtection="true">
      <alignment horizontal="center" vertical="center" textRotation="0" wrapText="true" indent="0" shrinkToFit="false"/>
      <protection locked="true" hidden="false"/>
    </xf>
    <xf numFmtId="173" fontId="11" fillId="16" borderId="7" xfId="0" applyFont="true" applyBorder="true" applyAlignment="true" applyProtection="true">
      <alignment horizontal="general" vertical="top" textRotation="0" wrapText="false" indent="0" shrinkToFit="false"/>
      <protection locked="true" hidden="false"/>
    </xf>
    <xf numFmtId="166" fontId="11" fillId="16" borderId="7" xfId="0" applyFont="true" applyBorder="true" applyAlignment="true" applyProtection="true">
      <alignment horizontal="right" vertical="top" textRotation="0" wrapText="true" indent="0" shrinkToFit="false"/>
      <protection locked="true" hidden="false"/>
    </xf>
    <xf numFmtId="174" fontId="11" fillId="16" borderId="7" xfId="0" applyFont="true" applyBorder="true" applyAlignment="true" applyProtection="true">
      <alignment horizontal="general" vertical="top" textRotation="0" wrapText="false" indent="0" shrinkToFit="false"/>
      <protection locked="true" hidden="false"/>
    </xf>
    <xf numFmtId="172" fontId="11" fillId="16" borderId="7" xfId="0" applyFont="true" applyBorder="true" applyAlignment="true" applyProtection="true">
      <alignment horizontal="general" vertical="top" textRotation="0" wrapText="false" indent="0" shrinkToFit="false"/>
      <protection locked="true" hidden="false"/>
    </xf>
    <xf numFmtId="175" fontId="11" fillId="16" borderId="7" xfId="0" applyFont="true" applyBorder="true" applyAlignment="true" applyProtection="true">
      <alignment horizontal="general" vertical="top" textRotation="0" wrapText="false" indent="0" shrinkToFit="false"/>
      <protection locked="true" hidden="false"/>
    </xf>
    <xf numFmtId="176" fontId="11" fillId="16" borderId="7" xfId="0" applyFont="true" applyBorder="true" applyAlignment="true" applyProtection="true">
      <alignment horizontal="general" vertical="top" textRotation="0" wrapText="false" indent="0" shrinkToFit="false"/>
      <protection locked="true" hidden="false"/>
    </xf>
    <xf numFmtId="164" fontId="15" fillId="16" borderId="7" xfId="0" applyFont="true" applyBorder="true" applyAlignment="true" applyProtection="true">
      <alignment horizontal="left" vertical="top" textRotation="0" wrapText="tru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true" indent="0" shrinkToFit="false"/>
      <protection locked="true" hidden="false"/>
    </xf>
    <xf numFmtId="166" fontId="24" fillId="0" borderId="0" xfId="0" applyFont="true" applyBorder="true" applyAlignment="true" applyProtection="true">
      <alignment horizontal="general" vertical="bottom" textRotation="0" wrapText="tru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1" fillId="0" borderId="0" xfId="0" applyFont="true" applyBorder="false" applyAlignment="true" applyProtection="true">
      <alignment horizontal="left" vertical="bottom" textRotation="0" wrapText="false" indent="0" shrinkToFit="false"/>
      <protection locked="true" hidden="false"/>
    </xf>
    <xf numFmtId="166" fontId="11" fillId="0" borderId="0" xfId="0" applyFont="true" applyBorder="false" applyAlignment="true" applyProtection="true">
      <alignment horizontal="center" vertical="bottom" textRotation="0" wrapText="false" indent="0" shrinkToFit="false"/>
      <protection locked="true" hidden="false"/>
    </xf>
    <xf numFmtId="166" fontId="11" fillId="0" borderId="0" xfId="0" applyFont="true" applyBorder="false" applyAlignment="true" applyProtection="true">
      <alignment horizontal="general" vertical="bottom" textRotation="0" wrapText="false" indent="0" shrinkToFit="false"/>
      <protection locked="true" hidden="false"/>
    </xf>
    <xf numFmtId="164" fontId="37" fillId="0" borderId="0" xfId="0" applyFont="true" applyBorder="false" applyAlignment="true" applyProtection="true">
      <alignment horizontal="general" vertical="bottom" textRotation="0" wrapText="false" indent="0" shrinkToFit="false"/>
      <protection locked="true" hidden="false"/>
    </xf>
    <xf numFmtId="164" fontId="37" fillId="0" borderId="0" xfId="0" applyFont="true" applyBorder="false" applyAlignment="true" applyProtection="true">
      <alignment horizontal="left" vertical="center" textRotation="0" wrapText="false" indent="0" shrinkToFit="false"/>
      <protection locked="true" hidden="false"/>
    </xf>
    <xf numFmtId="164" fontId="37" fillId="0" borderId="0" xfId="0" applyFont="true" applyBorder="false" applyAlignment="true" applyProtection="true">
      <alignment horizontal="center" vertical="center" textRotation="0" wrapText="false" indent="0" shrinkToFit="false"/>
      <protection locked="true" hidden="false"/>
    </xf>
    <xf numFmtId="168" fontId="37" fillId="0" borderId="0" xfId="0" applyFont="true" applyBorder="false" applyAlignment="true" applyProtection="true">
      <alignment horizontal="center" vertical="center" textRotation="0" wrapText="false" indent="0" shrinkToFit="false"/>
      <protection locked="true" hidden="false"/>
    </xf>
    <xf numFmtId="164" fontId="38" fillId="0" borderId="0" xfId="0" applyFont="true" applyBorder="false" applyAlignment="true" applyProtection="true">
      <alignment horizontal="general" vertical="bottom" textRotation="0" wrapText="false" indent="0" shrinkToFit="false"/>
      <protection locked="true" hidden="false"/>
    </xf>
    <xf numFmtId="164" fontId="38" fillId="0" borderId="0" xfId="0" applyFont="true" applyBorder="false" applyAlignment="true" applyProtection="true">
      <alignment horizontal="left" vertical="center" textRotation="0" wrapText="false" indent="0" shrinkToFit="false"/>
      <protection locked="true" hidden="false"/>
    </xf>
    <xf numFmtId="164" fontId="38" fillId="0" borderId="0" xfId="0" applyFont="true" applyBorder="false" applyAlignment="true" applyProtection="true">
      <alignment horizontal="center" vertical="center" textRotation="0" wrapText="false" indent="0" shrinkToFit="false"/>
      <protection locked="true" hidden="false"/>
    </xf>
    <xf numFmtId="168" fontId="38" fillId="0" borderId="0" xfId="0" applyFont="true" applyBorder="false" applyAlignment="true" applyProtection="true">
      <alignment horizontal="center" vertical="center" textRotation="0" wrapText="false" indent="0" shrinkToFit="false"/>
      <protection locked="true" hidden="false"/>
    </xf>
    <xf numFmtId="164" fontId="39" fillId="0" borderId="1" xfId="0" applyFont="true" applyBorder="true" applyAlignment="true" applyProtection="true">
      <alignment horizontal="center" vertical="center" textRotation="0" wrapText="true" indent="0" shrinkToFit="false"/>
      <protection locked="true" hidden="false"/>
    </xf>
    <xf numFmtId="164" fontId="39" fillId="0" borderId="2" xfId="0" applyFont="true" applyBorder="true" applyAlignment="true" applyProtection="true">
      <alignment horizontal="center" vertical="center" textRotation="0" wrapText="true" indent="0" shrinkToFit="false"/>
      <protection locked="true" hidden="false"/>
    </xf>
    <xf numFmtId="164" fontId="39" fillId="0" borderId="3" xfId="0" applyFont="true" applyBorder="true" applyAlignment="true" applyProtection="true">
      <alignment horizontal="center" vertical="center" textRotation="0" wrapText="true" indent="0" shrinkToFit="false"/>
      <protection locked="true" hidden="false"/>
    </xf>
    <xf numFmtId="168" fontId="39" fillId="0" borderId="3" xfId="0" applyFont="true" applyBorder="true" applyAlignment="true" applyProtection="true">
      <alignment horizontal="center" vertical="center" textRotation="0" wrapText="true" indent="0" shrinkToFit="false"/>
      <protection locked="true" hidden="false"/>
    </xf>
    <xf numFmtId="164" fontId="38" fillId="0" borderId="8" xfId="0" applyFont="true" applyBorder="true" applyAlignment="true" applyProtection="true">
      <alignment horizontal="center" vertical="center" textRotation="0" wrapText="true" indent="0" shrinkToFit="false"/>
      <protection locked="true" hidden="false"/>
    </xf>
    <xf numFmtId="164" fontId="38" fillId="0" borderId="9" xfId="0" applyFont="true" applyBorder="true" applyAlignment="true" applyProtection="true">
      <alignment horizontal="center" vertical="center" textRotation="0" wrapText="true" indent="0" shrinkToFit="false"/>
      <protection locked="true" hidden="false"/>
    </xf>
    <xf numFmtId="164" fontId="38" fillId="0" borderId="10" xfId="0" applyFont="true" applyBorder="true" applyAlignment="true" applyProtection="true">
      <alignment horizontal="center" vertical="center" textRotation="0" wrapText="true" indent="0" shrinkToFit="false"/>
      <protection locked="true" hidden="false"/>
    </xf>
    <xf numFmtId="168" fontId="38" fillId="0" borderId="10" xfId="0" applyFont="true" applyBorder="true" applyAlignment="true" applyProtection="true">
      <alignment horizontal="center" vertical="center" textRotation="0" wrapText="true" indent="0" shrinkToFit="false"/>
      <protection locked="true" hidden="false"/>
    </xf>
    <xf numFmtId="164" fontId="38" fillId="0" borderId="13" xfId="0" applyFont="true" applyBorder="true" applyAlignment="true" applyProtection="true">
      <alignment horizontal="center" vertical="center" textRotation="0" wrapText="false" indent="0" shrinkToFit="false"/>
      <protection locked="true" hidden="false"/>
    </xf>
    <xf numFmtId="164" fontId="37" fillId="0" borderId="7" xfId="0" applyFont="true" applyBorder="true" applyAlignment="true" applyProtection="true">
      <alignment horizontal="left" vertical="center" textRotation="0" wrapText="true" indent="0" shrinkToFit="false"/>
      <protection locked="true" hidden="false"/>
    </xf>
    <xf numFmtId="164" fontId="37" fillId="0" borderId="7" xfId="0" applyFont="true" applyBorder="true" applyAlignment="true" applyProtection="true">
      <alignment horizontal="center" vertical="center" textRotation="0" wrapText="true" indent="0" shrinkToFit="false"/>
      <protection locked="true" hidden="false"/>
    </xf>
    <xf numFmtId="168" fontId="37" fillId="0" borderId="7" xfId="0" applyFont="true" applyBorder="true" applyAlignment="true" applyProtection="true">
      <alignment horizontal="center" vertical="center" textRotation="0" wrapText="false" indent="0" shrinkToFit="false"/>
      <protection locked="true" hidden="false"/>
    </xf>
    <xf numFmtId="164" fontId="38" fillId="0" borderId="7" xfId="0" applyFont="true" applyBorder="true" applyAlignment="true" applyProtection="true">
      <alignment horizontal="left" vertical="center" textRotation="0" wrapText="true" indent="0" shrinkToFit="false"/>
      <protection locked="true" hidden="false"/>
    </xf>
    <xf numFmtId="169" fontId="37" fillId="0" borderId="7" xfId="0" applyFont="true" applyBorder="true" applyAlignment="true" applyProtection="true">
      <alignment horizontal="left" vertical="center" textRotation="0" wrapText="true" indent="0" shrinkToFit="false"/>
      <protection locked="true" hidden="false"/>
    </xf>
    <xf numFmtId="164" fontId="40" fillId="0" borderId="13" xfId="0" applyFont="true" applyBorder="true" applyAlignment="true" applyProtection="true">
      <alignment horizontal="center" vertical="center" textRotation="0" wrapText="false" indent="0" shrinkToFit="false"/>
      <protection locked="true" hidden="false"/>
    </xf>
    <xf numFmtId="164" fontId="41" fillId="0" borderId="7" xfId="0" applyFont="true" applyBorder="true" applyAlignment="true" applyProtection="true">
      <alignment horizontal="left" vertical="center" textRotation="0" wrapText="true" indent="0" shrinkToFit="false"/>
      <protection locked="true" hidden="false"/>
    </xf>
    <xf numFmtId="164" fontId="41" fillId="0" borderId="7" xfId="0" applyFont="true" applyBorder="true" applyAlignment="true" applyProtection="true">
      <alignment horizontal="center" vertical="center" textRotation="0" wrapText="true" indent="0" shrinkToFit="false"/>
      <protection locked="true" hidden="false"/>
    </xf>
    <xf numFmtId="168" fontId="41" fillId="0" borderId="7" xfId="0" applyFont="true" applyBorder="tru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left" vertical="bottom" textRotation="0" wrapText="false" indent="0" shrinkToFit="false"/>
      <protection locked="true" hidden="false"/>
    </xf>
    <xf numFmtId="164" fontId="26" fillId="0" borderId="0" xfId="0" applyFont="true" applyBorder="false" applyAlignment="true" applyProtection="true">
      <alignment horizontal="general" vertical="bottom" textRotation="0" wrapText="false" indent="0" shrinkToFit="false"/>
      <protection locked="true" hidden="false"/>
    </xf>
    <xf numFmtId="164" fontId="25" fillId="0" borderId="0" xfId="0" applyFont="true" applyBorder="false" applyAlignment="true" applyProtection="true">
      <alignment horizontal="left" vertical="top" textRotation="0" wrapText="tru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24" fillId="4" borderId="2" xfId="0" applyFont="true" applyBorder="true" applyAlignment="true" applyProtection="true">
      <alignment horizontal="center" vertical="center" textRotation="0" wrapText="true" indent="0" shrinkToFit="false"/>
      <protection locked="true" hidden="false"/>
    </xf>
    <xf numFmtId="164" fontId="25" fillId="4" borderId="3" xfId="0" applyFont="true" applyBorder="true" applyAlignment="true" applyProtection="true">
      <alignment horizontal="center" vertical="center" textRotation="0" wrapText="true" indent="0" shrinkToFit="false"/>
      <protection locked="true" hidden="false"/>
    </xf>
    <xf numFmtId="164" fontId="24" fillId="4" borderId="10" xfId="0" applyFont="true" applyBorder="true" applyAlignment="true" applyProtection="true">
      <alignment horizontal="center" vertical="center" textRotation="0" wrapText="true" indent="0" shrinkToFit="false"/>
      <protection locked="true" hidden="false"/>
    </xf>
    <xf numFmtId="164" fontId="17" fillId="5" borderId="12" xfId="0" applyFont="true" applyBorder="true" applyAlignment="true" applyProtection="true">
      <alignment horizontal="center" vertical="center" textRotation="0" wrapText="false" indent="0" shrinkToFit="false"/>
      <protection locked="true" hidden="false"/>
    </xf>
    <xf numFmtId="164" fontId="15" fillId="0" borderId="13" xfId="0" applyFont="true" applyBorder="true" applyAlignment="true" applyProtection="true">
      <alignment horizontal="center" vertical="center" textRotation="0" wrapText="false" indent="0" shrinkToFit="false"/>
      <protection locked="true" hidden="false"/>
    </xf>
    <xf numFmtId="172" fontId="11" fillId="0" borderId="7" xfId="0" applyFont="true" applyBorder="true" applyAlignment="true" applyProtection="true">
      <alignment horizontal="center" vertical="center" textRotation="0" wrapText="false" indent="0" shrinkToFit="false"/>
      <protection locked="true" hidden="false"/>
    </xf>
    <xf numFmtId="166" fontId="13" fillId="0" borderId="14" xfId="0" applyFont="true" applyBorder="true" applyAlignment="true" applyProtection="true">
      <alignment horizontal="center" vertical="center" textRotation="0" wrapText="false" indent="0" shrinkToFit="false"/>
      <protection locked="true" hidden="false"/>
    </xf>
    <xf numFmtId="166" fontId="24" fillId="5" borderId="14" xfId="0" applyFont="true" applyBorder="true" applyAlignment="true" applyProtection="true">
      <alignment horizontal="center" vertical="center" textRotation="0" wrapText="true" indent="0" shrinkToFit="false"/>
      <protection locked="true" hidden="false"/>
    </xf>
    <xf numFmtId="169" fontId="24" fillId="0" borderId="0" xfId="0" applyFont="true" applyBorder="true" applyAlignment="true" applyProtection="true">
      <alignment horizontal="center" vertical="center" textRotation="0" wrapText="false" indent="0" shrinkToFit="false"/>
      <protection locked="true" hidden="false"/>
    </xf>
    <xf numFmtId="166" fontId="26" fillId="0" borderId="0" xfId="0" applyFont="true" applyBorder="false" applyAlignment="true" applyProtection="true">
      <alignment horizontal="general" vertical="bottom" textRotation="0" wrapText="false" indent="0" shrinkToFit="false"/>
      <protection locked="true" hidden="false"/>
    </xf>
  </cellXfs>
  <cellStyles count="19">
    <cellStyle name="Normal" xfId="0" builtinId="0"/>
    <cellStyle name="Comma" xfId="15" builtinId="3"/>
    <cellStyle name="Comma [0]" xfId="16" builtinId="6"/>
    <cellStyle name="Currency" xfId="17" builtinId="4"/>
    <cellStyle name="Currency [0]" xfId="18" builtinId="7"/>
    <cellStyle name="Percent" xfId="19" builtinId="5"/>
    <cellStyle name="Гиперссылка 2" xfId="21"/>
    <cellStyle name="Обычный 2" xfId="22"/>
    <cellStyle name="Обычный 2 2" xfId="23"/>
    <cellStyle name="Обычный 3" xfId="24"/>
    <cellStyle name="Обычный 3 2" xfId="25"/>
    <cellStyle name="Обычный 4" xfId="26"/>
    <cellStyle name="Обычный 4 2" xfId="27"/>
    <cellStyle name="Обычный 5" xfId="28"/>
    <cellStyle name="Обычный 5 2" xfId="29"/>
    <cellStyle name="Обычный 5 3" xfId="30"/>
    <cellStyle name="Обычный 6" xfId="31"/>
    <cellStyle name="Финансовый 2" xfId="32"/>
    <cellStyle name="*unknown*" xfId="20" builtinId="8"/>
  </cellStyles>
  <dxfs count="39">
    <dxf>
      <fill>
        <patternFill patternType="solid">
          <fgColor rgb="FFFFFFFF"/>
        </patternFill>
      </fill>
    </dxf>
    <dxf>
      <fill>
        <patternFill patternType="solid">
          <fgColor rgb="00FFFFFF"/>
        </patternFill>
      </fill>
    </dxf>
    <dxf>
      <fill>
        <patternFill patternType="solid">
          <fgColor rgb="FFFFFF00"/>
        </patternFill>
      </fill>
    </dxf>
    <dxf>
      <fill>
        <patternFill patternType="solid">
          <fgColor rgb="FFF4B183"/>
        </patternFill>
      </fill>
    </dxf>
    <dxf>
      <fill>
        <patternFill patternType="solid">
          <fgColor rgb="FFC5E0B4"/>
        </patternFill>
      </fill>
    </dxf>
    <dxf>
      <fill>
        <patternFill patternType="solid">
          <fgColor rgb="FFD9D9D9"/>
        </patternFill>
      </fill>
    </dxf>
    <dxf>
      <fill>
        <patternFill patternType="solid">
          <fgColor rgb="FFDBDBDB"/>
        </patternFill>
      </fill>
    </dxf>
    <dxf>
      <fill>
        <patternFill patternType="solid">
          <fgColor rgb="FF9DC3E6"/>
        </patternFill>
      </fill>
    </dxf>
    <dxf>
      <fill>
        <patternFill patternType="solid">
          <f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patternType="solid">
          <fgColor rgb="FF00B050"/>
        </patternFill>
      </fill>
    </dxf>
    <dxf>
      <fill>
        <patternFill patternType="solid">
          <fgColor rgb="FF92D050"/>
        </patternFill>
      </fill>
    </dxf>
    <dxf>
      <fill>
        <patternFill patternType="solid">
          <fgColor rgb="FF0563C1"/>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patternType="solid">
          <fgColor rgb="FFA9D18E"/>
        </patternFill>
      </fill>
    </dxf>
    <dxf>
      <fill>
        <patternFill patternType="solid">
          <fgColor rgb="FFB4C7E7"/>
        </patternFill>
      </fill>
    </dxf>
    <dxf>
      <fill>
        <patternFill patternType="solid">
          <fgColor rgb="FFDEEBF7"/>
        </patternFill>
      </fill>
    </dxf>
    <dxf>
      <fill>
        <patternFill patternType="solid">
          <fgColor rgb="FF000000"/>
          <bgColor rgb="FFFFFFFF"/>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2F2F2"/>
      <rgbColor rgb="FFDEEBF7"/>
      <rgbColor rgb="FF660066"/>
      <rgbColor rgb="FFFF8080"/>
      <rgbColor rgb="FF0563C1"/>
      <rgbColor rgb="FFD9D9D9"/>
      <rgbColor rgb="FF000080"/>
      <rgbColor rgb="FFFF00FF"/>
      <rgbColor rgb="FFFFFF00"/>
      <rgbColor rgb="FF00FFFF"/>
      <rgbColor rgb="FF800080"/>
      <rgbColor rgb="FF800000"/>
      <rgbColor rgb="FF008080"/>
      <rgbColor rgb="FF0000FF"/>
      <rgbColor rgb="FF00CCFF"/>
      <rgbColor rgb="FFE7E6E6"/>
      <rgbColor rgb="FFC5E0B4"/>
      <rgbColor rgb="FFDBDBDB"/>
      <rgbColor rgb="FF9DC3E6"/>
      <rgbColor rgb="FFFF99CC"/>
      <rgbColor rgb="FFCC99FF"/>
      <rgbColor rgb="FFF4B183"/>
      <rgbColor rgb="FF3366FF"/>
      <rgbColor rgb="FF33CCCC"/>
      <rgbColor rgb="FF92D050"/>
      <rgbColor rgb="FFFFC000"/>
      <rgbColor rgb="FFFF9900"/>
      <rgbColor rgb="FFFF6600"/>
      <rgbColor rgb="FF666699"/>
      <rgbColor rgb="FFA9D18E"/>
      <rgbColor rgb="FF003366"/>
      <rgbColor rgb="FF00B050"/>
      <rgbColor rgb="FF003300"/>
      <rgbColor rgb="FF333300"/>
      <rgbColor rgb="FF993300"/>
      <rgbColor rgb="FF993366"/>
      <rgbColor rgb="FF333399"/>
      <rgbColor rgb="FF222A35"/>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drawings/drawing2.xml><?xml version="1.0" encoding="utf-8"?>
<xdr:wsDr xmlns:xdr="http://schemas.openxmlformats.org/drawingml/2006/spreadsheetDrawing" xmlns:a="http://schemas.openxmlformats.org/drawingml/2006/main" xmlns:r="http://schemas.openxmlformats.org/officeDocument/2006/relationships"/>
</file>

<file path=xl/drawings/drawing3.xml><?xml version="1.0" encoding="utf-8"?>
<xdr:wsDr xmlns:xdr="http://schemas.openxmlformats.org/drawingml/2006/spreadsheetDrawing" xmlns:a="http://schemas.openxmlformats.org/drawingml/2006/main" xmlns:r="http://schemas.openxmlformats.org/officeDocument/2006/relationships"/>
</file>

<file path=xl/drawings/drawing4.xml><?xml version="1.0" encoding="utf-8"?>
<xdr:wsDr xmlns:xdr="http://schemas.openxmlformats.org/drawingml/2006/spreadsheetDrawing" xmlns:a="http://schemas.openxmlformats.org/drawingml/2006/main" xmlns:r="http://schemas.openxmlformats.org/officeDocument/2006/relationships"/>
</file>

<file path=xl/drawings/drawing5.xml><?xml version="1.0" encoding="utf-8"?>
<xdr:wsDr xmlns:xdr="http://schemas.openxmlformats.org/drawingml/2006/spreadsheetDrawing" xmlns:a="http://schemas.openxmlformats.org/drawingml/2006/main" xmlns:r="http://schemas.openxmlformats.org/officeDocument/2006/relationships"/>
</file>

<file path=xl/drawings/drawing6.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hyperlink" Target="https://kitenergo.ru/catalog/perednie_i_zadnie_elementy_tsokolya_iz_nerzhaveyushchey_stali_za/perednie_i_zadnie_elementy_tsokolya_iz_nerzhaveyushchey_stali_za_80_00_s_v_2/" TargetMode="External"/><Relationship Id="rId3" Type="http://schemas.openxmlformats.org/officeDocument/2006/relationships/drawing" Target="../drawings/drawing4.xml"/><Relationship Id="rId4"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6.xml"/><Relationship Id="rId3" Type="http://schemas.openxmlformats.org/officeDocument/2006/relationships/vmlDrawing" Target="../drawings/vmlDrawing6.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AJ347"/>
  <sheetViews>
    <sheetView showFormulas="false" showGridLines="true" showRowColHeaders="true" showZeros="true" rightToLeft="false" tabSelected="false" showOutlineSymbols="true" defaultGridColor="true" view="normal" topLeftCell="A7" colorId="64" zoomScale="60" zoomScaleNormal="60" zoomScalePageLayoutView="100" workbookViewId="0">
      <pane xSplit="0" ySplit="4" topLeftCell="A11" activePane="bottomLeft" state="frozen"/>
      <selection pane="topLeft" activeCell="A7" activeCellId="0" sqref="A7"/>
      <selection pane="bottomLeft" activeCell="C19" activeCellId="0" sqref="A1:D1048576"/>
    </sheetView>
  </sheetViews>
  <sheetFormatPr defaultColWidth="9.1484375" defaultRowHeight="14.25" zeroHeight="false" outlineLevelRow="0" outlineLevelCol="1"/>
  <cols>
    <col collapsed="false" customWidth="true" hidden="false" outlineLevel="0" max="1" min="1" style="1" width="6.71"/>
    <col collapsed="false" customWidth="true" hidden="false" outlineLevel="0" max="2" min="2" style="2" width="39.71"/>
    <col collapsed="false" customWidth="true" hidden="false" outlineLevel="0" max="3" min="3" style="2" width="14.29"/>
    <col collapsed="false" customWidth="true" hidden="false" outlineLevel="0" max="4" min="4" style="2" width="15.14"/>
    <col collapsed="false" customWidth="true" hidden="false" outlineLevel="0" max="5" min="5" style="3" width="14.86"/>
    <col collapsed="false" customWidth="true" hidden="false" outlineLevel="0" max="6" min="6" style="1" width="16"/>
    <col collapsed="false" customWidth="true" hidden="false" outlineLevel="0" max="7" min="7" style="1" width="21"/>
    <col collapsed="false" customWidth="true" hidden="false" outlineLevel="0" max="8" min="8" style="4" width="17.57"/>
    <col collapsed="false" customWidth="true" hidden="false" outlineLevel="0" max="9" min="9" style="1" width="17.42"/>
    <col collapsed="false" customWidth="true" hidden="false" outlineLevel="0" max="10" min="10" style="1" width="19.86"/>
    <col collapsed="false" customWidth="true" hidden="false" outlineLevel="0" max="11" min="11" style="4" width="16.29"/>
    <col collapsed="false" customWidth="true" hidden="false" outlineLevel="0" max="12" min="12" style="1" width="17.86"/>
    <col collapsed="false" customWidth="true" hidden="false" outlineLevel="0" max="13" min="13" style="1" width="20.14"/>
    <col collapsed="false" customWidth="true" hidden="false" outlineLevel="0" max="14" min="14" style="4" width="17.29"/>
    <col collapsed="false" customWidth="true" hidden="false" outlineLevel="0" max="15" min="15" style="1" width="19.71"/>
    <col collapsed="false" customWidth="true" hidden="false" outlineLevel="0" max="18" min="16" style="1" width="23.42"/>
    <col collapsed="false" customWidth="true" hidden="false" outlineLevel="0" max="19" min="19" style="1" width="26"/>
    <col collapsed="false" customWidth="false" hidden="false" outlineLevel="0" max="20" min="20" style="1" width="9.14"/>
    <col collapsed="false" customWidth="true" hidden="false" outlineLevel="1" max="23" min="21" style="1" width="13"/>
    <col collapsed="false" customWidth="false" hidden="false" outlineLevel="0" max="16384" min="24" style="1" width="9.14"/>
  </cols>
  <sheetData>
    <row r="1" customFormat="false" ht="14.25" hidden="false" customHeight="false" outlineLevel="0" collapsed="false">
      <c r="P1" s="5" t="s">
        <v>0</v>
      </c>
      <c r="Q1" s="5"/>
      <c r="R1" s="5"/>
      <c r="S1" s="5"/>
    </row>
    <row r="2" customFormat="false" ht="32.25" hidden="false" customHeight="true" outlineLevel="0" collapsed="false">
      <c r="P2" s="6" t="s">
        <v>1</v>
      </c>
      <c r="Q2" s="6"/>
      <c r="R2" s="6"/>
      <c r="S2" s="6"/>
    </row>
    <row r="3" customFormat="false" ht="25.5" hidden="false" customHeight="true" outlineLevel="0" collapsed="false">
      <c r="A3" s="7" t="s">
        <v>2</v>
      </c>
      <c r="B3" s="7"/>
      <c r="C3" s="7"/>
      <c r="D3" s="7"/>
      <c r="E3" s="7"/>
      <c r="F3" s="7"/>
      <c r="G3" s="7"/>
      <c r="H3" s="7"/>
      <c r="I3" s="7"/>
      <c r="J3" s="7"/>
      <c r="K3" s="7"/>
      <c r="L3" s="7"/>
      <c r="M3" s="7"/>
      <c r="N3" s="7"/>
      <c r="O3" s="7"/>
      <c r="P3" s="7"/>
      <c r="Q3" s="8"/>
      <c r="R3" s="8"/>
    </row>
    <row r="4" customFormat="false" ht="17.25" hidden="false" customHeight="true" outlineLevel="0" collapsed="false">
      <c r="A4" s="9"/>
      <c r="B4" s="10"/>
      <c r="C4" s="10"/>
      <c r="D4" s="10"/>
      <c r="E4" s="11"/>
      <c r="F4" s="9"/>
      <c r="G4" s="9"/>
      <c r="H4" s="12"/>
      <c r="I4" s="9"/>
      <c r="J4" s="9"/>
      <c r="K4" s="12"/>
      <c r="L4" s="9"/>
      <c r="M4" s="9"/>
      <c r="N4" s="12"/>
      <c r="O4" s="9"/>
    </row>
    <row r="5" s="14" customFormat="true" ht="28.5" hidden="false" customHeight="true" outlineLevel="0" collapsed="false">
      <c r="A5" s="13" t="s">
        <v>3</v>
      </c>
      <c r="B5" s="13"/>
      <c r="C5" s="13"/>
      <c r="D5" s="13"/>
      <c r="E5" s="13"/>
      <c r="F5" s="13"/>
      <c r="G5" s="13"/>
      <c r="H5" s="13"/>
      <c r="I5" s="13"/>
      <c r="J5" s="13"/>
      <c r="K5" s="13"/>
      <c r="L5" s="13"/>
      <c r="M5" s="13"/>
      <c r="N5" s="13"/>
      <c r="O5" s="13"/>
      <c r="P5" s="13"/>
      <c r="Q5" s="13"/>
    </row>
    <row r="6" s="14" customFormat="true" ht="14.25" hidden="false" customHeight="false" outlineLevel="0" collapsed="false">
      <c r="B6" s="15"/>
      <c r="C6" s="15"/>
      <c r="D6" s="15"/>
      <c r="E6" s="16"/>
      <c r="H6" s="17"/>
      <c r="K6" s="17"/>
      <c r="N6" s="17"/>
    </row>
    <row r="7" s="14" customFormat="true" ht="27" hidden="false" customHeight="true" outlineLevel="0" collapsed="false">
      <c r="A7" s="18" t="s">
        <v>4</v>
      </c>
      <c r="B7" s="19" t="s">
        <v>5</v>
      </c>
      <c r="C7" s="20" t="s">
        <v>6</v>
      </c>
      <c r="D7" s="20" t="s">
        <v>7</v>
      </c>
      <c r="E7" s="21" t="s">
        <v>8</v>
      </c>
      <c r="F7" s="22" t="s">
        <v>9</v>
      </c>
      <c r="G7" s="23" t="s">
        <v>10</v>
      </c>
      <c r="H7" s="23"/>
      <c r="I7" s="23"/>
      <c r="J7" s="23" t="s">
        <v>11</v>
      </c>
      <c r="K7" s="23"/>
      <c r="L7" s="23"/>
      <c r="M7" s="24" t="s">
        <v>12</v>
      </c>
      <c r="N7" s="24"/>
      <c r="O7" s="24"/>
      <c r="P7" s="25" t="s">
        <v>13</v>
      </c>
      <c r="Q7" s="26" t="s">
        <v>14</v>
      </c>
      <c r="R7" s="25" t="s">
        <v>15</v>
      </c>
      <c r="S7" s="20" t="s">
        <v>16</v>
      </c>
      <c r="U7" s="27" t="s">
        <v>17</v>
      </c>
      <c r="V7" s="27"/>
      <c r="W7" s="27"/>
    </row>
    <row r="8" s="14" customFormat="true" ht="30.75" hidden="false" customHeight="true" outlineLevel="0" collapsed="false">
      <c r="A8" s="18"/>
      <c r="B8" s="18"/>
      <c r="C8" s="18"/>
      <c r="D8" s="18"/>
      <c r="E8" s="21"/>
      <c r="F8" s="22"/>
      <c r="G8" s="23"/>
      <c r="H8" s="23"/>
      <c r="I8" s="23"/>
      <c r="J8" s="23"/>
      <c r="K8" s="23"/>
      <c r="L8" s="23"/>
      <c r="M8" s="24"/>
      <c r="N8" s="24"/>
      <c r="O8" s="24"/>
      <c r="P8" s="25"/>
      <c r="Q8" s="26"/>
      <c r="R8" s="25"/>
      <c r="S8" s="20"/>
      <c r="U8" s="27"/>
      <c r="V8" s="27"/>
      <c r="W8" s="27"/>
    </row>
    <row r="9" s="32" customFormat="true" ht="132.75" hidden="false" customHeight="true" outlineLevel="0" collapsed="false">
      <c r="A9" s="18"/>
      <c r="B9" s="18"/>
      <c r="C9" s="20"/>
      <c r="D9" s="20"/>
      <c r="E9" s="21"/>
      <c r="F9" s="22"/>
      <c r="G9" s="28" t="s">
        <v>18</v>
      </c>
      <c r="H9" s="29" t="s">
        <v>19</v>
      </c>
      <c r="I9" s="30" t="s">
        <v>20</v>
      </c>
      <c r="J9" s="28" t="s">
        <v>18</v>
      </c>
      <c r="K9" s="29" t="s">
        <v>19</v>
      </c>
      <c r="L9" s="30" t="s">
        <v>20</v>
      </c>
      <c r="M9" s="28" t="s">
        <v>18</v>
      </c>
      <c r="N9" s="29" t="s">
        <v>21</v>
      </c>
      <c r="O9" s="30" t="s">
        <v>22</v>
      </c>
      <c r="P9" s="25"/>
      <c r="Q9" s="26"/>
      <c r="R9" s="25"/>
      <c r="S9" s="20"/>
      <c r="T9" s="14"/>
      <c r="U9" s="31" t="s">
        <v>10</v>
      </c>
      <c r="V9" s="31" t="s">
        <v>11</v>
      </c>
      <c r="W9" s="31" t="s">
        <v>12</v>
      </c>
      <c r="X9" s="14"/>
      <c r="Y9" s="14"/>
      <c r="Z9" s="14"/>
      <c r="AA9" s="14"/>
      <c r="AB9" s="14"/>
      <c r="AC9" s="14"/>
      <c r="AD9" s="14"/>
      <c r="AE9" s="14"/>
      <c r="AF9" s="14"/>
      <c r="AG9" s="14"/>
      <c r="AH9" s="14"/>
      <c r="AI9" s="14"/>
      <c r="AJ9" s="14"/>
    </row>
    <row r="10" s="40" customFormat="true" ht="14.25" hidden="false" customHeight="true" outlineLevel="0" collapsed="false">
      <c r="A10" s="33" t="n">
        <v>1</v>
      </c>
      <c r="B10" s="34" t="n">
        <v>2</v>
      </c>
      <c r="C10" s="35" t="n">
        <v>3</v>
      </c>
      <c r="D10" s="35" t="n">
        <v>4</v>
      </c>
      <c r="E10" s="36"/>
      <c r="F10" s="35"/>
      <c r="G10" s="37" t="n">
        <v>5</v>
      </c>
      <c r="H10" s="38" t="n">
        <v>6</v>
      </c>
      <c r="I10" s="34" t="n">
        <v>7</v>
      </c>
      <c r="J10" s="37" t="n">
        <v>8</v>
      </c>
      <c r="K10" s="39" t="n">
        <v>9</v>
      </c>
      <c r="L10" s="34" t="n">
        <v>10</v>
      </c>
      <c r="M10" s="37" t="n">
        <v>11</v>
      </c>
      <c r="N10" s="39" t="n">
        <v>12</v>
      </c>
      <c r="O10" s="34" t="n">
        <v>12</v>
      </c>
      <c r="P10" s="37" t="n">
        <v>15</v>
      </c>
      <c r="Q10" s="37" t="n">
        <v>16</v>
      </c>
      <c r="R10" s="37" t="n">
        <v>17</v>
      </c>
      <c r="S10" s="37" t="n">
        <v>18</v>
      </c>
      <c r="U10" s="41"/>
      <c r="V10" s="41"/>
      <c r="W10" s="41"/>
    </row>
    <row r="11" s="43" customFormat="true" ht="35.25" hidden="false" customHeight="true" outlineLevel="0" collapsed="false">
      <c r="A11" s="42" t="s">
        <v>23</v>
      </c>
      <c r="B11" s="42"/>
      <c r="C11" s="42"/>
      <c r="D11" s="42"/>
      <c r="E11" s="42"/>
      <c r="F11" s="42"/>
      <c r="G11" s="42"/>
      <c r="H11" s="42"/>
      <c r="I11" s="42"/>
      <c r="J11" s="42"/>
      <c r="K11" s="42"/>
      <c r="L11" s="42"/>
      <c r="M11" s="42"/>
      <c r="N11" s="42"/>
      <c r="O11" s="42"/>
      <c r="P11" s="42"/>
      <c r="Q11" s="42"/>
      <c r="R11" s="42"/>
      <c r="S11" s="42"/>
      <c r="U11" s="44"/>
      <c r="V11" s="44"/>
      <c r="W11" s="44"/>
    </row>
    <row r="12" s="43" customFormat="true" ht="73.5" hidden="false" customHeight="true" outlineLevel="0" collapsed="false">
      <c r="A12" s="45" t="n">
        <v>1</v>
      </c>
      <c r="B12" s="46" t="s">
        <v>24</v>
      </c>
      <c r="C12" s="47" t="s">
        <v>25</v>
      </c>
      <c r="D12" s="48" t="n">
        <v>12</v>
      </c>
      <c r="E12" s="49" t="s">
        <v>26</v>
      </c>
      <c r="F12" s="50" t="n">
        <v>211.5</v>
      </c>
      <c r="G12" s="51" t="s">
        <v>27</v>
      </c>
      <c r="H12" s="52" t="n">
        <f aca="false">241.6/1.2</f>
        <v>201.333333333333</v>
      </c>
      <c r="I12" s="53" t="n">
        <f aca="false">D12*H12</f>
        <v>2416</v>
      </c>
      <c r="J12" s="53" t="s">
        <v>28</v>
      </c>
      <c r="K12" s="52" t="n">
        <f aca="false">264.54/1.2</f>
        <v>220.45</v>
      </c>
      <c r="L12" s="53" t="n">
        <f aca="false">D12*K12</f>
        <v>2645.4</v>
      </c>
      <c r="M12" s="47" t="s">
        <v>29</v>
      </c>
      <c r="N12" s="52" t="n">
        <v>214.67</v>
      </c>
      <c r="O12" s="53" t="n">
        <f aca="false">D12*N12</f>
        <v>2576.04</v>
      </c>
      <c r="P12" s="54" t="n">
        <f aca="false">AVERAGE(H12,K12,N12)</f>
        <v>212.151111111111</v>
      </c>
      <c r="Q12" s="55" t="n">
        <f aca="false">F12*100/P12-100</f>
        <v>-0.306909121380997</v>
      </c>
      <c r="R12" s="54" t="n">
        <f aca="false">D12*F12</f>
        <v>2538</v>
      </c>
      <c r="S12" s="56"/>
      <c r="U12" s="57" t="n">
        <f aca="false">ROUND(H12*100/P12-100,0)</f>
        <v>-5</v>
      </c>
      <c r="V12" s="57" t="n">
        <f aca="false">ROUND(K12*100/P12-100,0)</f>
        <v>4</v>
      </c>
      <c r="W12" s="57" t="n">
        <f aca="false">ROUND(N12*100/P12-100,0)</f>
        <v>1</v>
      </c>
    </row>
    <row r="13" s="43" customFormat="true" ht="73.5" hidden="false" customHeight="true" outlineLevel="0" collapsed="false">
      <c r="A13" s="45" t="n">
        <v>2</v>
      </c>
      <c r="B13" s="46" t="s">
        <v>30</v>
      </c>
      <c r="C13" s="47" t="s">
        <v>25</v>
      </c>
      <c r="D13" s="48" t="n">
        <v>1</v>
      </c>
      <c r="E13" s="49" t="s">
        <v>26</v>
      </c>
      <c r="F13" s="50" t="n">
        <v>77750.45</v>
      </c>
      <c r="G13" s="47" t="s">
        <v>31</v>
      </c>
      <c r="H13" s="52" t="n">
        <f aca="false">89307.79/1.2</f>
        <v>74423.1583333333</v>
      </c>
      <c r="I13" s="53" t="n">
        <f aca="false">D13*H13</f>
        <v>74423.1583333333</v>
      </c>
      <c r="J13" s="47" t="s">
        <v>32</v>
      </c>
      <c r="K13" s="52" t="n">
        <f aca="false">107832.34/1.2</f>
        <v>89860.2833333333</v>
      </c>
      <c r="L13" s="53" t="n">
        <f aca="false">D13*K13</f>
        <v>89860.2833333333</v>
      </c>
      <c r="M13" s="47" t="s">
        <v>33</v>
      </c>
      <c r="N13" s="52" t="n">
        <f aca="false">82801.69/1.2</f>
        <v>69001.4083333333</v>
      </c>
      <c r="O13" s="53" t="n">
        <f aca="false">D13*N13</f>
        <v>69001.4083333333</v>
      </c>
      <c r="P13" s="54" t="n">
        <f aca="false">AVERAGE(H13,K13,N13)</f>
        <v>77761.6166666667</v>
      </c>
      <c r="Q13" s="55" t="n">
        <f aca="false">F13*100/P13-100</f>
        <v>-0.0143601266863271</v>
      </c>
      <c r="R13" s="54" t="n">
        <f aca="false">D13*F13</f>
        <v>77750.45</v>
      </c>
      <c r="S13" s="56"/>
      <c r="U13" s="57" t="n">
        <f aca="false">ROUND(H13*100/P13-100,0)</f>
        <v>-4</v>
      </c>
      <c r="V13" s="57" t="n">
        <f aca="false">ROUND(K13*100/P13-100,0)</f>
        <v>16</v>
      </c>
      <c r="W13" s="57" t="n">
        <f aca="false">ROUND(N13*100/P13-100,0)</f>
        <v>-11</v>
      </c>
      <c r="Y13" s="43" t="n">
        <v>2</v>
      </c>
    </row>
    <row r="14" s="43" customFormat="true" ht="73.5" hidden="false" customHeight="true" outlineLevel="0" collapsed="false">
      <c r="A14" s="45" t="n">
        <v>3</v>
      </c>
      <c r="B14" s="46" t="s">
        <v>34</v>
      </c>
      <c r="C14" s="47" t="s">
        <v>25</v>
      </c>
      <c r="D14" s="48" t="n">
        <v>1</v>
      </c>
      <c r="E14" s="49" t="s">
        <v>26</v>
      </c>
      <c r="F14" s="50" t="n">
        <v>84551</v>
      </c>
      <c r="G14" s="47" t="s">
        <v>31</v>
      </c>
      <c r="H14" s="52" t="n">
        <f aca="false">99534.53/1.2</f>
        <v>82945.4416666667</v>
      </c>
      <c r="I14" s="53" t="n">
        <f aca="false">D14*H14</f>
        <v>82945.4416666667</v>
      </c>
      <c r="J14" s="47" t="s">
        <v>32</v>
      </c>
      <c r="K14" s="52" t="n">
        <f aca="false">115890.88/1.2</f>
        <v>96575.7333333333</v>
      </c>
      <c r="L14" s="53" t="n">
        <f aca="false">D14*K14</f>
        <v>96575.7333333333</v>
      </c>
      <c r="M14" s="47" t="s">
        <v>33</v>
      </c>
      <c r="N14" s="52" t="n">
        <f aca="false">88990.14/1.2</f>
        <v>74158.45</v>
      </c>
      <c r="O14" s="53" t="n">
        <f aca="false">D14*N14</f>
        <v>74158.45</v>
      </c>
      <c r="P14" s="54" t="n">
        <f aca="false">AVERAGE(H14,K14,N14)</f>
        <v>84559.875</v>
      </c>
      <c r="Q14" s="55" t="n">
        <f aca="false">F14*100/P14-100</f>
        <v>-0.0104955216643816</v>
      </c>
      <c r="R14" s="54" t="n">
        <f aca="false">D14*F14</f>
        <v>84551</v>
      </c>
      <c r="S14" s="56"/>
      <c r="U14" s="57" t="n">
        <f aca="false">ROUND(H14*100/P14-100,0)</f>
        <v>-2</v>
      </c>
      <c r="V14" s="57" t="n">
        <f aca="false">ROUND(K14*100/P14-100,0)</f>
        <v>14</v>
      </c>
      <c r="W14" s="57" t="n">
        <f aca="false">ROUND(N14*100/P14-100,0)</f>
        <v>-12</v>
      </c>
      <c r="Y14" s="43" t="n">
        <v>3</v>
      </c>
    </row>
    <row r="15" s="43" customFormat="true" ht="73.5" hidden="false" customHeight="true" outlineLevel="0" collapsed="false">
      <c r="A15" s="45" t="n">
        <v>4</v>
      </c>
      <c r="B15" s="46" t="s">
        <v>35</v>
      </c>
      <c r="C15" s="47" t="s">
        <v>25</v>
      </c>
      <c r="D15" s="48" t="n">
        <v>1</v>
      </c>
      <c r="E15" s="49" t="s">
        <v>26</v>
      </c>
      <c r="F15" s="50" t="n">
        <v>155.25</v>
      </c>
      <c r="G15" s="47" t="s">
        <v>27</v>
      </c>
      <c r="H15" s="52" t="n">
        <f aca="false">177.86/1.2</f>
        <v>148.216666666667</v>
      </c>
      <c r="I15" s="53" t="n">
        <f aca="false">D15*H15</f>
        <v>148.216666666667</v>
      </c>
      <c r="J15" s="53" t="s">
        <v>28</v>
      </c>
      <c r="K15" s="52" t="n">
        <v>165.48</v>
      </c>
      <c r="L15" s="53" t="n">
        <f aca="false">D15*K15</f>
        <v>165.48</v>
      </c>
      <c r="M15" s="47" t="s">
        <v>29</v>
      </c>
      <c r="N15" s="52" t="n">
        <v>159.71</v>
      </c>
      <c r="O15" s="53" t="n">
        <f aca="false">D15*N15</f>
        <v>159.71</v>
      </c>
      <c r="P15" s="54" t="n">
        <f aca="false">AVERAGE(H15,K15,N15)</f>
        <v>157.802222222222</v>
      </c>
      <c r="Q15" s="55" t="n">
        <f aca="false">F15*100/P15-100</f>
        <v>-1.61735505766714</v>
      </c>
      <c r="R15" s="54" t="n">
        <f aca="false">D15*F15</f>
        <v>155.25</v>
      </c>
      <c r="S15" s="56"/>
      <c r="U15" s="57" t="n">
        <f aca="false">ROUND(H15*100/P15-100,0)</f>
        <v>-6</v>
      </c>
      <c r="V15" s="57" t="n">
        <f aca="false">ROUND(K15*100/P15-100,0)</f>
        <v>5</v>
      </c>
      <c r="W15" s="57" t="n">
        <f aca="false">ROUND(N15*100/P15-100,0)</f>
        <v>1</v>
      </c>
      <c r="Y15" s="43" t="n">
        <v>4</v>
      </c>
    </row>
    <row r="16" s="43" customFormat="true" ht="73.5" hidden="false" customHeight="true" outlineLevel="0" collapsed="false">
      <c r="A16" s="45" t="n">
        <v>5</v>
      </c>
      <c r="B16" s="46" t="s">
        <v>36</v>
      </c>
      <c r="C16" s="47" t="s">
        <v>25</v>
      </c>
      <c r="D16" s="48" t="n">
        <v>2</v>
      </c>
      <c r="E16" s="49" t="s">
        <v>26</v>
      </c>
      <c r="F16" s="50" t="n">
        <v>1088.65</v>
      </c>
      <c r="G16" s="47" t="s">
        <v>27</v>
      </c>
      <c r="H16" s="52" t="n">
        <f aca="false">1302.94/1.2</f>
        <v>1085.78333333333</v>
      </c>
      <c r="I16" s="53" t="n">
        <f aca="false">D16*H16</f>
        <v>2171.56666666667</v>
      </c>
      <c r="J16" s="53" t="s">
        <v>28</v>
      </c>
      <c r="K16" s="52" t="n">
        <v>1070.69</v>
      </c>
      <c r="L16" s="53" t="n">
        <f aca="false">D16*K16</f>
        <v>2141.38</v>
      </c>
      <c r="M16" s="47" t="s">
        <v>29</v>
      </c>
      <c r="N16" s="52" t="n">
        <v>1115.47</v>
      </c>
      <c r="O16" s="53" t="n">
        <f aca="false">D16*N16</f>
        <v>2230.94</v>
      </c>
      <c r="P16" s="54" t="n">
        <f aca="false">AVERAGE(H16,K16,N16)</f>
        <v>1090.64777777778</v>
      </c>
      <c r="Q16" s="55" t="n">
        <f aca="false">F16*100/P16-100</f>
        <v>-0.183173506468634</v>
      </c>
      <c r="R16" s="54" t="n">
        <f aca="false">D16*F16</f>
        <v>2177.3</v>
      </c>
      <c r="S16" s="56"/>
      <c r="U16" s="57" t="n">
        <f aca="false">ROUND(H16*100/P16-100,0)</f>
        <v>-0</v>
      </c>
      <c r="V16" s="57" t="n">
        <f aca="false">ROUND(K16*100/P16-100,0)</f>
        <v>-2</v>
      </c>
      <c r="W16" s="57" t="n">
        <f aca="false">ROUND(N16*100/P16-100,0)</f>
        <v>2</v>
      </c>
      <c r="Y16" s="43" t="n">
        <v>5</v>
      </c>
    </row>
    <row r="17" s="43" customFormat="true" ht="73.5" hidden="false" customHeight="true" outlineLevel="0" collapsed="false">
      <c r="A17" s="45" t="n">
        <v>6</v>
      </c>
      <c r="B17" s="46" t="s">
        <v>37</v>
      </c>
      <c r="C17" s="47" t="s">
        <v>25</v>
      </c>
      <c r="D17" s="48" t="n">
        <v>12</v>
      </c>
      <c r="E17" s="49" t="s">
        <v>26</v>
      </c>
      <c r="F17" s="50" t="n">
        <v>810.4</v>
      </c>
      <c r="G17" s="47" t="s">
        <v>27</v>
      </c>
      <c r="H17" s="52" t="n">
        <f aca="false">957.31/1.2</f>
        <v>797.758333333333</v>
      </c>
      <c r="I17" s="53" t="n">
        <f aca="false">D17*H17</f>
        <v>9573.1</v>
      </c>
      <c r="J17" s="53" t="s">
        <v>28</v>
      </c>
      <c r="K17" s="52" t="n">
        <v>850.7</v>
      </c>
      <c r="L17" s="53" t="n">
        <f aca="false">D17*K17</f>
        <v>10208.4</v>
      </c>
      <c r="M17" s="47" t="s">
        <v>29</v>
      </c>
      <c r="N17" s="52" t="n">
        <v>786.42</v>
      </c>
      <c r="O17" s="53" t="n">
        <f aca="false">D17*N17</f>
        <v>9437.04</v>
      </c>
      <c r="P17" s="54" t="n">
        <f aca="false">AVERAGE(H17,K17,N17)</f>
        <v>811.626111111111</v>
      </c>
      <c r="Q17" s="55" t="n">
        <f aca="false">F17*100/P17-100</f>
        <v>-0.151068465433241</v>
      </c>
      <c r="R17" s="54" t="n">
        <f aca="false">D17*F17</f>
        <v>9724.8</v>
      </c>
      <c r="S17" s="56"/>
      <c r="U17" s="57" t="n">
        <f aca="false">ROUND(H17*100/P17-100,0)</f>
        <v>-2</v>
      </c>
      <c r="V17" s="57" t="n">
        <f aca="false">ROUND(K17*100/P17-100,0)</f>
        <v>5</v>
      </c>
      <c r="W17" s="57" t="n">
        <f aca="false">ROUND(N17*100/P17-100,0)</f>
        <v>-3</v>
      </c>
      <c r="Y17" s="43" t="n">
        <v>6</v>
      </c>
    </row>
    <row r="18" s="43" customFormat="true" ht="73.5" hidden="false" customHeight="true" outlineLevel="0" collapsed="false">
      <c r="A18" s="45" t="n">
        <v>7</v>
      </c>
      <c r="B18" s="46" t="s">
        <v>38</v>
      </c>
      <c r="C18" s="47" t="s">
        <v>25</v>
      </c>
      <c r="D18" s="48" t="n">
        <v>4</v>
      </c>
      <c r="E18" s="49" t="n">
        <v>3583.33</v>
      </c>
      <c r="F18" s="50" t="n">
        <v>4105.6</v>
      </c>
      <c r="G18" s="47" t="s">
        <v>39</v>
      </c>
      <c r="H18" s="52" t="n">
        <v>3911.74</v>
      </c>
      <c r="I18" s="53" t="n">
        <f aca="false">D18*H18</f>
        <v>15646.96</v>
      </c>
      <c r="J18" s="47" t="s">
        <v>40</v>
      </c>
      <c r="K18" s="52" t="n">
        <f aca="false">5150/1.2</f>
        <v>4291.66666666667</v>
      </c>
      <c r="L18" s="53" t="n">
        <f aca="false">D18*K18</f>
        <v>17166.6666666667</v>
      </c>
      <c r="M18" s="53" t="s">
        <v>41</v>
      </c>
      <c r="N18" s="52" t="n">
        <f aca="false">4944.77/1.2</f>
        <v>4120.64166666667</v>
      </c>
      <c r="O18" s="53" t="n">
        <f aca="false">D18*N18</f>
        <v>16482.5666666667</v>
      </c>
      <c r="P18" s="54" t="n">
        <f aca="false">AVERAGE(H18,K18,N18)</f>
        <v>4108.01611111111</v>
      </c>
      <c r="Q18" s="55" t="n">
        <f aca="false">F18*100/P18-100</f>
        <v>-0.0588145480874687</v>
      </c>
      <c r="R18" s="54" t="n">
        <f aca="false">D18*F18</f>
        <v>16422.4</v>
      </c>
      <c r="S18" s="56"/>
      <c r="U18" s="57" t="n">
        <f aca="false">ROUND(H18*100/P18-100,0)</f>
        <v>-5</v>
      </c>
      <c r="V18" s="57" t="n">
        <f aca="false">ROUND(K18*100/P18-100,0)</f>
        <v>4</v>
      </c>
      <c r="W18" s="57" t="n">
        <f aca="false">ROUND(N18*100/P18-100,0)</f>
        <v>0</v>
      </c>
      <c r="Y18" s="43" t="n">
        <v>7</v>
      </c>
    </row>
    <row r="19" s="43" customFormat="true" ht="73.5" hidden="false" customHeight="true" outlineLevel="0" collapsed="false">
      <c r="A19" s="45" t="n">
        <v>8</v>
      </c>
      <c r="B19" s="46" t="s">
        <v>42</v>
      </c>
      <c r="C19" s="47" t="s">
        <v>25</v>
      </c>
      <c r="D19" s="48" t="s">
        <v>43</v>
      </c>
      <c r="E19" s="49" t="s">
        <v>26</v>
      </c>
      <c r="F19" s="50" t="n">
        <v>5173.66</v>
      </c>
      <c r="G19" s="47" t="s">
        <v>27</v>
      </c>
      <c r="H19" s="52" t="n">
        <f aca="false">6183.86/1.2</f>
        <v>5153.21666666667</v>
      </c>
      <c r="I19" s="53" t="n">
        <f aca="false">D19*H19</f>
        <v>288580.133333333</v>
      </c>
      <c r="J19" s="53" t="s">
        <v>28</v>
      </c>
      <c r="K19" s="52" t="n">
        <v>5129.75</v>
      </c>
      <c r="L19" s="53" t="n">
        <f aca="false">D19*K19</f>
        <v>287266</v>
      </c>
      <c r="M19" s="47" t="s">
        <v>29</v>
      </c>
      <c r="N19" s="52" t="n">
        <v>5251.46</v>
      </c>
      <c r="O19" s="53" t="n">
        <f aca="false">D19*N19</f>
        <v>294081.76</v>
      </c>
      <c r="P19" s="54" t="n">
        <f aca="false">AVERAGE(H19,K19,N19)</f>
        <v>5178.14222222222</v>
      </c>
      <c r="Q19" s="55" t="n">
        <f aca="false">F19*100/P19-100</f>
        <v>-0.0865604309396133</v>
      </c>
      <c r="R19" s="54" t="n">
        <f aca="false">D19*F19</f>
        <v>289724.96</v>
      </c>
      <c r="S19" s="56"/>
      <c r="U19" s="57" t="n">
        <f aca="false">ROUND(H19*100/P19-100,0)</f>
        <v>-0</v>
      </c>
      <c r="V19" s="57" t="n">
        <f aca="false">ROUND(K19*100/P19-100,0)</f>
        <v>-1</v>
      </c>
      <c r="W19" s="57" t="n">
        <f aca="false">ROUND(N19*100/P19-100,0)</f>
        <v>1</v>
      </c>
      <c r="Y19" s="43" t="n">
        <v>8</v>
      </c>
    </row>
    <row r="20" s="43" customFormat="true" ht="73.5" hidden="false" customHeight="true" outlineLevel="0" collapsed="false">
      <c r="A20" s="45" t="n">
        <v>9</v>
      </c>
      <c r="B20" s="46" t="s">
        <v>44</v>
      </c>
      <c r="C20" s="47" t="s">
        <v>45</v>
      </c>
      <c r="D20" s="48" t="n">
        <v>24.9</v>
      </c>
      <c r="E20" s="49" t="n">
        <v>1431.56</v>
      </c>
      <c r="F20" s="50" t="n">
        <v>2000</v>
      </c>
      <c r="G20" s="47" t="s">
        <v>39</v>
      </c>
      <c r="H20" s="52" t="n">
        <f aca="false">123.52*1000/65</f>
        <v>1900.30769230769</v>
      </c>
      <c r="I20" s="53" t="n">
        <f aca="false">D20*H20</f>
        <v>47317.6615384615</v>
      </c>
      <c r="J20" s="47" t="s">
        <v>46</v>
      </c>
      <c r="K20" s="52" t="n">
        <v>2005.78</v>
      </c>
      <c r="L20" s="53" t="n">
        <f aca="false">D20*K20</f>
        <v>49943.922</v>
      </c>
      <c r="M20" s="53" t="s">
        <v>41</v>
      </c>
      <c r="N20" s="52" t="n">
        <f aca="false">2520.94/1.2</f>
        <v>2100.78333333333</v>
      </c>
      <c r="O20" s="53" t="n">
        <f aca="false">D20*N20</f>
        <v>52309.505</v>
      </c>
      <c r="P20" s="54" t="n">
        <f aca="false">AVERAGE(H20,K20,N20)</f>
        <v>2002.29034188034</v>
      </c>
      <c r="Q20" s="55" t="n">
        <f aca="false">F20*100/P20-100</f>
        <v>-0.114386102376699</v>
      </c>
      <c r="R20" s="54" t="n">
        <f aca="false">D20*F20</f>
        <v>49800</v>
      </c>
      <c r="S20" s="56"/>
      <c r="U20" s="57" t="n">
        <f aca="false">ROUND(H20*100/P20-100,0)</f>
        <v>-5</v>
      </c>
      <c r="V20" s="57" t="n">
        <f aca="false">ROUND(K20*100/P20-100,0)</f>
        <v>0</v>
      </c>
      <c r="W20" s="57" t="n">
        <f aca="false">ROUND(N20*100/P20-100,0)</f>
        <v>5</v>
      </c>
      <c r="Y20" s="43" t="n">
        <v>9</v>
      </c>
    </row>
    <row r="21" s="43" customFormat="true" ht="73.5" hidden="false" customHeight="true" outlineLevel="0" collapsed="false">
      <c r="A21" s="45" t="n">
        <v>10</v>
      </c>
      <c r="B21" s="46" t="s">
        <v>47</v>
      </c>
      <c r="C21" s="47" t="s">
        <v>25</v>
      </c>
      <c r="D21" s="48" t="n">
        <v>1</v>
      </c>
      <c r="E21" s="49" t="s">
        <v>26</v>
      </c>
      <c r="F21" s="50" t="n">
        <v>227.1</v>
      </c>
      <c r="G21" s="47" t="s">
        <v>27</v>
      </c>
      <c r="H21" s="52" t="n">
        <f aca="false">272.44/1.2</f>
        <v>227.033333333333</v>
      </c>
      <c r="I21" s="53" t="n">
        <f aca="false">D21*H21</f>
        <v>227.033333333333</v>
      </c>
      <c r="J21" s="53" t="s">
        <v>28</v>
      </c>
      <c r="K21" s="52" t="n">
        <v>219.78</v>
      </c>
      <c r="L21" s="53" t="n">
        <f aca="false">D21*K21</f>
        <v>219.78</v>
      </c>
      <c r="M21" s="47" t="s">
        <v>29</v>
      </c>
      <c r="N21" s="52" t="n">
        <v>235.12</v>
      </c>
      <c r="O21" s="53" t="n">
        <f aca="false">D21*N21</f>
        <v>235.12</v>
      </c>
      <c r="P21" s="54" t="n">
        <f aca="false">AVERAGE(H21,K21,N21)</f>
        <v>227.311111111111</v>
      </c>
      <c r="Q21" s="55" t="n">
        <f aca="false">F21*100/P21-100</f>
        <v>-0.0928732036367279</v>
      </c>
      <c r="R21" s="54" t="n">
        <f aca="false">D21*F21</f>
        <v>227.1</v>
      </c>
      <c r="S21" s="56"/>
      <c r="U21" s="57" t="n">
        <f aca="false">ROUND(H21*100/P21-100,0)</f>
        <v>-0</v>
      </c>
      <c r="V21" s="57" t="n">
        <f aca="false">ROUND(K21*100/P21-100,0)</f>
        <v>-3</v>
      </c>
      <c r="W21" s="57" t="n">
        <f aca="false">ROUND(N21*100/P21-100,0)</f>
        <v>3</v>
      </c>
      <c r="Y21" s="43" t="n">
        <v>10</v>
      </c>
    </row>
    <row r="22" s="43" customFormat="true" ht="73.5" hidden="false" customHeight="true" outlineLevel="0" collapsed="false">
      <c r="A22" s="45" t="n">
        <v>11</v>
      </c>
      <c r="B22" s="46" t="s">
        <v>48</v>
      </c>
      <c r="C22" s="47" t="s">
        <v>25</v>
      </c>
      <c r="D22" s="48" t="n">
        <v>1</v>
      </c>
      <c r="E22" s="49" t="s">
        <v>26</v>
      </c>
      <c r="F22" s="50" t="n">
        <v>261.5</v>
      </c>
      <c r="G22" s="47" t="s">
        <v>27</v>
      </c>
      <c r="H22" s="52" t="n">
        <f aca="false">311.2/1.2</f>
        <v>259.333333333333</v>
      </c>
      <c r="I22" s="53" t="n">
        <f aca="false">D22*H22</f>
        <v>259.333333333333</v>
      </c>
      <c r="J22" s="53" t="s">
        <v>28</v>
      </c>
      <c r="K22" s="52" t="n">
        <v>255.13</v>
      </c>
      <c r="L22" s="53" t="n">
        <f aca="false">D22*K22</f>
        <v>255.13</v>
      </c>
      <c r="M22" s="47" t="s">
        <v>29</v>
      </c>
      <c r="N22" s="52" t="n">
        <v>272.4</v>
      </c>
      <c r="O22" s="53" t="n">
        <f aca="false">D22*N22</f>
        <v>272.4</v>
      </c>
      <c r="P22" s="54" t="n">
        <f aca="false">AVERAGE(H22,K22,N22)</f>
        <v>262.287777777778</v>
      </c>
      <c r="Q22" s="55" t="n">
        <f aca="false">F22*100/P22-100</f>
        <v>-0.300348641653144</v>
      </c>
      <c r="R22" s="54" t="n">
        <f aca="false">D22*F22</f>
        <v>261.5</v>
      </c>
      <c r="S22" s="56"/>
      <c r="U22" s="57" t="n">
        <f aca="false">ROUND(H22*100/P22-100,0)</f>
        <v>-1</v>
      </c>
      <c r="V22" s="57" t="n">
        <f aca="false">ROUND(K22*100/P22-100,0)</f>
        <v>-3</v>
      </c>
      <c r="W22" s="57" t="n">
        <f aca="false">ROUND(N22*100/P22-100,0)</f>
        <v>4</v>
      </c>
      <c r="Y22" s="43" t="n">
        <v>11</v>
      </c>
    </row>
    <row r="23" s="43" customFormat="true" ht="73.5" hidden="false" customHeight="true" outlineLevel="0" collapsed="false">
      <c r="A23" s="45" t="n">
        <v>12</v>
      </c>
      <c r="B23" s="46" t="s">
        <v>49</v>
      </c>
      <c r="C23" s="47" t="s">
        <v>25</v>
      </c>
      <c r="D23" s="48" t="n">
        <v>61</v>
      </c>
      <c r="E23" s="49" t="s">
        <v>26</v>
      </c>
      <c r="F23" s="50" t="n">
        <v>501.3</v>
      </c>
      <c r="G23" s="47" t="s">
        <v>27</v>
      </c>
      <c r="H23" s="52" t="n">
        <f aca="false">588.83/1.2</f>
        <v>490.691666666667</v>
      </c>
      <c r="I23" s="53" t="n">
        <f aca="false">D23*H23</f>
        <v>29932.1916666667</v>
      </c>
      <c r="J23" s="53" t="s">
        <v>28</v>
      </c>
      <c r="K23" s="52" t="n">
        <v>536.87</v>
      </c>
      <c r="L23" s="53" t="n">
        <f aca="false">D23*K23</f>
        <v>32749.07</v>
      </c>
      <c r="M23" s="47" t="s">
        <v>29</v>
      </c>
      <c r="N23" s="52" t="n">
        <v>480.65</v>
      </c>
      <c r="O23" s="53" t="n">
        <f aca="false">D23*N23</f>
        <v>29319.65</v>
      </c>
      <c r="P23" s="54" t="n">
        <f aca="false">AVERAGE(H23,K23,N23)</f>
        <v>502.737222222222</v>
      </c>
      <c r="Q23" s="55" t="n">
        <f aca="false">F23*100/P23-100</f>
        <v>-0.285879413477545</v>
      </c>
      <c r="R23" s="54" t="n">
        <f aca="false">D23*F23</f>
        <v>30579.3</v>
      </c>
      <c r="S23" s="56"/>
      <c r="U23" s="57" t="n">
        <f aca="false">ROUND(H23*100/P23-100,0)</f>
        <v>-2</v>
      </c>
      <c r="V23" s="57" t="n">
        <f aca="false">ROUND(K23*100/P23-100,0)</f>
        <v>7</v>
      </c>
      <c r="W23" s="57" t="n">
        <f aca="false">ROUND(N23*100/P23-100,0)</f>
        <v>-4</v>
      </c>
      <c r="Y23" s="43" t="n">
        <v>12</v>
      </c>
    </row>
    <row r="24" s="43" customFormat="true" ht="73.5" hidden="false" customHeight="true" outlineLevel="0" collapsed="false">
      <c r="A24" s="45" t="n">
        <v>13</v>
      </c>
      <c r="B24" s="46" t="s">
        <v>50</v>
      </c>
      <c r="C24" s="47" t="s">
        <v>25</v>
      </c>
      <c r="D24" s="48" t="n">
        <v>107</v>
      </c>
      <c r="E24" s="49" t="s">
        <v>26</v>
      </c>
      <c r="F24" s="50" t="n">
        <v>487.5</v>
      </c>
      <c r="G24" s="47" t="s">
        <v>27</v>
      </c>
      <c r="H24" s="52" t="n">
        <f aca="false">569.51/1.2</f>
        <v>474.591666666667</v>
      </c>
      <c r="I24" s="53" t="n">
        <f aca="false">D24*H24</f>
        <v>50781.3083333333</v>
      </c>
      <c r="J24" s="53" t="s">
        <v>28</v>
      </c>
      <c r="K24" s="52" t="n">
        <f aca="false">640.09/1.2</f>
        <v>533.408333333333</v>
      </c>
      <c r="L24" s="53" t="n">
        <f aca="false">D24*K24</f>
        <v>57074.6916666667</v>
      </c>
      <c r="M24" s="47" t="s">
        <v>29</v>
      </c>
      <c r="N24" s="52" t="n">
        <v>460.72</v>
      </c>
      <c r="O24" s="53" t="n">
        <f aca="false">D24*N24</f>
        <v>49297.04</v>
      </c>
      <c r="P24" s="54" t="n">
        <f aca="false">AVERAGE(H24,K24,N24)</f>
        <v>489.573333333333</v>
      </c>
      <c r="Q24" s="55" t="n">
        <f aca="false">F24*100/P24-100</f>
        <v>-0.423498011874301</v>
      </c>
      <c r="R24" s="54" t="n">
        <f aca="false">D24*F24</f>
        <v>52162.5</v>
      </c>
      <c r="S24" s="56"/>
      <c r="U24" s="57" t="n">
        <f aca="false">ROUND(H24*100/P24-100,0)</f>
        <v>-3</v>
      </c>
      <c r="V24" s="57" t="n">
        <f aca="false">ROUND(K24*100/P24-100,0)</f>
        <v>9</v>
      </c>
      <c r="W24" s="57" t="n">
        <f aca="false">ROUND(N24*100/P24-100,0)</f>
        <v>-6</v>
      </c>
      <c r="Y24" s="43" t="n">
        <v>13</v>
      </c>
    </row>
    <row r="25" s="43" customFormat="true" ht="73.5" hidden="false" customHeight="true" outlineLevel="0" collapsed="false">
      <c r="A25" s="45" t="n">
        <v>14</v>
      </c>
      <c r="B25" s="46" t="s">
        <v>51</v>
      </c>
      <c r="C25" s="47" t="s">
        <v>25</v>
      </c>
      <c r="D25" s="48" t="n">
        <v>2</v>
      </c>
      <c r="E25" s="49" t="s">
        <v>26</v>
      </c>
      <c r="F25" s="50" t="n">
        <v>1920.6</v>
      </c>
      <c r="G25" s="47" t="s">
        <v>27</v>
      </c>
      <c r="H25" s="52" t="n">
        <f aca="false">2205.97/1.2</f>
        <v>1838.30833333333</v>
      </c>
      <c r="I25" s="53" t="n">
        <f aca="false">D25*H25</f>
        <v>3676.61666666667</v>
      </c>
      <c r="J25" s="53" t="s">
        <v>28</v>
      </c>
      <c r="K25" s="52" t="n">
        <v>1945.34</v>
      </c>
      <c r="L25" s="53" t="n">
        <f aca="false">D25*K25</f>
        <v>3890.68</v>
      </c>
      <c r="M25" s="47" t="s">
        <v>29</v>
      </c>
      <c r="N25" s="52" t="n">
        <v>1990.71</v>
      </c>
      <c r="O25" s="53" t="n">
        <f aca="false">D25*N25</f>
        <v>3981.42</v>
      </c>
      <c r="P25" s="54" t="n">
        <f aca="false">AVERAGE(H25,K25,N25)</f>
        <v>1924.78611111111</v>
      </c>
      <c r="Q25" s="55" t="n">
        <f aca="false">F25*100/P25-100</f>
        <v>-0.21748448240281</v>
      </c>
      <c r="R25" s="54" t="n">
        <f aca="false">D25*F25</f>
        <v>3841.2</v>
      </c>
      <c r="S25" s="56"/>
      <c r="U25" s="57" t="n">
        <f aca="false">ROUND(H25*100/P25-100,0)</f>
        <v>-4</v>
      </c>
      <c r="V25" s="57" t="n">
        <f aca="false">ROUND(K25*100/P25-100,0)</f>
        <v>1</v>
      </c>
      <c r="W25" s="57" t="n">
        <f aca="false">ROUND(N25*100/P25-100,0)</f>
        <v>3</v>
      </c>
      <c r="Y25" s="43" t="n">
        <v>14</v>
      </c>
    </row>
    <row r="26" s="43" customFormat="true" ht="73.5" hidden="false" customHeight="true" outlineLevel="0" collapsed="false">
      <c r="A26" s="45" t="n">
        <v>15</v>
      </c>
      <c r="B26" s="46" t="s">
        <v>52</v>
      </c>
      <c r="C26" s="47" t="s">
        <v>53</v>
      </c>
      <c r="D26" s="48" t="n">
        <v>240</v>
      </c>
      <c r="E26" s="49" t="n">
        <v>225.49</v>
      </c>
      <c r="F26" s="50" t="n">
        <v>331.49</v>
      </c>
      <c r="G26" s="47" t="s">
        <v>54</v>
      </c>
      <c r="H26" s="52" t="n">
        <v>323.02</v>
      </c>
      <c r="I26" s="53" t="n">
        <f aca="false">D26*H26</f>
        <v>77524.8</v>
      </c>
      <c r="J26" s="47" t="s">
        <v>46</v>
      </c>
      <c r="K26" s="52" t="n">
        <v>355.87</v>
      </c>
      <c r="L26" s="53" t="n">
        <f aca="false">D26*K26</f>
        <v>85408.8</v>
      </c>
      <c r="M26" s="53" t="s">
        <v>41</v>
      </c>
      <c r="N26" s="52" t="n">
        <v>317.56</v>
      </c>
      <c r="O26" s="53" t="n">
        <f aca="false">D26*N26</f>
        <v>76214.4</v>
      </c>
      <c r="P26" s="54" t="n">
        <f aca="false">AVERAGE(H26,K26,N26)</f>
        <v>332.15</v>
      </c>
      <c r="Q26" s="55" t="n">
        <f aca="false">F26*100/P26-100</f>
        <v>-0.198705404184864</v>
      </c>
      <c r="R26" s="54" t="n">
        <f aca="false">D26*F26</f>
        <v>79557.6</v>
      </c>
      <c r="S26" s="56"/>
      <c r="U26" s="57" t="n">
        <f aca="false">ROUND(H26*100/P26-100,0)</f>
        <v>-3</v>
      </c>
      <c r="V26" s="57" t="n">
        <f aca="false">ROUND(K26*100/P26-100,0)</f>
        <v>7</v>
      </c>
      <c r="W26" s="57" t="n">
        <f aca="false">ROUND(N26*100/P26-100,0)</f>
        <v>-4</v>
      </c>
      <c r="Y26" s="43" t="n">
        <v>15</v>
      </c>
    </row>
    <row r="27" s="43" customFormat="true" ht="73.5" hidden="false" customHeight="true" outlineLevel="0" collapsed="false">
      <c r="A27" s="45" t="n">
        <v>16</v>
      </c>
      <c r="B27" s="46" t="s">
        <v>55</v>
      </c>
      <c r="C27" s="47" t="s">
        <v>25</v>
      </c>
      <c r="D27" s="48" t="n">
        <v>2</v>
      </c>
      <c r="E27" s="49" t="n">
        <v>15416.67</v>
      </c>
      <c r="F27" s="50" t="n">
        <v>19052</v>
      </c>
      <c r="G27" s="47" t="s">
        <v>56</v>
      </c>
      <c r="H27" s="52" t="n">
        <v>19820.74</v>
      </c>
      <c r="I27" s="53" t="n">
        <f aca="false">D27*H27</f>
        <v>39641.48</v>
      </c>
      <c r="J27" s="47" t="s">
        <v>57</v>
      </c>
      <c r="K27" s="52" t="n">
        <v>19276.63</v>
      </c>
      <c r="L27" s="53" t="n">
        <f aca="false">D27*K27</f>
        <v>38553.26</v>
      </c>
      <c r="M27" s="47" t="s">
        <v>58</v>
      </c>
      <c r="N27" s="52" t="n">
        <v>18175.31</v>
      </c>
      <c r="O27" s="53" t="n">
        <f aca="false">D27*N27</f>
        <v>36350.62</v>
      </c>
      <c r="P27" s="54" t="n">
        <f aca="false">AVERAGE(H27,K27,N27)</f>
        <v>19090.8933333333</v>
      </c>
      <c r="Q27" s="55" t="n">
        <f aca="false">F27*100/P27-100</f>
        <v>-0.203727152282752</v>
      </c>
      <c r="R27" s="54" t="n">
        <f aca="false">D27*F27</f>
        <v>38104</v>
      </c>
      <c r="S27" s="56"/>
      <c r="U27" s="57" t="n">
        <f aca="false">ROUND(H27*100/P27-100,0)</f>
        <v>4</v>
      </c>
      <c r="V27" s="57" t="n">
        <f aca="false">ROUND(K27*100/P27-100,0)</f>
        <v>1</v>
      </c>
      <c r="W27" s="57" t="n">
        <f aca="false">ROUND(N27*100/P27-100,0)</f>
        <v>-5</v>
      </c>
      <c r="Y27" s="43" t="n">
        <v>16</v>
      </c>
    </row>
    <row r="28" s="43" customFormat="true" ht="73.5" hidden="false" customHeight="true" outlineLevel="0" collapsed="false">
      <c r="A28" s="45" t="n">
        <v>17</v>
      </c>
      <c r="B28" s="46" t="s">
        <v>59</v>
      </c>
      <c r="C28" s="47" t="s">
        <v>25</v>
      </c>
      <c r="D28" s="48" t="n">
        <v>84</v>
      </c>
      <c r="E28" s="49" t="s">
        <v>26</v>
      </c>
      <c r="F28" s="50" t="n">
        <v>29.9</v>
      </c>
      <c r="G28" s="47" t="s">
        <v>39</v>
      </c>
      <c r="H28" s="52" t="n">
        <v>27.94</v>
      </c>
      <c r="I28" s="53" t="n">
        <f aca="false">D28*H28</f>
        <v>2346.96</v>
      </c>
      <c r="J28" s="47" t="s">
        <v>54</v>
      </c>
      <c r="K28" s="52" t="n">
        <v>29.88</v>
      </c>
      <c r="L28" s="53" t="n">
        <f aca="false">D28*K28</f>
        <v>2509.92</v>
      </c>
      <c r="M28" s="53" t="s">
        <v>41</v>
      </c>
      <c r="N28" s="52" t="n">
        <v>32.45</v>
      </c>
      <c r="O28" s="53" t="n">
        <f aca="false">D28*N28</f>
        <v>2725.8</v>
      </c>
      <c r="P28" s="54" t="n">
        <f aca="false">AVERAGE(H28,K28,N28)</f>
        <v>30.09</v>
      </c>
      <c r="Q28" s="55" t="n">
        <f aca="false">F28*100/P28-100</f>
        <v>-0.631439016284489</v>
      </c>
      <c r="R28" s="54" t="n">
        <f aca="false">D28*F28</f>
        <v>2511.6</v>
      </c>
      <c r="S28" s="56"/>
      <c r="U28" s="57" t="n">
        <f aca="false">ROUND(H28*100/P28-100,0)</f>
        <v>-7</v>
      </c>
      <c r="V28" s="57" t="n">
        <f aca="false">ROUND(K28*100/P28-100,0)</f>
        <v>-1</v>
      </c>
      <c r="W28" s="57" t="n">
        <f aca="false">ROUND(N28*100/P28-100,0)</f>
        <v>8</v>
      </c>
      <c r="Y28" s="43" t="n">
        <v>17</v>
      </c>
    </row>
    <row r="29" s="43" customFormat="true" ht="73.5" hidden="false" customHeight="true" outlineLevel="0" collapsed="false">
      <c r="A29" s="45" t="n">
        <v>18</v>
      </c>
      <c r="B29" s="46" t="s">
        <v>60</v>
      </c>
      <c r="C29" s="47" t="s">
        <v>25</v>
      </c>
      <c r="D29" s="48" t="n">
        <v>4</v>
      </c>
      <c r="E29" s="49" t="n">
        <v>442.16</v>
      </c>
      <c r="F29" s="50" t="n">
        <v>477.5</v>
      </c>
      <c r="G29" s="47" t="s">
        <v>27</v>
      </c>
      <c r="H29" s="52" t="n">
        <f aca="false">557.23/1.2</f>
        <v>464.358333333333</v>
      </c>
      <c r="I29" s="53" t="n">
        <f aca="false">D29*H29</f>
        <v>1857.43333333333</v>
      </c>
      <c r="J29" s="53" t="s">
        <v>28</v>
      </c>
      <c r="K29" s="52" t="n">
        <v>515.64</v>
      </c>
      <c r="L29" s="53" t="n">
        <f aca="false">D29*K29</f>
        <v>2062.56</v>
      </c>
      <c r="M29" s="47" t="s">
        <v>29</v>
      </c>
      <c r="N29" s="52" t="n">
        <v>458.56</v>
      </c>
      <c r="O29" s="53" t="n">
        <f aca="false">D29*N29</f>
        <v>1834.24</v>
      </c>
      <c r="P29" s="54" t="n">
        <f aca="false">AVERAGE(H29,K29,N29)</f>
        <v>479.519444444444</v>
      </c>
      <c r="Q29" s="55" t="n">
        <f aca="false">F29*100/P29-100</f>
        <v>-0.421139219241482</v>
      </c>
      <c r="R29" s="54" t="n">
        <f aca="false">D29*F29</f>
        <v>1910</v>
      </c>
      <c r="S29" s="56"/>
      <c r="U29" s="57" t="n">
        <f aca="false">ROUND(H29*100/P29-100,0)</f>
        <v>-3</v>
      </c>
      <c r="V29" s="57" t="n">
        <f aca="false">ROUND(K29*100/P29-100,0)</f>
        <v>8</v>
      </c>
      <c r="W29" s="57" t="n">
        <f aca="false">ROUND(N29*100/P29-100,0)</f>
        <v>-4</v>
      </c>
      <c r="Y29" s="43" t="n">
        <v>18</v>
      </c>
    </row>
    <row r="30" s="43" customFormat="true" ht="73.5" hidden="false" customHeight="true" outlineLevel="0" collapsed="false">
      <c r="A30" s="45" t="n">
        <v>19</v>
      </c>
      <c r="B30" s="46" t="s">
        <v>61</v>
      </c>
      <c r="C30" s="47" t="s">
        <v>45</v>
      </c>
      <c r="D30" s="48" t="n">
        <v>80</v>
      </c>
      <c r="E30" s="49" t="n">
        <v>131.77</v>
      </c>
      <c r="F30" s="50" t="n">
        <v>473.4</v>
      </c>
      <c r="G30" s="47" t="s">
        <v>62</v>
      </c>
      <c r="H30" s="52" t="n">
        <v>475</v>
      </c>
      <c r="I30" s="53" t="n">
        <f aca="false">D30*H30</f>
        <v>38000</v>
      </c>
      <c r="J30" s="47" t="s">
        <v>46</v>
      </c>
      <c r="K30" s="52" t="n">
        <v>462.4</v>
      </c>
      <c r="L30" s="53" t="n">
        <f aca="false">D30*K30</f>
        <v>36992</v>
      </c>
      <c r="M30" s="47" t="s">
        <v>58</v>
      </c>
      <c r="N30" s="52" t="n">
        <v>496.84</v>
      </c>
      <c r="O30" s="53" t="n">
        <f aca="false">D30*N30</f>
        <v>39747.2</v>
      </c>
      <c r="P30" s="54" t="n">
        <f aca="false">AVERAGE(H30,K30,N30)</f>
        <v>478.08</v>
      </c>
      <c r="Q30" s="55" t="n">
        <f aca="false">F30*100/P30-100</f>
        <v>-0.978915662650593</v>
      </c>
      <c r="R30" s="54" t="n">
        <f aca="false">D30*F30</f>
        <v>37872</v>
      </c>
      <c r="S30" s="56"/>
      <c r="U30" s="57" t="n">
        <f aca="false">ROUND(H30*100/P30-100,0)</f>
        <v>-1</v>
      </c>
      <c r="V30" s="57" t="n">
        <f aca="false">ROUND(K30*100/P30-100,0)</f>
        <v>-3</v>
      </c>
      <c r="W30" s="57" t="n">
        <f aca="false">ROUND(N30*100/P30-100,0)</f>
        <v>4</v>
      </c>
      <c r="Y30" s="43" t="n">
        <v>19</v>
      </c>
    </row>
    <row r="31" s="43" customFormat="true" ht="73.5" hidden="false" customHeight="true" outlineLevel="0" collapsed="false">
      <c r="A31" s="45" t="n">
        <v>20</v>
      </c>
      <c r="B31" s="46" t="s">
        <v>63</v>
      </c>
      <c r="C31" s="47" t="s">
        <v>25</v>
      </c>
      <c r="D31" s="48" t="n">
        <v>6</v>
      </c>
      <c r="E31" s="49" t="n">
        <v>3302.31</v>
      </c>
      <c r="F31" s="50" t="n">
        <v>3952.3</v>
      </c>
      <c r="G31" s="47" t="s">
        <v>27</v>
      </c>
      <c r="H31" s="52" t="n">
        <f aca="false">4569.53/1.2</f>
        <v>3807.94166666667</v>
      </c>
      <c r="I31" s="53" t="n">
        <f aca="false">D31*H31</f>
        <v>22847.65</v>
      </c>
      <c r="J31" s="53" t="s">
        <v>28</v>
      </c>
      <c r="K31" s="52" t="n">
        <f aca="false">4747.69/1.2</f>
        <v>3956.40833333333</v>
      </c>
      <c r="L31" s="53" t="n">
        <f aca="false">D31*K31</f>
        <v>23738.45</v>
      </c>
      <c r="M31" s="47" t="s">
        <v>29</v>
      </c>
      <c r="N31" s="52" t="n">
        <v>4100.7</v>
      </c>
      <c r="O31" s="53" t="n">
        <f aca="false">D31*N31</f>
        <v>24604.2</v>
      </c>
      <c r="P31" s="54" t="n">
        <f aca="false">AVERAGE(H31,K31,N31)</f>
        <v>3955.01666666667</v>
      </c>
      <c r="Q31" s="55" t="n">
        <f aca="false">F31*100/P31-100</f>
        <v>-0.0686891332105546</v>
      </c>
      <c r="R31" s="54" t="n">
        <f aca="false">D31*F31</f>
        <v>23713.8</v>
      </c>
      <c r="S31" s="56"/>
      <c r="U31" s="57" t="n">
        <f aca="false">ROUND(H31*100/P31-100,0)</f>
        <v>-4</v>
      </c>
      <c r="V31" s="57" t="n">
        <f aca="false">ROUND(K31*100/P31-100,0)</f>
        <v>0</v>
      </c>
      <c r="W31" s="57" t="n">
        <f aca="false">ROUND(N31*100/P31-100,0)</f>
        <v>4</v>
      </c>
      <c r="Y31" s="43" t="n">
        <v>20</v>
      </c>
    </row>
    <row r="32" s="43" customFormat="true" ht="73.5" hidden="false" customHeight="true" outlineLevel="0" collapsed="false">
      <c r="A32" s="45" t="n">
        <v>21</v>
      </c>
      <c r="B32" s="46" t="s">
        <v>64</v>
      </c>
      <c r="C32" s="47" t="s">
        <v>65</v>
      </c>
      <c r="D32" s="48" t="n">
        <v>13</v>
      </c>
      <c r="E32" s="58" t="n">
        <v>21935.11</v>
      </c>
      <c r="F32" s="50" t="n">
        <v>4260.15</v>
      </c>
      <c r="G32" s="47" t="s">
        <v>66</v>
      </c>
      <c r="H32" s="52" t="n">
        <f aca="false">5072/1.2</f>
        <v>4226.66666666667</v>
      </c>
      <c r="I32" s="53" t="n">
        <f aca="false">D32*H32</f>
        <v>54946.6666666667</v>
      </c>
      <c r="J32" s="52" t="s">
        <v>67</v>
      </c>
      <c r="K32" s="52" t="n">
        <f aca="false">4988.64/1.2</f>
        <v>4157.2</v>
      </c>
      <c r="L32" s="53" t="n">
        <f aca="false">D32*K32</f>
        <v>54043.6</v>
      </c>
      <c r="M32" s="53" t="s">
        <v>68</v>
      </c>
      <c r="N32" s="52" t="n">
        <v>4402.7</v>
      </c>
      <c r="O32" s="53" t="n">
        <f aca="false">D32*N32</f>
        <v>57235.1</v>
      </c>
      <c r="P32" s="54" t="n">
        <f aca="false">AVERAGE(H32,K32,N32)</f>
        <v>4262.18888888889</v>
      </c>
      <c r="Q32" s="55" t="n">
        <f aca="false">F32*100/P32-100</f>
        <v>-0.0478366619134221</v>
      </c>
      <c r="R32" s="54" t="n">
        <f aca="false">D32*F32</f>
        <v>55381.95</v>
      </c>
      <c r="S32" s="59"/>
      <c r="U32" s="57" t="n">
        <f aca="false">ROUND(H32*100/P32-100,0)</f>
        <v>-1</v>
      </c>
      <c r="V32" s="57" t="n">
        <f aca="false">ROUND(K32*100/P32-100,0)</f>
        <v>-2</v>
      </c>
      <c r="W32" s="57" t="n">
        <f aca="false">ROUND(N32*100/P32-100,0)</f>
        <v>3</v>
      </c>
      <c r="Y32" s="43" t="n">
        <v>21</v>
      </c>
    </row>
    <row r="33" s="43" customFormat="true" ht="73.5" hidden="false" customHeight="true" outlineLevel="0" collapsed="false">
      <c r="A33" s="45" t="n">
        <v>22</v>
      </c>
      <c r="B33" s="46" t="s">
        <v>69</v>
      </c>
      <c r="C33" s="47" t="s">
        <v>65</v>
      </c>
      <c r="D33" s="48" t="n">
        <v>13</v>
      </c>
      <c r="E33" s="58"/>
      <c r="F33" s="60" t="n">
        <v>18550</v>
      </c>
      <c r="G33" s="47" t="s">
        <v>66</v>
      </c>
      <c r="H33" s="52" t="n">
        <f aca="false">22081.39/1.2</f>
        <v>18401.1583333333</v>
      </c>
      <c r="I33" s="53" t="n">
        <f aca="false">D33*H33</f>
        <v>239215.058333333</v>
      </c>
      <c r="J33" s="52" t="s">
        <v>67</v>
      </c>
      <c r="K33" s="52" t="n">
        <f aca="false">21966.86/1.2</f>
        <v>18305.7166666667</v>
      </c>
      <c r="L33" s="53" t="n">
        <f aca="false">D33*K33</f>
        <v>237974.316666667</v>
      </c>
      <c r="M33" s="53" t="s">
        <v>68</v>
      </c>
      <c r="N33" s="52" t="n">
        <v>19002.43</v>
      </c>
      <c r="O33" s="53" t="n">
        <f aca="false">D33*N33</f>
        <v>247031.59</v>
      </c>
      <c r="P33" s="54" t="n">
        <f aca="false">AVERAGE(H33,K33,N33)</f>
        <v>18569.7683333333</v>
      </c>
      <c r="Q33" s="55" t="n">
        <f aca="false">F33*100/P33-100</f>
        <v>-0.10645438854425</v>
      </c>
      <c r="R33" s="54" t="n">
        <f aca="false">D33*F33</f>
        <v>241150</v>
      </c>
      <c r="S33" s="59"/>
      <c r="U33" s="57" t="n">
        <f aca="false">ROUND(H33*100/P33-100,0)</f>
        <v>-1</v>
      </c>
      <c r="V33" s="57" t="n">
        <f aca="false">ROUND(K33*100/P33-100,0)</f>
        <v>-1</v>
      </c>
      <c r="W33" s="57" t="n">
        <f aca="false">ROUND(N33*100/P33-100,0)</f>
        <v>2</v>
      </c>
      <c r="Y33" s="43" t="n">
        <v>22</v>
      </c>
    </row>
    <row r="34" s="43" customFormat="true" ht="73.5" hidden="false" customHeight="true" outlineLevel="0" collapsed="false">
      <c r="A34" s="45" t="n">
        <v>23</v>
      </c>
      <c r="B34" s="46" t="s">
        <v>70</v>
      </c>
      <c r="C34" s="47" t="s">
        <v>25</v>
      </c>
      <c r="D34" s="48" t="n">
        <v>400</v>
      </c>
      <c r="E34" s="49" t="n">
        <v>30.48</v>
      </c>
      <c r="F34" s="50" t="n">
        <v>36.7</v>
      </c>
      <c r="G34" s="47" t="s">
        <v>39</v>
      </c>
      <c r="H34" s="52" t="n">
        <v>36.68</v>
      </c>
      <c r="I34" s="53" t="n">
        <f aca="false">D34*H34</f>
        <v>14672</v>
      </c>
      <c r="J34" s="47" t="s">
        <v>54</v>
      </c>
      <c r="K34" s="52" t="n">
        <v>34.28</v>
      </c>
      <c r="L34" s="53" t="n">
        <f aca="false">D34*K34</f>
        <v>13712</v>
      </c>
      <c r="M34" s="53" t="s">
        <v>41</v>
      </c>
      <c r="N34" s="52" t="n">
        <v>39.9</v>
      </c>
      <c r="O34" s="53" t="n">
        <f aca="false">D34*N34</f>
        <v>15960</v>
      </c>
      <c r="P34" s="54" t="n">
        <f aca="false">AVERAGE(H34,K34,N34)</f>
        <v>36.9533333333333</v>
      </c>
      <c r="Q34" s="55" t="n">
        <f aca="false">F34*100/P34-100</f>
        <v>-0.685549341511802</v>
      </c>
      <c r="R34" s="54" t="n">
        <f aca="false">D34*F34</f>
        <v>14680</v>
      </c>
      <c r="S34" s="61"/>
      <c r="U34" s="57" t="n">
        <f aca="false">ROUND(H34*100/P34-100,0)</f>
        <v>-1</v>
      </c>
      <c r="V34" s="57" t="n">
        <f aca="false">ROUND(K34*100/P34-100,0)</f>
        <v>-7</v>
      </c>
      <c r="W34" s="57" t="n">
        <f aca="false">ROUND(N34*100/P34-100,0)</f>
        <v>8</v>
      </c>
      <c r="Y34" s="43" t="n">
        <v>23</v>
      </c>
    </row>
    <row r="35" s="43" customFormat="true" ht="73.5" hidden="false" customHeight="true" outlineLevel="0" collapsed="false">
      <c r="A35" s="45" t="n">
        <v>24</v>
      </c>
      <c r="B35" s="46" t="s">
        <v>71</v>
      </c>
      <c r="C35" s="47" t="s">
        <v>25</v>
      </c>
      <c r="D35" s="48" t="n">
        <v>600</v>
      </c>
      <c r="E35" s="49" t="n">
        <v>42.74</v>
      </c>
      <c r="F35" s="50" t="n">
        <v>49.8</v>
      </c>
      <c r="G35" s="47" t="s">
        <v>39</v>
      </c>
      <c r="H35" s="52" t="n">
        <v>49.53</v>
      </c>
      <c r="I35" s="53" t="n">
        <f aca="false">D35*H35</f>
        <v>29718</v>
      </c>
      <c r="J35" s="47" t="s">
        <v>54</v>
      </c>
      <c r="K35" s="52" t="n">
        <v>54.48</v>
      </c>
      <c r="L35" s="53" t="n">
        <f aca="false">D35*K35</f>
        <v>32688</v>
      </c>
      <c r="M35" s="53" t="s">
        <v>41</v>
      </c>
      <c r="N35" s="52" t="n">
        <v>45.78</v>
      </c>
      <c r="O35" s="53" t="n">
        <f aca="false">D35*N35</f>
        <v>27468</v>
      </c>
      <c r="P35" s="54" t="n">
        <f aca="false">AVERAGE(H35,K35,N35)</f>
        <v>49.93</v>
      </c>
      <c r="Q35" s="55" t="n">
        <f aca="false">F35*100/P35-100</f>
        <v>-0.260364510314446</v>
      </c>
      <c r="R35" s="54" t="n">
        <f aca="false">D35*F35</f>
        <v>29880</v>
      </c>
      <c r="S35" s="56"/>
      <c r="U35" s="57" t="n">
        <f aca="false">ROUND(H35*100/P35-100,0)</f>
        <v>-1</v>
      </c>
      <c r="V35" s="57" t="n">
        <f aca="false">ROUND(K35*100/P35-100,0)</f>
        <v>9</v>
      </c>
      <c r="W35" s="57" t="n">
        <f aca="false">ROUND(N35*100/P35-100,0)</f>
        <v>-8</v>
      </c>
      <c r="Y35" s="43" t="n">
        <v>24</v>
      </c>
    </row>
    <row r="36" s="43" customFormat="true" ht="73.5" hidden="false" customHeight="true" outlineLevel="0" collapsed="false">
      <c r="A36" s="45" t="n">
        <v>25</v>
      </c>
      <c r="B36" s="46" t="s">
        <v>72</v>
      </c>
      <c r="C36" s="47" t="s">
        <v>25</v>
      </c>
      <c r="D36" s="48" t="n">
        <v>80</v>
      </c>
      <c r="E36" s="49" t="n">
        <v>95.03</v>
      </c>
      <c r="F36" s="50" t="n">
        <v>116.1</v>
      </c>
      <c r="G36" s="47" t="s">
        <v>39</v>
      </c>
      <c r="H36" s="52" t="n">
        <v>111.18</v>
      </c>
      <c r="I36" s="53" t="n">
        <f aca="false">D36*H36</f>
        <v>8894.4</v>
      </c>
      <c r="J36" s="47" t="s">
        <v>54</v>
      </c>
      <c r="K36" s="52" t="n">
        <v>115.97</v>
      </c>
      <c r="L36" s="53" t="n">
        <f aca="false">D36*K36</f>
        <v>9277.6</v>
      </c>
      <c r="M36" s="53" t="s">
        <v>41</v>
      </c>
      <c r="N36" s="52" t="n">
        <v>125.69</v>
      </c>
      <c r="O36" s="53" t="n">
        <f aca="false">D36*N36</f>
        <v>10055.2</v>
      </c>
      <c r="P36" s="54" t="n">
        <f aca="false">AVERAGE(H36,K36,N36)</f>
        <v>117.613333333333</v>
      </c>
      <c r="Q36" s="55" t="n">
        <f aca="false">F36*100/P36-100</f>
        <v>-1.28670218796056</v>
      </c>
      <c r="R36" s="54" t="n">
        <f aca="false">D36*F36</f>
        <v>9288</v>
      </c>
      <c r="S36" s="56"/>
      <c r="U36" s="57" t="n">
        <f aca="false">ROUND(H36*100/P36-100,0)</f>
        <v>-5</v>
      </c>
      <c r="V36" s="57" t="n">
        <f aca="false">ROUND(K36*100/P36-100,0)</f>
        <v>-1</v>
      </c>
      <c r="W36" s="57" t="n">
        <f aca="false">ROUND(N36*100/P36-100,0)</f>
        <v>7</v>
      </c>
      <c r="Y36" s="43" t="n">
        <v>25</v>
      </c>
    </row>
    <row r="37" s="43" customFormat="true" ht="73.5" hidden="false" customHeight="true" outlineLevel="0" collapsed="false">
      <c r="A37" s="45" t="n">
        <v>26</v>
      </c>
      <c r="B37" s="46" t="s">
        <v>73</v>
      </c>
      <c r="C37" s="47" t="s">
        <v>25</v>
      </c>
      <c r="D37" s="48" t="n">
        <v>40</v>
      </c>
      <c r="E37" s="49" t="n">
        <v>15.33</v>
      </c>
      <c r="F37" s="50" t="n">
        <v>19</v>
      </c>
      <c r="G37" s="47" t="s">
        <v>39</v>
      </c>
      <c r="H37" s="52" t="n">
        <v>18.24</v>
      </c>
      <c r="I37" s="53" t="n">
        <f aca="false">D37*H37</f>
        <v>729.6</v>
      </c>
      <c r="J37" s="47" t="s">
        <v>54</v>
      </c>
      <c r="K37" s="52" t="n">
        <v>17.48</v>
      </c>
      <c r="L37" s="53" t="n">
        <f aca="false">D37*K37</f>
        <v>699.2</v>
      </c>
      <c r="M37" s="53" t="s">
        <v>41</v>
      </c>
      <c r="N37" s="52" t="n">
        <v>21.47</v>
      </c>
      <c r="O37" s="53" t="n">
        <f aca="false">D37*N37</f>
        <v>858.8</v>
      </c>
      <c r="P37" s="54" t="n">
        <f aca="false">AVERAGE(H37,K37,N37)</f>
        <v>19.0633333333333</v>
      </c>
      <c r="Q37" s="55" t="n">
        <f aca="false">F37*100/P37-100</f>
        <v>-0.332225913621258</v>
      </c>
      <c r="R37" s="54" t="n">
        <f aca="false">D37*F37</f>
        <v>760</v>
      </c>
      <c r="S37" s="56"/>
      <c r="U37" s="57" t="n">
        <f aca="false">ROUND(H37*100/P37-100,0)</f>
        <v>-4</v>
      </c>
      <c r="V37" s="57" t="n">
        <f aca="false">ROUND(K37*100/P37-100,0)</f>
        <v>-8</v>
      </c>
      <c r="W37" s="57" t="n">
        <f aca="false">ROUND(N37*100/P37-100,0)</f>
        <v>13</v>
      </c>
      <c r="Y37" s="43" t="n">
        <v>26</v>
      </c>
    </row>
    <row r="38" s="43" customFormat="true" ht="73.5" hidden="false" customHeight="true" outlineLevel="0" collapsed="false">
      <c r="A38" s="45" t="n">
        <v>27</v>
      </c>
      <c r="B38" s="46" t="s">
        <v>74</v>
      </c>
      <c r="C38" s="47" t="s">
        <v>25</v>
      </c>
      <c r="D38" s="48" t="n">
        <v>20</v>
      </c>
      <c r="E38" s="49" t="n">
        <v>21.78</v>
      </c>
      <c r="F38" s="50" t="n">
        <v>27.3</v>
      </c>
      <c r="G38" s="47" t="s">
        <v>39</v>
      </c>
      <c r="H38" s="52" t="n">
        <v>26.95</v>
      </c>
      <c r="I38" s="53" t="n">
        <f aca="false">D38*H38</f>
        <v>539</v>
      </c>
      <c r="J38" s="47" t="s">
        <v>54</v>
      </c>
      <c r="K38" s="52" t="n">
        <v>24.38</v>
      </c>
      <c r="L38" s="53" t="n">
        <f aca="false">D38*K38</f>
        <v>487.6</v>
      </c>
      <c r="M38" s="53" t="s">
        <v>41</v>
      </c>
      <c r="N38" s="52" t="n">
        <v>31.4</v>
      </c>
      <c r="O38" s="53" t="n">
        <f aca="false">D38*N38</f>
        <v>628</v>
      </c>
      <c r="P38" s="54" t="n">
        <f aca="false">AVERAGE(H38,K38,N38)</f>
        <v>27.5766666666667</v>
      </c>
      <c r="Q38" s="55" t="n">
        <f aca="false">F38*100/P38-100</f>
        <v>-1.00326362867158</v>
      </c>
      <c r="R38" s="54" t="n">
        <f aca="false">D38*F38</f>
        <v>546</v>
      </c>
      <c r="S38" s="56"/>
      <c r="U38" s="57" t="n">
        <f aca="false">ROUND(H38*100/P38-100,0)</f>
        <v>-2</v>
      </c>
      <c r="V38" s="57" t="n">
        <f aca="false">ROUND(K38*100/P38-100,0)</f>
        <v>-12</v>
      </c>
      <c r="W38" s="57" t="n">
        <f aca="false">ROUND(N38*100/P38-100,0)</f>
        <v>14</v>
      </c>
      <c r="Y38" s="43" t="n">
        <v>27</v>
      </c>
    </row>
    <row r="39" s="43" customFormat="true" ht="73.5" hidden="false" customHeight="true" outlineLevel="0" collapsed="false">
      <c r="A39" s="45" t="n">
        <v>28</v>
      </c>
      <c r="B39" s="46" t="s">
        <v>75</v>
      </c>
      <c r="C39" s="47" t="s">
        <v>25</v>
      </c>
      <c r="D39" s="48" t="n">
        <v>240</v>
      </c>
      <c r="E39" s="49" t="n">
        <v>26.03</v>
      </c>
      <c r="F39" s="50" t="n">
        <v>34.3</v>
      </c>
      <c r="G39" s="47" t="s">
        <v>39</v>
      </c>
      <c r="H39" s="52" t="n">
        <v>33.17</v>
      </c>
      <c r="I39" s="53" t="n">
        <f aca="false">D39*H39</f>
        <v>7960.8</v>
      </c>
      <c r="J39" s="47" t="s">
        <v>54</v>
      </c>
      <c r="K39" s="52" t="n">
        <v>32.17</v>
      </c>
      <c r="L39" s="53" t="n">
        <f aca="false">D39*K39</f>
        <v>7720.8</v>
      </c>
      <c r="M39" s="53" t="s">
        <v>41</v>
      </c>
      <c r="N39" s="52" t="n">
        <v>38.74</v>
      </c>
      <c r="O39" s="53" t="n">
        <f aca="false">D39*N39</f>
        <v>9297.6</v>
      </c>
      <c r="P39" s="54" t="n">
        <f aca="false">AVERAGE(H39,K39,N39)</f>
        <v>34.6933333333333</v>
      </c>
      <c r="Q39" s="55" t="n">
        <f aca="false">F39*100/P39-100</f>
        <v>-1.13374327440432</v>
      </c>
      <c r="R39" s="54" t="n">
        <f aca="false">D39*F39</f>
        <v>8232</v>
      </c>
      <c r="S39" s="56"/>
      <c r="U39" s="57" t="n">
        <f aca="false">ROUND(H39*100/P39-100,0)</f>
        <v>-4</v>
      </c>
      <c r="V39" s="57" t="n">
        <f aca="false">ROUND(K39*100/P39-100,0)</f>
        <v>-7</v>
      </c>
      <c r="W39" s="57" t="n">
        <f aca="false">ROUND(N39*100/P39-100,0)</f>
        <v>12</v>
      </c>
      <c r="Y39" s="43" t="n">
        <v>28</v>
      </c>
    </row>
    <row r="40" s="43" customFormat="true" ht="73.5" hidden="false" customHeight="true" outlineLevel="0" collapsed="false">
      <c r="A40" s="45" t="n">
        <v>29</v>
      </c>
      <c r="B40" s="46" t="s">
        <v>76</v>
      </c>
      <c r="C40" s="47" t="s">
        <v>25</v>
      </c>
      <c r="D40" s="48" t="n">
        <v>264</v>
      </c>
      <c r="E40" s="49" t="n">
        <v>41.52</v>
      </c>
      <c r="F40" s="50" t="n">
        <v>52</v>
      </c>
      <c r="G40" s="47" t="s">
        <v>39</v>
      </c>
      <c r="H40" s="52" t="n">
        <v>49.76</v>
      </c>
      <c r="I40" s="53" t="n">
        <f aca="false">D40*H40</f>
        <v>13136.64</v>
      </c>
      <c r="J40" s="47" t="s">
        <v>54</v>
      </c>
      <c r="K40" s="52" t="n">
        <v>51.47</v>
      </c>
      <c r="L40" s="53" t="n">
        <f aca="false">D40*K40</f>
        <v>13588.08</v>
      </c>
      <c r="M40" s="53" t="s">
        <v>41</v>
      </c>
      <c r="N40" s="52" t="n">
        <v>55.16</v>
      </c>
      <c r="O40" s="53" t="n">
        <f aca="false">D40*N40</f>
        <v>14562.24</v>
      </c>
      <c r="P40" s="54" t="n">
        <f aca="false">AVERAGE(H40,K40,N40)</f>
        <v>52.13</v>
      </c>
      <c r="Q40" s="55" t="n">
        <f aca="false">F40*100/P40-100</f>
        <v>-0.249376558603487</v>
      </c>
      <c r="R40" s="54" t="n">
        <f aca="false">D40*F40</f>
        <v>13728</v>
      </c>
      <c r="S40" s="56"/>
      <c r="U40" s="57" t="n">
        <f aca="false">ROUND(H40*100/P40-100,0)</f>
        <v>-5</v>
      </c>
      <c r="V40" s="57" t="n">
        <f aca="false">ROUND(K40*100/P40-100,0)</f>
        <v>-1</v>
      </c>
      <c r="W40" s="57" t="n">
        <f aca="false">ROUND(N40*100/P40-100,0)</f>
        <v>6</v>
      </c>
      <c r="Y40" s="43" t="n">
        <v>29</v>
      </c>
    </row>
    <row r="41" s="43" customFormat="true" ht="73.5" hidden="false" customHeight="true" outlineLevel="0" collapsed="false">
      <c r="A41" s="45" t="n">
        <v>30</v>
      </c>
      <c r="B41" s="46" t="s">
        <v>77</v>
      </c>
      <c r="C41" s="47" t="s">
        <v>25</v>
      </c>
      <c r="D41" s="48" t="n">
        <v>1200</v>
      </c>
      <c r="E41" s="49" t="n">
        <v>80.27</v>
      </c>
      <c r="F41" s="50" t="n">
        <v>98.2</v>
      </c>
      <c r="G41" s="47" t="s">
        <v>39</v>
      </c>
      <c r="H41" s="52" t="n">
        <v>97.92</v>
      </c>
      <c r="I41" s="53" t="n">
        <f aca="false">D41*H41</f>
        <v>117504</v>
      </c>
      <c r="J41" s="47" t="s">
        <v>54</v>
      </c>
      <c r="K41" s="52" t="n">
        <v>92.97</v>
      </c>
      <c r="L41" s="53" t="n">
        <f aca="false">D41*K41</f>
        <v>111564</v>
      </c>
      <c r="M41" s="53" t="s">
        <v>41</v>
      </c>
      <c r="N41" s="52" t="n">
        <v>105.36</v>
      </c>
      <c r="O41" s="53" t="n">
        <f aca="false">D41*N41</f>
        <v>126432</v>
      </c>
      <c r="P41" s="54" t="n">
        <f aca="false">AVERAGE(H41,K41,N41)</f>
        <v>98.75</v>
      </c>
      <c r="Q41" s="55" t="n">
        <f aca="false">F41*100/P41-100</f>
        <v>-0.556962025316452</v>
      </c>
      <c r="R41" s="54" t="n">
        <f aca="false">D41*F41</f>
        <v>117840</v>
      </c>
      <c r="S41" s="56"/>
      <c r="U41" s="57" t="n">
        <f aca="false">ROUND(H41*100/P41-100,0)</f>
        <v>-1</v>
      </c>
      <c r="V41" s="57" t="n">
        <f aca="false">ROUND(K41*100/P41-100,0)</f>
        <v>-6</v>
      </c>
      <c r="W41" s="57" t="n">
        <f aca="false">ROUND(N41*100/P41-100,0)</f>
        <v>7</v>
      </c>
      <c r="Y41" s="43" t="n">
        <v>30</v>
      </c>
    </row>
    <row r="42" s="43" customFormat="true" ht="73.5" hidden="false" customHeight="true" outlineLevel="0" collapsed="false">
      <c r="A42" s="45" t="n">
        <v>31</v>
      </c>
      <c r="B42" s="46" t="s">
        <v>78</v>
      </c>
      <c r="C42" s="47" t="s">
        <v>25</v>
      </c>
      <c r="D42" s="48" t="n">
        <v>40</v>
      </c>
      <c r="E42" s="49" t="n">
        <v>3.91</v>
      </c>
      <c r="F42" s="50" t="n">
        <v>5.4</v>
      </c>
      <c r="G42" s="47" t="s">
        <v>39</v>
      </c>
      <c r="H42" s="52" t="n">
        <v>5.38</v>
      </c>
      <c r="I42" s="53" t="n">
        <f aca="false">D42*H42</f>
        <v>215.2</v>
      </c>
      <c r="J42" s="47" t="s">
        <v>54</v>
      </c>
      <c r="K42" s="52" t="n">
        <v>5.45</v>
      </c>
      <c r="L42" s="53" t="n">
        <f aca="false">D42*K42</f>
        <v>218</v>
      </c>
      <c r="M42" s="53" t="s">
        <v>41</v>
      </c>
      <c r="N42" s="52" t="n">
        <v>5.5</v>
      </c>
      <c r="O42" s="53" t="n">
        <f aca="false">D42*N42</f>
        <v>220</v>
      </c>
      <c r="P42" s="54" t="n">
        <f aca="false">AVERAGE(H42,K42,N42)</f>
        <v>5.44333333333333</v>
      </c>
      <c r="Q42" s="55" t="n">
        <f aca="false">F42*100/P42-100</f>
        <v>-0.796080832823009</v>
      </c>
      <c r="R42" s="54" t="n">
        <f aca="false">D42*F42</f>
        <v>216</v>
      </c>
      <c r="S42" s="56"/>
      <c r="U42" s="57" t="n">
        <f aca="false">ROUND(H42*100/P42-100,0)</f>
        <v>-1</v>
      </c>
      <c r="V42" s="57" t="n">
        <f aca="false">ROUND(K42*100/P42-100,0)</f>
        <v>0</v>
      </c>
      <c r="W42" s="57" t="n">
        <f aca="false">ROUND(N42*100/P42-100,0)</f>
        <v>1</v>
      </c>
      <c r="Y42" s="43" t="n">
        <v>31</v>
      </c>
    </row>
    <row r="43" s="43" customFormat="true" ht="73.5" hidden="false" customHeight="true" outlineLevel="0" collapsed="false">
      <c r="A43" s="45" t="n">
        <v>32</v>
      </c>
      <c r="B43" s="46" t="s">
        <v>79</v>
      </c>
      <c r="C43" s="47" t="s">
        <v>25</v>
      </c>
      <c r="D43" s="48" t="n">
        <v>30</v>
      </c>
      <c r="E43" s="49" t="n">
        <v>8.95</v>
      </c>
      <c r="F43" s="50" t="n">
        <v>11.82</v>
      </c>
      <c r="G43" s="47" t="s">
        <v>39</v>
      </c>
      <c r="H43" s="52" t="n">
        <v>11.56</v>
      </c>
      <c r="I43" s="53" t="n">
        <f aca="false">D43*H43</f>
        <v>346.8</v>
      </c>
      <c r="J43" s="47" t="s">
        <v>54</v>
      </c>
      <c r="K43" s="52" t="n">
        <v>11.47</v>
      </c>
      <c r="L43" s="53" t="n">
        <f aca="false">D43*K43</f>
        <v>344.1</v>
      </c>
      <c r="M43" s="53" t="s">
        <v>41</v>
      </c>
      <c r="N43" s="52" t="n">
        <v>12.68</v>
      </c>
      <c r="O43" s="53" t="n">
        <f aca="false">D43*N43</f>
        <v>380.4</v>
      </c>
      <c r="P43" s="54" t="n">
        <f aca="false">AVERAGE(H43,K43,N43)</f>
        <v>11.9033333333333</v>
      </c>
      <c r="Q43" s="55" t="n">
        <f aca="false">F43*100/P43-100</f>
        <v>-0.700084010081213</v>
      </c>
      <c r="R43" s="54" t="n">
        <f aca="false">D43*F43</f>
        <v>354.6</v>
      </c>
      <c r="S43" s="56"/>
      <c r="U43" s="57" t="n">
        <f aca="false">ROUND(H43*100/P43-100,0)</f>
        <v>-3</v>
      </c>
      <c r="V43" s="57" t="n">
        <f aca="false">ROUND(K43*100/P43-100,0)</f>
        <v>-4</v>
      </c>
      <c r="W43" s="57" t="n">
        <f aca="false">ROUND(N43*100/P43-100,0)</f>
        <v>7</v>
      </c>
      <c r="Y43" s="43" t="n">
        <v>32</v>
      </c>
    </row>
    <row r="44" s="43" customFormat="true" ht="73.5" hidden="false" customHeight="true" outlineLevel="0" collapsed="false">
      <c r="A44" s="45" t="n">
        <v>33</v>
      </c>
      <c r="B44" s="46" t="s">
        <v>80</v>
      </c>
      <c r="C44" s="47" t="s">
        <v>81</v>
      </c>
      <c r="D44" s="48" t="n">
        <v>560</v>
      </c>
      <c r="E44" s="49" t="n">
        <v>139.66</v>
      </c>
      <c r="F44" s="50" t="n">
        <v>169.2</v>
      </c>
      <c r="G44" s="47" t="s">
        <v>82</v>
      </c>
      <c r="H44" s="52" t="n">
        <v>166.13</v>
      </c>
      <c r="I44" s="53" t="n">
        <f aca="false">D44*H44</f>
        <v>93032.8</v>
      </c>
      <c r="J44" s="47" t="s">
        <v>46</v>
      </c>
      <c r="K44" s="52" t="n">
        <v>182.47</v>
      </c>
      <c r="L44" s="53" t="n">
        <f aca="false">D44*K44</f>
        <v>102183.2</v>
      </c>
      <c r="M44" s="47" t="s">
        <v>58</v>
      </c>
      <c r="N44" s="52" t="n">
        <v>163.57</v>
      </c>
      <c r="O44" s="53" t="n">
        <f aca="false">D44*N44</f>
        <v>91599.2</v>
      </c>
      <c r="P44" s="54" t="n">
        <f aca="false">AVERAGE(H44,K44,N44)</f>
        <v>170.723333333333</v>
      </c>
      <c r="Q44" s="55" t="n">
        <f aca="false">F44*100/P44-100</f>
        <v>-0.892281859538826</v>
      </c>
      <c r="R44" s="54" t="n">
        <f aca="false">D44*F44</f>
        <v>94752</v>
      </c>
      <c r="S44" s="56"/>
      <c r="U44" s="57" t="n">
        <f aca="false">ROUND(H44*100/P44-100,0)</f>
        <v>-3</v>
      </c>
      <c r="V44" s="57" t="n">
        <f aca="false">ROUND(K44*100/P44-100,0)</f>
        <v>7</v>
      </c>
      <c r="W44" s="57" t="n">
        <f aca="false">ROUND(N44*100/P44-100,0)</f>
        <v>-4</v>
      </c>
      <c r="Y44" s="43" t="n">
        <v>33</v>
      </c>
    </row>
    <row r="45" s="43" customFormat="true" ht="73.5" hidden="false" customHeight="true" outlineLevel="0" collapsed="false">
      <c r="A45" s="45" t="n">
        <v>34</v>
      </c>
      <c r="B45" s="46" t="s">
        <v>83</v>
      </c>
      <c r="C45" s="47" t="s">
        <v>25</v>
      </c>
      <c r="D45" s="48" t="n">
        <v>12</v>
      </c>
      <c r="E45" s="49" t="s">
        <v>26</v>
      </c>
      <c r="F45" s="50" t="n">
        <v>3339.3</v>
      </c>
      <c r="G45" s="47" t="s">
        <v>84</v>
      </c>
      <c r="H45" s="52" t="n">
        <f aca="false">3600/1.2</f>
        <v>3000</v>
      </c>
      <c r="I45" s="53" t="n">
        <f aca="false">D45*H45</f>
        <v>36000</v>
      </c>
      <c r="J45" s="53" t="s">
        <v>28</v>
      </c>
      <c r="K45" s="52" t="n">
        <f aca="false">4320/1.2</f>
        <v>3600</v>
      </c>
      <c r="L45" s="53" t="n">
        <f aca="false">D45*K45</f>
        <v>43200</v>
      </c>
      <c r="M45" s="47" t="s">
        <v>29</v>
      </c>
      <c r="N45" s="52" t="n">
        <v>3480</v>
      </c>
      <c r="O45" s="53" t="n">
        <f aca="false">D45*N45</f>
        <v>41760</v>
      </c>
      <c r="P45" s="54" t="n">
        <f aca="false">AVERAGE(H45,K45,N45)</f>
        <v>3360</v>
      </c>
      <c r="Q45" s="55" t="n">
        <f aca="false">F45*100/P45-100</f>
        <v>-0.616071428571431</v>
      </c>
      <c r="R45" s="54" t="n">
        <f aca="false">D45*F45</f>
        <v>40071.6</v>
      </c>
      <c r="S45" s="56"/>
      <c r="U45" s="57" t="n">
        <f aca="false">ROUND(H45*100/P45-100,0)</f>
        <v>-11</v>
      </c>
      <c r="V45" s="57" t="n">
        <f aca="false">ROUND(K45*100/P45-100,0)</f>
        <v>7</v>
      </c>
      <c r="W45" s="57" t="n">
        <f aca="false">ROUND(N45*100/P45-100,0)</f>
        <v>4</v>
      </c>
      <c r="Y45" s="43" t="n">
        <v>34</v>
      </c>
    </row>
    <row r="46" s="43" customFormat="true" ht="73.5" hidden="false" customHeight="true" outlineLevel="0" collapsed="false">
      <c r="A46" s="45" t="n">
        <v>35</v>
      </c>
      <c r="B46" s="46" t="s">
        <v>85</v>
      </c>
      <c r="C46" s="47" t="s">
        <v>25</v>
      </c>
      <c r="D46" s="48" t="n">
        <v>5</v>
      </c>
      <c r="E46" s="49" t="n">
        <v>3404.18</v>
      </c>
      <c r="F46" s="50" t="n">
        <v>3550.4</v>
      </c>
      <c r="G46" s="47" t="s">
        <v>27</v>
      </c>
      <c r="H46" s="52" t="n">
        <f aca="false">4107.16/1.2</f>
        <v>3422.63333333333</v>
      </c>
      <c r="I46" s="53" t="n">
        <f aca="false">D46*H46</f>
        <v>17113.1666666667</v>
      </c>
      <c r="J46" s="53" t="s">
        <v>28</v>
      </c>
      <c r="K46" s="52" t="n">
        <v>3502.11</v>
      </c>
      <c r="L46" s="53" t="n">
        <f aca="false">D46*K46</f>
        <v>17510.55</v>
      </c>
      <c r="M46" s="47" t="s">
        <v>29</v>
      </c>
      <c r="N46" s="52" t="n">
        <v>3779.24</v>
      </c>
      <c r="O46" s="53" t="n">
        <f aca="false">D46*N46</f>
        <v>18896.2</v>
      </c>
      <c r="P46" s="54" t="n">
        <f aca="false">AVERAGE(H46,K46,N46)</f>
        <v>3567.99444444444</v>
      </c>
      <c r="Q46" s="55" t="n">
        <f aca="false">F46*100/P46-100</f>
        <v>-0.493118605378996</v>
      </c>
      <c r="R46" s="54" t="n">
        <f aca="false">D46*F46</f>
        <v>17752</v>
      </c>
      <c r="S46" s="56"/>
      <c r="U46" s="57" t="n">
        <f aca="false">ROUND(H46*100/P46-100,0)</f>
        <v>-4</v>
      </c>
      <c r="V46" s="57" t="n">
        <f aca="false">ROUND(K46*100/P46-100,0)</f>
        <v>-2</v>
      </c>
      <c r="W46" s="57" t="n">
        <f aca="false">ROUND(N46*100/P46-100,0)</f>
        <v>6</v>
      </c>
      <c r="Y46" s="43" t="n">
        <v>35</v>
      </c>
    </row>
    <row r="47" s="43" customFormat="true" ht="73.5" hidden="false" customHeight="true" outlineLevel="0" collapsed="false">
      <c r="A47" s="45" t="n">
        <v>36</v>
      </c>
      <c r="B47" s="46" t="s">
        <v>86</v>
      </c>
      <c r="C47" s="47" t="s">
        <v>25</v>
      </c>
      <c r="D47" s="48" t="n">
        <v>13</v>
      </c>
      <c r="E47" s="49" t="n">
        <v>9824.1</v>
      </c>
      <c r="F47" s="50" t="n">
        <v>11152.87</v>
      </c>
      <c r="G47" s="47" t="s">
        <v>66</v>
      </c>
      <c r="H47" s="52" t="n">
        <f aca="false">12597.13/1.2</f>
        <v>10497.6083333333</v>
      </c>
      <c r="I47" s="53" t="n">
        <f aca="false">D47*H47</f>
        <v>136468.908333333</v>
      </c>
      <c r="J47" s="52" t="s">
        <v>67</v>
      </c>
      <c r="K47" s="52" t="n">
        <f aca="false">13529.76/1.2</f>
        <v>11274.8</v>
      </c>
      <c r="L47" s="53" t="n">
        <f aca="false">D47*K47</f>
        <v>146572.4</v>
      </c>
      <c r="M47" s="53" t="s">
        <v>68</v>
      </c>
      <c r="N47" s="52" t="n">
        <v>11847.32</v>
      </c>
      <c r="O47" s="53" t="n">
        <f aca="false">D47*N47</f>
        <v>154015.16</v>
      </c>
      <c r="P47" s="54" t="n">
        <f aca="false">AVERAGE(H47,K47,N47)</f>
        <v>11206.5761111111</v>
      </c>
      <c r="Q47" s="55" t="n">
        <f aca="false">F47*100/P47-100</f>
        <v>-0.479237463598381</v>
      </c>
      <c r="R47" s="54" t="n">
        <f aca="false">D47*F47</f>
        <v>144987.31</v>
      </c>
      <c r="S47" s="56"/>
      <c r="U47" s="57" t="n">
        <f aca="false">ROUND(H47*100/P47-100,0)</f>
        <v>-6</v>
      </c>
      <c r="V47" s="57" t="n">
        <f aca="false">ROUND(K47*100/P47-100,0)</f>
        <v>1</v>
      </c>
      <c r="W47" s="57" t="n">
        <f aca="false">ROUND(N47*100/P47-100,0)</f>
        <v>6</v>
      </c>
      <c r="Y47" s="43" t="n">
        <v>36</v>
      </c>
    </row>
    <row r="48" s="43" customFormat="true" ht="73.5" hidden="false" customHeight="true" outlineLevel="0" collapsed="false">
      <c r="A48" s="45" t="n">
        <v>37</v>
      </c>
      <c r="B48" s="46" t="s">
        <v>87</v>
      </c>
      <c r="C48" s="47" t="s">
        <v>25</v>
      </c>
      <c r="D48" s="48" t="n">
        <v>14</v>
      </c>
      <c r="E48" s="49" t="n">
        <v>91.41</v>
      </c>
      <c r="F48" s="50" t="n">
        <v>95</v>
      </c>
      <c r="G48" s="47" t="s">
        <v>27</v>
      </c>
      <c r="H48" s="52" t="n">
        <f aca="false">108.22/1.2</f>
        <v>90.1833333333333</v>
      </c>
      <c r="I48" s="53" t="n">
        <f aca="false">D48*H48</f>
        <v>1262.56666666667</v>
      </c>
      <c r="J48" s="53" t="s">
        <v>28</v>
      </c>
      <c r="K48" s="52" t="n">
        <v>92.03</v>
      </c>
      <c r="L48" s="53" t="n">
        <f aca="false">D48*K48</f>
        <v>1288.42</v>
      </c>
      <c r="M48" s="47" t="s">
        <v>29</v>
      </c>
      <c r="N48" s="52" t="n">
        <v>103.61</v>
      </c>
      <c r="O48" s="53" t="n">
        <f aca="false">D48*N48</f>
        <v>1450.54</v>
      </c>
      <c r="P48" s="54" t="n">
        <f aca="false">AVERAGE(H48,K48,N48)</f>
        <v>95.2744444444444</v>
      </c>
      <c r="Q48" s="55" t="n">
        <f aca="false">F48*100/P48-100</f>
        <v>-0.288056725016617</v>
      </c>
      <c r="R48" s="54" t="n">
        <f aca="false">D48*F48</f>
        <v>1330</v>
      </c>
      <c r="S48" s="56"/>
      <c r="U48" s="57" t="n">
        <f aca="false">ROUND(H48*100/P48-100,0)</f>
        <v>-5</v>
      </c>
      <c r="V48" s="57" t="n">
        <f aca="false">ROUND(K48*100/P48-100,0)</f>
        <v>-3</v>
      </c>
      <c r="W48" s="57" t="n">
        <f aca="false">ROUND(N48*100/P48-100,0)</f>
        <v>9</v>
      </c>
      <c r="Y48" s="43" t="n">
        <v>37</v>
      </c>
    </row>
    <row r="49" s="43" customFormat="true" ht="73.5" hidden="false" customHeight="true" outlineLevel="0" collapsed="false">
      <c r="A49" s="45" t="n">
        <v>38</v>
      </c>
      <c r="B49" s="46" t="s">
        <v>88</v>
      </c>
      <c r="C49" s="47" t="s">
        <v>25</v>
      </c>
      <c r="D49" s="48" t="n">
        <v>28</v>
      </c>
      <c r="E49" s="49" t="s">
        <v>26</v>
      </c>
      <c r="F49" s="50" t="n">
        <v>73.01</v>
      </c>
      <c r="G49" s="47" t="s">
        <v>39</v>
      </c>
      <c r="H49" s="52" t="n">
        <v>67.09</v>
      </c>
      <c r="I49" s="53" t="n">
        <f aca="false">D49*H49</f>
        <v>1878.52</v>
      </c>
      <c r="J49" s="53" t="s">
        <v>68</v>
      </c>
      <c r="K49" s="52" t="n">
        <v>83</v>
      </c>
      <c r="L49" s="53" t="n">
        <f aca="false">D49*K49</f>
        <v>2324</v>
      </c>
      <c r="M49" s="53" t="s">
        <v>41</v>
      </c>
      <c r="N49" s="52" t="n">
        <v>72.34</v>
      </c>
      <c r="O49" s="53" t="n">
        <f aca="false">D49*N49</f>
        <v>2025.52</v>
      </c>
      <c r="P49" s="54" t="n">
        <f aca="false">AVERAGE(H49,K49,N49)</f>
        <v>74.1433333333333</v>
      </c>
      <c r="Q49" s="55" t="n">
        <f aca="false">F49*100/P49-100</f>
        <v>-1.52857078631477</v>
      </c>
      <c r="R49" s="54" t="n">
        <f aca="false">D49*F49</f>
        <v>2044.28</v>
      </c>
      <c r="S49" s="56"/>
      <c r="U49" s="57" t="n">
        <f aca="false">ROUND(H49*100/P49-100,0)</f>
        <v>-10</v>
      </c>
      <c r="V49" s="57" t="n">
        <f aca="false">ROUND(K49*100/P49-100,0)</f>
        <v>12</v>
      </c>
      <c r="W49" s="57" t="n">
        <f aca="false">ROUND(N49*100/P49-100,0)</f>
        <v>-2</v>
      </c>
      <c r="Y49" s="43" t="n">
        <v>38</v>
      </c>
    </row>
    <row r="50" s="43" customFormat="true" ht="73.5" hidden="false" customHeight="true" outlineLevel="0" collapsed="false">
      <c r="A50" s="45" t="n">
        <v>39</v>
      </c>
      <c r="B50" s="46" t="s">
        <v>89</v>
      </c>
      <c r="C50" s="47" t="s">
        <v>81</v>
      </c>
      <c r="D50" s="48" t="n">
        <v>72</v>
      </c>
      <c r="E50" s="49" t="n">
        <v>2954.02</v>
      </c>
      <c r="F50" s="50" t="n">
        <v>3120.3</v>
      </c>
      <c r="G50" s="51" t="s">
        <v>90</v>
      </c>
      <c r="H50" s="52" t="n">
        <f aca="false">3609.86/1.2</f>
        <v>3008.21666666667</v>
      </c>
      <c r="I50" s="53" t="n">
        <f aca="false">D50*H50</f>
        <v>216591.6</v>
      </c>
      <c r="J50" s="47" t="s">
        <v>46</v>
      </c>
      <c r="K50" s="52" t="n">
        <v>3152.91</v>
      </c>
      <c r="L50" s="53" t="n">
        <f aca="false">D50*K50</f>
        <v>227009.52</v>
      </c>
      <c r="M50" s="47" t="s">
        <v>58</v>
      </c>
      <c r="N50" s="52" t="n">
        <v>3256.66</v>
      </c>
      <c r="O50" s="53" t="n">
        <f aca="false">D50*N50</f>
        <v>234479.52</v>
      </c>
      <c r="P50" s="54" t="n">
        <f aca="false">AVERAGE(H50,K50,N50)</f>
        <v>3139.26222222222</v>
      </c>
      <c r="Q50" s="55" t="n">
        <f aca="false">F50*100/P50-100</f>
        <v>-0.604034352020435</v>
      </c>
      <c r="R50" s="54" t="n">
        <f aca="false">D50*F50</f>
        <v>224661.6</v>
      </c>
      <c r="S50" s="56"/>
      <c r="U50" s="57" t="n">
        <f aca="false">ROUND(H50*100/P50-100,0)</f>
        <v>-4</v>
      </c>
      <c r="V50" s="57" t="n">
        <f aca="false">ROUND(K50*100/P50-100,0)</f>
        <v>0</v>
      </c>
      <c r="W50" s="57" t="n">
        <f aca="false">ROUND(N50*100/P50-100,0)</f>
        <v>4</v>
      </c>
      <c r="Y50" s="43" t="n">
        <v>39</v>
      </c>
    </row>
    <row r="51" s="43" customFormat="true" ht="73.5" hidden="false" customHeight="true" outlineLevel="0" collapsed="false">
      <c r="A51" s="45" t="n">
        <v>40</v>
      </c>
      <c r="B51" s="46" t="s">
        <v>91</v>
      </c>
      <c r="C51" s="47" t="s">
        <v>25</v>
      </c>
      <c r="D51" s="48" t="n">
        <v>2</v>
      </c>
      <c r="E51" s="49" t="s">
        <v>26</v>
      </c>
      <c r="F51" s="50" t="n">
        <v>198500</v>
      </c>
      <c r="G51" s="47" t="s">
        <v>27</v>
      </c>
      <c r="H51" s="52" t="n">
        <f aca="false">234758.4/1.2</f>
        <v>195632</v>
      </c>
      <c r="I51" s="53" t="n">
        <f aca="false">D51*H51</f>
        <v>391264</v>
      </c>
      <c r="J51" s="53" t="s">
        <v>28</v>
      </c>
      <c r="K51" s="52" t="n">
        <v>199452.67</v>
      </c>
      <c r="L51" s="53" t="n">
        <f aca="false">D51*K51</f>
        <v>398905.34</v>
      </c>
      <c r="M51" s="47" t="s">
        <v>29</v>
      </c>
      <c r="N51" s="52" t="n">
        <v>201347.8</v>
      </c>
      <c r="O51" s="53" t="n">
        <f aca="false">D51*N51</f>
        <v>402695.6</v>
      </c>
      <c r="P51" s="54" t="n">
        <f aca="false">AVERAGE(H51,K51,N51)</f>
        <v>198810.823333333</v>
      </c>
      <c r="Q51" s="55" t="n">
        <f aca="false">F51*100/P51-100</f>
        <v>-0.156341253520282</v>
      </c>
      <c r="R51" s="54" t="n">
        <f aca="false">D51*F51</f>
        <v>397000</v>
      </c>
      <c r="S51" s="56"/>
      <c r="U51" s="57" t="n">
        <f aca="false">ROUND(H51*100/P51-100,0)</f>
        <v>-2</v>
      </c>
      <c r="V51" s="57" t="n">
        <f aca="false">ROUND(K51*100/P51-100,0)</f>
        <v>0</v>
      </c>
      <c r="W51" s="57" t="n">
        <f aca="false">ROUND(N51*100/P51-100,0)</f>
        <v>1</v>
      </c>
      <c r="Y51" s="43" t="n">
        <v>40</v>
      </c>
    </row>
    <row r="52" s="43" customFormat="true" ht="73.5" hidden="false" customHeight="true" outlineLevel="0" collapsed="false">
      <c r="A52" s="45" t="n">
        <v>41</v>
      </c>
      <c r="B52" s="46" t="s">
        <v>92</v>
      </c>
      <c r="C52" s="47" t="s">
        <v>25</v>
      </c>
      <c r="D52" s="48" t="n">
        <v>2</v>
      </c>
      <c r="E52" s="49" t="s">
        <v>26</v>
      </c>
      <c r="F52" s="50" t="n">
        <v>5754.2</v>
      </c>
      <c r="G52" s="47" t="s">
        <v>27</v>
      </c>
      <c r="H52" s="52" t="n">
        <f aca="false">6701.48/1.2</f>
        <v>5584.56666666667</v>
      </c>
      <c r="I52" s="53" t="n">
        <f aca="false">D52*H52</f>
        <v>11169.1333333333</v>
      </c>
      <c r="J52" s="53" t="s">
        <v>28</v>
      </c>
      <c r="K52" s="52" t="n">
        <v>5784.3</v>
      </c>
      <c r="L52" s="53" t="n">
        <f aca="false">D52*K52</f>
        <v>11568.6</v>
      </c>
      <c r="M52" s="47" t="s">
        <v>29</v>
      </c>
      <c r="N52" s="52" t="n">
        <v>5944.87</v>
      </c>
      <c r="O52" s="53" t="n">
        <f aca="false">D52*N52</f>
        <v>11889.74</v>
      </c>
      <c r="P52" s="54" t="n">
        <f aca="false">AVERAGE(H52,K52,N52)</f>
        <v>5771.24555555556</v>
      </c>
      <c r="Q52" s="55" t="n">
        <f aca="false">F52*100/P52-100</f>
        <v>-0.29535315022504</v>
      </c>
      <c r="R52" s="54" t="n">
        <f aca="false">D52*F52</f>
        <v>11508.4</v>
      </c>
      <c r="S52" s="56"/>
      <c r="U52" s="57" t="n">
        <f aca="false">ROUND(H52*100/P52-100,0)</f>
        <v>-3</v>
      </c>
      <c r="V52" s="57" t="n">
        <f aca="false">ROUND(K52*100/P52-100,0)</f>
        <v>0</v>
      </c>
      <c r="W52" s="57" t="n">
        <f aca="false">ROUND(N52*100/P52-100,0)</f>
        <v>3</v>
      </c>
      <c r="Y52" s="43" t="n">
        <v>41</v>
      </c>
    </row>
    <row r="53" s="43" customFormat="true" ht="73.5" hidden="false" customHeight="true" outlineLevel="0" collapsed="false">
      <c r="A53" s="45" t="n">
        <v>42</v>
      </c>
      <c r="B53" s="46" t="s">
        <v>93</v>
      </c>
      <c r="C53" s="47" t="s">
        <v>25</v>
      </c>
      <c r="D53" s="48" t="n">
        <v>10</v>
      </c>
      <c r="E53" s="49" t="s">
        <v>26</v>
      </c>
      <c r="F53" s="50" t="n">
        <v>523.3</v>
      </c>
      <c r="G53" s="47" t="s">
        <v>27</v>
      </c>
      <c r="H53" s="52" t="n">
        <f aca="false">597.91/1.2</f>
        <v>498.258333333333</v>
      </c>
      <c r="I53" s="53" t="n">
        <f aca="false">D53*H53</f>
        <v>4982.58333333333</v>
      </c>
      <c r="J53" s="53" t="s">
        <v>28</v>
      </c>
      <c r="K53" s="52" t="n">
        <v>521.2</v>
      </c>
      <c r="L53" s="53" t="n">
        <f aca="false">D53*K53</f>
        <v>5212</v>
      </c>
      <c r="M53" s="47" t="s">
        <v>29</v>
      </c>
      <c r="N53" s="52" t="n">
        <v>554.34</v>
      </c>
      <c r="O53" s="53" t="n">
        <f aca="false">D53*N53</f>
        <v>5543.4</v>
      </c>
      <c r="P53" s="54" t="n">
        <f aca="false">AVERAGE(H53,K53,N53)</f>
        <v>524.599444444444</v>
      </c>
      <c r="Q53" s="55" t="n">
        <f aca="false">F53*100/P53-100</f>
        <v>-0.247702215129223</v>
      </c>
      <c r="R53" s="54" t="n">
        <f aca="false">D53*F53</f>
        <v>5233</v>
      </c>
      <c r="S53" s="56"/>
      <c r="U53" s="57" t="n">
        <f aca="false">ROUND(H53*100/P53-100,0)</f>
        <v>-5</v>
      </c>
      <c r="V53" s="57" t="n">
        <f aca="false">ROUND(K53*100/P53-100,0)</f>
        <v>-1</v>
      </c>
      <c r="W53" s="57" t="n">
        <f aca="false">ROUND(N53*100/P53-100,0)</f>
        <v>6</v>
      </c>
      <c r="Y53" s="43" t="n">
        <v>42</v>
      </c>
    </row>
    <row r="54" s="43" customFormat="true" ht="73.5" hidden="false" customHeight="true" outlineLevel="0" collapsed="false">
      <c r="A54" s="45" t="n">
        <v>43</v>
      </c>
      <c r="B54" s="46" t="s">
        <v>94</v>
      </c>
      <c r="C54" s="47" t="s">
        <v>25</v>
      </c>
      <c r="D54" s="48" t="s">
        <v>95</v>
      </c>
      <c r="E54" s="49" t="n">
        <v>326.49</v>
      </c>
      <c r="F54" s="50" t="n">
        <v>517.11</v>
      </c>
      <c r="G54" s="47" t="s">
        <v>27</v>
      </c>
      <c r="H54" s="52" t="n">
        <f aca="false">583.14/1.2</f>
        <v>485.95</v>
      </c>
      <c r="I54" s="53" t="n">
        <f aca="false">D54*H54</f>
        <v>23325.6</v>
      </c>
      <c r="J54" s="53" t="s">
        <v>28</v>
      </c>
      <c r="K54" s="52" t="n">
        <v>519.3</v>
      </c>
      <c r="L54" s="53" t="n">
        <f aca="false">D54*K54</f>
        <v>24926.4</v>
      </c>
      <c r="M54" s="47" t="s">
        <v>29</v>
      </c>
      <c r="N54" s="52" t="n">
        <v>550.4</v>
      </c>
      <c r="O54" s="53" t="n">
        <f aca="false">D54*N54</f>
        <v>26419.2</v>
      </c>
      <c r="P54" s="54" t="n">
        <f aca="false">AVERAGE(H54,K54,N54)</f>
        <v>518.55</v>
      </c>
      <c r="Q54" s="55" t="n">
        <f aca="false">F54*100/P54-100</f>
        <v>-0.277697425513438</v>
      </c>
      <c r="R54" s="54" t="n">
        <f aca="false">D54*F54</f>
        <v>24821.28</v>
      </c>
      <c r="S54" s="56"/>
      <c r="U54" s="57" t="n">
        <f aca="false">ROUND(H54*100/P54-100,0)</f>
        <v>-6</v>
      </c>
      <c r="V54" s="57" t="n">
        <f aca="false">ROUND(K54*100/P54-100,0)</f>
        <v>0</v>
      </c>
      <c r="W54" s="57" t="n">
        <f aca="false">ROUND(N54*100/P54-100,0)</f>
        <v>6</v>
      </c>
      <c r="Y54" s="43" t="n">
        <v>43</v>
      </c>
    </row>
    <row r="55" s="43" customFormat="true" ht="73.5" hidden="false" customHeight="true" outlineLevel="0" collapsed="false">
      <c r="A55" s="45" t="n">
        <v>44</v>
      </c>
      <c r="B55" s="46" t="s">
        <v>96</v>
      </c>
      <c r="C55" s="47" t="s">
        <v>25</v>
      </c>
      <c r="D55" s="48" t="s">
        <v>97</v>
      </c>
      <c r="E55" s="49" t="n">
        <v>3549.95</v>
      </c>
      <c r="F55" s="50" t="n">
        <v>5116.7</v>
      </c>
      <c r="G55" s="47" t="s">
        <v>27</v>
      </c>
      <c r="H55" s="52" t="n">
        <f aca="false">5997.8/1.2</f>
        <v>4998.16666666667</v>
      </c>
      <c r="I55" s="53" t="n">
        <f aca="false">D55*H55</f>
        <v>4998.16666666667</v>
      </c>
      <c r="J55" s="53" t="s">
        <v>28</v>
      </c>
      <c r="K55" s="52" t="n">
        <v>5100.67</v>
      </c>
      <c r="L55" s="53" t="n">
        <f aca="false">D55*K55</f>
        <v>5100.67</v>
      </c>
      <c r="M55" s="47" t="s">
        <v>29</v>
      </c>
      <c r="N55" s="52" t="n">
        <v>5427.9</v>
      </c>
      <c r="O55" s="53" t="n">
        <f aca="false">D55*N55</f>
        <v>5427.9</v>
      </c>
      <c r="P55" s="54" t="n">
        <f aca="false">AVERAGE(H55,K55,N55)</f>
        <v>5175.57888888889</v>
      </c>
      <c r="Q55" s="55" t="n">
        <f aca="false">F55*100/P55-100</f>
        <v>-1.13762904890297</v>
      </c>
      <c r="R55" s="54" t="n">
        <f aca="false">D55*F55</f>
        <v>5116.7</v>
      </c>
      <c r="S55" s="56"/>
      <c r="U55" s="57" t="n">
        <f aca="false">ROUND(H55*100/P55-100,0)</f>
        <v>-3</v>
      </c>
      <c r="V55" s="57" t="n">
        <f aca="false">ROUND(K55*100/P55-100,0)</f>
        <v>-1</v>
      </c>
      <c r="W55" s="57" t="n">
        <f aca="false">ROUND(N55*100/P55-100,0)</f>
        <v>5</v>
      </c>
      <c r="Y55" s="43" t="n">
        <v>44</v>
      </c>
    </row>
    <row r="56" s="43" customFormat="true" ht="73.5" hidden="false" customHeight="true" outlineLevel="0" collapsed="false">
      <c r="A56" s="45" t="n">
        <v>45</v>
      </c>
      <c r="B56" s="46" t="s">
        <v>98</v>
      </c>
      <c r="C56" s="47" t="s">
        <v>25</v>
      </c>
      <c r="D56" s="48" t="n">
        <v>1</v>
      </c>
      <c r="E56" s="49" t="n">
        <v>3529.22</v>
      </c>
      <c r="F56" s="50" t="n">
        <v>5200.4</v>
      </c>
      <c r="G56" s="47" t="s">
        <v>27</v>
      </c>
      <c r="H56" s="52" t="n">
        <f aca="false">6038.66/1.2</f>
        <v>5032.21666666667</v>
      </c>
      <c r="I56" s="53" t="n">
        <f aca="false">D56*H56</f>
        <v>5032.21666666667</v>
      </c>
      <c r="J56" s="53" t="s">
        <v>28</v>
      </c>
      <c r="K56" s="52" t="n">
        <v>5201.7</v>
      </c>
      <c r="L56" s="53" t="n">
        <f aca="false">D56*K56</f>
        <v>5201.7</v>
      </c>
      <c r="M56" s="47" t="s">
        <v>29</v>
      </c>
      <c r="N56" s="52" t="n">
        <v>5504.9</v>
      </c>
      <c r="O56" s="53" t="n">
        <f aca="false">D56*N56</f>
        <v>5504.9</v>
      </c>
      <c r="P56" s="54" t="n">
        <f aca="false">AVERAGE(H56,K56,N56)</f>
        <v>5246.27222222222</v>
      </c>
      <c r="Q56" s="55" t="n">
        <f aca="false">F56*100/P56-100</f>
        <v>-0.874377468022274</v>
      </c>
      <c r="R56" s="54" t="n">
        <f aca="false">D56*F56</f>
        <v>5200.4</v>
      </c>
      <c r="S56" s="56"/>
      <c r="U56" s="57" t="n">
        <f aca="false">ROUND(H56*100/P56-100,0)</f>
        <v>-4</v>
      </c>
      <c r="V56" s="57" t="n">
        <f aca="false">ROUND(K56*100/P56-100,0)</f>
        <v>-1</v>
      </c>
      <c r="W56" s="57" t="n">
        <f aca="false">ROUND(N56*100/P56-100,0)</f>
        <v>5</v>
      </c>
      <c r="Y56" s="43" t="n">
        <v>45</v>
      </c>
    </row>
    <row r="57" s="43" customFormat="true" ht="73.5" hidden="false" customHeight="true" outlineLevel="0" collapsed="false">
      <c r="A57" s="45" t="n">
        <v>46</v>
      </c>
      <c r="B57" s="46" t="s">
        <v>99</v>
      </c>
      <c r="C57" s="47" t="s">
        <v>25</v>
      </c>
      <c r="D57" s="48" t="n">
        <v>3</v>
      </c>
      <c r="E57" s="49" t="n">
        <v>1333.57</v>
      </c>
      <c r="F57" s="50" t="n">
        <v>1796.4</v>
      </c>
      <c r="G57" s="47" t="s">
        <v>27</v>
      </c>
      <c r="H57" s="52" t="n">
        <f aca="false">2109.78/1.2</f>
        <v>1758.15</v>
      </c>
      <c r="I57" s="53" t="n">
        <f aca="false">D57*H57</f>
        <v>5274.45</v>
      </c>
      <c r="J57" s="53" t="s">
        <v>28</v>
      </c>
      <c r="K57" s="52" t="n">
        <v>1801.3</v>
      </c>
      <c r="L57" s="53" t="n">
        <f aca="false">D57*K57</f>
        <v>5403.9</v>
      </c>
      <c r="M57" s="47" t="s">
        <v>29</v>
      </c>
      <c r="N57" s="52" t="n">
        <v>1956.8</v>
      </c>
      <c r="O57" s="53" t="n">
        <f aca="false">D57*N57</f>
        <v>5870.4</v>
      </c>
      <c r="P57" s="54" t="n">
        <f aca="false">AVERAGE(H57,K57,N57)</f>
        <v>1838.75</v>
      </c>
      <c r="Q57" s="55" t="n">
        <f aca="false">F57*100/P57-100</f>
        <v>-2.30319510537049</v>
      </c>
      <c r="R57" s="54" t="n">
        <f aca="false">D57*F57</f>
        <v>5389.2</v>
      </c>
      <c r="S57" s="56"/>
      <c r="U57" s="57" t="n">
        <f aca="false">ROUND(H57*100/P57-100,0)</f>
        <v>-4</v>
      </c>
      <c r="V57" s="57" t="n">
        <f aca="false">ROUND(K57*100/P57-100,0)</f>
        <v>-2</v>
      </c>
      <c r="W57" s="57" t="n">
        <f aca="false">ROUND(N57*100/P57-100,0)</f>
        <v>6</v>
      </c>
      <c r="Y57" s="43" t="n">
        <v>46</v>
      </c>
    </row>
    <row r="58" s="43" customFormat="true" ht="73.5" hidden="false" customHeight="true" outlineLevel="0" collapsed="false">
      <c r="A58" s="45" t="n">
        <v>47</v>
      </c>
      <c r="B58" s="46" t="s">
        <v>100</v>
      </c>
      <c r="C58" s="47" t="s">
        <v>25</v>
      </c>
      <c r="D58" s="48" t="n">
        <v>11</v>
      </c>
      <c r="E58" s="49" t="n">
        <v>5041.48</v>
      </c>
      <c r="F58" s="50" t="n">
        <v>7180.45</v>
      </c>
      <c r="G58" s="47" t="s">
        <v>27</v>
      </c>
      <c r="H58" s="52" t="n">
        <f aca="false">8361.03/1.2</f>
        <v>6967.525</v>
      </c>
      <c r="I58" s="53" t="n">
        <f aca="false">D58*H58</f>
        <v>76642.775</v>
      </c>
      <c r="J58" s="53" t="s">
        <v>28</v>
      </c>
      <c r="K58" s="52" t="n">
        <v>7201.4</v>
      </c>
      <c r="L58" s="53" t="n">
        <f aca="false">D58*K58</f>
        <v>79215.4</v>
      </c>
      <c r="M58" s="47" t="s">
        <v>29</v>
      </c>
      <c r="N58" s="52" t="n">
        <v>7422.6</v>
      </c>
      <c r="O58" s="53" t="n">
        <f aca="false">D58*N58</f>
        <v>81648.6</v>
      </c>
      <c r="P58" s="54" t="n">
        <f aca="false">AVERAGE(H58,K58,N58)</f>
        <v>7197.175</v>
      </c>
      <c r="Q58" s="55" t="n">
        <f aca="false">F58*100/P58-100</f>
        <v>-0.232382844657806</v>
      </c>
      <c r="R58" s="54" t="n">
        <f aca="false">D58*F58</f>
        <v>78984.95</v>
      </c>
      <c r="S58" s="56"/>
      <c r="U58" s="57" t="n">
        <f aca="false">ROUND(H58*100/P58-100,0)</f>
        <v>-3</v>
      </c>
      <c r="V58" s="57" t="n">
        <f aca="false">ROUND(K58*100/P58-100,0)</f>
        <v>0</v>
      </c>
      <c r="W58" s="57" t="n">
        <f aca="false">ROUND(N58*100/P58-100,0)</f>
        <v>3</v>
      </c>
      <c r="Y58" s="43" t="n">
        <v>47</v>
      </c>
    </row>
    <row r="59" s="43" customFormat="true" ht="73.5" hidden="false" customHeight="true" outlineLevel="0" collapsed="false">
      <c r="A59" s="45" t="n">
        <v>48</v>
      </c>
      <c r="B59" s="46" t="s">
        <v>101</v>
      </c>
      <c r="C59" s="47" t="s">
        <v>25</v>
      </c>
      <c r="D59" s="48" t="n">
        <v>6</v>
      </c>
      <c r="E59" s="49" t="n">
        <v>121.23</v>
      </c>
      <c r="F59" s="50" t="n">
        <v>138.5</v>
      </c>
      <c r="G59" s="47" t="s">
        <v>27</v>
      </c>
      <c r="H59" s="52" t="n">
        <f aca="false">159.22/1.2</f>
        <v>132.683333333333</v>
      </c>
      <c r="I59" s="53" t="n">
        <f aca="false">D59*H59</f>
        <v>796.1</v>
      </c>
      <c r="J59" s="53" t="s">
        <v>28</v>
      </c>
      <c r="K59" s="52" t="n">
        <v>139.87</v>
      </c>
      <c r="L59" s="53" t="n">
        <f aca="false">D59*K59</f>
        <v>839.22</v>
      </c>
      <c r="M59" s="47" t="s">
        <v>29</v>
      </c>
      <c r="N59" s="52" t="n">
        <v>145.24</v>
      </c>
      <c r="O59" s="53" t="n">
        <f aca="false">D59*N59</f>
        <v>871.44</v>
      </c>
      <c r="P59" s="54" t="n">
        <f aca="false">AVERAGE(H59,K59,N59)</f>
        <v>139.264444444444</v>
      </c>
      <c r="Q59" s="55" t="n">
        <f aca="false">F59*100/P59-100</f>
        <v>-0.548915731861058</v>
      </c>
      <c r="R59" s="54" t="n">
        <f aca="false">D59*F59</f>
        <v>831</v>
      </c>
      <c r="S59" s="56"/>
      <c r="U59" s="57" t="n">
        <f aca="false">ROUND(H59*100/P59-100,0)</f>
        <v>-5</v>
      </c>
      <c r="V59" s="57" t="n">
        <f aca="false">ROUND(K59*100/P59-100,0)</f>
        <v>0</v>
      </c>
      <c r="W59" s="57" t="n">
        <f aca="false">ROUND(N59*100/P59-100,0)</f>
        <v>4</v>
      </c>
      <c r="Y59" s="43" t="n">
        <v>48</v>
      </c>
    </row>
    <row r="60" s="43" customFormat="true" ht="73.5" hidden="false" customHeight="true" outlineLevel="0" collapsed="false">
      <c r="A60" s="45" t="n">
        <v>49</v>
      </c>
      <c r="B60" s="46" t="s">
        <v>102</v>
      </c>
      <c r="C60" s="47" t="s">
        <v>25</v>
      </c>
      <c r="D60" s="48" t="s">
        <v>103</v>
      </c>
      <c r="E60" s="49" t="n">
        <v>103.67</v>
      </c>
      <c r="F60" s="50" t="n">
        <v>118.5</v>
      </c>
      <c r="G60" s="47" t="s">
        <v>27</v>
      </c>
      <c r="H60" s="52" t="n">
        <f aca="false">137.81/1.2</f>
        <v>114.841666666667</v>
      </c>
      <c r="I60" s="53" t="n">
        <f aca="false">D60*H60</f>
        <v>2871.04166666667</v>
      </c>
      <c r="J60" s="53" t="s">
        <v>28</v>
      </c>
      <c r="K60" s="52" t="n">
        <v>121.47</v>
      </c>
      <c r="L60" s="53" t="n">
        <f aca="false">D60*K60</f>
        <v>3036.75</v>
      </c>
      <c r="M60" s="47" t="s">
        <v>29</v>
      </c>
      <c r="N60" s="52" t="n">
        <v>119.8</v>
      </c>
      <c r="O60" s="53" t="n">
        <f aca="false">D60*N60</f>
        <v>2995</v>
      </c>
      <c r="P60" s="54" t="n">
        <f aca="false">AVERAGE(H60,K60,N60)</f>
        <v>118.703888888889</v>
      </c>
      <c r="Q60" s="55" t="n">
        <f aca="false">F60*100/P60-100</f>
        <v>-0.171762602554452</v>
      </c>
      <c r="R60" s="54" t="n">
        <f aca="false">D60*F60</f>
        <v>2962.5</v>
      </c>
      <c r="S60" s="56"/>
      <c r="U60" s="57" t="n">
        <f aca="false">ROUND(H60*100/P60-100,0)</f>
        <v>-3</v>
      </c>
      <c r="V60" s="57" t="n">
        <f aca="false">ROUND(K60*100/P60-100,0)</f>
        <v>2</v>
      </c>
      <c r="W60" s="57" t="n">
        <f aca="false">ROUND(N60*100/P60-100,0)</f>
        <v>1</v>
      </c>
      <c r="Y60" s="43" t="n">
        <v>49</v>
      </c>
    </row>
    <row r="61" s="43" customFormat="true" ht="73.5" hidden="false" customHeight="true" outlineLevel="0" collapsed="false">
      <c r="A61" s="45" t="n">
        <v>50</v>
      </c>
      <c r="B61" s="46" t="s">
        <v>104</v>
      </c>
      <c r="C61" s="47" t="s">
        <v>25</v>
      </c>
      <c r="D61" s="48" t="s">
        <v>105</v>
      </c>
      <c r="E61" s="49" t="n">
        <v>149.52</v>
      </c>
      <c r="F61" s="50" t="n">
        <v>174.59</v>
      </c>
      <c r="G61" s="47" t="s">
        <v>27</v>
      </c>
      <c r="H61" s="52" t="n">
        <f aca="false">203.54/1.2</f>
        <v>169.616666666667</v>
      </c>
      <c r="I61" s="53" t="n">
        <f aca="false">D61*H61</f>
        <v>1356.93333333333</v>
      </c>
      <c r="J61" s="53" t="s">
        <v>28</v>
      </c>
      <c r="K61" s="52" t="n">
        <v>175.54</v>
      </c>
      <c r="L61" s="53" t="n">
        <f aca="false">D61*K61</f>
        <v>1404.32</v>
      </c>
      <c r="M61" s="47" t="s">
        <v>29</v>
      </c>
      <c r="N61" s="52" t="n">
        <v>181.7</v>
      </c>
      <c r="O61" s="53" t="n">
        <f aca="false">D61*N61</f>
        <v>1453.6</v>
      </c>
      <c r="P61" s="54" t="n">
        <f aca="false">AVERAGE(H61,K61,N61)</f>
        <v>175.618888888889</v>
      </c>
      <c r="Q61" s="55" t="n">
        <f aca="false">F61*100/P61-100</f>
        <v>-0.585864593153119</v>
      </c>
      <c r="R61" s="54" t="n">
        <f aca="false">D61*F61</f>
        <v>1396.72</v>
      </c>
      <c r="S61" s="56"/>
      <c r="U61" s="57" t="n">
        <f aca="false">ROUND(H61*100/P61-100,0)</f>
        <v>-3</v>
      </c>
      <c r="V61" s="57" t="n">
        <f aca="false">ROUND(K61*100/P61-100,0)</f>
        <v>-0</v>
      </c>
      <c r="W61" s="57" t="n">
        <f aca="false">ROUND(N61*100/P61-100,0)</f>
        <v>3</v>
      </c>
      <c r="Y61" s="43" t="n">
        <v>50</v>
      </c>
    </row>
    <row r="62" s="43" customFormat="true" ht="73.5" hidden="false" customHeight="true" outlineLevel="0" collapsed="false">
      <c r="A62" s="45" t="n">
        <v>51</v>
      </c>
      <c r="B62" s="46" t="s">
        <v>106</v>
      </c>
      <c r="C62" s="47" t="s">
        <v>25</v>
      </c>
      <c r="D62" s="48" t="n">
        <v>1</v>
      </c>
      <c r="E62" s="49" t="n">
        <v>756.08</v>
      </c>
      <c r="F62" s="50" t="n">
        <v>800.12</v>
      </c>
      <c r="G62" s="47" t="s">
        <v>27</v>
      </c>
      <c r="H62" s="52" t="n">
        <f aca="false">945.37/1.2</f>
        <v>787.808333333333</v>
      </c>
      <c r="I62" s="53" t="n">
        <f aca="false">D62*H62</f>
        <v>787.808333333333</v>
      </c>
      <c r="J62" s="53" t="s">
        <v>28</v>
      </c>
      <c r="K62" s="52" t="n">
        <v>799.9</v>
      </c>
      <c r="L62" s="53" t="n">
        <f aca="false">D62*K62</f>
        <v>799.9</v>
      </c>
      <c r="M62" s="47" t="s">
        <v>29</v>
      </c>
      <c r="N62" s="52" t="n">
        <v>820.4</v>
      </c>
      <c r="O62" s="53" t="n">
        <f aca="false">D62*N62</f>
        <v>820.4</v>
      </c>
      <c r="P62" s="54" t="n">
        <f aca="false">AVERAGE(H62,K62,N62)</f>
        <v>802.702777777778</v>
      </c>
      <c r="Q62" s="55" t="n">
        <f aca="false">F62*100/P62-100</f>
        <v>-0.321760164444441</v>
      </c>
      <c r="R62" s="54" t="n">
        <f aca="false">D62*F62</f>
        <v>800.12</v>
      </c>
      <c r="S62" s="56"/>
      <c r="U62" s="57" t="n">
        <f aca="false">ROUND(H62*100/P62-100,0)</f>
        <v>-2</v>
      </c>
      <c r="V62" s="57" t="n">
        <f aca="false">ROUND(K62*100/P62-100,0)</f>
        <v>-0</v>
      </c>
      <c r="W62" s="57" t="n">
        <f aca="false">ROUND(N62*100/P62-100,0)</f>
        <v>2</v>
      </c>
      <c r="Y62" s="43" t="n">
        <v>51</v>
      </c>
    </row>
    <row r="63" s="43" customFormat="true" ht="73.5" hidden="false" customHeight="true" outlineLevel="0" collapsed="false">
      <c r="A63" s="45" t="n">
        <v>52</v>
      </c>
      <c r="B63" s="46" t="s">
        <v>107</v>
      </c>
      <c r="C63" s="47" t="s">
        <v>45</v>
      </c>
      <c r="D63" s="48" t="n">
        <v>30.2</v>
      </c>
      <c r="E63" s="49" t="n">
        <v>5937.5</v>
      </c>
      <c r="F63" s="50" t="n">
        <v>12456.8</v>
      </c>
      <c r="G63" s="47" t="s">
        <v>39</v>
      </c>
      <c r="H63" s="52" t="n">
        <f aca="false">5074.31*1000/400</f>
        <v>12685.775</v>
      </c>
      <c r="I63" s="53" t="n">
        <f aca="false">D63*H63</f>
        <v>383110.405</v>
      </c>
      <c r="J63" s="47" t="s">
        <v>40</v>
      </c>
      <c r="K63" s="52" t="n">
        <f aca="false">5560*1000/400/1.2</f>
        <v>11583.3333333333</v>
      </c>
      <c r="L63" s="53" t="n">
        <f aca="false">D63*K63</f>
        <v>349816.666666667</v>
      </c>
      <c r="M63" s="47" t="s">
        <v>108</v>
      </c>
      <c r="N63" s="52" t="n">
        <f aca="false">5299.17*1000/400</f>
        <v>13247.925</v>
      </c>
      <c r="O63" s="53" t="n">
        <f aca="false">D63*N63</f>
        <v>400087.335</v>
      </c>
      <c r="P63" s="54" t="n">
        <f aca="false">AVERAGE(H63,K63,N63)</f>
        <v>12505.6777777778</v>
      </c>
      <c r="Q63" s="55" t="n">
        <f aca="false">F63*100/P63-100</f>
        <v>-0.390844691877732</v>
      </c>
      <c r="R63" s="54" t="n">
        <f aca="false">D63*F63</f>
        <v>376195.36</v>
      </c>
      <c r="S63" s="56"/>
      <c r="U63" s="57" t="n">
        <f aca="false">ROUND(H63*100/P63-100,0)</f>
        <v>1</v>
      </c>
      <c r="V63" s="57" t="n">
        <f aca="false">ROUND(K63*100/P63-100,0)</f>
        <v>-7</v>
      </c>
      <c r="W63" s="57" t="n">
        <f aca="false">ROUND(N63*100/P63-100,0)</f>
        <v>6</v>
      </c>
      <c r="Y63" s="43" t="n">
        <v>52</v>
      </c>
    </row>
    <row r="64" s="43" customFormat="true" ht="73.5" hidden="false" customHeight="true" outlineLevel="0" collapsed="false">
      <c r="A64" s="45" t="n">
        <v>53</v>
      </c>
      <c r="B64" s="46" t="s">
        <v>109</v>
      </c>
      <c r="C64" s="47" t="s">
        <v>25</v>
      </c>
      <c r="D64" s="48" t="n">
        <v>40</v>
      </c>
      <c r="E64" s="49" t="n">
        <v>3.54</v>
      </c>
      <c r="F64" s="50" t="n">
        <v>5.11</v>
      </c>
      <c r="G64" s="47" t="s">
        <v>39</v>
      </c>
      <c r="H64" s="52" t="n">
        <v>4.83</v>
      </c>
      <c r="I64" s="53" t="n">
        <f aca="false">D64*H64</f>
        <v>193.2</v>
      </c>
      <c r="J64" s="47" t="s">
        <v>54</v>
      </c>
      <c r="K64" s="52" t="n">
        <v>5.12</v>
      </c>
      <c r="L64" s="53" t="n">
        <f aca="false">D64*K64</f>
        <v>204.8</v>
      </c>
      <c r="M64" s="53" t="s">
        <v>41</v>
      </c>
      <c r="N64" s="52" t="n">
        <v>5.8</v>
      </c>
      <c r="O64" s="53" t="n">
        <f aca="false">D64*N64</f>
        <v>232</v>
      </c>
      <c r="P64" s="54" t="n">
        <f aca="false">AVERAGE(H64,K64,N64)</f>
        <v>5.25</v>
      </c>
      <c r="Q64" s="55" t="n">
        <f aca="false">F64*100/P64-100</f>
        <v>-2.66666666666666</v>
      </c>
      <c r="R64" s="54" t="n">
        <f aca="false">D64*F64</f>
        <v>204.4</v>
      </c>
      <c r="S64" s="56"/>
      <c r="U64" s="57" t="n">
        <f aca="false">ROUND(H64*100/P64-100,0)</f>
        <v>-8</v>
      </c>
      <c r="V64" s="57" t="n">
        <f aca="false">ROUND(K64*100/P64-100,0)</f>
        <v>-2</v>
      </c>
      <c r="W64" s="57" t="n">
        <f aca="false">ROUND(N64*100/P64-100,0)</f>
        <v>10</v>
      </c>
      <c r="Y64" s="43" t="n">
        <v>53</v>
      </c>
    </row>
    <row r="65" s="43" customFormat="true" ht="73.5" hidden="false" customHeight="true" outlineLevel="0" collapsed="false">
      <c r="A65" s="45" t="n">
        <v>54</v>
      </c>
      <c r="B65" s="46" t="s">
        <v>110</v>
      </c>
      <c r="C65" s="47" t="s">
        <v>25</v>
      </c>
      <c r="D65" s="48" t="n">
        <v>20</v>
      </c>
      <c r="E65" s="49" t="n">
        <v>5.16</v>
      </c>
      <c r="F65" s="50" t="n">
        <v>7.08</v>
      </c>
      <c r="G65" s="47" t="s">
        <v>39</v>
      </c>
      <c r="H65" s="52" t="n">
        <v>6.95</v>
      </c>
      <c r="I65" s="53" t="n">
        <f aca="false">D65*H65</f>
        <v>139</v>
      </c>
      <c r="J65" s="47" t="s">
        <v>54</v>
      </c>
      <c r="K65" s="52" t="n">
        <v>7.32</v>
      </c>
      <c r="L65" s="53" t="n">
        <f aca="false">D65*K65</f>
        <v>146.4</v>
      </c>
      <c r="M65" s="53" t="s">
        <v>41</v>
      </c>
      <c r="N65" s="52" t="n">
        <v>7.13</v>
      </c>
      <c r="O65" s="53" t="n">
        <f aca="false">D65*N65</f>
        <v>142.6</v>
      </c>
      <c r="P65" s="54" t="n">
        <f aca="false">AVERAGE(H65,K65,N65)</f>
        <v>7.13333333333333</v>
      </c>
      <c r="Q65" s="55" t="n">
        <f aca="false">F65*100/P65-100</f>
        <v>-0.747663551401857</v>
      </c>
      <c r="R65" s="54" t="n">
        <f aca="false">D65*F65</f>
        <v>141.6</v>
      </c>
      <c r="S65" s="56"/>
      <c r="U65" s="57" t="n">
        <f aca="false">ROUND(H65*100/P65-100,0)</f>
        <v>-3</v>
      </c>
      <c r="V65" s="57" t="n">
        <f aca="false">ROUND(K65*100/P65-100,0)</f>
        <v>3</v>
      </c>
      <c r="W65" s="57" t="n">
        <f aca="false">ROUND(N65*100/P65-100,0)</f>
        <v>-0</v>
      </c>
      <c r="Y65" s="43" t="n">
        <v>54</v>
      </c>
    </row>
    <row r="66" s="43" customFormat="true" ht="73.5" hidden="false" customHeight="true" outlineLevel="0" collapsed="false">
      <c r="A66" s="45" t="n">
        <v>55</v>
      </c>
      <c r="B66" s="46" t="s">
        <v>111</v>
      </c>
      <c r="C66" s="47" t="s">
        <v>25</v>
      </c>
      <c r="D66" s="48" t="n">
        <v>480</v>
      </c>
      <c r="E66" s="49" t="n">
        <v>12.38</v>
      </c>
      <c r="F66" s="50" t="n">
        <v>18.6</v>
      </c>
      <c r="G66" s="47" t="s">
        <v>39</v>
      </c>
      <c r="H66" s="52" t="n">
        <v>18.07</v>
      </c>
      <c r="I66" s="53" t="n">
        <f aca="false">D66*H66</f>
        <v>8673.6</v>
      </c>
      <c r="J66" s="47" t="s">
        <v>54</v>
      </c>
      <c r="K66" s="52" t="n">
        <v>17.59</v>
      </c>
      <c r="L66" s="53" t="n">
        <f aca="false">D66*K66</f>
        <v>8443.2</v>
      </c>
      <c r="M66" s="53" t="s">
        <v>41</v>
      </c>
      <c r="N66" s="52" t="n">
        <v>21.07</v>
      </c>
      <c r="O66" s="53" t="n">
        <f aca="false">D66*N66</f>
        <v>10113.6</v>
      </c>
      <c r="P66" s="54" t="n">
        <f aca="false">AVERAGE(H66,K66,N66)</f>
        <v>18.91</v>
      </c>
      <c r="Q66" s="55" t="n">
        <f aca="false">F66*100/P66-100</f>
        <v>-1.63934426229507</v>
      </c>
      <c r="R66" s="54" t="n">
        <f aca="false">D66*F66</f>
        <v>8928</v>
      </c>
      <c r="S66" s="56"/>
      <c r="U66" s="57" t="n">
        <f aca="false">ROUND(H66*100/P66-100,0)</f>
        <v>-4</v>
      </c>
      <c r="V66" s="57" t="n">
        <f aca="false">ROUND(K66*100/P66-100,0)</f>
        <v>-7</v>
      </c>
      <c r="W66" s="57" t="n">
        <f aca="false">ROUND(N66*100/P66-100,0)</f>
        <v>11</v>
      </c>
      <c r="Y66" s="43" t="n">
        <v>55</v>
      </c>
    </row>
    <row r="67" s="43" customFormat="true" ht="73.5" hidden="false" customHeight="true" outlineLevel="0" collapsed="false">
      <c r="A67" s="45" t="n">
        <v>56</v>
      </c>
      <c r="B67" s="46" t="s">
        <v>112</v>
      </c>
      <c r="C67" s="47" t="s">
        <v>25</v>
      </c>
      <c r="D67" s="48" t="n">
        <v>1200</v>
      </c>
      <c r="E67" s="49" t="n">
        <v>25.04</v>
      </c>
      <c r="F67" s="50" t="n">
        <v>33.56</v>
      </c>
      <c r="G67" s="47" t="s">
        <v>39</v>
      </c>
      <c r="H67" s="52" t="n">
        <v>33.19</v>
      </c>
      <c r="I67" s="53" t="n">
        <f aca="false">D67*H67</f>
        <v>39828</v>
      </c>
      <c r="J67" s="47" t="s">
        <v>54</v>
      </c>
      <c r="K67" s="52" t="n">
        <v>36.54</v>
      </c>
      <c r="L67" s="53" t="n">
        <f aca="false">D67*K67</f>
        <v>43848</v>
      </c>
      <c r="M67" s="53" t="s">
        <v>41</v>
      </c>
      <c r="N67" s="52" t="n">
        <v>31.47</v>
      </c>
      <c r="O67" s="53" t="n">
        <f aca="false">D67*N67</f>
        <v>37764</v>
      </c>
      <c r="P67" s="54" t="n">
        <f aca="false">AVERAGE(H67,K67,N67)</f>
        <v>33.7333333333333</v>
      </c>
      <c r="Q67" s="55" t="n">
        <f aca="false">F67*100/P67-100</f>
        <v>-0.513833992094845</v>
      </c>
      <c r="R67" s="54" t="n">
        <f aca="false">D67*F67</f>
        <v>40272</v>
      </c>
      <c r="S67" s="56"/>
      <c r="U67" s="57" t="n">
        <f aca="false">ROUND(H67*100/P67-100,0)</f>
        <v>-2</v>
      </c>
      <c r="V67" s="57" t="n">
        <f aca="false">ROUND(K67*100/P67-100,0)</f>
        <v>8</v>
      </c>
      <c r="W67" s="57" t="n">
        <f aca="false">ROUND(N67*100/P67-100,0)</f>
        <v>-7</v>
      </c>
      <c r="Y67" s="43" t="n">
        <v>56</v>
      </c>
    </row>
    <row r="68" s="43" customFormat="true" ht="73.5" hidden="false" customHeight="true" outlineLevel="0" collapsed="false">
      <c r="A68" s="45" t="n">
        <v>57</v>
      </c>
      <c r="B68" s="46" t="s">
        <v>113</v>
      </c>
      <c r="C68" s="47" t="s">
        <v>25</v>
      </c>
      <c r="D68" s="48" t="n">
        <v>40</v>
      </c>
      <c r="E68" s="49" t="n">
        <v>0.98</v>
      </c>
      <c r="F68" s="50" t="n">
        <v>1.5</v>
      </c>
      <c r="G68" s="47" t="s">
        <v>39</v>
      </c>
      <c r="H68" s="52" t="n">
        <v>1.47</v>
      </c>
      <c r="I68" s="53" t="n">
        <f aca="false">D68*H68</f>
        <v>58.8</v>
      </c>
      <c r="J68" s="47" t="s">
        <v>54</v>
      </c>
      <c r="K68" s="52" t="n">
        <v>1.4</v>
      </c>
      <c r="L68" s="53" t="n">
        <f aca="false">D68*K68</f>
        <v>56</v>
      </c>
      <c r="M68" s="53" t="s">
        <v>41</v>
      </c>
      <c r="N68" s="52" t="n">
        <v>1.65</v>
      </c>
      <c r="O68" s="53" t="n">
        <f aca="false">D68*N68</f>
        <v>66</v>
      </c>
      <c r="P68" s="54" t="n">
        <f aca="false">AVERAGE(H68,K68,N68)</f>
        <v>1.50666666666667</v>
      </c>
      <c r="Q68" s="55" t="n">
        <f aca="false">F68*100/P68-100</f>
        <v>-0.442477876106196</v>
      </c>
      <c r="R68" s="54" t="n">
        <f aca="false">D68*F68</f>
        <v>60</v>
      </c>
      <c r="S68" s="56"/>
      <c r="U68" s="57" t="n">
        <f aca="false">ROUND(H68*100/P68-100,0)</f>
        <v>-2</v>
      </c>
      <c r="V68" s="57" t="n">
        <f aca="false">ROUND(K68*100/P68-100,0)</f>
        <v>-7</v>
      </c>
      <c r="W68" s="57" t="n">
        <f aca="false">ROUND(N68*100/P68-100,0)</f>
        <v>10</v>
      </c>
      <c r="Y68" s="43" t="n">
        <v>57</v>
      </c>
    </row>
    <row r="69" s="43" customFormat="true" ht="73.5" hidden="false" customHeight="true" outlineLevel="0" collapsed="false">
      <c r="A69" s="45" t="n">
        <v>58</v>
      </c>
      <c r="B69" s="46" t="s">
        <v>114</v>
      </c>
      <c r="C69" s="47" t="s">
        <v>25</v>
      </c>
      <c r="D69" s="48" t="n">
        <v>30</v>
      </c>
      <c r="E69" s="49" t="n">
        <v>2.05</v>
      </c>
      <c r="F69" s="50" t="n">
        <v>2.99</v>
      </c>
      <c r="G69" s="47" t="s">
        <v>39</v>
      </c>
      <c r="H69" s="52" t="n">
        <v>2.92</v>
      </c>
      <c r="I69" s="53" t="n">
        <f aca="false">D69*H69</f>
        <v>87.6</v>
      </c>
      <c r="J69" s="47" t="s">
        <v>54</v>
      </c>
      <c r="K69" s="52" t="n">
        <v>3.1</v>
      </c>
      <c r="L69" s="53" t="n">
        <f aca="false">D69*K69</f>
        <v>93</v>
      </c>
      <c r="M69" s="53" t="s">
        <v>41</v>
      </c>
      <c r="N69" s="52" t="n">
        <v>2.98</v>
      </c>
      <c r="O69" s="53" t="n">
        <f aca="false">D69*N69</f>
        <v>89.4</v>
      </c>
      <c r="P69" s="54" t="n">
        <f aca="false">AVERAGE(H69,K69,N69)</f>
        <v>3</v>
      </c>
      <c r="Q69" s="55" t="n">
        <f aca="false">F69*100/P69-100</f>
        <v>-0.333333333333329</v>
      </c>
      <c r="R69" s="54" t="n">
        <f aca="false">D69*F69</f>
        <v>89.7</v>
      </c>
      <c r="S69" s="56"/>
      <c r="U69" s="57" t="n">
        <f aca="false">ROUND(H69*100/P69-100,0)</f>
        <v>-3</v>
      </c>
      <c r="V69" s="57" t="n">
        <f aca="false">ROUND(K69*100/P69-100,0)</f>
        <v>3</v>
      </c>
      <c r="W69" s="57" t="n">
        <f aca="false">ROUND(N69*100/P69-100,0)</f>
        <v>-1</v>
      </c>
      <c r="Y69" s="43" t="n">
        <v>58</v>
      </c>
    </row>
    <row r="70" s="43" customFormat="true" ht="73.5" hidden="true" customHeight="true" outlineLevel="0" collapsed="false">
      <c r="A70" s="45" t="n">
        <v>62</v>
      </c>
      <c r="B70" s="46" t="s">
        <v>115</v>
      </c>
      <c r="C70" s="47" t="s">
        <v>25</v>
      </c>
      <c r="D70" s="48" t="n">
        <v>6</v>
      </c>
      <c r="E70" s="49" t="n">
        <v>208.33</v>
      </c>
      <c r="F70" s="50" t="n">
        <v>208.68</v>
      </c>
      <c r="G70" s="47" t="s">
        <v>39</v>
      </c>
      <c r="H70" s="52" t="n">
        <v>205.33</v>
      </c>
      <c r="I70" s="53" t="n">
        <f aca="false">D70*H70</f>
        <v>1231.98</v>
      </c>
      <c r="J70" s="47" t="s">
        <v>46</v>
      </c>
      <c r="K70" s="52" t="n">
        <v>211.47</v>
      </c>
      <c r="L70" s="53" t="n">
        <f aca="false">D70*K70</f>
        <v>1268.82</v>
      </c>
      <c r="M70" s="53" t="s">
        <v>41</v>
      </c>
      <c r="N70" s="52" t="n">
        <v>210.15</v>
      </c>
      <c r="O70" s="53" t="n">
        <f aca="false">D70*N70</f>
        <v>1260.9</v>
      </c>
      <c r="P70" s="54" t="n">
        <f aca="false">AVERAGE(H70,K70,N70)</f>
        <v>208.983333333333</v>
      </c>
      <c r="Q70" s="55" t="n">
        <f aca="false">F70*100/P70-100</f>
        <v>-0.145147140920329</v>
      </c>
      <c r="R70" s="54" t="n">
        <f aca="false">D70*F70</f>
        <v>1252.08</v>
      </c>
      <c r="S70" s="62" t="s">
        <v>116</v>
      </c>
      <c r="U70" s="57" t="n">
        <f aca="false">ROUND(H70*100/P70-100,0)</f>
        <v>-2</v>
      </c>
      <c r="V70" s="57" t="n">
        <f aca="false">ROUND(K70*100/P70-100,0)</f>
        <v>1</v>
      </c>
      <c r="W70" s="57" t="n">
        <f aca="false">ROUND(N70*100/P70-100,0)</f>
        <v>1</v>
      </c>
      <c r="Y70" s="43" t="n">
        <v>60</v>
      </c>
    </row>
    <row r="71" s="43" customFormat="true" ht="73.5" hidden="false" customHeight="true" outlineLevel="0" collapsed="false">
      <c r="A71" s="45" t="n">
        <v>64</v>
      </c>
      <c r="B71" s="46" t="s">
        <v>117</v>
      </c>
      <c r="C71" s="47" t="s">
        <v>118</v>
      </c>
      <c r="D71" s="48" t="n">
        <v>135</v>
      </c>
      <c r="E71" s="49" t="s">
        <v>26</v>
      </c>
      <c r="F71" s="50" t="n">
        <v>203.5</v>
      </c>
      <c r="G71" s="47" t="s">
        <v>56</v>
      </c>
      <c r="H71" s="52" t="n">
        <v>197.36</v>
      </c>
      <c r="I71" s="53" t="n">
        <f aca="false">D71*H71</f>
        <v>26643.6</v>
      </c>
      <c r="J71" s="47" t="s">
        <v>57</v>
      </c>
      <c r="K71" s="52" t="n">
        <v>220.92</v>
      </c>
      <c r="L71" s="53" t="n">
        <f aca="false">D71*K71</f>
        <v>29824.2</v>
      </c>
      <c r="M71" s="47" t="s">
        <v>119</v>
      </c>
      <c r="N71" s="52" t="n">
        <v>193.78</v>
      </c>
      <c r="O71" s="53" t="n">
        <f aca="false">D71*N71</f>
        <v>26160.3</v>
      </c>
      <c r="P71" s="54" t="n">
        <f aca="false">AVERAGE(H71,K71,N71)</f>
        <v>204.02</v>
      </c>
      <c r="Q71" s="55" t="n">
        <f aca="false">F71*100/P71-100</f>
        <v>-0.254876972845793</v>
      </c>
      <c r="R71" s="54" t="n">
        <f aca="false">D71*F71</f>
        <v>27472.5</v>
      </c>
      <c r="S71" s="62"/>
      <c r="U71" s="57" t="n">
        <f aca="false">ROUND(H71*100/P71-100,0)</f>
        <v>-3</v>
      </c>
      <c r="V71" s="57" t="n">
        <f aca="false">ROUND(K71*100/P71-100,0)</f>
        <v>8</v>
      </c>
      <c r="W71" s="57" t="n">
        <f aca="false">ROUND(N71*100/P71-100,0)</f>
        <v>-5</v>
      </c>
      <c r="Y71" s="43" t="n">
        <v>62</v>
      </c>
    </row>
    <row r="72" s="43" customFormat="true" ht="73.5" hidden="true" customHeight="true" outlineLevel="0" collapsed="false">
      <c r="A72" s="45" t="n">
        <v>65</v>
      </c>
      <c r="B72" s="46" t="s">
        <v>120</v>
      </c>
      <c r="C72" s="47" t="s">
        <v>25</v>
      </c>
      <c r="D72" s="48" t="n">
        <v>6</v>
      </c>
      <c r="E72" s="49" t="n">
        <v>158357</v>
      </c>
      <c r="F72" s="50" t="n">
        <v>175500</v>
      </c>
      <c r="G72" s="47" t="s">
        <v>56</v>
      </c>
      <c r="H72" s="52" t="n">
        <v>167514.67</v>
      </c>
      <c r="I72" s="53" t="n">
        <f aca="false">D72*H72</f>
        <v>1005088.02</v>
      </c>
      <c r="J72" s="47" t="s">
        <v>57</v>
      </c>
      <c r="K72" s="52" t="n">
        <v>184511.4</v>
      </c>
      <c r="L72" s="53" t="n">
        <f aca="false">D72*K72</f>
        <v>1107068.4</v>
      </c>
      <c r="M72" s="47" t="s">
        <v>119</v>
      </c>
      <c r="N72" s="52" t="n">
        <v>175488.6</v>
      </c>
      <c r="O72" s="53" t="n">
        <f aca="false">D72*N72</f>
        <v>1052931.6</v>
      </c>
      <c r="P72" s="54" t="n">
        <f aca="false">AVERAGE(H72,K72,N72)</f>
        <v>175838.223333333</v>
      </c>
      <c r="Q72" s="55" t="n">
        <f aca="false">F72*100/P72-100</f>
        <v>-0.192349153057691</v>
      </c>
      <c r="R72" s="54" t="n">
        <f aca="false">D72*F72</f>
        <v>1053000</v>
      </c>
      <c r="S72" s="62" t="s">
        <v>116</v>
      </c>
      <c r="U72" s="57" t="n">
        <f aca="false">ROUND(H72*100/P72-100,0)</f>
        <v>-5</v>
      </c>
      <c r="V72" s="57" t="n">
        <f aca="false">ROUND(K72*100/P72-100,0)</f>
        <v>5</v>
      </c>
      <c r="W72" s="57" t="n">
        <f aca="false">ROUND(N72*100/P72-100,0)</f>
        <v>-0</v>
      </c>
      <c r="Y72" s="43" t="n">
        <v>63</v>
      </c>
    </row>
    <row r="73" s="43" customFormat="true" ht="73.5" hidden="false" customHeight="true" outlineLevel="0" collapsed="false">
      <c r="A73" s="45" t="n">
        <v>66</v>
      </c>
      <c r="B73" s="46" t="s">
        <v>121</v>
      </c>
      <c r="C73" s="47" t="s">
        <v>25</v>
      </c>
      <c r="D73" s="48" t="n">
        <v>2</v>
      </c>
      <c r="E73" s="49" t="s">
        <v>26</v>
      </c>
      <c r="F73" s="50" t="n">
        <v>219</v>
      </c>
      <c r="G73" s="47" t="s">
        <v>27</v>
      </c>
      <c r="H73" s="52" t="n">
        <f aca="false">261.07/1.2</f>
        <v>217.558333333333</v>
      </c>
      <c r="I73" s="53" t="n">
        <f aca="false">D73*H73</f>
        <v>435.116666666667</v>
      </c>
      <c r="J73" s="53" t="s">
        <v>28</v>
      </c>
      <c r="K73" s="52" t="n">
        <v>221.09</v>
      </c>
      <c r="L73" s="53" t="n">
        <f aca="false">D73*K73</f>
        <v>442.18</v>
      </c>
      <c r="M73" s="47" t="s">
        <v>29</v>
      </c>
      <c r="N73" s="52" t="n">
        <v>220.74</v>
      </c>
      <c r="O73" s="53" t="n">
        <f aca="false">D73*N73</f>
        <v>441.48</v>
      </c>
      <c r="P73" s="54" t="n">
        <f aca="false">AVERAGE(H73,K73,N73)</f>
        <v>219.796111111111</v>
      </c>
      <c r="Q73" s="55" t="n">
        <f aca="false">F73*100/P73-100</f>
        <v>-0.362204366167632</v>
      </c>
      <c r="R73" s="54" t="n">
        <f aca="false">D73*F73</f>
        <v>438</v>
      </c>
      <c r="S73" s="62"/>
      <c r="U73" s="57" t="n">
        <f aca="false">ROUND(H73*100/P73-100,0)</f>
        <v>-1</v>
      </c>
      <c r="V73" s="57" t="n">
        <f aca="false">ROUND(K73*100/P73-100,0)</f>
        <v>1</v>
      </c>
      <c r="W73" s="57" t="n">
        <f aca="false">ROUND(N73*100/P73-100,0)</f>
        <v>0</v>
      </c>
      <c r="Y73" s="43" t="n">
        <v>64</v>
      </c>
    </row>
    <row r="74" s="43" customFormat="true" ht="73.5" hidden="false" customHeight="true" outlineLevel="0" collapsed="false">
      <c r="A74" s="45" t="n">
        <v>67</v>
      </c>
      <c r="B74" s="46" t="s">
        <v>122</v>
      </c>
      <c r="C74" s="47" t="s">
        <v>25</v>
      </c>
      <c r="D74" s="48" t="n">
        <v>12</v>
      </c>
      <c r="E74" s="49" t="n">
        <v>9377.67</v>
      </c>
      <c r="F74" s="50" t="n">
        <v>14005.5</v>
      </c>
      <c r="G74" s="52" t="s">
        <v>67</v>
      </c>
      <c r="H74" s="52" t="n">
        <f aca="false">16424.57/1.2</f>
        <v>13687.1416666667</v>
      </c>
      <c r="I74" s="53" t="n">
        <f aca="false">D74*H74</f>
        <v>164245.7</v>
      </c>
      <c r="J74" s="47" t="s">
        <v>46</v>
      </c>
      <c r="K74" s="52" t="n">
        <v>13897.5</v>
      </c>
      <c r="L74" s="53" t="n">
        <f aca="false">D74*K74</f>
        <v>166770</v>
      </c>
      <c r="M74" s="47" t="s">
        <v>119</v>
      </c>
      <c r="N74" s="52" t="n">
        <v>14510.42</v>
      </c>
      <c r="O74" s="53" t="n">
        <f aca="false">D74*N74</f>
        <v>174125.04</v>
      </c>
      <c r="P74" s="54" t="n">
        <f aca="false">AVERAGE(H74,K74,N74)</f>
        <v>14031.6872222222</v>
      </c>
      <c r="Q74" s="55" t="n">
        <f aca="false">F74*100/P74-100</f>
        <v>-0.186629175860972</v>
      </c>
      <c r="R74" s="54" t="n">
        <f aca="false">D74*F74</f>
        <v>168066</v>
      </c>
      <c r="S74" s="63"/>
      <c r="U74" s="57" t="n">
        <f aca="false">ROUND(H74*100/P74-100,0)</f>
        <v>-2</v>
      </c>
      <c r="V74" s="57" t="n">
        <f aca="false">ROUND(K74*100/P74-100,0)</f>
        <v>-1</v>
      </c>
      <c r="W74" s="57" t="n">
        <f aca="false">ROUND(N74*100/P74-100,0)</f>
        <v>3</v>
      </c>
      <c r="Y74" s="43" t="n">
        <v>65</v>
      </c>
    </row>
    <row r="75" s="43" customFormat="true" ht="73.5" hidden="false" customHeight="true" outlineLevel="0" collapsed="false">
      <c r="A75" s="45" t="n">
        <v>68</v>
      </c>
      <c r="B75" s="46" t="s">
        <v>123</v>
      </c>
      <c r="C75" s="47" t="s">
        <v>25</v>
      </c>
      <c r="D75" s="48" t="n">
        <v>10</v>
      </c>
      <c r="E75" s="49" t="n">
        <v>1536.24</v>
      </c>
      <c r="F75" s="50" t="n">
        <v>1705.6</v>
      </c>
      <c r="G75" s="47" t="s">
        <v>27</v>
      </c>
      <c r="H75" s="52" t="n">
        <f aca="false">2031.58/1.2</f>
        <v>1692.98333333333</v>
      </c>
      <c r="I75" s="53" t="n">
        <f aca="false">D75*H75</f>
        <v>16929.8333333333</v>
      </c>
      <c r="J75" s="53" t="s">
        <v>28</v>
      </c>
      <c r="K75" s="52" t="n">
        <v>1709.88</v>
      </c>
      <c r="L75" s="53" t="n">
        <f aca="false">D75*K75</f>
        <v>17098.8</v>
      </c>
      <c r="M75" s="47" t="s">
        <v>29</v>
      </c>
      <c r="N75" s="52" t="n">
        <v>1726.06</v>
      </c>
      <c r="O75" s="53" t="n">
        <f aca="false">D75*N75</f>
        <v>17260.6</v>
      </c>
      <c r="P75" s="54" t="n">
        <f aca="false">AVERAGE(H75,K75,N75)</f>
        <v>1709.64111111111</v>
      </c>
      <c r="Q75" s="55" t="n">
        <f aca="false">F75*100/P75-100</f>
        <v>-0.236371896115941</v>
      </c>
      <c r="R75" s="54" t="n">
        <f aca="false">D75*F75</f>
        <v>17056</v>
      </c>
      <c r="S75" s="63"/>
      <c r="U75" s="57" t="n">
        <f aca="false">ROUND(H75*100/P75-100,0)</f>
        <v>-1</v>
      </c>
      <c r="V75" s="57" t="n">
        <f aca="false">ROUND(K75*100/P75-100,0)</f>
        <v>0</v>
      </c>
      <c r="W75" s="57" t="n">
        <f aca="false">ROUND(N75*100/P75-100,0)</f>
        <v>1</v>
      </c>
      <c r="Y75" s="43" t="n">
        <v>66</v>
      </c>
    </row>
    <row r="76" s="43" customFormat="true" ht="73.5" hidden="false" customHeight="true" outlineLevel="0" collapsed="false">
      <c r="A76" s="45" t="n">
        <v>69</v>
      </c>
      <c r="B76" s="46" t="s">
        <v>124</v>
      </c>
      <c r="C76" s="47" t="s">
        <v>25</v>
      </c>
      <c r="D76" s="48" t="n">
        <v>3</v>
      </c>
      <c r="E76" s="49" t="n">
        <v>1937.79</v>
      </c>
      <c r="F76" s="50" t="n">
        <v>2340</v>
      </c>
      <c r="G76" s="47" t="s">
        <v>27</v>
      </c>
      <c r="H76" s="52" t="n">
        <f aca="false">2816.81/1.2</f>
        <v>2347.34166666667</v>
      </c>
      <c r="I76" s="53" t="n">
        <f aca="false">D76*H76</f>
        <v>7042.025</v>
      </c>
      <c r="J76" s="53" t="s">
        <v>28</v>
      </c>
      <c r="K76" s="52" t="n">
        <v>2317.52</v>
      </c>
      <c r="L76" s="53" t="n">
        <f aca="false">D76*K76</f>
        <v>6952.56</v>
      </c>
      <c r="M76" s="47" t="s">
        <v>29</v>
      </c>
      <c r="N76" s="52" t="n">
        <v>2358.33</v>
      </c>
      <c r="O76" s="53" t="n">
        <f aca="false">D76*N76</f>
        <v>7074.99</v>
      </c>
      <c r="P76" s="54" t="n">
        <f aca="false">AVERAGE(H76,K76,N76)</f>
        <v>2341.06388888889</v>
      </c>
      <c r="Q76" s="55" t="n">
        <f aca="false">F76*100/P76-100</f>
        <v>-0.0454446755570501</v>
      </c>
      <c r="R76" s="54" t="n">
        <f aca="false">D76*F76</f>
        <v>7020</v>
      </c>
      <c r="S76" s="56"/>
      <c r="U76" s="57" t="n">
        <f aca="false">ROUND(H76*100/P76-100,0)</f>
        <v>0</v>
      </c>
      <c r="V76" s="57" t="n">
        <f aca="false">ROUND(K76*100/P76-100,0)</f>
        <v>-1</v>
      </c>
      <c r="W76" s="57" t="n">
        <f aca="false">ROUND(N76*100/P76-100,0)</f>
        <v>1</v>
      </c>
      <c r="Y76" s="43" t="n">
        <v>67</v>
      </c>
    </row>
    <row r="77" s="43" customFormat="true" ht="73.5" hidden="false" customHeight="true" outlineLevel="0" collapsed="false">
      <c r="A77" s="45" t="n">
        <v>70</v>
      </c>
      <c r="B77" s="46" t="s">
        <v>125</v>
      </c>
      <c r="C77" s="47" t="s">
        <v>25</v>
      </c>
      <c r="D77" s="48" t="n">
        <v>15</v>
      </c>
      <c r="E77" s="49" t="n">
        <v>5173.82</v>
      </c>
      <c r="F77" s="50" t="n">
        <v>5605.6</v>
      </c>
      <c r="G77" s="47" t="s">
        <v>27</v>
      </c>
      <c r="H77" s="52" t="n">
        <f aca="false">6814.33/1.2</f>
        <v>5678.60833333333</v>
      </c>
      <c r="I77" s="53" t="n">
        <f aca="false">D77*H77</f>
        <v>85179.125</v>
      </c>
      <c r="J77" s="53" t="s">
        <v>28</v>
      </c>
      <c r="K77" s="52" t="n">
        <v>5594.41</v>
      </c>
      <c r="L77" s="53" t="n">
        <f aca="false">D77*K77</f>
        <v>83916.15</v>
      </c>
      <c r="M77" s="47" t="s">
        <v>29</v>
      </c>
      <c r="N77" s="52" t="n">
        <v>5611.85</v>
      </c>
      <c r="O77" s="53" t="n">
        <f aca="false">D77*N77</f>
        <v>84177.75</v>
      </c>
      <c r="P77" s="54" t="n">
        <f aca="false">AVERAGE(H77,K77,N77)</f>
        <v>5628.28944444444</v>
      </c>
      <c r="Q77" s="55" t="n">
        <f aca="false">F77*100/P77-100</f>
        <v>-0.403132153532724</v>
      </c>
      <c r="R77" s="54" t="n">
        <f aca="false">D77*F77</f>
        <v>84084</v>
      </c>
      <c r="S77" s="56"/>
      <c r="U77" s="57" t="n">
        <f aca="false">ROUND(H77*100/P77-100,0)</f>
        <v>1</v>
      </c>
      <c r="V77" s="57" t="n">
        <f aca="false">ROUND(K77*100/P77-100,0)</f>
        <v>-1</v>
      </c>
      <c r="W77" s="57" t="n">
        <f aca="false">ROUND(N77*100/P77-100,0)</f>
        <v>-0</v>
      </c>
      <c r="Y77" s="43" t="n">
        <v>68</v>
      </c>
    </row>
    <row r="78" s="43" customFormat="true" ht="73.5" hidden="false" customHeight="true" outlineLevel="0" collapsed="false">
      <c r="A78" s="45" t="n">
        <v>71</v>
      </c>
      <c r="B78" s="46" t="s">
        <v>126</v>
      </c>
      <c r="C78" s="47" t="s">
        <v>25</v>
      </c>
      <c r="D78" s="48" t="n">
        <v>14</v>
      </c>
      <c r="E78" s="49" t="n">
        <v>2701.29</v>
      </c>
      <c r="F78" s="50" t="n">
        <v>3200.5</v>
      </c>
      <c r="G78" s="47" t="s">
        <v>27</v>
      </c>
      <c r="H78" s="52" t="n">
        <f aca="false">3807.04/1.2</f>
        <v>3172.53333333333</v>
      </c>
      <c r="I78" s="53" t="n">
        <f aca="false">D78*H78</f>
        <v>44415.4666666667</v>
      </c>
      <c r="J78" s="53" t="s">
        <v>28</v>
      </c>
      <c r="K78" s="52" t="n">
        <v>3199.28</v>
      </c>
      <c r="L78" s="53" t="n">
        <f aca="false">D78*K78</f>
        <v>44789.92</v>
      </c>
      <c r="M78" s="47" t="s">
        <v>29</v>
      </c>
      <c r="N78" s="52" t="n">
        <v>3253.76</v>
      </c>
      <c r="O78" s="53" t="n">
        <f aca="false">D78*N78</f>
        <v>45552.64</v>
      </c>
      <c r="P78" s="54" t="n">
        <f aca="false">AVERAGE(H78,K78,N78)</f>
        <v>3208.52444444444</v>
      </c>
      <c r="Q78" s="55" t="n">
        <f aca="false">F78*100/P78-100</f>
        <v>-0.250097656520552</v>
      </c>
      <c r="R78" s="54" t="n">
        <f aca="false">D78*F78</f>
        <v>44807</v>
      </c>
      <c r="S78" s="56"/>
      <c r="U78" s="57" t="n">
        <f aca="false">ROUND(H78*100/P78-100,0)</f>
        <v>-1</v>
      </c>
      <c r="V78" s="57" t="n">
        <f aca="false">ROUND(K78*100/P78-100,0)</f>
        <v>-0</v>
      </c>
      <c r="W78" s="57" t="n">
        <f aca="false">ROUND(N78*100/P78-100,0)</f>
        <v>1</v>
      </c>
      <c r="Y78" s="43" t="n">
        <v>69</v>
      </c>
    </row>
    <row r="79" s="43" customFormat="true" ht="73.5" hidden="false" customHeight="true" outlineLevel="0" collapsed="false">
      <c r="A79" s="45" t="n">
        <v>72</v>
      </c>
      <c r="B79" s="46" t="s">
        <v>127</v>
      </c>
      <c r="C79" s="47" t="s">
        <v>25</v>
      </c>
      <c r="D79" s="48" t="n">
        <v>10</v>
      </c>
      <c r="E79" s="49" t="n">
        <v>4624.53</v>
      </c>
      <c r="F79" s="50" t="n">
        <v>5345.3</v>
      </c>
      <c r="G79" s="47" t="s">
        <v>27</v>
      </c>
      <c r="H79" s="52" t="n">
        <f aca="false">6364.89/1.2</f>
        <v>5304.075</v>
      </c>
      <c r="I79" s="53" t="n">
        <f aca="false">D79*H79</f>
        <v>53040.75</v>
      </c>
      <c r="J79" s="53" t="s">
        <v>28</v>
      </c>
      <c r="K79" s="52" t="n">
        <v>5388.67</v>
      </c>
      <c r="L79" s="53" t="n">
        <f aca="false">D79*K79</f>
        <v>53886.7</v>
      </c>
      <c r="M79" s="47" t="s">
        <v>29</v>
      </c>
      <c r="N79" s="52" t="n">
        <v>5357.13</v>
      </c>
      <c r="O79" s="53" t="n">
        <f aca="false">D79*N79</f>
        <v>53571.3</v>
      </c>
      <c r="P79" s="54" t="n">
        <f aca="false">AVERAGE(H79,K79,N79)</f>
        <v>5349.95833333333</v>
      </c>
      <c r="Q79" s="55" t="n">
        <f aca="false">F79*100/P79-100</f>
        <v>-0.0870723292237443</v>
      </c>
      <c r="R79" s="54" t="n">
        <f aca="false">D79*F79</f>
        <v>53453</v>
      </c>
      <c r="S79" s="56"/>
      <c r="U79" s="57" t="n">
        <f aca="false">ROUND(H79*100/P79-100,0)</f>
        <v>-1</v>
      </c>
      <c r="V79" s="57" t="n">
        <f aca="false">ROUND(K79*100/P79-100,0)</f>
        <v>1</v>
      </c>
      <c r="W79" s="57" t="n">
        <f aca="false">ROUND(N79*100/P79-100,0)</f>
        <v>0</v>
      </c>
      <c r="Y79" s="43" t="n">
        <v>70</v>
      </c>
    </row>
    <row r="80" s="43" customFormat="true" ht="73.5" hidden="false" customHeight="true" outlineLevel="0" collapsed="false">
      <c r="A80" s="45" t="n">
        <v>74</v>
      </c>
      <c r="B80" s="46" t="s">
        <v>128</v>
      </c>
      <c r="C80" s="47" t="s">
        <v>25</v>
      </c>
      <c r="D80" s="48" t="n">
        <v>76</v>
      </c>
      <c r="E80" s="49" t="n">
        <v>5161.74</v>
      </c>
      <c r="F80" s="50" t="n">
        <v>5560.15</v>
      </c>
      <c r="G80" s="47" t="s">
        <v>27</v>
      </c>
      <c r="H80" s="52" t="n">
        <f aca="false">6612.37/1.2</f>
        <v>5510.30833333333</v>
      </c>
      <c r="I80" s="53" t="n">
        <f aca="false">D80*H80</f>
        <v>418783.433333333</v>
      </c>
      <c r="J80" s="53" t="s">
        <v>28</v>
      </c>
      <c r="K80" s="52" t="n">
        <v>5580.04</v>
      </c>
      <c r="L80" s="53" t="n">
        <f aca="false">D80*K80</f>
        <v>424083.04</v>
      </c>
      <c r="M80" s="47" t="s">
        <v>29</v>
      </c>
      <c r="N80" s="52" t="n">
        <v>5607.97</v>
      </c>
      <c r="O80" s="53" t="n">
        <f aca="false">D80*N80</f>
        <v>426205.72</v>
      </c>
      <c r="P80" s="54" t="n">
        <f aca="false">AVERAGE(H80,K80,N80)</f>
        <v>5566.10611111111</v>
      </c>
      <c r="Q80" s="55" t="n">
        <f aca="false">F80*100/P80-100</f>
        <v>-0.107006783417617</v>
      </c>
      <c r="R80" s="54" t="n">
        <f aca="false">D80*F80</f>
        <v>422571.4</v>
      </c>
      <c r="S80" s="56"/>
      <c r="U80" s="57" t="n">
        <f aca="false">ROUND(H80*100/P80-100,0)</f>
        <v>-1</v>
      </c>
      <c r="V80" s="57" t="n">
        <f aca="false">ROUND(K80*100/P80-100,0)</f>
        <v>0</v>
      </c>
      <c r="W80" s="57" t="n">
        <f aca="false">ROUND(N80*100/P80-100,0)</f>
        <v>1</v>
      </c>
      <c r="Y80" s="43" t="n">
        <v>71</v>
      </c>
    </row>
    <row r="81" s="43" customFormat="true" ht="73.5" hidden="false" customHeight="true" outlineLevel="0" collapsed="false">
      <c r="A81" s="45" t="n">
        <v>75</v>
      </c>
      <c r="B81" s="46" t="s">
        <v>129</v>
      </c>
      <c r="C81" s="47" t="s">
        <v>25</v>
      </c>
      <c r="D81" s="48" t="n">
        <v>5</v>
      </c>
      <c r="E81" s="49" t="n">
        <v>316.82</v>
      </c>
      <c r="F81" s="50" t="n">
        <v>543.5</v>
      </c>
      <c r="G81" s="47" t="s">
        <v>27</v>
      </c>
      <c r="H81" s="52" t="n">
        <f aca="false">638.2/1.2</f>
        <v>531.833333333333</v>
      </c>
      <c r="I81" s="53" t="n">
        <f aca="false">D81*H81</f>
        <v>2659.16666666667</v>
      </c>
      <c r="J81" s="53" t="s">
        <v>28</v>
      </c>
      <c r="K81" s="52" t="n">
        <f aca="false">671.58/1.2</f>
        <v>559.65</v>
      </c>
      <c r="L81" s="53" t="n">
        <f aca="false">D81*K81</f>
        <v>2798.25</v>
      </c>
      <c r="M81" s="47" t="s">
        <v>29</v>
      </c>
      <c r="N81" s="52" t="n">
        <v>541.09</v>
      </c>
      <c r="O81" s="53" t="n">
        <f aca="false">D81*N81</f>
        <v>2705.45</v>
      </c>
      <c r="P81" s="54" t="n">
        <f aca="false">AVERAGE(H81,K81,N81)</f>
        <v>544.191111111111</v>
      </c>
      <c r="Q81" s="55" t="n">
        <f aca="false">F81*100/P81-100</f>
        <v>-0.126997868395904</v>
      </c>
      <c r="R81" s="54" t="n">
        <f aca="false">D81*F81</f>
        <v>2717.5</v>
      </c>
      <c r="S81" s="56"/>
      <c r="U81" s="57" t="n">
        <f aca="false">ROUND(H81*100/P81-100,0)</f>
        <v>-2</v>
      </c>
      <c r="V81" s="57" t="n">
        <f aca="false">ROUND(K81*100/P81-100,0)</f>
        <v>3</v>
      </c>
      <c r="W81" s="57" t="n">
        <f aca="false">ROUND(N81*100/P81-100,0)</f>
        <v>-1</v>
      </c>
      <c r="Y81" s="43" t="n">
        <v>72</v>
      </c>
    </row>
    <row r="82" s="43" customFormat="true" ht="73.5" hidden="false" customHeight="true" outlineLevel="0" collapsed="false">
      <c r="A82" s="45" t="n">
        <v>77</v>
      </c>
      <c r="B82" s="46" t="s">
        <v>130</v>
      </c>
      <c r="C82" s="47" t="s">
        <v>25</v>
      </c>
      <c r="D82" s="48" t="s">
        <v>131</v>
      </c>
      <c r="E82" s="49" t="s">
        <v>26</v>
      </c>
      <c r="F82" s="50" t="n">
        <v>0.94</v>
      </c>
      <c r="G82" s="47" t="s">
        <v>39</v>
      </c>
      <c r="H82" s="52" t="n">
        <f aca="false">88.7/100</f>
        <v>0.887</v>
      </c>
      <c r="I82" s="53" t="n">
        <f aca="false">D82*H82</f>
        <v>7096</v>
      </c>
      <c r="J82" s="47" t="s">
        <v>54</v>
      </c>
      <c r="K82" s="52" t="n">
        <v>0.94</v>
      </c>
      <c r="L82" s="53" t="n">
        <f aca="false">D82*K82</f>
        <v>7520</v>
      </c>
      <c r="M82" s="53" t="s">
        <v>41</v>
      </c>
      <c r="N82" s="52" t="n">
        <v>1.02</v>
      </c>
      <c r="O82" s="53" t="n">
        <f aca="false">D82*N82</f>
        <v>8160</v>
      </c>
      <c r="P82" s="54" t="n">
        <f aca="false">AVERAGE(H82,K82,N82)</f>
        <v>0.949</v>
      </c>
      <c r="Q82" s="55" t="n">
        <f aca="false">F82*100/P82-100</f>
        <v>-0.948366701791358</v>
      </c>
      <c r="R82" s="54" t="n">
        <f aca="false">D82*F82</f>
        <v>7520</v>
      </c>
      <c r="S82" s="56"/>
      <c r="U82" s="57" t="n">
        <f aca="false">ROUND(H82*100/P82-100,0)</f>
        <v>-7</v>
      </c>
      <c r="V82" s="57" t="n">
        <f aca="false">ROUND(K82*100/P82-100,0)</f>
        <v>-1</v>
      </c>
      <c r="W82" s="57" t="n">
        <f aca="false">ROUND(N82*100/P82-100,0)</f>
        <v>7</v>
      </c>
      <c r="Y82" s="43" t="n">
        <v>74</v>
      </c>
    </row>
    <row r="83" s="43" customFormat="true" ht="73.5" hidden="false" customHeight="true" outlineLevel="0" collapsed="false">
      <c r="A83" s="45" t="n">
        <v>78</v>
      </c>
      <c r="B83" s="46" t="s">
        <v>132</v>
      </c>
      <c r="C83" s="47" t="s">
        <v>25</v>
      </c>
      <c r="D83" s="48" t="n">
        <v>17</v>
      </c>
      <c r="E83" s="49" t="n">
        <v>506.55</v>
      </c>
      <c r="F83" s="50" t="n">
        <v>542.5</v>
      </c>
      <c r="G83" s="47" t="s">
        <v>27</v>
      </c>
      <c r="H83" s="52" t="n">
        <f aca="false">609.85/1.2</f>
        <v>508.208333333333</v>
      </c>
      <c r="I83" s="53" t="n">
        <f aca="false">D83*H83</f>
        <v>8639.54166666667</v>
      </c>
      <c r="J83" s="53" t="s">
        <v>28</v>
      </c>
      <c r="K83" s="52" t="n">
        <v>553.87</v>
      </c>
      <c r="L83" s="53" t="n">
        <f aca="false">D83*K83</f>
        <v>9415.79</v>
      </c>
      <c r="M83" s="47" t="s">
        <v>29</v>
      </c>
      <c r="N83" s="52" t="n">
        <v>567.42</v>
      </c>
      <c r="O83" s="53" t="n">
        <f aca="false">D83*N83</f>
        <v>9646.14</v>
      </c>
      <c r="P83" s="54" t="n">
        <f aca="false">AVERAGE(H83,K83,N83)</f>
        <v>543.166111111111</v>
      </c>
      <c r="Q83" s="55" t="n">
        <f aca="false">F83*100/P83-100</f>
        <v>-0.122634880469349</v>
      </c>
      <c r="R83" s="54" t="n">
        <f aca="false">D83*F83</f>
        <v>9222.5</v>
      </c>
      <c r="S83" s="63"/>
      <c r="U83" s="57" t="n">
        <f aca="false">ROUND(H83*100/P83-100,0)</f>
        <v>-6</v>
      </c>
      <c r="V83" s="57" t="n">
        <f aca="false">ROUND(K83*100/P83-100,0)</f>
        <v>2</v>
      </c>
      <c r="W83" s="57" t="n">
        <f aca="false">ROUND(N83*100/P83-100,0)</f>
        <v>4</v>
      </c>
      <c r="Y83" s="43" t="n">
        <v>75</v>
      </c>
    </row>
    <row r="84" s="43" customFormat="true" ht="73.5" hidden="true" customHeight="true" outlineLevel="0" collapsed="false">
      <c r="A84" s="45" t="n">
        <v>79</v>
      </c>
      <c r="B84" s="46" t="s">
        <v>133</v>
      </c>
      <c r="C84" s="47" t="s">
        <v>25</v>
      </c>
      <c r="D84" s="48" t="n">
        <v>10</v>
      </c>
      <c r="E84" s="49" t="n">
        <v>74.18</v>
      </c>
      <c r="F84" s="50" t="n">
        <v>37.5</v>
      </c>
      <c r="G84" s="47" t="s">
        <v>39</v>
      </c>
      <c r="H84" s="52" t="n">
        <v>33.14</v>
      </c>
      <c r="I84" s="53" t="n">
        <f aca="false">D84*H84</f>
        <v>331.4</v>
      </c>
      <c r="J84" s="47" t="s">
        <v>54</v>
      </c>
      <c r="K84" s="52" t="n">
        <v>39.51</v>
      </c>
      <c r="L84" s="53" t="n">
        <f aca="false">D84*K84</f>
        <v>395.1</v>
      </c>
      <c r="M84" s="47" t="s">
        <v>29</v>
      </c>
      <c r="N84" s="52" t="n">
        <v>40.06</v>
      </c>
      <c r="O84" s="53" t="n">
        <f aca="false">D84*N84</f>
        <v>400.6</v>
      </c>
      <c r="P84" s="54" t="n">
        <f aca="false">AVERAGE(H84,K84,N84)</f>
        <v>37.57</v>
      </c>
      <c r="Q84" s="55" t="n">
        <f aca="false">F84*100/P84-100</f>
        <v>-0.18631887143998</v>
      </c>
      <c r="R84" s="54" t="n">
        <f aca="false">D84*F84</f>
        <v>375</v>
      </c>
      <c r="S84" s="62" t="s">
        <v>116</v>
      </c>
      <c r="U84" s="57" t="n">
        <f aca="false">ROUND(H84*100/P84-100,0)</f>
        <v>-12</v>
      </c>
      <c r="V84" s="57" t="n">
        <f aca="false">ROUND(K84*100/P84-100,0)</f>
        <v>5</v>
      </c>
      <c r="W84" s="57" t="n">
        <f aca="false">ROUND(N84*100/P84-100,0)</f>
        <v>7</v>
      </c>
      <c r="Y84" s="43" t="n">
        <v>76</v>
      </c>
    </row>
    <row r="85" s="43" customFormat="true" ht="73.5" hidden="false" customHeight="true" outlineLevel="0" collapsed="false">
      <c r="A85" s="45" t="n">
        <v>80</v>
      </c>
      <c r="B85" s="46" t="s">
        <v>134</v>
      </c>
      <c r="C85" s="47" t="s">
        <v>25</v>
      </c>
      <c r="D85" s="48" t="n">
        <v>100</v>
      </c>
      <c r="E85" s="49" t="n">
        <v>85.13</v>
      </c>
      <c r="F85" s="50" t="n">
        <v>139</v>
      </c>
      <c r="G85" s="47" t="s">
        <v>27</v>
      </c>
      <c r="H85" s="52" t="n">
        <f aca="false">159.86/1.2</f>
        <v>133.216666666667</v>
      </c>
      <c r="I85" s="53" t="n">
        <f aca="false">D85*H85</f>
        <v>13321.6666666667</v>
      </c>
      <c r="J85" s="53" t="s">
        <v>28</v>
      </c>
      <c r="K85" s="52" t="n">
        <v>140.09</v>
      </c>
      <c r="L85" s="53" t="n">
        <f aca="false">D85*K85</f>
        <v>14009</v>
      </c>
      <c r="M85" s="47" t="s">
        <v>29</v>
      </c>
      <c r="N85" s="52" t="n">
        <v>145.05</v>
      </c>
      <c r="O85" s="53" t="n">
        <f aca="false">D85*N85</f>
        <v>14505</v>
      </c>
      <c r="P85" s="54" t="n">
        <f aca="false">AVERAGE(H85,K85,N85)</f>
        <v>139.452222222222</v>
      </c>
      <c r="Q85" s="55" t="n">
        <f aca="false">F85*100/P85-100</f>
        <v>-0.324284701251713</v>
      </c>
      <c r="R85" s="54" t="n">
        <f aca="false">D85*F85</f>
        <v>13900</v>
      </c>
      <c r="S85" s="63"/>
      <c r="U85" s="57" t="n">
        <f aca="false">ROUND(H85*100/P85-100,0)</f>
        <v>-4</v>
      </c>
      <c r="V85" s="57" t="n">
        <f aca="false">ROUND(K85*100/P85-100,0)</f>
        <v>0</v>
      </c>
      <c r="W85" s="57" t="n">
        <f aca="false">ROUND(N85*100/P85-100,0)</f>
        <v>4</v>
      </c>
      <c r="Y85" s="43" t="n">
        <v>77</v>
      </c>
    </row>
    <row r="86" s="43" customFormat="true" ht="73.5" hidden="false" customHeight="true" outlineLevel="0" collapsed="false">
      <c r="A86" s="45" t="n">
        <v>81</v>
      </c>
      <c r="B86" s="46" t="s">
        <v>135</v>
      </c>
      <c r="C86" s="47" t="s">
        <v>25</v>
      </c>
      <c r="D86" s="48" t="n">
        <v>10</v>
      </c>
      <c r="E86" s="49" t="n">
        <v>2783.91</v>
      </c>
      <c r="F86" s="50" t="n">
        <v>2928.4</v>
      </c>
      <c r="G86" s="47" t="s">
        <v>27</v>
      </c>
      <c r="H86" s="52" t="n">
        <f aca="false">3373.67/1.2</f>
        <v>2811.39166666667</v>
      </c>
      <c r="I86" s="53" t="n">
        <f aca="false">D86*H86</f>
        <v>28113.9166666667</v>
      </c>
      <c r="J86" s="53" t="s">
        <v>28</v>
      </c>
      <c r="K86" s="52" t="n">
        <f aca="false">3608.66/1.2</f>
        <v>3007.21666666667</v>
      </c>
      <c r="L86" s="53" t="n">
        <f aca="false">D86*K86</f>
        <v>30072.1666666667</v>
      </c>
      <c r="M86" s="47" t="s">
        <v>29</v>
      </c>
      <c r="N86" s="52" t="n">
        <v>2973.43</v>
      </c>
      <c r="O86" s="53" t="n">
        <f aca="false">D86*N86</f>
        <v>29734.3</v>
      </c>
      <c r="P86" s="54" t="n">
        <f aca="false">AVERAGE(H86,K86,N86)</f>
        <v>2930.67944444444</v>
      </c>
      <c r="Q86" s="55" t="n">
        <f aca="false">F86*100/P86-100</f>
        <v>-0.0777787024358929</v>
      </c>
      <c r="R86" s="54" t="n">
        <f aca="false">D86*F86</f>
        <v>29284</v>
      </c>
      <c r="S86" s="63"/>
      <c r="U86" s="57" t="n">
        <f aca="false">ROUND(H86*100/P86-100,0)</f>
        <v>-4</v>
      </c>
      <c r="V86" s="57" t="n">
        <f aca="false">ROUND(K86*100/P86-100,0)</f>
        <v>3</v>
      </c>
      <c r="W86" s="57" t="n">
        <f aca="false">ROUND(N86*100/P86-100,0)</f>
        <v>1</v>
      </c>
      <c r="Y86" s="43" t="n">
        <v>78</v>
      </c>
    </row>
    <row r="87" s="43" customFormat="true" ht="73.5" hidden="false" customHeight="true" outlineLevel="0" collapsed="false">
      <c r="A87" s="45" t="n">
        <v>82</v>
      </c>
      <c r="B87" s="46" t="s">
        <v>136</v>
      </c>
      <c r="C87" s="47" t="s">
        <v>25</v>
      </c>
      <c r="D87" s="48" t="n">
        <v>31</v>
      </c>
      <c r="E87" s="49" t="n">
        <v>9908.74</v>
      </c>
      <c r="F87" s="50" t="n">
        <v>10103.6</v>
      </c>
      <c r="G87" s="47" t="s">
        <v>27</v>
      </c>
      <c r="H87" s="52" t="n">
        <f aca="false">12295.88/1.2</f>
        <v>10246.5666666667</v>
      </c>
      <c r="I87" s="53" t="n">
        <f aca="false">D87*H87</f>
        <v>317643.566666667</v>
      </c>
      <c r="J87" s="53" t="s">
        <v>28</v>
      </c>
      <c r="K87" s="52" t="n">
        <f aca="false">11961.83/1.2</f>
        <v>9968.19166666667</v>
      </c>
      <c r="L87" s="53" t="n">
        <f aca="false">D87*K87</f>
        <v>309013.941666667</v>
      </c>
      <c r="M87" s="47" t="s">
        <v>29</v>
      </c>
      <c r="N87" s="52" t="n">
        <v>10105.82</v>
      </c>
      <c r="O87" s="53" t="n">
        <f aca="false">D87*N87</f>
        <v>313280.42</v>
      </c>
      <c r="P87" s="54" t="n">
        <f aca="false">AVERAGE(H87,K87,N87)</f>
        <v>10106.8594444444</v>
      </c>
      <c r="Q87" s="55" t="n">
        <f aca="false">F87*100/P87-100</f>
        <v>-0.032249824610318</v>
      </c>
      <c r="R87" s="54" t="n">
        <f aca="false">D87*F87</f>
        <v>313211.6</v>
      </c>
      <c r="S87" s="63"/>
      <c r="U87" s="57" t="n">
        <f aca="false">ROUND(H87*100/P87-100,0)</f>
        <v>1</v>
      </c>
      <c r="V87" s="57" t="n">
        <f aca="false">ROUND(K87*100/P87-100,0)</f>
        <v>-1</v>
      </c>
      <c r="W87" s="57" t="n">
        <f aca="false">ROUND(N87*100/P87-100,0)</f>
        <v>-0</v>
      </c>
      <c r="Y87" s="43" t="n">
        <v>79</v>
      </c>
    </row>
    <row r="88" s="43" customFormat="true" ht="73.5" hidden="false" customHeight="true" outlineLevel="0" collapsed="false">
      <c r="A88" s="45" t="n">
        <v>83</v>
      </c>
      <c r="B88" s="46" t="s">
        <v>137</v>
      </c>
      <c r="C88" s="47" t="s">
        <v>25</v>
      </c>
      <c r="D88" s="48" t="n">
        <v>48</v>
      </c>
      <c r="E88" s="49" t="n">
        <v>1270.67</v>
      </c>
      <c r="F88" s="50" t="n">
        <v>1361.15</v>
      </c>
      <c r="G88" s="47" t="s">
        <v>27</v>
      </c>
      <c r="H88" s="52" t="n">
        <f aca="false">1705.33/1.2</f>
        <v>1421.10833333333</v>
      </c>
      <c r="I88" s="53" t="n">
        <f aca="false">D88*H88</f>
        <v>68213.2</v>
      </c>
      <c r="J88" s="53" t="s">
        <v>28</v>
      </c>
      <c r="K88" s="52" t="n">
        <f aca="false">1553.32/1.2</f>
        <v>1294.43333333333</v>
      </c>
      <c r="L88" s="53" t="n">
        <f aca="false">D88*K88</f>
        <v>62132.8</v>
      </c>
      <c r="M88" s="47" t="s">
        <v>29</v>
      </c>
      <c r="N88" s="52" t="n">
        <v>1382.77</v>
      </c>
      <c r="O88" s="53" t="n">
        <f aca="false">D88*N88</f>
        <v>66372.96</v>
      </c>
      <c r="P88" s="54" t="n">
        <f aca="false">AVERAGE(H88,K88,N88)</f>
        <v>1366.10388888889</v>
      </c>
      <c r="Q88" s="55" t="n">
        <f aca="false">F88*100/P88-100</f>
        <v>-0.362629001291992</v>
      </c>
      <c r="R88" s="54" t="n">
        <f aca="false">D88*F88</f>
        <v>65335.2</v>
      </c>
      <c r="S88" s="63"/>
      <c r="U88" s="57" t="n">
        <f aca="false">ROUND(H88*100/P88-100,0)</f>
        <v>4</v>
      </c>
      <c r="V88" s="57" t="n">
        <f aca="false">ROUND(K88*100/P88-100,0)</f>
        <v>-5</v>
      </c>
      <c r="W88" s="57" t="n">
        <f aca="false">ROUND(N88*100/P88-100,0)</f>
        <v>1</v>
      </c>
      <c r="Y88" s="43" t="n">
        <v>80</v>
      </c>
    </row>
    <row r="89" s="43" customFormat="true" ht="73.5" hidden="false" customHeight="true" outlineLevel="0" collapsed="false">
      <c r="A89" s="45" t="n">
        <v>84</v>
      </c>
      <c r="B89" s="46" t="s">
        <v>138</v>
      </c>
      <c r="C89" s="47" t="s">
        <v>25</v>
      </c>
      <c r="D89" s="48" t="n">
        <v>75</v>
      </c>
      <c r="E89" s="49" t="n">
        <v>118.26</v>
      </c>
      <c r="F89" s="50" t="n">
        <v>163.1</v>
      </c>
      <c r="G89" s="47" t="s">
        <v>27</v>
      </c>
      <c r="H89" s="52" t="n">
        <f aca="false">194.31/1.2</f>
        <v>161.925</v>
      </c>
      <c r="I89" s="53" t="n">
        <f aca="false">D89*H89</f>
        <v>12144.375</v>
      </c>
      <c r="J89" s="53" t="s">
        <v>28</v>
      </c>
      <c r="K89" s="52" t="n">
        <v>159.03</v>
      </c>
      <c r="L89" s="53" t="n">
        <f aca="false">D89*K89</f>
        <v>11927.25</v>
      </c>
      <c r="M89" s="47" t="s">
        <v>29</v>
      </c>
      <c r="N89" s="52" t="n">
        <v>168.77</v>
      </c>
      <c r="O89" s="53" t="n">
        <f aca="false">D89*N89</f>
        <v>12657.75</v>
      </c>
      <c r="P89" s="54" t="n">
        <f aca="false">AVERAGE(H89,K89,N89)</f>
        <v>163.241666666667</v>
      </c>
      <c r="Q89" s="55" t="n">
        <f aca="false">F89*100/P89-100</f>
        <v>-0.0867833988462934</v>
      </c>
      <c r="R89" s="54" t="n">
        <f aca="false">D89*F89</f>
        <v>12232.5</v>
      </c>
      <c r="S89" s="63"/>
      <c r="U89" s="57" t="n">
        <f aca="false">ROUND(H89*100/P89-100,0)</f>
        <v>-1</v>
      </c>
      <c r="V89" s="57" t="n">
        <f aca="false">ROUND(K89*100/P89-100,0)</f>
        <v>-3</v>
      </c>
      <c r="W89" s="57" t="n">
        <f aca="false">ROUND(N89*100/P89-100,0)</f>
        <v>3</v>
      </c>
      <c r="Y89" s="43" t="n">
        <v>81</v>
      </c>
    </row>
    <row r="90" s="43" customFormat="true" ht="73.5" hidden="false" customHeight="true" outlineLevel="0" collapsed="false">
      <c r="A90" s="45" t="n">
        <v>85</v>
      </c>
      <c r="B90" s="46" t="s">
        <v>139</v>
      </c>
      <c r="C90" s="47" t="s">
        <v>25</v>
      </c>
      <c r="D90" s="48" t="n">
        <v>75</v>
      </c>
      <c r="E90" s="49" t="n">
        <v>108.73</v>
      </c>
      <c r="F90" s="50" t="n">
        <v>134.2</v>
      </c>
      <c r="G90" s="47" t="s">
        <v>27</v>
      </c>
      <c r="H90" s="52" t="n">
        <f aca="false">157.25/1.2</f>
        <v>131.041666666667</v>
      </c>
      <c r="I90" s="53" t="n">
        <f aca="false">D90*H90</f>
        <v>9828.125</v>
      </c>
      <c r="J90" s="53" t="s">
        <v>28</v>
      </c>
      <c r="K90" s="52" t="n">
        <v>138.74</v>
      </c>
      <c r="L90" s="53" t="n">
        <f aca="false">D90*K90</f>
        <v>10405.5</v>
      </c>
      <c r="M90" s="47" t="s">
        <v>29</v>
      </c>
      <c r="N90" s="52" t="n">
        <v>135.51</v>
      </c>
      <c r="O90" s="53" t="n">
        <f aca="false">D90*N90</f>
        <v>10163.25</v>
      </c>
      <c r="P90" s="54" t="n">
        <f aca="false">AVERAGE(H90,K90,N90)</f>
        <v>135.097222222222</v>
      </c>
      <c r="Q90" s="55" t="n">
        <f aca="false">F90*100/P90-100</f>
        <v>-0.664130770021615</v>
      </c>
      <c r="R90" s="54" t="n">
        <f aca="false">D90*F90</f>
        <v>10065</v>
      </c>
      <c r="S90" s="56"/>
      <c r="U90" s="57" t="n">
        <f aca="false">ROUND(H90*100/P90-100,0)</f>
        <v>-3</v>
      </c>
      <c r="V90" s="57" t="n">
        <f aca="false">ROUND(K90*100/P90-100,0)</f>
        <v>3</v>
      </c>
      <c r="W90" s="57" t="n">
        <f aca="false">ROUND(N90*100/P90-100,0)</f>
        <v>0</v>
      </c>
      <c r="Y90" s="43" t="n">
        <v>82</v>
      </c>
    </row>
    <row r="91" s="43" customFormat="true" ht="73.5" hidden="false" customHeight="true" outlineLevel="0" collapsed="false">
      <c r="A91" s="45" t="n">
        <v>86</v>
      </c>
      <c r="B91" s="46" t="s">
        <v>140</v>
      </c>
      <c r="C91" s="47" t="s">
        <v>25</v>
      </c>
      <c r="D91" s="48" t="s">
        <v>141</v>
      </c>
      <c r="E91" s="49" t="s">
        <v>142</v>
      </c>
      <c r="F91" s="50" t="n">
        <v>1361.34</v>
      </c>
      <c r="G91" s="47" t="s">
        <v>27</v>
      </c>
      <c r="H91" s="52" t="n">
        <f aca="false">1705.33/1.2</f>
        <v>1421.10833333333</v>
      </c>
      <c r="I91" s="53" t="n">
        <f aca="false">D91*H91</f>
        <v>29843.275</v>
      </c>
      <c r="J91" s="53" t="s">
        <v>28</v>
      </c>
      <c r="K91" s="52" t="n">
        <f aca="false">1553.32/1.2</f>
        <v>1294.43333333333</v>
      </c>
      <c r="L91" s="53" t="n">
        <f aca="false">D91*K91</f>
        <v>27183.1</v>
      </c>
      <c r="M91" s="47" t="s">
        <v>29</v>
      </c>
      <c r="N91" s="52" t="n">
        <v>1382.77</v>
      </c>
      <c r="O91" s="53" t="n">
        <f aca="false">D91*N91</f>
        <v>29038.17</v>
      </c>
      <c r="P91" s="54" t="n">
        <f aca="false">AVERAGE(H91,K91,N91)</f>
        <v>1366.10388888889</v>
      </c>
      <c r="Q91" s="55" t="n">
        <f aca="false">F91*100/P91-100</f>
        <v>-0.348720835043039</v>
      </c>
      <c r="R91" s="54" t="n">
        <f aca="false">D91*F91</f>
        <v>28588.14</v>
      </c>
      <c r="S91" s="56"/>
      <c r="U91" s="57" t="n">
        <f aca="false">ROUND(H91*100/P91-100,0)</f>
        <v>4</v>
      </c>
      <c r="V91" s="57" t="n">
        <f aca="false">ROUND(K91*100/P91-100,0)</f>
        <v>-5</v>
      </c>
      <c r="W91" s="57" t="n">
        <f aca="false">ROUND(N91*100/P91-100,0)</f>
        <v>1</v>
      </c>
      <c r="Y91" s="43" t="n">
        <v>83</v>
      </c>
    </row>
    <row r="92" s="43" customFormat="true" ht="73.5" hidden="false" customHeight="true" outlineLevel="0" collapsed="false">
      <c r="A92" s="45" t="n">
        <v>87</v>
      </c>
      <c r="B92" s="46" t="s">
        <v>143</v>
      </c>
      <c r="C92" s="47" t="s">
        <v>25</v>
      </c>
      <c r="D92" s="48" t="n">
        <v>274</v>
      </c>
      <c r="E92" s="49" t="n">
        <v>1481.84</v>
      </c>
      <c r="F92" s="50" t="n">
        <v>1765.2</v>
      </c>
      <c r="G92" s="47" t="s">
        <v>27</v>
      </c>
      <c r="H92" s="52" t="n">
        <f aca="false">2103.82/1.2</f>
        <v>1753.18333333333</v>
      </c>
      <c r="I92" s="53" t="n">
        <f aca="false">D92*H92</f>
        <v>480372.233333333</v>
      </c>
      <c r="J92" s="53" t="s">
        <v>28</v>
      </c>
      <c r="K92" s="52" t="n">
        <v>1799.62</v>
      </c>
      <c r="L92" s="53" t="n">
        <f aca="false">D92*K92</f>
        <v>493095.88</v>
      </c>
      <c r="M92" s="47" t="s">
        <v>29</v>
      </c>
      <c r="N92" s="52" t="n">
        <v>1751.94</v>
      </c>
      <c r="O92" s="53" t="n">
        <f aca="false">D92*N92</f>
        <v>480031.56</v>
      </c>
      <c r="P92" s="54" t="n">
        <f aca="false">AVERAGE(H92,K92,N92)</f>
        <v>1768.24777777778</v>
      </c>
      <c r="Q92" s="55" t="n">
        <f aca="false">F92*100/P92-100</f>
        <v>-0.172361465179279</v>
      </c>
      <c r="R92" s="54" t="n">
        <f aca="false">D92*F92</f>
        <v>483664.8</v>
      </c>
      <c r="S92" s="56"/>
      <c r="U92" s="57" t="n">
        <f aca="false">ROUND(H92*100/P92-100,0)</f>
        <v>-1</v>
      </c>
      <c r="V92" s="57" t="n">
        <f aca="false">ROUND(K92*100/P92-100,0)</f>
        <v>2</v>
      </c>
      <c r="W92" s="57" t="n">
        <f aca="false">ROUND(N92*100/P92-100,0)</f>
        <v>-1</v>
      </c>
      <c r="Y92" s="43" t="n">
        <v>84</v>
      </c>
    </row>
    <row r="93" s="43" customFormat="true" ht="73.5" hidden="false" customHeight="true" outlineLevel="0" collapsed="false">
      <c r="A93" s="45" t="n">
        <v>88</v>
      </c>
      <c r="B93" s="46" t="s">
        <v>144</v>
      </c>
      <c r="C93" s="47" t="s">
        <v>25</v>
      </c>
      <c r="D93" s="48" t="n">
        <v>50</v>
      </c>
      <c r="E93" s="49" t="n">
        <v>839.17</v>
      </c>
      <c r="F93" s="50" t="n">
        <v>832</v>
      </c>
      <c r="G93" s="47" t="s">
        <v>27</v>
      </c>
      <c r="H93" s="52" t="n">
        <f aca="false">983.07/1.2</f>
        <v>819.225</v>
      </c>
      <c r="I93" s="53" t="n">
        <f aca="false">D93*H93</f>
        <v>40961.25</v>
      </c>
      <c r="J93" s="53" t="s">
        <v>28</v>
      </c>
      <c r="K93" s="52" t="n">
        <v>825.76</v>
      </c>
      <c r="L93" s="53" t="n">
        <f aca="false">D93*K93</f>
        <v>41288</v>
      </c>
      <c r="M93" s="47" t="s">
        <v>29</v>
      </c>
      <c r="N93" s="52" t="n">
        <v>857.11</v>
      </c>
      <c r="O93" s="53" t="n">
        <f aca="false">D93*N93</f>
        <v>42855.5</v>
      </c>
      <c r="P93" s="54" t="n">
        <f aca="false">AVERAGE(H93,K93,N93)</f>
        <v>834.031666666667</v>
      </c>
      <c r="Q93" s="55" t="n">
        <f aca="false">F93*100/P93-100</f>
        <v>-0.243595866663739</v>
      </c>
      <c r="R93" s="54" t="n">
        <f aca="false">D93*F93</f>
        <v>41600</v>
      </c>
      <c r="S93" s="56"/>
      <c r="U93" s="57" t="n">
        <f aca="false">ROUND(H93*100/P93-100,0)</f>
        <v>-2</v>
      </c>
      <c r="V93" s="57" t="n">
        <f aca="false">ROUND(K93*100/P93-100,0)</f>
        <v>-1</v>
      </c>
      <c r="W93" s="57" t="n">
        <f aca="false">ROUND(N93*100/P93-100,0)</f>
        <v>3</v>
      </c>
      <c r="Y93" s="43" t="n">
        <v>85</v>
      </c>
    </row>
    <row r="94" s="43" customFormat="true" ht="73.5" hidden="false" customHeight="true" outlineLevel="0" collapsed="false">
      <c r="A94" s="45" t="n">
        <v>89</v>
      </c>
      <c r="B94" s="46" t="s">
        <v>145</v>
      </c>
      <c r="C94" s="47" t="s">
        <v>25</v>
      </c>
      <c r="D94" s="48" t="n">
        <v>459</v>
      </c>
      <c r="E94" s="49" t="n">
        <v>1644.39</v>
      </c>
      <c r="F94" s="50" t="n">
        <v>1660.5</v>
      </c>
      <c r="G94" s="47" t="s">
        <v>27</v>
      </c>
      <c r="H94" s="52" t="n">
        <f aca="false">1972.84/1.2</f>
        <v>1644.03333333333</v>
      </c>
      <c r="I94" s="53" t="n">
        <f aca="false">D94*H94</f>
        <v>754611.3</v>
      </c>
      <c r="J94" s="53" t="s">
        <v>28</v>
      </c>
      <c r="K94" s="52" t="n">
        <v>1689.93</v>
      </c>
      <c r="L94" s="53" t="n">
        <f aca="false">D94*K94</f>
        <v>775677.87</v>
      </c>
      <c r="M94" s="47" t="s">
        <v>29</v>
      </c>
      <c r="N94" s="52" t="n">
        <v>1650.69</v>
      </c>
      <c r="O94" s="53" t="n">
        <f aca="false">D94*N94</f>
        <v>757666.71</v>
      </c>
      <c r="P94" s="54" t="n">
        <f aca="false">AVERAGE(H94,K94,N94)</f>
        <v>1661.55111111111</v>
      </c>
      <c r="Q94" s="55" t="n">
        <f aca="false">F94*100/P94-100</f>
        <v>-0.0632608352570117</v>
      </c>
      <c r="R94" s="54" t="n">
        <f aca="false">D94*F94</f>
        <v>762169.5</v>
      </c>
      <c r="S94" s="56"/>
      <c r="U94" s="57" t="n">
        <f aca="false">ROUND(H94*100/P94-100,0)</f>
        <v>-1</v>
      </c>
      <c r="V94" s="57" t="n">
        <f aca="false">ROUND(K94*100/P94-100,0)</f>
        <v>2</v>
      </c>
      <c r="W94" s="57" t="n">
        <f aca="false">ROUND(N94*100/P94-100,0)</f>
        <v>-1</v>
      </c>
      <c r="Y94" s="43" t="n">
        <v>86</v>
      </c>
    </row>
    <row r="95" s="43" customFormat="true" ht="73.5" hidden="false" customHeight="true" outlineLevel="0" collapsed="false">
      <c r="A95" s="45" t="n">
        <v>90</v>
      </c>
      <c r="B95" s="46" t="s">
        <v>146</v>
      </c>
      <c r="C95" s="47" t="s">
        <v>147</v>
      </c>
      <c r="D95" s="48" t="n">
        <v>50</v>
      </c>
      <c r="E95" s="49" t="n">
        <v>109.43</v>
      </c>
      <c r="F95" s="50" t="n">
        <v>130.9</v>
      </c>
      <c r="G95" s="51" t="s">
        <v>90</v>
      </c>
      <c r="H95" s="52" t="n">
        <f aca="false">148.16/1.2</f>
        <v>123.466666666667</v>
      </c>
      <c r="I95" s="53" t="n">
        <f aca="false">H95*D95</f>
        <v>6173.33333333333</v>
      </c>
      <c r="J95" s="51" t="s">
        <v>148</v>
      </c>
      <c r="K95" s="52" t="n">
        <f aca="false">151.19/1.2</f>
        <v>125.991666666667</v>
      </c>
      <c r="L95" s="53" t="n">
        <f aca="false">D95*K95</f>
        <v>6299.58333333333</v>
      </c>
      <c r="M95" s="51" t="s">
        <v>149</v>
      </c>
      <c r="N95" s="52" t="n">
        <f aca="false">173.44/1.2</f>
        <v>144.533333333333</v>
      </c>
      <c r="O95" s="53" t="n">
        <f aca="false">D95*N95</f>
        <v>7226.66666666667</v>
      </c>
      <c r="P95" s="54" t="n">
        <f aca="false">AVERAGE(H95,K95,N95)</f>
        <v>131.330555555556</v>
      </c>
      <c r="Q95" s="55" t="n">
        <f aca="false">F95*100/P95-100</f>
        <v>-0.327841113390718</v>
      </c>
      <c r="R95" s="54" t="n">
        <f aca="false">D95*F95</f>
        <v>6545</v>
      </c>
      <c r="S95" s="56"/>
      <c r="U95" s="57" t="n">
        <f aca="false">ROUND(H95*100/P95-100,0)</f>
        <v>-6</v>
      </c>
      <c r="V95" s="57" t="n">
        <f aca="false">ROUND(K95*100/P95-100,0)</f>
        <v>-4</v>
      </c>
      <c r="W95" s="57" t="n">
        <f aca="false">ROUND(N95*100/P95-100,0)</f>
        <v>10</v>
      </c>
      <c r="Y95" s="43" t="n">
        <v>87</v>
      </c>
    </row>
    <row r="96" s="43" customFormat="true" ht="73.5" hidden="false" customHeight="true" outlineLevel="0" collapsed="false">
      <c r="A96" s="45" t="n">
        <v>91</v>
      </c>
      <c r="B96" s="46" t="s">
        <v>150</v>
      </c>
      <c r="C96" s="47" t="s">
        <v>147</v>
      </c>
      <c r="D96" s="48" t="n">
        <v>20</v>
      </c>
      <c r="E96" s="49" t="n">
        <v>242.15</v>
      </c>
      <c r="F96" s="50" t="n">
        <v>256.7</v>
      </c>
      <c r="G96" s="51" t="s">
        <v>90</v>
      </c>
      <c r="H96" s="52" t="n">
        <f aca="false">327.19/1.2</f>
        <v>272.658333333333</v>
      </c>
      <c r="I96" s="53" t="n">
        <f aca="false">H96*D96</f>
        <v>5453.16666666667</v>
      </c>
      <c r="J96" s="51" t="s">
        <v>148</v>
      </c>
      <c r="K96" s="52" t="n">
        <f aca="false">297.67/1.2</f>
        <v>248.058333333333</v>
      </c>
      <c r="L96" s="53" t="n">
        <f aca="false">D96*K96</f>
        <v>4961.16666666667</v>
      </c>
      <c r="M96" s="51" t="s">
        <v>149</v>
      </c>
      <c r="N96" s="52" t="n">
        <f aca="false">305.74/1.2</f>
        <v>254.783333333333</v>
      </c>
      <c r="O96" s="53" t="n">
        <f aca="false">D96*N96</f>
        <v>5095.66666666667</v>
      </c>
      <c r="P96" s="54" t="n">
        <f aca="false">AVERAGE(H96,K96,N96)</f>
        <v>258.5</v>
      </c>
      <c r="Q96" s="55" t="n">
        <f aca="false">F96*100/P96-100</f>
        <v>-0.696324951644129</v>
      </c>
      <c r="R96" s="54" t="n">
        <f aca="false">D96*F96</f>
        <v>5134</v>
      </c>
      <c r="S96" s="56"/>
      <c r="U96" s="57" t="n">
        <f aca="false">ROUND(H96*100/P96-100,0)</f>
        <v>5</v>
      </c>
      <c r="V96" s="57" t="n">
        <f aca="false">ROUND(K96*100/P96-100,0)</f>
        <v>-4</v>
      </c>
      <c r="W96" s="57" t="n">
        <f aca="false">ROUND(N96*100/P96-100,0)</f>
        <v>-1</v>
      </c>
      <c r="Y96" s="43" t="n">
        <v>88</v>
      </c>
    </row>
    <row r="97" s="43" customFormat="true" ht="73.5" hidden="false" customHeight="true" outlineLevel="0" collapsed="false">
      <c r="A97" s="45" t="n">
        <v>92</v>
      </c>
      <c r="B97" s="46" t="s">
        <v>151</v>
      </c>
      <c r="C97" s="47" t="s">
        <v>147</v>
      </c>
      <c r="D97" s="48" t="n">
        <v>50</v>
      </c>
      <c r="E97" s="49" t="n">
        <v>3006.84</v>
      </c>
      <c r="F97" s="50" t="n">
        <v>3181.4</v>
      </c>
      <c r="G97" s="51" t="s">
        <v>90</v>
      </c>
      <c r="H97" s="52" t="n">
        <f aca="false">3780.88/1.2</f>
        <v>3150.73333333333</v>
      </c>
      <c r="I97" s="53" t="n">
        <f aca="false">H97*D97</f>
        <v>157536.666666667</v>
      </c>
      <c r="J97" s="51" t="s">
        <v>148</v>
      </c>
      <c r="K97" s="52" t="n">
        <f aca="false">3719.2/1.2</f>
        <v>3099.33333333333</v>
      </c>
      <c r="L97" s="53" t="n">
        <f aca="false">D97*K97</f>
        <v>154966.666666667</v>
      </c>
      <c r="M97" s="51" t="s">
        <v>149</v>
      </c>
      <c r="N97" s="52" t="n">
        <f aca="false">3960.29/1.2</f>
        <v>3300.24166666667</v>
      </c>
      <c r="O97" s="53" t="n">
        <f aca="false">D97*N97</f>
        <v>165012.083333333</v>
      </c>
      <c r="P97" s="54" t="n">
        <f aca="false">AVERAGE(H97,K97,N97)</f>
        <v>3183.43611111111</v>
      </c>
      <c r="Q97" s="55" t="n">
        <f aca="false">F97*100/P97-100</f>
        <v>-0.0639595405733076</v>
      </c>
      <c r="R97" s="54" t="n">
        <f aca="false">D97*F97</f>
        <v>159070</v>
      </c>
      <c r="S97" s="56"/>
      <c r="U97" s="57" t="n">
        <f aca="false">ROUND(H97*100/P97-100,0)</f>
        <v>-1</v>
      </c>
      <c r="V97" s="57" t="n">
        <f aca="false">ROUND(K97*100/P97-100,0)</f>
        <v>-3</v>
      </c>
      <c r="W97" s="57" t="n">
        <f aca="false">ROUND(N97*100/P97-100,0)</f>
        <v>4</v>
      </c>
      <c r="Y97" s="43" t="n">
        <v>89</v>
      </c>
    </row>
    <row r="98" s="43" customFormat="true" ht="73.5" hidden="false" customHeight="true" outlineLevel="0" collapsed="false">
      <c r="A98" s="45" t="n">
        <v>93</v>
      </c>
      <c r="B98" s="46" t="s">
        <v>152</v>
      </c>
      <c r="C98" s="47" t="s">
        <v>147</v>
      </c>
      <c r="D98" s="48" t="n">
        <v>20</v>
      </c>
      <c r="E98" s="49" t="n">
        <v>317.14</v>
      </c>
      <c r="F98" s="50" t="n">
        <v>348.66</v>
      </c>
      <c r="G98" s="51" t="s">
        <v>90</v>
      </c>
      <c r="H98" s="52" t="n">
        <f aca="false">424.93/1.2</f>
        <v>354.108333333333</v>
      </c>
      <c r="I98" s="53" t="n">
        <f aca="false">H98*D98</f>
        <v>7082.16666666667</v>
      </c>
      <c r="J98" s="51" t="s">
        <v>148</v>
      </c>
      <c r="K98" s="52" t="n">
        <f aca="false">387.54/1.2</f>
        <v>322.95</v>
      </c>
      <c r="L98" s="53" t="n">
        <f aca="false">D98*K98</f>
        <v>6459</v>
      </c>
      <c r="M98" s="51" t="s">
        <v>149</v>
      </c>
      <c r="N98" s="52" t="n">
        <f aca="false">450.43/1.2</f>
        <v>375.358333333333</v>
      </c>
      <c r="O98" s="53" t="n">
        <f aca="false">D98*N98</f>
        <v>7507.16666666667</v>
      </c>
      <c r="P98" s="54" t="n">
        <f aca="false">AVERAGE(H98,K98,N98)</f>
        <v>350.805555555556</v>
      </c>
      <c r="Q98" s="55" t="n">
        <f aca="false">F98*100/P98-100</f>
        <v>-0.611608203341532</v>
      </c>
      <c r="R98" s="54" t="n">
        <f aca="false">D98*F98</f>
        <v>6973.2</v>
      </c>
      <c r="S98" s="56"/>
      <c r="U98" s="57" t="n">
        <f aca="false">ROUND(H98*100/P98-100,0)</f>
        <v>1</v>
      </c>
      <c r="V98" s="57" t="n">
        <f aca="false">ROUND(K98*100/P98-100,0)</f>
        <v>-8</v>
      </c>
      <c r="W98" s="57" t="n">
        <f aca="false">ROUND(N98*100/P98-100,0)</f>
        <v>7</v>
      </c>
      <c r="Y98" s="43" t="n">
        <v>90</v>
      </c>
    </row>
    <row r="99" s="43" customFormat="true" ht="92.25" hidden="false" customHeight="true" outlineLevel="0" collapsed="false">
      <c r="A99" s="45" t="n">
        <v>94</v>
      </c>
      <c r="B99" s="46" t="s">
        <v>153</v>
      </c>
      <c r="C99" s="64" t="s">
        <v>154</v>
      </c>
      <c r="D99" s="65" t="n">
        <v>0.5</v>
      </c>
      <c r="E99" s="49" t="s">
        <v>26</v>
      </c>
      <c r="F99" s="50" t="n">
        <f aca="false">253.56*1000</f>
        <v>253560</v>
      </c>
      <c r="G99" s="51" t="s">
        <v>90</v>
      </c>
      <c r="H99" s="52" t="n">
        <f aca="false">327.58/1.2*1000</f>
        <v>272983.333333333</v>
      </c>
      <c r="I99" s="53" t="n">
        <f aca="false">H99*D99</f>
        <v>136491.666666667</v>
      </c>
      <c r="J99" s="51" t="s">
        <v>148</v>
      </c>
      <c r="K99" s="52" t="n">
        <f aca="false">286.76/1.2*1000</f>
        <v>238966.666666667</v>
      </c>
      <c r="L99" s="53" t="n">
        <f aca="false">D99*K99</f>
        <v>119483.333333333</v>
      </c>
      <c r="M99" s="51" t="s">
        <v>149</v>
      </c>
      <c r="N99" s="52" t="n">
        <f aca="false">300.53/1.2*1000</f>
        <v>250441.666666667</v>
      </c>
      <c r="O99" s="53" t="n">
        <f aca="false">D99*N99</f>
        <v>125220.833333333</v>
      </c>
      <c r="P99" s="54" t="n">
        <f aca="false">AVERAGE(H99,K99,N99)</f>
        <v>254130.555555556</v>
      </c>
      <c r="Q99" s="55" t="n">
        <f aca="false">F99*100/P99-100</f>
        <v>-0.224512772306468</v>
      </c>
      <c r="R99" s="54" t="n">
        <f aca="false">D99*F99</f>
        <v>126780</v>
      </c>
      <c r="S99" s="56"/>
      <c r="U99" s="57" t="n">
        <f aca="false">ROUND(H99*100/P99-100,0)</f>
        <v>7</v>
      </c>
      <c r="V99" s="57" t="n">
        <f aca="false">ROUND(K99*100/P99-100,0)</f>
        <v>-6</v>
      </c>
      <c r="W99" s="57" t="n">
        <f aca="false">ROUND(N99*100/P99-100,0)</f>
        <v>-1</v>
      </c>
      <c r="Y99" s="43" t="n">
        <v>91</v>
      </c>
    </row>
    <row r="100" s="43" customFormat="true" ht="73.5" hidden="false" customHeight="true" outlineLevel="0" collapsed="false">
      <c r="A100" s="45" t="n">
        <v>95</v>
      </c>
      <c r="B100" s="46" t="s">
        <v>155</v>
      </c>
      <c r="C100" s="47" t="s">
        <v>25</v>
      </c>
      <c r="D100" s="48" t="n">
        <v>4</v>
      </c>
      <c r="E100" s="49" t="s">
        <v>26</v>
      </c>
      <c r="F100" s="50" t="n">
        <v>122.9</v>
      </c>
      <c r="G100" s="47" t="s">
        <v>27</v>
      </c>
      <c r="H100" s="52" t="n">
        <f aca="false">142.75/1.2</f>
        <v>118.958333333333</v>
      </c>
      <c r="I100" s="53" t="n">
        <f aca="false">D100*H100</f>
        <v>475.833333333333</v>
      </c>
      <c r="J100" s="53" t="s">
        <v>28</v>
      </c>
      <c r="K100" s="52" t="n">
        <v>122.36</v>
      </c>
      <c r="L100" s="53" t="n">
        <f aca="false">D100*K100</f>
        <v>489.44</v>
      </c>
      <c r="M100" s="47" t="s">
        <v>29</v>
      </c>
      <c r="N100" s="52" t="n">
        <v>129.47</v>
      </c>
      <c r="O100" s="53" t="n">
        <f aca="false">D100*N100</f>
        <v>517.88</v>
      </c>
      <c r="P100" s="54" t="n">
        <f aca="false">AVERAGE(H100,K100,N100)</f>
        <v>123.596111111111</v>
      </c>
      <c r="Q100" s="55" t="n">
        <f aca="false">F100*100/P100-100</f>
        <v>-0.563214412535459</v>
      </c>
      <c r="R100" s="54" t="n">
        <f aca="false">D100*F100</f>
        <v>491.6</v>
      </c>
      <c r="S100" s="56"/>
      <c r="U100" s="57" t="n">
        <f aca="false">ROUND(H100*100/P100-100,0)</f>
        <v>-4</v>
      </c>
      <c r="V100" s="57" t="n">
        <f aca="false">ROUND(K100*100/P100-100,0)</f>
        <v>-1</v>
      </c>
      <c r="W100" s="57" t="n">
        <f aca="false">ROUND(N100*100/P100-100,0)</f>
        <v>5</v>
      </c>
      <c r="Y100" s="43" t="n">
        <v>92</v>
      </c>
    </row>
    <row r="101" s="43" customFormat="true" ht="73.5" hidden="false" customHeight="true" outlineLevel="0" collapsed="false">
      <c r="A101" s="45" t="n">
        <v>96</v>
      </c>
      <c r="B101" s="46" t="s">
        <v>156</v>
      </c>
      <c r="C101" s="47" t="s">
        <v>25</v>
      </c>
      <c r="D101" s="48" t="s">
        <v>157</v>
      </c>
      <c r="E101" s="49" t="s">
        <v>26</v>
      </c>
      <c r="F101" s="50" t="n">
        <v>296587.13</v>
      </c>
      <c r="G101" s="47" t="s">
        <v>56</v>
      </c>
      <c r="H101" s="52" t="n">
        <v>291473.5</v>
      </c>
      <c r="I101" s="53" t="n">
        <f aca="false">D101*H101</f>
        <v>1457367.5</v>
      </c>
      <c r="J101" s="47" t="s">
        <v>57</v>
      </c>
      <c r="K101" s="52" t="n">
        <v>301685</v>
      </c>
      <c r="L101" s="53" t="n">
        <f aca="false">D101*K101</f>
        <v>1508425</v>
      </c>
      <c r="M101" s="47" t="s">
        <v>119</v>
      </c>
      <c r="N101" s="52" t="n">
        <v>298069</v>
      </c>
      <c r="O101" s="53" t="n">
        <f aca="false">D101*N101</f>
        <v>1490345</v>
      </c>
      <c r="P101" s="54" t="n">
        <f aca="false">AVERAGE(H101,K101,N101)</f>
        <v>297075.833333333</v>
      </c>
      <c r="Q101" s="55" t="n">
        <f aca="false">F101*100/P101-100</f>
        <v>-0.164504573748005</v>
      </c>
      <c r="R101" s="54" t="n">
        <f aca="false">D101*F101</f>
        <v>1482935.65</v>
      </c>
      <c r="S101" s="56"/>
      <c r="U101" s="57" t="n">
        <f aca="false">ROUND(H101*100/P101-100,0)</f>
        <v>-2</v>
      </c>
      <c r="V101" s="57" t="n">
        <f aca="false">ROUND(K101*100/P101-100,0)</f>
        <v>2</v>
      </c>
      <c r="W101" s="57" t="n">
        <f aca="false">ROUND(N101*100/P101-100,0)</f>
        <v>0</v>
      </c>
      <c r="Y101" s="43" t="n">
        <v>93</v>
      </c>
    </row>
    <row r="102" s="43" customFormat="true" ht="73.5" hidden="false" customHeight="true" outlineLevel="0" collapsed="false">
      <c r="A102" s="45" t="n">
        <v>97</v>
      </c>
      <c r="B102" s="46" t="s">
        <v>158</v>
      </c>
      <c r="C102" s="47" t="s">
        <v>25</v>
      </c>
      <c r="D102" s="48" t="n">
        <v>39</v>
      </c>
      <c r="E102" s="49" t="s">
        <v>26</v>
      </c>
      <c r="F102" s="50" t="n">
        <v>104.2</v>
      </c>
      <c r="G102" s="47" t="s">
        <v>27</v>
      </c>
      <c r="H102" s="52" t="n">
        <f aca="false">120.19/1.2</f>
        <v>100.158333333333</v>
      </c>
      <c r="I102" s="53" t="n">
        <f aca="false">D102*H102</f>
        <v>3906.175</v>
      </c>
      <c r="J102" s="53" t="s">
        <v>28</v>
      </c>
      <c r="K102" s="52" t="n">
        <v>97.82</v>
      </c>
      <c r="L102" s="53" t="n">
        <f aca="false">D102*K102</f>
        <v>3814.98</v>
      </c>
      <c r="M102" s="47" t="s">
        <v>29</v>
      </c>
      <c r="N102" s="52" t="n">
        <v>115.39</v>
      </c>
      <c r="O102" s="53" t="n">
        <f aca="false">D102*N102</f>
        <v>4500.21</v>
      </c>
      <c r="P102" s="54" t="n">
        <f aca="false">AVERAGE(H102,K102,N102)</f>
        <v>104.456111111111</v>
      </c>
      <c r="Q102" s="55" t="n">
        <f aca="false">F102*100/P102-100</f>
        <v>-0.245185378229024</v>
      </c>
      <c r="R102" s="54" t="n">
        <f aca="false">D102*F102</f>
        <v>4063.8</v>
      </c>
      <c r="S102" s="56"/>
      <c r="U102" s="57" t="n">
        <f aca="false">ROUND(H102*100/P102-100,0)</f>
        <v>-4</v>
      </c>
      <c r="V102" s="57" t="n">
        <f aca="false">ROUND(K102*100/P102-100,0)</f>
        <v>-6</v>
      </c>
      <c r="W102" s="57" t="n">
        <f aca="false">ROUND(N102*100/P102-100,0)</f>
        <v>10</v>
      </c>
      <c r="Y102" s="43" t="n">
        <v>94</v>
      </c>
    </row>
    <row r="103" s="43" customFormat="true" ht="73.5" hidden="false" customHeight="true" outlineLevel="0" collapsed="false">
      <c r="A103" s="45" t="n">
        <v>98</v>
      </c>
      <c r="B103" s="46" t="s">
        <v>159</v>
      </c>
      <c r="C103" s="47" t="s">
        <v>25</v>
      </c>
      <c r="D103" s="48" t="n">
        <v>65</v>
      </c>
      <c r="E103" s="49" t="s">
        <v>26</v>
      </c>
      <c r="F103" s="50" t="n">
        <v>125.1</v>
      </c>
      <c r="G103" s="47" t="s">
        <v>27</v>
      </c>
      <c r="H103" s="52" t="n">
        <f aca="false">143.32/1.2</f>
        <v>119.433333333333</v>
      </c>
      <c r="I103" s="53" t="n">
        <f aca="false">D103*H103</f>
        <v>7763.16666666667</v>
      </c>
      <c r="J103" s="53" t="s">
        <v>28</v>
      </c>
      <c r="K103" s="52" t="n">
        <v>130.07</v>
      </c>
      <c r="L103" s="53" t="n">
        <f aca="false">D103*K103</f>
        <v>8454.55</v>
      </c>
      <c r="M103" s="47" t="s">
        <v>29</v>
      </c>
      <c r="N103" s="52" t="n">
        <v>127.08</v>
      </c>
      <c r="O103" s="53" t="n">
        <f aca="false">D103*N103</f>
        <v>8260.2</v>
      </c>
      <c r="P103" s="54" t="n">
        <f aca="false">AVERAGE(H103,K103,N103)</f>
        <v>125.527777777778</v>
      </c>
      <c r="Q103" s="55" t="n">
        <f aca="false">F103*100/P103-100</f>
        <v>-0.340783359150251</v>
      </c>
      <c r="R103" s="54" t="n">
        <f aca="false">D103*F103</f>
        <v>8131.5</v>
      </c>
      <c r="S103" s="56"/>
      <c r="U103" s="57" t="n">
        <f aca="false">ROUND(H103*100/P103-100,0)</f>
        <v>-5</v>
      </c>
      <c r="V103" s="57" t="n">
        <f aca="false">ROUND(K103*100/P103-100,0)</f>
        <v>4</v>
      </c>
      <c r="W103" s="57" t="n">
        <f aca="false">ROUND(N103*100/P103-100,0)</f>
        <v>1</v>
      </c>
      <c r="Y103" s="43" t="n">
        <v>95</v>
      </c>
    </row>
    <row r="104" s="43" customFormat="true" ht="73.5" hidden="false" customHeight="true" outlineLevel="0" collapsed="false">
      <c r="A104" s="45" t="n">
        <v>99</v>
      </c>
      <c r="B104" s="46" t="s">
        <v>160</v>
      </c>
      <c r="C104" s="47" t="s">
        <v>25</v>
      </c>
      <c r="D104" s="48" t="n">
        <v>8</v>
      </c>
      <c r="E104" s="49" t="s">
        <v>26</v>
      </c>
      <c r="F104" s="50" t="n">
        <v>19.5</v>
      </c>
      <c r="G104" s="47" t="s">
        <v>27</v>
      </c>
      <c r="H104" s="52" t="n">
        <f aca="false">1097.79/50/1.2</f>
        <v>18.2965</v>
      </c>
      <c r="I104" s="53" t="n">
        <f aca="false">D104*H104</f>
        <v>146.372</v>
      </c>
      <c r="J104" s="53" t="s">
        <v>28</v>
      </c>
      <c r="K104" s="52" t="n">
        <v>20.51</v>
      </c>
      <c r="L104" s="53" t="n">
        <f aca="false">D104*K104</f>
        <v>164.08</v>
      </c>
      <c r="M104" s="47" t="s">
        <v>29</v>
      </c>
      <c r="N104" s="52" t="n">
        <v>21.22</v>
      </c>
      <c r="O104" s="53" t="n">
        <f aca="false">D104*N104</f>
        <v>169.76</v>
      </c>
      <c r="P104" s="54" t="n">
        <f aca="false">AVERAGE(H104,K104,N104)</f>
        <v>20.0088333333333</v>
      </c>
      <c r="Q104" s="55" t="n">
        <f aca="false">F104*100/P104-100</f>
        <v>-2.54304348912562</v>
      </c>
      <c r="R104" s="54" t="n">
        <f aca="false">D104*F104</f>
        <v>156</v>
      </c>
      <c r="S104" s="56"/>
      <c r="U104" s="57" t="n">
        <f aca="false">ROUND(H104*100/P104-100,0)</f>
        <v>-9</v>
      </c>
      <c r="V104" s="57" t="n">
        <f aca="false">ROUND(K104*100/P104-100,0)</f>
        <v>3</v>
      </c>
      <c r="W104" s="57" t="n">
        <f aca="false">ROUND(N104*100/P104-100,0)</f>
        <v>6</v>
      </c>
      <c r="Y104" s="43" t="n">
        <v>96</v>
      </c>
    </row>
    <row r="105" s="43" customFormat="true" ht="73.5" hidden="false" customHeight="true" outlineLevel="0" collapsed="false">
      <c r="A105" s="45" t="n">
        <v>100</v>
      </c>
      <c r="B105" s="46" t="s">
        <v>161</v>
      </c>
      <c r="C105" s="47" t="s">
        <v>25</v>
      </c>
      <c r="D105" s="48" t="n">
        <v>1190</v>
      </c>
      <c r="E105" s="49" t="n">
        <v>51.92</v>
      </c>
      <c r="F105" s="50" t="n">
        <v>57.5</v>
      </c>
      <c r="G105" s="47" t="s">
        <v>27</v>
      </c>
      <c r="H105" s="52" t="n">
        <f aca="false">3253.27/1.2/50</f>
        <v>54.2211666666667</v>
      </c>
      <c r="I105" s="53" t="n">
        <f aca="false">D105*H105</f>
        <v>64523.1883333333</v>
      </c>
      <c r="J105" s="53" t="s">
        <v>28</v>
      </c>
      <c r="K105" s="52" t="n">
        <v>59.4</v>
      </c>
      <c r="L105" s="53" t="n">
        <f aca="false">D105*K105</f>
        <v>70686</v>
      </c>
      <c r="M105" s="47" t="s">
        <v>29</v>
      </c>
      <c r="N105" s="52" t="n">
        <v>60.13</v>
      </c>
      <c r="O105" s="53" t="n">
        <f aca="false">D105*N105</f>
        <v>71554.7</v>
      </c>
      <c r="P105" s="54" t="n">
        <f aca="false">AVERAGE(H105,K105,N105)</f>
        <v>57.9170555555556</v>
      </c>
      <c r="Q105" s="55" t="n">
        <f aca="false">F105*100/P105-100</f>
        <v>-0.7200910881174</v>
      </c>
      <c r="R105" s="54" t="n">
        <f aca="false">D105*F105</f>
        <v>68425</v>
      </c>
      <c r="S105" s="56"/>
      <c r="U105" s="57" t="n">
        <f aca="false">ROUND(H105*100/P105-100,0)</f>
        <v>-6</v>
      </c>
      <c r="V105" s="57" t="n">
        <f aca="false">ROUND(K105*100/P105-100,0)</f>
        <v>3</v>
      </c>
      <c r="W105" s="57" t="n">
        <f aca="false">ROUND(N105*100/P105-100,0)</f>
        <v>4</v>
      </c>
      <c r="Y105" s="43" t="n">
        <v>97</v>
      </c>
    </row>
    <row r="106" s="43" customFormat="true" ht="73.5" hidden="false" customHeight="true" outlineLevel="0" collapsed="false">
      <c r="A106" s="45" t="n">
        <v>101</v>
      </c>
      <c r="B106" s="46" t="s">
        <v>162</v>
      </c>
      <c r="C106" s="47" t="s">
        <v>25</v>
      </c>
      <c r="D106" s="48" t="n">
        <v>3</v>
      </c>
      <c r="E106" s="49" t="n">
        <v>442.83</v>
      </c>
      <c r="F106" s="50" t="n">
        <v>444.12</v>
      </c>
      <c r="G106" s="47" t="s">
        <v>27</v>
      </c>
      <c r="H106" s="52" t="n">
        <f aca="false">528.04/1.2</f>
        <v>440.033333333333</v>
      </c>
      <c r="I106" s="53" t="n">
        <f aca="false">D106*H106</f>
        <v>1320.1</v>
      </c>
      <c r="J106" s="53" t="s">
        <v>28</v>
      </c>
      <c r="K106" s="52" t="n">
        <v>451.75</v>
      </c>
      <c r="L106" s="53" t="n">
        <f aca="false">D106*K106</f>
        <v>1355.25</v>
      </c>
      <c r="M106" s="47" t="s">
        <v>29</v>
      </c>
      <c r="N106" s="52" t="n">
        <v>442.56</v>
      </c>
      <c r="O106" s="53" t="n">
        <f aca="false">D106*N106</f>
        <v>1327.68</v>
      </c>
      <c r="P106" s="54" t="n">
        <f aca="false">AVERAGE(H106,K106,N106)</f>
        <v>444.781111111111</v>
      </c>
      <c r="Q106" s="55" t="n">
        <f aca="false">F106*100/P106-100</f>
        <v>-0.148637407164074</v>
      </c>
      <c r="R106" s="54" t="n">
        <f aca="false">D106*F106</f>
        <v>1332.36</v>
      </c>
      <c r="S106" s="56"/>
      <c r="U106" s="57" t="n">
        <f aca="false">ROUND(H106*100/P106-100,0)</f>
        <v>-1</v>
      </c>
      <c r="V106" s="57" t="n">
        <f aca="false">ROUND(K106*100/P106-100,0)</f>
        <v>2</v>
      </c>
      <c r="W106" s="57" t="n">
        <f aca="false">ROUND(N106*100/P106-100,0)</f>
        <v>-0</v>
      </c>
      <c r="Y106" s="43" t="n">
        <v>98</v>
      </c>
    </row>
    <row r="107" s="43" customFormat="true" ht="73.5" hidden="false" customHeight="true" outlineLevel="0" collapsed="false">
      <c r="A107" s="45" t="n">
        <v>102</v>
      </c>
      <c r="B107" s="46" t="s">
        <v>163</v>
      </c>
      <c r="C107" s="47" t="s">
        <v>25</v>
      </c>
      <c r="D107" s="48" t="n">
        <v>200</v>
      </c>
      <c r="E107" s="49" t="n">
        <v>2104.17</v>
      </c>
      <c r="F107" s="50" t="n">
        <v>2749.4</v>
      </c>
      <c r="G107" s="47" t="s">
        <v>56</v>
      </c>
      <c r="H107" s="52" t="n">
        <v>2816.22</v>
      </c>
      <c r="I107" s="53" t="n">
        <f aca="false">D107*H107</f>
        <v>563244</v>
      </c>
      <c r="J107" s="47" t="s">
        <v>57</v>
      </c>
      <c r="K107" s="52" t="n">
        <v>2697.03</v>
      </c>
      <c r="L107" s="53" t="n">
        <f aca="false">D107*K107</f>
        <v>539406</v>
      </c>
      <c r="M107" s="47" t="s">
        <v>119</v>
      </c>
      <c r="N107" s="52" t="n">
        <v>2755.11</v>
      </c>
      <c r="O107" s="53" t="n">
        <f aca="false">D107*N107</f>
        <v>551022</v>
      </c>
      <c r="P107" s="54" t="n">
        <f aca="false">AVERAGE(H107,K107,N107)</f>
        <v>2756.12</v>
      </c>
      <c r="Q107" s="55" t="n">
        <f aca="false">F107*100/P107-100</f>
        <v>-0.243821023758045</v>
      </c>
      <c r="R107" s="54" t="n">
        <f aca="false">D107*F107</f>
        <v>549880</v>
      </c>
      <c r="S107" s="56"/>
      <c r="U107" s="57" t="n">
        <f aca="false">ROUND(H107*100/P107-100,0)</f>
        <v>2</v>
      </c>
      <c r="V107" s="57" t="n">
        <f aca="false">ROUND(K107*100/P107-100,0)</f>
        <v>-2</v>
      </c>
      <c r="W107" s="57" t="n">
        <f aca="false">ROUND(N107*100/P107-100,0)</f>
        <v>-0</v>
      </c>
      <c r="Y107" s="43" t="n">
        <v>99</v>
      </c>
    </row>
    <row r="108" s="43" customFormat="true" ht="73.5" hidden="false" customHeight="true" outlineLevel="0" collapsed="false">
      <c r="A108" s="45" t="n">
        <v>103</v>
      </c>
      <c r="B108" s="46" t="s">
        <v>164</v>
      </c>
      <c r="C108" s="47" t="s">
        <v>25</v>
      </c>
      <c r="D108" s="48" t="n">
        <v>5</v>
      </c>
      <c r="E108" s="49" t="s">
        <v>26</v>
      </c>
      <c r="F108" s="50" t="n">
        <v>455.3</v>
      </c>
      <c r="G108" s="47" t="s">
        <v>27</v>
      </c>
      <c r="H108" s="52" t="n">
        <f aca="false">531.76/1.2</f>
        <v>443.133333333333</v>
      </c>
      <c r="I108" s="53" t="n">
        <f aca="false">D108*H108</f>
        <v>2215.66666666667</v>
      </c>
      <c r="J108" s="53" t="s">
        <v>28</v>
      </c>
      <c r="K108" s="52" t="n">
        <v>458.14</v>
      </c>
      <c r="L108" s="53" t="n">
        <f aca="false">D108*K108</f>
        <v>2290.7</v>
      </c>
      <c r="M108" s="47" t="s">
        <v>29</v>
      </c>
      <c r="N108" s="52" t="n">
        <v>465.87</v>
      </c>
      <c r="O108" s="53" t="n">
        <f aca="false">D108*N108</f>
        <v>2329.35</v>
      </c>
      <c r="P108" s="54" t="n">
        <f aca="false">AVERAGE(H108,K108,N108)</f>
        <v>455.714444444445</v>
      </c>
      <c r="Q108" s="55" t="n">
        <f aca="false">F108*100/P108-100</f>
        <v>-0.0909438903016877</v>
      </c>
      <c r="R108" s="54" t="n">
        <f aca="false">D108*F108</f>
        <v>2276.5</v>
      </c>
      <c r="S108" s="56"/>
      <c r="U108" s="57" t="n">
        <f aca="false">ROUND(H108*100/P108-100,0)</f>
        <v>-3</v>
      </c>
      <c r="V108" s="57" t="n">
        <f aca="false">ROUND(K108*100/P108-100,0)</f>
        <v>1</v>
      </c>
      <c r="W108" s="57" t="n">
        <f aca="false">ROUND(N108*100/P108-100,0)</f>
        <v>2</v>
      </c>
      <c r="Y108" s="43" t="n">
        <v>100</v>
      </c>
    </row>
    <row r="109" s="43" customFormat="true" ht="73.5" hidden="false" customHeight="true" outlineLevel="0" collapsed="false">
      <c r="A109" s="45" t="n">
        <v>104</v>
      </c>
      <c r="B109" s="46" t="s">
        <v>165</v>
      </c>
      <c r="C109" s="47" t="s">
        <v>25</v>
      </c>
      <c r="D109" s="48" t="n">
        <v>2</v>
      </c>
      <c r="E109" s="49" t="n">
        <v>585.34</v>
      </c>
      <c r="F109" s="50" t="n">
        <v>578.5</v>
      </c>
      <c r="G109" s="47" t="s">
        <v>27</v>
      </c>
      <c r="H109" s="52" t="n">
        <f aca="false">704.39/1.2</f>
        <v>586.991666666667</v>
      </c>
      <c r="I109" s="53" t="n">
        <f aca="false">D109*H109</f>
        <v>1173.98333333333</v>
      </c>
      <c r="J109" s="53" t="s">
        <v>28</v>
      </c>
      <c r="K109" s="52" t="n">
        <v>579.83</v>
      </c>
      <c r="L109" s="53" t="n">
        <f aca="false">D109*K109</f>
        <v>1159.66</v>
      </c>
      <c r="M109" s="47" t="s">
        <v>29</v>
      </c>
      <c r="N109" s="52" t="n">
        <v>572.21</v>
      </c>
      <c r="O109" s="53" t="n">
        <f aca="false">D109*N109</f>
        <v>1144.42</v>
      </c>
      <c r="P109" s="54" t="n">
        <f aca="false">AVERAGE(H109,K109,N109)</f>
        <v>579.677222222222</v>
      </c>
      <c r="Q109" s="55" t="n">
        <f aca="false">F109*100/P109-100</f>
        <v>-0.203082366719414</v>
      </c>
      <c r="R109" s="54" t="n">
        <f aca="false">D109*F109</f>
        <v>1157</v>
      </c>
      <c r="S109" s="56"/>
      <c r="U109" s="57" t="n">
        <f aca="false">ROUND(H109*100/P109-100,0)</f>
        <v>1</v>
      </c>
      <c r="V109" s="57" t="n">
        <f aca="false">ROUND(K109*100/P109-100,0)</f>
        <v>0</v>
      </c>
      <c r="W109" s="57" t="n">
        <f aca="false">ROUND(N109*100/P109-100,0)</f>
        <v>-1</v>
      </c>
      <c r="Y109" s="43" t="n">
        <v>101</v>
      </c>
    </row>
    <row r="110" s="43" customFormat="true" ht="73.5" hidden="false" customHeight="true" outlineLevel="0" collapsed="false">
      <c r="A110" s="45" t="n">
        <v>105</v>
      </c>
      <c r="B110" s="46" t="s">
        <v>166</v>
      </c>
      <c r="C110" s="47" t="s">
        <v>25</v>
      </c>
      <c r="D110" s="48" t="n">
        <v>2</v>
      </c>
      <c r="E110" s="49" t="n">
        <v>585.34</v>
      </c>
      <c r="F110" s="50" t="n">
        <v>586.44</v>
      </c>
      <c r="G110" s="47" t="s">
        <v>27</v>
      </c>
      <c r="H110" s="52" t="n">
        <f aca="false">704.39/1.2</f>
        <v>586.991666666667</v>
      </c>
      <c r="I110" s="53" t="n">
        <f aca="false">D110*H110</f>
        <v>1173.98333333333</v>
      </c>
      <c r="J110" s="53" t="s">
        <v>28</v>
      </c>
      <c r="K110" s="52" t="n">
        <v>579.83</v>
      </c>
      <c r="L110" s="53" t="n">
        <f aca="false">D110*K110</f>
        <v>1159.66</v>
      </c>
      <c r="M110" s="47" t="s">
        <v>29</v>
      </c>
      <c r="N110" s="52" t="n">
        <v>594.08</v>
      </c>
      <c r="O110" s="53" t="n">
        <f aca="false">D110*N110</f>
        <v>1188.16</v>
      </c>
      <c r="P110" s="54" t="n">
        <f aca="false">AVERAGE(H110,K110,N110)</f>
        <v>586.967222222222</v>
      </c>
      <c r="Q110" s="55" t="n">
        <f aca="false">F110*100/P110-100</f>
        <v>-0.0898214077825514</v>
      </c>
      <c r="R110" s="54" t="n">
        <f aca="false">D110*F110</f>
        <v>1172.88</v>
      </c>
      <c r="S110" s="56"/>
      <c r="U110" s="57" t="n">
        <f aca="false">ROUND(H110*100/P110-100,0)</f>
        <v>0</v>
      </c>
      <c r="V110" s="57" t="n">
        <f aca="false">ROUND(K110*100/P110-100,0)</f>
        <v>-1</v>
      </c>
      <c r="W110" s="57" t="n">
        <f aca="false">ROUND(N110*100/P110-100,0)</f>
        <v>1</v>
      </c>
      <c r="Y110" s="43" t="n">
        <v>102</v>
      </c>
    </row>
    <row r="111" s="43" customFormat="true" ht="73.5" hidden="false" customHeight="true" outlineLevel="0" collapsed="false">
      <c r="A111" s="45" t="n">
        <v>106</v>
      </c>
      <c r="B111" s="46" t="s">
        <v>167</v>
      </c>
      <c r="C111" s="47" t="s">
        <v>25</v>
      </c>
      <c r="D111" s="48" t="n">
        <v>4</v>
      </c>
      <c r="E111" s="49" t="n">
        <v>100102.2</v>
      </c>
      <c r="F111" s="50" t="n">
        <v>105450</v>
      </c>
      <c r="G111" s="47" t="s">
        <v>66</v>
      </c>
      <c r="H111" s="52" t="n">
        <f aca="false">122928.34/1.2</f>
        <v>102440.283333333</v>
      </c>
      <c r="I111" s="53" t="n">
        <f aca="false">D111*H111</f>
        <v>409761.133333333</v>
      </c>
      <c r="J111" s="52" t="s">
        <v>67</v>
      </c>
      <c r="K111" s="52" t="n">
        <f aca="false">126572.83/1.2</f>
        <v>105477.358333333</v>
      </c>
      <c r="L111" s="53" t="n">
        <f aca="false">D111*K111</f>
        <v>421909.433333333</v>
      </c>
      <c r="M111" s="53" t="s">
        <v>68</v>
      </c>
      <c r="N111" s="52" t="n">
        <v>108459.11</v>
      </c>
      <c r="O111" s="53" t="n">
        <f aca="false">D111*N111</f>
        <v>433836.44</v>
      </c>
      <c r="P111" s="54" t="n">
        <f aca="false">AVERAGE(H111,K111,N111)</f>
        <v>105458.917222222</v>
      </c>
      <c r="Q111" s="55" t="n">
        <f aca="false">F111*100/P111-100</f>
        <v>-0.00845563604967481</v>
      </c>
      <c r="R111" s="54" t="n">
        <f aca="false">D111*F111</f>
        <v>421800</v>
      </c>
      <c r="S111" s="56"/>
      <c r="U111" s="57" t="n">
        <f aca="false">ROUND(H111*100/P111-100,0)</f>
        <v>-3</v>
      </c>
      <c r="V111" s="57" t="n">
        <f aca="false">ROUND(K111*100/P111-100,0)</f>
        <v>0</v>
      </c>
      <c r="W111" s="57" t="n">
        <f aca="false">ROUND(N111*100/P111-100,0)</f>
        <v>3</v>
      </c>
      <c r="Y111" s="43" t="n">
        <v>103</v>
      </c>
    </row>
    <row r="112" s="43" customFormat="true" ht="73.5" hidden="false" customHeight="true" outlineLevel="0" collapsed="false">
      <c r="A112" s="45" t="n">
        <v>107</v>
      </c>
      <c r="B112" s="46" t="s">
        <v>168</v>
      </c>
      <c r="C112" s="47" t="s">
        <v>25</v>
      </c>
      <c r="D112" s="48" t="n">
        <v>9</v>
      </c>
      <c r="E112" s="49" t="n">
        <v>109113.68</v>
      </c>
      <c r="F112" s="50" t="n">
        <v>115250.4</v>
      </c>
      <c r="G112" s="47" t="s">
        <v>66</v>
      </c>
      <c r="H112" s="52" t="n">
        <f aca="false">134032.46/1.2</f>
        <v>111693.716666667</v>
      </c>
      <c r="I112" s="53" t="n">
        <f aca="false">D112*H112</f>
        <v>1005243.45</v>
      </c>
      <c r="J112" s="52" t="s">
        <v>67</v>
      </c>
      <c r="K112" s="52" t="n">
        <f aca="false">142081.19/1.2</f>
        <v>118400.991666667</v>
      </c>
      <c r="L112" s="53" t="n">
        <f aca="false">D112*K112</f>
        <v>1065608.925</v>
      </c>
      <c r="M112" s="53" t="s">
        <v>68</v>
      </c>
      <c r="N112" s="52" t="n">
        <v>115771.47</v>
      </c>
      <c r="O112" s="53" t="n">
        <f aca="false">D112*N112</f>
        <v>1041943.23</v>
      </c>
      <c r="P112" s="54" t="n">
        <f aca="false">AVERAGE(H112,K112,N112)</f>
        <v>115288.726111111</v>
      </c>
      <c r="Q112" s="55" t="n">
        <f aca="false">F112*100/P112-100</f>
        <v>-0.0332435897280874</v>
      </c>
      <c r="R112" s="54" t="n">
        <f aca="false">D112*F112</f>
        <v>1037253.6</v>
      </c>
      <c r="S112" s="56"/>
      <c r="U112" s="57" t="n">
        <f aca="false">ROUND(H112*100/P112-100,0)</f>
        <v>-3</v>
      </c>
      <c r="V112" s="57" t="n">
        <f aca="false">ROUND(K112*100/P112-100,0)</f>
        <v>3</v>
      </c>
      <c r="W112" s="57" t="n">
        <f aca="false">ROUND(N112*100/P112-100,0)</f>
        <v>0</v>
      </c>
      <c r="Y112" s="43" t="n">
        <v>104</v>
      </c>
    </row>
    <row r="113" s="43" customFormat="true" ht="73.5" hidden="false" customHeight="true" outlineLevel="0" collapsed="false">
      <c r="A113" s="45" t="n">
        <v>108</v>
      </c>
      <c r="B113" s="46" t="s">
        <v>169</v>
      </c>
      <c r="C113" s="47" t="s">
        <v>25</v>
      </c>
      <c r="D113" s="48" t="n">
        <v>4</v>
      </c>
      <c r="E113" s="49" t="n">
        <v>98486.85</v>
      </c>
      <c r="F113" s="50" t="n">
        <v>105203.9</v>
      </c>
      <c r="G113" s="47" t="s">
        <v>66</v>
      </c>
      <c r="H113" s="52" t="n">
        <f aca="false">121610.29/1.2</f>
        <v>101341.908333333</v>
      </c>
      <c r="I113" s="53" t="n">
        <f aca="false">D113*H113</f>
        <v>405367.633333333</v>
      </c>
      <c r="J113" s="52" t="s">
        <v>67</v>
      </c>
      <c r="K113" s="52" t="n">
        <f aca="false">125484.62/1.2</f>
        <v>104570.516666667</v>
      </c>
      <c r="L113" s="53" t="n">
        <f aca="false">D113*K113</f>
        <v>418282.066666667</v>
      </c>
      <c r="M113" s="53" t="s">
        <v>68</v>
      </c>
      <c r="N113" s="52" t="n">
        <v>109702.63</v>
      </c>
      <c r="O113" s="53" t="n">
        <f aca="false">D113*N113</f>
        <v>438810.52</v>
      </c>
      <c r="P113" s="54" t="n">
        <f aca="false">AVERAGE(H113,K113,N113)</f>
        <v>105205.018333333</v>
      </c>
      <c r="Q113" s="55" t="n">
        <f aca="false">F113*100/P113-100</f>
        <v>-0.00106300379111701</v>
      </c>
      <c r="R113" s="54" t="n">
        <f aca="false">D113*F113</f>
        <v>420815.6</v>
      </c>
      <c r="S113" s="56"/>
      <c r="U113" s="57" t="n">
        <f aca="false">ROUND(H113*100/P113-100,0)</f>
        <v>-4</v>
      </c>
      <c r="V113" s="57" t="n">
        <f aca="false">ROUND(K113*100/P113-100,0)</f>
        <v>-1</v>
      </c>
      <c r="W113" s="57" t="n">
        <f aca="false">ROUND(N113*100/P113-100,0)</f>
        <v>4</v>
      </c>
      <c r="Y113" s="43" t="n">
        <v>105</v>
      </c>
    </row>
    <row r="114" s="43" customFormat="true" ht="73.5" hidden="false" customHeight="true" outlineLevel="0" collapsed="false">
      <c r="A114" s="45" t="n">
        <v>109</v>
      </c>
      <c r="B114" s="46" t="s">
        <v>170</v>
      </c>
      <c r="C114" s="47" t="s">
        <v>25</v>
      </c>
      <c r="D114" s="48" t="n">
        <v>96</v>
      </c>
      <c r="E114" s="49" t="n">
        <v>17634.18</v>
      </c>
      <c r="F114" s="50" t="n">
        <v>23801.47</v>
      </c>
      <c r="G114" s="47" t="s">
        <v>56</v>
      </c>
      <c r="H114" s="52" t="n">
        <v>23917.54</v>
      </c>
      <c r="I114" s="53" t="n">
        <f aca="false">D114*H114</f>
        <v>2296083.84</v>
      </c>
      <c r="J114" s="47" t="s">
        <v>57</v>
      </c>
      <c r="K114" s="52" t="n">
        <v>24571.36</v>
      </c>
      <c r="L114" s="53" t="n">
        <f aca="false">D114*K114</f>
        <v>2358850.56</v>
      </c>
      <c r="M114" s="47" t="s">
        <v>119</v>
      </c>
      <c r="N114" s="52" t="n">
        <v>22927.08</v>
      </c>
      <c r="O114" s="53" t="n">
        <f aca="false">D114*N114</f>
        <v>2200999.68</v>
      </c>
      <c r="P114" s="54" t="n">
        <f aca="false">AVERAGE(H114,K114,N114)</f>
        <v>23805.3266666667</v>
      </c>
      <c r="Q114" s="55" t="n">
        <f aca="false">F114*100/P114-100</f>
        <v>-0.0162008558868934</v>
      </c>
      <c r="R114" s="54" t="n">
        <f aca="false">D114*F114</f>
        <v>2284941.12</v>
      </c>
      <c r="S114" s="56"/>
      <c r="U114" s="57" t="n">
        <f aca="false">ROUND(H114*100/P114-100,0)</f>
        <v>0</v>
      </c>
      <c r="V114" s="57" t="n">
        <f aca="false">ROUND(K114*100/P114-100,0)</f>
        <v>3</v>
      </c>
      <c r="W114" s="57" t="n">
        <f aca="false">ROUND(N114*100/P114-100,0)</f>
        <v>-4</v>
      </c>
      <c r="Y114" s="43" t="n">
        <v>106</v>
      </c>
    </row>
    <row r="115" s="43" customFormat="true" ht="73.5" hidden="false" customHeight="true" outlineLevel="0" collapsed="false">
      <c r="A115" s="45" t="n">
        <v>110</v>
      </c>
      <c r="B115" s="46" t="s">
        <v>171</v>
      </c>
      <c r="C115" s="47" t="s">
        <v>25</v>
      </c>
      <c r="D115" s="48" t="n">
        <v>2</v>
      </c>
      <c r="E115" s="49" t="s">
        <v>26</v>
      </c>
      <c r="F115" s="50" t="n">
        <v>26380.87</v>
      </c>
      <c r="G115" s="47" t="s">
        <v>27</v>
      </c>
      <c r="H115" s="52" t="n">
        <f aca="false">29485.22/1.2</f>
        <v>24571.0166666667</v>
      </c>
      <c r="I115" s="53" t="n">
        <f aca="false">D115*H115</f>
        <v>49142.0333333333</v>
      </c>
      <c r="J115" s="53" t="s">
        <v>28</v>
      </c>
      <c r="K115" s="52" t="n">
        <f aca="false">33229.52/1.2</f>
        <v>27691.2666666667</v>
      </c>
      <c r="L115" s="53" t="n">
        <f aca="false">D115*K115</f>
        <v>55382.5333333333</v>
      </c>
      <c r="M115" s="47" t="s">
        <v>29</v>
      </c>
      <c r="N115" s="66" t="n">
        <v>26942.36</v>
      </c>
      <c r="O115" s="53" t="n">
        <f aca="false">D115*N115</f>
        <v>53884.72</v>
      </c>
      <c r="P115" s="54" t="n">
        <f aca="false">AVERAGE(H115,K115,N115)</f>
        <v>26401.5477777778</v>
      </c>
      <c r="Q115" s="55" t="n">
        <f aca="false">F115*100/P115-100</f>
        <v>-0.0783203240651886</v>
      </c>
      <c r="R115" s="54" t="n">
        <f aca="false">D115*F115</f>
        <v>52761.74</v>
      </c>
      <c r="S115" s="47"/>
      <c r="U115" s="57" t="n">
        <f aca="false">ROUND(H115*100/P115-100,0)</f>
        <v>-7</v>
      </c>
      <c r="V115" s="57" t="n">
        <f aca="false">ROUND(K115*100/P115-100,0)</f>
        <v>5</v>
      </c>
      <c r="W115" s="57" t="n">
        <f aca="false">ROUND(N115*100/P115-100,0)</f>
        <v>2</v>
      </c>
      <c r="Y115" s="43" t="n">
        <v>107</v>
      </c>
    </row>
    <row r="116" s="43" customFormat="true" ht="73.5" hidden="false" customHeight="true" outlineLevel="0" collapsed="false">
      <c r="A116" s="45" t="n">
        <v>111</v>
      </c>
      <c r="B116" s="46" t="s">
        <v>172</v>
      </c>
      <c r="C116" s="47" t="s">
        <v>25</v>
      </c>
      <c r="D116" s="48" t="n">
        <v>105</v>
      </c>
      <c r="E116" s="49" t="s">
        <v>26</v>
      </c>
      <c r="F116" s="50" t="n">
        <v>16</v>
      </c>
      <c r="G116" s="47" t="s">
        <v>27</v>
      </c>
      <c r="H116" s="52" t="n">
        <f aca="false">15.68/1.2</f>
        <v>13.0666666666667</v>
      </c>
      <c r="I116" s="53" t="n">
        <f aca="false">D116*H116</f>
        <v>1372</v>
      </c>
      <c r="J116" s="53" t="s">
        <v>28</v>
      </c>
      <c r="K116" s="52" t="n">
        <f aca="false">23.17/1.2</f>
        <v>19.3083333333333</v>
      </c>
      <c r="L116" s="53" t="n">
        <f aca="false">D116*K116</f>
        <v>2027.375</v>
      </c>
      <c r="M116" s="47" t="s">
        <v>29</v>
      </c>
      <c r="N116" s="52" t="n">
        <v>15.88</v>
      </c>
      <c r="O116" s="53" t="n">
        <f aca="false">D116*N116</f>
        <v>1667.4</v>
      </c>
      <c r="P116" s="54" t="n">
        <f aca="false">AVERAGE(H116,K116,N116)</f>
        <v>16.085</v>
      </c>
      <c r="Q116" s="55" t="n">
        <f aca="false">F116*100/P116-100</f>
        <v>-0.528442648430215</v>
      </c>
      <c r="R116" s="54" t="n">
        <f aca="false">D116*F116</f>
        <v>1680</v>
      </c>
      <c r="S116" s="56"/>
      <c r="U116" s="57" t="n">
        <f aca="false">ROUND(H116*100/P116-100,0)</f>
        <v>-19</v>
      </c>
      <c r="V116" s="57" t="n">
        <f aca="false">ROUND(K116*100/P116-100,0)</f>
        <v>20</v>
      </c>
      <c r="W116" s="57" t="n">
        <f aca="false">ROUND(N116*100/P116-100,0)</f>
        <v>-1</v>
      </c>
      <c r="Y116" s="43" t="n">
        <v>108</v>
      </c>
    </row>
    <row r="117" s="43" customFormat="true" ht="73.5" hidden="false" customHeight="true" outlineLevel="0" collapsed="false">
      <c r="A117" s="45" t="n">
        <v>112</v>
      </c>
      <c r="B117" s="46" t="s">
        <v>173</v>
      </c>
      <c r="C117" s="47" t="s">
        <v>25</v>
      </c>
      <c r="D117" s="48" t="n">
        <v>4</v>
      </c>
      <c r="E117" s="49" t="s">
        <v>26</v>
      </c>
      <c r="F117" s="50" t="n">
        <v>10739.64</v>
      </c>
      <c r="G117" s="52" t="s">
        <v>67</v>
      </c>
      <c r="H117" s="52" t="n">
        <f aca="false">12321.9/1.2</f>
        <v>10268.25</v>
      </c>
      <c r="I117" s="53" t="n">
        <f aca="false">D117*H117</f>
        <v>41073</v>
      </c>
      <c r="J117" s="47" t="s">
        <v>46</v>
      </c>
      <c r="K117" s="52" t="n">
        <v>11095.36</v>
      </c>
      <c r="L117" s="53" t="n">
        <f aca="false">D117*K117</f>
        <v>44381.44</v>
      </c>
      <c r="M117" s="53" t="s">
        <v>68</v>
      </c>
      <c r="N117" s="52" t="n">
        <v>10873.97</v>
      </c>
      <c r="O117" s="53" t="n">
        <f aca="false">D117*N117</f>
        <v>43495.88</v>
      </c>
      <c r="P117" s="54" t="n">
        <f aca="false">AVERAGE(H117,K117,N117)</f>
        <v>10745.86</v>
      </c>
      <c r="Q117" s="55" t="n">
        <f aca="false">F117*100/P117-100</f>
        <v>-0.0578827567081675</v>
      </c>
      <c r="R117" s="54" t="n">
        <f aca="false">D117*F117</f>
        <v>42958.56</v>
      </c>
      <c r="S117" s="56"/>
      <c r="U117" s="57" t="n">
        <f aca="false">ROUND(H117*100/P117-100,0)</f>
        <v>-4</v>
      </c>
      <c r="V117" s="57" t="n">
        <f aca="false">ROUND(K117*100/P117-100,0)</f>
        <v>3</v>
      </c>
      <c r="W117" s="57" t="n">
        <f aca="false">ROUND(N117*100/P117-100,0)</f>
        <v>1</v>
      </c>
      <c r="Y117" s="43" t="n">
        <v>109</v>
      </c>
    </row>
    <row r="118" s="43" customFormat="true" ht="73.5" hidden="false" customHeight="true" outlineLevel="0" collapsed="false">
      <c r="A118" s="45" t="n">
        <v>113</v>
      </c>
      <c r="B118" s="46" t="s">
        <v>174</v>
      </c>
      <c r="C118" s="47" t="s">
        <v>25</v>
      </c>
      <c r="D118" s="48" t="n">
        <v>15</v>
      </c>
      <c r="E118" s="49" t="s">
        <v>26</v>
      </c>
      <c r="F118" s="50" t="n">
        <v>11759.65</v>
      </c>
      <c r="G118" s="52" t="s">
        <v>67</v>
      </c>
      <c r="H118" s="52" t="n">
        <f aca="false">13514.04/1.2</f>
        <v>11261.7</v>
      </c>
      <c r="I118" s="53" t="n">
        <f aca="false">D118*H118</f>
        <v>168925.5</v>
      </c>
      <c r="J118" s="47" t="s">
        <v>46</v>
      </c>
      <c r="K118" s="52" t="n">
        <v>11983.18</v>
      </c>
      <c r="L118" s="53" t="n">
        <f aca="false">D118*K118</f>
        <v>179747.7</v>
      </c>
      <c r="M118" s="53" t="s">
        <v>68</v>
      </c>
      <c r="N118" s="52" t="n">
        <v>12054.31</v>
      </c>
      <c r="O118" s="53" t="n">
        <f aca="false">D118*N118</f>
        <v>180814.65</v>
      </c>
      <c r="P118" s="54" t="n">
        <f aca="false">AVERAGE(H118,K118,N118)</f>
        <v>11766.3966666667</v>
      </c>
      <c r="Q118" s="55" t="n">
        <f aca="false">F118*100/P118-100</f>
        <v>-0.0573384261791858</v>
      </c>
      <c r="R118" s="54" t="n">
        <f aca="false">D118*F118</f>
        <v>176394.75</v>
      </c>
      <c r="S118" s="56"/>
      <c r="U118" s="57" t="n">
        <f aca="false">ROUND(H118*100/P118-100,0)</f>
        <v>-4</v>
      </c>
      <c r="V118" s="57" t="n">
        <f aca="false">ROUND(K118*100/P118-100,0)</f>
        <v>2</v>
      </c>
      <c r="W118" s="57" t="n">
        <f aca="false">ROUND(N118*100/P118-100,0)</f>
        <v>2</v>
      </c>
      <c r="Y118" s="43" t="n">
        <v>110</v>
      </c>
    </row>
    <row r="119" s="43" customFormat="true" ht="73.5" hidden="false" customHeight="true" outlineLevel="0" collapsed="false">
      <c r="A119" s="45" t="n">
        <v>114</v>
      </c>
      <c r="B119" s="46" t="s">
        <v>175</v>
      </c>
      <c r="C119" s="47" t="s">
        <v>25</v>
      </c>
      <c r="D119" s="48" t="n">
        <v>9</v>
      </c>
      <c r="E119" s="49" t="n">
        <v>799.46</v>
      </c>
      <c r="F119" s="50" t="n">
        <v>853.15</v>
      </c>
      <c r="G119" s="47" t="s">
        <v>27</v>
      </c>
      <c r="H119" s="52" t="n">
        <f aca="false">961.27/1.2</f>
        <v>801.058333333333</v>
      </c>
      <c r="I119" s="53" t="n">
        <f aca="false">D119*H119</f>
        <v>7209.525</v>
      </c>
      <c r="J119" s="53" t="s">
        <v>28</v>
      </c>
      <c r="K119" s="52" t="n">
        <f aca="false">1027.26/1.2</f>
        <v>856.05</v>
      </c>
      <c r="L119" s="53" t="n">
        <f aca="false">D119*K119</f>
        <v>7704.45</v>
      </c>
      <c r="M119" s="47" t="s">
        <v>29</v>
      </c>
      <c r="N119" s="52" t="n">
        <v>911.61</v>
      </c>
      <c r="O119" s="53" t="n">
        <f aca="false">D119*N119</f>
        <v>8204.49</v>
      </c>
      <c r="P119" s="54" t="n">
        <f aca="false">AVERAGE(H119,K119,N119)</f>
        <v>856.239444444444</v>
      </c>
      <c r="Q119" s="55" t="n">
        <f aca="false">F119*100/P119-100</f>
        <v>-0.360815478017244</v>
      </c>
      <c r="R119" s="54" t="n">
        <f aca="false">D119*F119</f>
        <v>7678.35</v>
      </c>
      <c r="S119" s="56"/>
      <c r="U119" s="57" t="n">
        <f aca="false">ROUND(H119*100/P119-100,0)</f>
        <v>-6</v>
      </c>
      <c r="V119" s="57" t="n">
        <f aca="false">ROUND(K119*100/P119-100,0)</f>
        <v>-0</v>
      </c>
      <c r="W119" s="57" t="n">
        <f aca="false">ROUND(N119*100/P119-100,0)</f>
        <v>6</v>
      </c>
      <c r="Y119" s="43" t="n">
        <v>111</v>
      </c>
    </row>
    <row r="120" s="43" customFormat="true" ht="73.5" hidden="false" customHeight="true" outlineLevel="0" collapsed="false">
      <c r="A120" s="45" t="n">
        <v>115</v>
      </c>
      <c r="B120" s="46" t="s">
        <v>176</v>
      </c>
      <c r="C120" s="47" t="s">
        <v>25</v>
      </c>
      <c r="D120" s="48" t="n">
        <v>6</v>
      </c>
      <c r="E120" s="49" t="n">
        <v>1026.37</v>
      </c>
      <c r="F120" s="50" t="n">
        <v>1193.4</v>
      </c>
      <c r="G120" s="47" t="s">
        <v>27</v>
      </c>
      <c r="H120" s="52" t="n">
        <f aca="false">1229.06/1.2</f>
        <v>1024.21666666667</v>
      </c>
      <c r="I120" s="53" t="n">
        <f aca="false">D120*H120</f>
        <v>6145.3</v>
      </c>
      <c r="J120" s="53" t="s">
        <v>28</v>
      </c>
      <c r="K120" s="52" t="n">
        <f aca="false">1512.89/1.2</f>
        <v>1260.74166666667</v>
      </c>
      <c r="L120" s="53" t="n">
        <f aca="false">D120*K120</f>
        <v>7564.45</v>
      </c>
      <c r="M120" s="47" t="s">
        <v>29</v>
      </c>
      <c r="N120" s="52" t="n">
        <v>1302.32</v>
      </c>
      <c r="O120" s="53" t="n">
        <f aca="false">D120*N120</f>
        <v>7813.92</v>
      </c>
      <c r="P120" s="54" t="n">
        <f aca="false">AVERAGE(H120,K120,N120)</f>
        <v>1195.75944444444</v>
      </c>
      <c r="Q120" s="55" t="n">
        <f aca="false">F120*100/P120-100</f>
        <v>-0.197317650753803</v>
      </c>
      <c r="R120" s="54" t="n">
        <f aca="false">D120*F120</f>
        <v>7160.4</v>
      </c>
      <c r="S120" s="56"/>
      <c r="U120" s="57" t="n">
        <f aca="false">ROUND(H120*100/P120-100,0)</f>
        <v>-14</v>
      </c>
      <c r="V120" s="57" t="n">
        <f aca="false">ROUND(K120*100/P120-100,0)</f>
        <v>5</v>
      </c>
      <c r="W120" s="57" t="n">
        <f aca="false">ROUND(N120*100/P120-100,0)</f>
        <v>9</v>
      </c>
      <c r="Y120" s="43" t="n">
        <v>112</v>
      </c>
    </row>
    <row r="121" s="43" customFormat="true" ht="73.5" hidden="false" customHeight="true" outlineLevel="0" collapsed="false">
      <c r="A121" s="45" t="n">
        <v>116</v>
      </c>
      <c r="B121" s="46" t="s">
        <v>177</v>
      </c>
      <c r="C121" s="47" t="s">
        <v>25</v>
      </c>
      <c r="D121" s="48" t="n">
        <v>1</v>
      </c>
      <c r="E121" s="49" t="n">
        <v>1059.85</v>
      </c>
      <c r="F121" s="50" t="n">
        <v>1120.3</v>
      </c>
      <c r="G121" s="47" t="s">
        <v>27</v>
      </c>
      <c r="H121" s="52" t="n">
        <f aca="false">1283.51/1.2</f>
        <v>1069.59166666667</v>
      </c>
      <c r="I121" s="53" t="n">
        <f aca="false">D121*H121</f>
        <v>1069.59166666667</v>
      </c>
      <c r="J121" s="53" t="s">
        <v>28</v>
      </c>
      <c r="K121" s="52" t="n">
        <f aca="false">1330.68/1.2</f>
        <v>1108.9</v>
      </c>
      <c r="L121" s="53" t="n">
        <f aca="false">D121*K121</f>
        <v>1108.9</v>
      </c>
      <c r="M121" s="47" t="s">
        <v>29</v>
      </c>
      <c r="N121" s="52" t="n">
        <v>1187.84</v>
      </c>
      <c r="O121" s="53" t="n">
        <f aca="false">D121*N121</f>
        <v>1187.84</v>
      </c>
      <c r="P121" s="54" t="n">
        <f aca="false">AVERAGE(H121,K121,N121)</f>
        <v>1122.11055555556</v>
      </c>
      <c r="Q121" s="55" t="n">
        <f aca="false">F121*100/P121-100</f>
        <v>-0.161352689054723</v>
      </c>
      <c r="R121" s="54" t="n">
        <f aca="false">D121*F121</f>
        <v>1120.3</v>
      </c>
      <c r="S121" s="56"/>
      <c r="U121" s="57" t="n">
        <f aca="false">ROUND(H121*100/P121-100,0)</f>
        <v>-5</v>
      </c>
      <c r="V121" s="57" t="n">
        <f aca="false">ROUND(K121*100/P121-100,0)</f>
        <v>-1</v>
      </c>
      <c r="W121" s="57" t="n">
        <f aca="false">ROUND(N121*100/P121-100,0)</f>
        <v>6</v>
      </c>
      <c r="Y121" s="43" t="n">
        <v>113</v>
      </c>
    </row>
    <row r="122" s="43" customFormat="true" ht="73.5" hidden="false" customHeight="true" outlineLevel="0" collapsed="false">
      <c r="A122" s="45" t="n">
        <v>117</v>
      </c>
      <c r="B122" s="46" t="s">
        <v>178</v>
      </c>
      <c r="C122" s="47" t="s">
        <v>25</v>
      </c>
      <c r="D122" s="48" t="n">
        <v>1</v>
      </c>
      <c r="E122" s="49" t="n">
        <v>3234.77</v>
      </c>
      <c r="F122" s="50" t="n">
        <v>3390.15</v>
      </c>
      <c r="G122" s="47" t="s">
        <v>27</v>
      </c>
      <c r="H122" s="52" t="n">
        <f aca="false">3848.77/1.2</f>
        <v>3207.30833333333</v>
      </c>
      <c r="I122" s="53" t="n">
        <f aca="false">D122*H122</f>
        <v>3207.30833333333</v>
      </c>
      <c r="J122" s="53" t="s">
        <v>28</v>
      </c>
      <c r="K122" s="52" t="n">
        <f aca="false">4213.88/1.2</f>
        <v>3511.56666666667</v>
      </c>
      <c r="L122" s="53" t="n">
        <f aca="false">D122*K122</f>
        <v>3511.56666666667</v>
      </c>
      <c r="M122" s="47" t="s">
        <v>29</v>
      </c>
      <c r="N122" s="52" t="n">
        <v>3461.03</v>
      </c>
      <c r="O122" s="53" t="n">
        <f aca="false">D122*N122</f>
        <v>3461.03</v>
      </c>
      <c r="P122" s="54" t="n">
        <f aca="false">AVERAGE(H122,K122,N122)</f>
        <v>3393.30166666667</v>
      </c>
      <c r="Q122" s="55" t="n">
        <f aca="false">F122*100/P122-100</f>
        <v>-0.092879059283959</v>
      </c>
      <c r="R122" s="54" t="n">
        <f aca="false">D122*F122</f>
        <v>3390.15</v>
      </c>
      <c r="S122" s="56"/>
      <c r="U122" s="57" t="n">
        <f aca="false">ROUND(H122*100/P122-100,0)</f>
        <v>-5</v>
      </c>
      <c r="V122" s="57" t="n">
        <f aca="false">ROUND(K122*100/P122-100,0)</f>
        <v>3</v>
      </c>
      <c r="W122" s="57" t="n">
        <f aca="false">ROUND(N122*100/P122-100,0)</f>
        <v>2</v>
      </c>
      <c r="Y122" s="43" t="n">
        <v>114</v>
      </c>
    </row>
    <row r="123" s="43" customFormat="true" ht="73.5" hidden="false" customHeight="true" outlineLevel="0" collapsed="false">
      <c r="A123" s="45" t="n">
        <v>118</v>
      </c>
      <c r="B123" s="46" t="s">
        <v>179</v>
      </c>
      <c r="C123" s="47" t="s">
        <v>25</v>
      </c>
      <c r="D123" s="48" t="n">
        <v>3</v>
      </c>
      <c r="E123" s="49" t="n">
        <v>2771.28</v>
      </c>
      <c r="F123" s="50" t="n">
        <v>2777.4</v>
      </c>
      <c r="G123" s="47" t="s">
        <v>27</v>
      </c>
      <c r="H123" s="52" t="n">
        <f aca="false">3306.94/1.2</f>
        <v>2755.78333333333</v>
      </c>
      <c r="I123" s="53" t="n">
        <f aca="false">D123*H123</f>
        <v>8267.35</v>
      </c>
      <c r="J123" s="53" t="s">
        <v>28</v>
      </c>
      <c r="K123" s="52" t="n">
        <f aca="false">3452.2/1.2</f>
        <v>2876.83333333333</v>
      </c>
      <c r="L123" s="53" t="n">
        <f aca="false">D123*K123</f>
        <v>8630.5</v>
      </c>
      <c r="M123" s="47" t="s">
        <v>29</v>
      </c>
      <c r="N123" s="52" t="n">
        <v>2703.98</v>
      </c>
      <c r="O123" s="53" t="n">
        <f aca="false">D123*N123</f>
        <v>8111.94</v>
      </c>
      <c r="P123" s="54" t="n">
        <f aca="false">AVERAGE(H123,K123,N123)</f>
        <v>2778.86555555556</v>
      </c>
      <c r="Q123" s="55" t="n">
        <f aca="false">F123*100/P123-100</f>
        <v>-0.0527393472716113</v>
      </c>
      <c r="R123" s="54" t="n">
        <f aca="false">D123*F123</f>
        <v>8332.2</v>
      </c>
      <c r="S123" s="56"/>
      <c r="U123" s="57" t="n">
        <f aca="false">ROUND(H123*100/P123-100,0)</f>
        <v>-1</v>
      </c>
      <c r="V123" s="57" t="n">
        <f aca="false">ROUND(K123*100/P123-100,0)</f>
        <v>4</v>
      </c>
      <c r="W123" s="57" t="n">
        <f aca="false">ROUND(N123*100/P123-100,0)</f>
        <v>-3</v>
      </c>
      <c r="Y123" s="43" t="n">
        <v>115</v>
      </c>
    </row>
    <row r="124" s="43" customFormat="true" ht="73.5" hidden="false" customHeight="true" outlineLevel="0" collapsed="false">
      <c r="A124" s="45" t="n">
        <v>119</v>
      </c>
      <c r="B124" s="46" t="s">
        <v>180</v>
      </c>
      <c r="C124" s="47" t="s">
        <v>25</v>
      </c>
      <c r="D124" s="48" t="s">
        <v>181</v>
      </c>
      <c r="E124" s="49" t="n">
        <v>5096.31</v>
      </c>
      <c r="F124" s="50" t="n">
        <v>5200</v>
      </c>
      <c r="G124" s="47" t="s">
        <v>27</v>
      </c>
      <c r="H124" s="52" t="n">
        <f aca="false">6026.51/1.2</f>
        <v>5022.09166666667</v>
      </c>
      <c r="I124" s="53" t="n">
        <f aca="false">D124*H124</f>
        <v>140618.566666667</v>
      </c>
      <c r="J124" s="53" t="s">
        <v>28</v>
      </c>
      <c r="K124" s="52" t="n">
        <f aca="false">6712.45/1.2</f>
        <v>5593.70833333333</v>
      </c>
      <c r="L124" s="53" t="n">
        <f aca="false">D124*K124</f>
        <v>156623.833333333</v>
      </c>
      <c r="M124" s="47" t="s">
        <v>29</v>
      </c>
      <c r="N124" s="52" t="n">
        <v>5007.33</v>
      </c>
      <c r="O124" s="53" t="n">
        <f aca="false">D124*N124</f>
        <v>140205.24</v>
      </c>
      <c r="P124" s="54" t="n">
        <f aca="false">AVERAGE(H124,K124,N124)</f>
        <v>5207.71</v>
      </c>
      <c r="Q124" s="55" t="n">
        <f aca="false">F124*100/P124-100</f>
        <v>-0.148049718590315</v>
      </c>
      <c r="R124" s="54" t="n">
        <f aca="false">D124*F124</f>
        <v>145600</v>
      </c>
      <c r="S124" s="56"/>
      <c r="U124" s="57" t="n">
        <f aca="false">ROUND(H124*100/P124-100,0)</f>
        <v>-4</v>
      </c>
      <c r="V124" s="57" t="n">
        <f aca="false">ROUND(K124*100/P124-100,0)</f>
        <v>7</v>
      </c>
      <c r="W124" s="57" t="n">
        <f aca="false">ROUND(N124*100/P124-100,0)</f>
        <v>-4</v>
      </c>
      <c r="Y124" s="43" t="n">
        <v>116</v>
      </c>
    </row>
    <row r="125" s="43" customFormat="true" ht="73.5" hidden="false" customHeight="true" outlineLevel="0" collapsed="false">
      <c r="A125" s="45" t="n">
        <v>120</v>
      </c>
      <c r="B125" s="46" t="s">
        <v>182</v>
      </c>
      <c r="C125" s="47" t="s">
        <v>25</v>
      </c>
      <c r="D125" s="48" t="n">
        <v>1</v>
      </c>
      <c r="E125" s="49" t="n">
        <v>3295.17</v>
      </c>
      <c r="F125" s="50" t="n">
        <v>3320.5</v>
      </c>
      <c r="G125" s="47" t="s">
        <v>27</v>
      </c>
      <c r="H125" s="52" t="n">
        <f aca="false">3946.52/1.2</f>
        <v>3288.76666666667</v>
      </c>
      <c r="I125" s="53" t="n">
        <f aca="false">D125*H125</f>
        <v>3288.76666666667</v>
      </c>
      <c r="J125" s="53" t="s">
        <v>28</v>
      </c>
      <c r="K125" s="52" t="n">
        <f aca="false">3861.14/1.2</f>
        <v>3217.61666666667</v>
      </c>
      <c r="L125" s="53" t="n">
        <f aca="false">D125*K125</f>
        <v>3217.61666666667</v>
      </c>
      <c r="M125" s="47" t="s">
        <v>29</v>
      </c>
      <c r="N125" s="52" t="n">
        <v>3471.09</v>
      </c>
      <c r="O125" s="53" t="n">
        <f aca="false">D125*N125</f>
        <v>3471.09</v>
      </c>
      <c r="P125" s="54" t="n">
        <f aca="false">AVERAGE(H125,K125,N125)</f>
        <v>3325.82444444444</v>
      </c>
      <c r="Q125" s="55" t="n">
        <f aca="false">F125*100/P125-100</f>
        <v>-0.160093971686891</v>
      </c>
      <c r="R125" s="54" t="n">
        <f aca="false">D125*F125</f>
        <v>3320.5</v>
      </c>
      <c r="S125" s="56"/>
      <c r="U125" s="57" t="n">
        <f aca="false">ROUND(H125*100/P125-100,0)</f>
        <v>-1</v>
      </c>
      <c r="V125" s="57" t="n">
        <f aca="false">ROUND(K125*100/P125-100,0)</f>
        <v>-3</v>
      </c>
      <c r="W125" s="57" t="n">
        <f aca="false">ROUND(N125*100/P125-100,0)</f>
        <v>4</v>
      </c>
      <c r="Y125" s="43" t="n">
        <v>117</v>
      </c>
    </row>
    <row r="126" s="43" customFormat="true" ht="73.5" hidden="false" customHeight="true" outlineLevel="0" collapsed="false">
      <c r="A126" s="45" t="n">
        <v>121</v>
      </c>
      <c r="B126" s="46" t="s">
        <v>183</v>
      </c>
      <c r="C126" s="47" t="s">
        <v>25</v>
      </c>
      <c r="D126" s="48" t="n">
        <v>60</v>
      </c>
      <c r="E126" s="49" t="s">
        <v>26</v>
      </c>
      <c r="F126" s="50" t="n">
        <v>13200.55</v>
      </c>
      <c r="G126" s="47" t="s">
        <v>27</v>
      </c>
      <c r="H126" s="52" t="n">
        <f aca="false">15720.65/1.2</f>
        <v>13100.5416666667</v>
      </c>
      <c r="I126" s="53" t="n">
        <f aca="false">D126*H126</f>
        <v>786032.5</v>
      </c>
      <c r="J126" s="53" t="s">
        <v>28</v>
      </c>
      <c r="K126" s="52" t="n">
        <f aca="false">16167.67/1.2</f>
        <v>13473.0583333333</v>
      </c>
      <c r="L126" s="53" t="n">
        <f aca="false">D126*K126</f>
        <v>808383.5</v>
      </c>
      <c r="M126" s="47" t="s">
        <v>29</v>
      </c>
      <c r="N126" s="52" t="n">
        <v>13042.21</v>
      </c>
      <c r="O126" s="53" t="n">
        <f aca="false">D126*N126</f>
        <v>782532.6</v>
      </c>
      <c r="P126" s="54" t="n">
        <f aca="false">AVERAGE(H126,K126,N126)</f>
        <v>13205.27</v>
      </c>
      <c r="Q126" s="55" t="n">
        <f aca="false">F126*100/P126-100</f>
        <v>-0.0357433055136198</v>
      </c>
      <c r="R126" s="54" t="n">
        <f aca="false">D126*F126</f>
        <v>792033</v>
      </c>
      <c r="S126" s="56"/>
      <c r="U126" s="57" t="n">
        <f aca="false">ROUND(H126*100/P126-100,0)</f>
        <v>-1</v>
      </c>
      <c r="V126" s="57" t="n">
        <f aca="false">ROUND(K126*100/P126-100,0)</f>
        <v>2</v>
      </c>
      <c r="W126" s="57" t="n">
        <f aca="false">ROUND(N126*100/P126-100,0)</f>
        <v>-1</v>
      </c>
      <c r="Y126" s="43" t="n">
        <v>118</v>
      </c>
    </row>
    <row r="127" s="43" customFormat="true" ht="73.5" hidden="false" customHeight="true" outlineLevel="0" collapsed="false">
      <c r="A127" s="45" t="n">
        <v>122</v>
      </c>
      <c r="B127" s="46" t="s">
        <v>184</v>
      </c>
      <c r="C127" s="47" t="s">
        <v>25</v>
      </c>
      <c r="D127" s="48" t="n">
        <v>5</v>
      </c>
      <c r="E127" s="49" t="n">
        <v>1769.59</v>
      </c>
      <c r="F127" s="50" t="n">
        <v>1825</v>
      </c>
      <c r="G127" s="47" t="s">
        <v>27</v>
      </c>
      <c r="H127" s="52" t="n">
        <f aca="false">2172.67/1.2</f>
        <v>1810.55833333333</v>
      </c>
      <c r="I127" s="53" t="n">
        <f aca="false">D127*H127</f>
        <v>9052.79166666667</v>
      </c>
      <c r="J127" s="53" t="s">
        <v>28</v>
      </c>
      <c r="K127" s="52" t="n">
        <f aca="false">2232.5/1.2</f>
        <v>1860.41666666667</v>
      </c>
      <c r="L127" s="53" t="n">
        <f aca="false">D127*K127</f>
        <v>9302.08333333333</v>
      </c>
      <c r="M127" s="47" t="s">
        <v>29</v>
      </c>
      <c r="N127" s="52" t="n">
        <v>1807.53</v>
      </c>
      <c r="O127" s="53" t="n">
        <f aca="false">D127*N127</f>
        <v>9037.65</v>
      </c>
      <c r="P127" s="54" t="n">
        <f aca="false">AVERAGE(H127,K127,N127)</f>
        <v>1826.16833333333</v>
      </c>
      <c r="Q127" s="55" t="n">
        <f aca="false">F127*100/P127-100</f>
        <v>-0.0639773076779164</v>
      </c>
      <c r="R127" s="54" t="n">
        <f aca="false">D127*F127</f>
        <v>9125</v>
      </c>
      <c r="S127" s="56"/>
      <c r="U127" s="57" t="n">
        <f aca="false">ROUND(H127*100/P127-100,0)</f>
        <v>-1</v>
      </c>
      <c r="V127" s="57" t="n">
        <f aca="false">ROUND(K127*100/P127-100,0)</f>
        <v>2</v>
      </c>
      <c r="W127" s="57" t="n">
        <f aca="false">ROUND(N127*100/P127-100,0)</f>
        <v>-1</v>
      </c>
      <c r="Y127" s="43" t="n">
        <v>119</v>
      </c>
    </row>
    <row r="128" s="43" customFormat="true" ht="73.5" hidden="false" customHeight="true" outlineLevel="0" collapsed="false">
      <c r="A128" s="45" t="n">
        <v>123</v>
      </c>
      <c r="B128" s="46" t="s">
        <v>185</v>
      </c>
      <c r="C128" s="47" t="s">
        <v>25</v>
      </c>
      <c r="D128" s="48" t="n">
        <v>4</v>
      </c>
      <c r="E128" s="49" t="n">
        <v>62.24</v>
      </c>
      <c r="F128" s="50" t="n">
        <v>65.3</v>
      </c>
      <c r="G128" s="47" t="s">
        <v>27</v>
      </c>
      <c r="H128" s="52" t="n">
        <f aca="false">76.58/1.2</f>
        <v>63.8166666666667</v>
      </c>
      <c r="I128" s="53" t="n">
        <f aca="false">D128*H128</f>
        <v>255.266666666667</v>
      </c>
      <c r="J128" s="53" t="s">
        <v>28</v>
      </c>
      <c r="K128" s="52" t="n">
        <f aca="false">75.56/1.2</f>
        <v>62.9666666666667</v>
      </c>
      <c r="L128" s="53" t="n">
        <f aca="false">D128*K128</f>
        <v>251.866666666667</v>
      </c>
      <c r="M128" s="47" t="s">
        <v>29</v>
      </c>
      <c r="N128" s="52" t="n">
        <v>70.62</v>
      </c>
      <c r="O128" s="53" t="n">
        <f aca="false">D128*N128</f>
        <v>282.48</v>
      </c>
      <c r="P128" s="54" t="n">
        <f aca="false">AVERAGE(H128,K128,N128)</f>
        <v>65.8011111111111</v>
      </c>
      <c r="Q128" s="55" t="n">
        <f aca="false">F128*100/P128-100</f>
        <v>-0.761554178416446</v>
      </c>
      <c r="R128" s="54" t="n">
        <f aca="false">D128*F128</f>
        <v>261.2</v>
      </c>
      <c r="S128" s="56"/>
      <c r="U128" s="57" t="n">
        <f aca="false">ROUND(H128*100/P128-100,0)</f>
        <v>-3</v>
      </c>
      <c r="V128" s="57" t="n">
        <f aca="false">ROUND(K128*100/P128-100,0)</f>
        <v>-4</v>
      </c>
      <c r="W128" s="57" t="n">
        <f aca="false">ROUND(N128*100/P128-100,0)</f>
        <v>7</v>
      </c>
      <c r="Y128" s="43" t="n">
        <v>120</v>
      </c>
    </row>
    <row r="129" s="43" customFormat="true" ht="73.5" hidden="false" customHeight="true" outlineLevel="0" collapsed="false">
      <c r="A129" s="45" t="n">
        <v>124</v>
      </c>
      <c r="B129" s="46" t="s">
        <v>186</v>
      </c>
      <c r="C129" s="47" t="s">
        <v>25</v>
      </c>
      <c r="D129" s="48" t="n">
        <v>2</v>
      </c>
      <c r="E129" s="49" t="s">
        <v>26</v>
      </c>
      <c r="F129" s="50" t="n">
        <v>65.01</v>
      </c>
      <c r="G129" s="47" t="s">
        <v>27</v>
      </c>
      <c r="H129" s="52" t="n">
        <f aca="false">74.03/1.2</f>
        <v>61.6916666666667</v>
      </c>
      <c r="I129" s="53" t="n">
        <f aca="false">D129*H129</f>
        <v>123.383333333333</v>
      </c>
      <c r="J129" s="53" t="s">
        <v>28</v>
      </c>
      <c r="K129" s="52" t="n">
        <f aca="false">76.66/1.2</f>
        <v>63.8833333333333</v>
      </c>
      <c r="L129" s="53" t="n">
        <f aca="false">D129*K129</f>
        <v>127.766666666667</v>
      </c>
      <c r="M129" s="47" t="s">
        <v>29</v>
      </c>
      <c r="N129" s="52" t="n">
        <v>69.74</v>
      </c>
      <c r="O129" s="53" t="n">
        <f aca="false">D129*N129</f>
        <v>139.48</v>
      </c>
      <c r="P129" s="54" t="n">
        <f aca="false">AVERAGE(H129,K129,N129)</f>
        <v>65.105</v>
      </c>
      <c r="Q129" s="55" t="n">
        <f aca="false">F129*100/P129-100</f>
        <v>-0.1459181322479</v>
      </c>
      <c r="R129" s="54" t="n">
        <f aca="false">D129*F129</f>
        <v>130.02</v>
      </c>
      <c r="S129" s="56"/>
      <c r="U129" s="57" t="n">
        <f aca="false">ROUND(H129*100/P129-100,0)</f>
        <v>-5</v>
      </c>
      <c r="V129" s="57" t="n">
        <f aca="false">ROUND(K129*100/P129-100,0)</f>
        <v>-2</v>
      </c>
      <c r="W129" s="57" t="n">
        <f aca="false">ROUND(N129*100/P129-100,0)</f>
        <v>7</v>
      </c>
      <c r="Y129" s="43" t="n">
        <v>121</v>
      </c>
    </row>
    <row r="130" s="43" customFormat="true" ht="73.5" hidden="false" customHeight="true" outlineLevel="0" collapsed="false">
      <c r="A130" s="45" t="n">
        <v>125</v>
      </c>
      <c r="B130" s="46" t="s">
        <v>187</v>
      </c>
      <c r="C130" s="47" t="s">
        <v>25</v>
      </c>
      <c r="D130" s="48" t="n">
        <v>4</v>
      </c>
      <c r="E130" s="49" t="s">
        <v>26</v>
      </c>
      <c r="F130" s="50" t="n">
        <v>133.1</v>
      </c>
      <c r="G130" s="47" t="s">
        <v>27</v>
      </c>
      <c r="H130" s="52" t="n">
        <f aca="false">149.48/1.2</f>
        <v>124.566666666667</v>
      </c>
      <c r="I130" s="53" t="n">
        <f aca="false">D130*H130</f>
        <v>498.266666666667</v>
      </c>
      <c r="J130" s="53" t="s">
        <v>28</v>
      </c>
      <c r="K130" s="52" t="n">
        <f aca="false">167.56/1.2</f>
        <v>139.633333333333</v>
      </c>
      <c r="L130" s="53" t="n">
        <f aca="false">D130*K130</f>
        <v>558.533333333333</v>
      </c>
      <c r="M130" s="47" t="s">
        <v>29</v>
      </c>
      <c r="N130" s="52" t="n">
        <v>136.08</v>
      </c>
      <c r="O130" s="53" t="n">
        <f aca="false">D130*N130</f>
        <v>544.32</v>
      </c>
      <c r="P130" s="54" t="n">
        <f aca="false">AVERAGE(H130,K130,N130)</f>
        <v>133.426666666667</v>
      </c>
      <c r="Q130" s="55" t="n">
        <f aca="false">F130*100/P130-100</f>
        <v>-0.244828619966029</v>
      </c>
      <c r="R130" s="54" t="n">
        <f aca="false">D130*F130</f>
        <v>532.4</v>
      </c>
      <c r="S130" s="56"/>
      <c r="U130" s="57" t="n">
        <f aca="false">ROUND(H130*100/P130-100,0)</f>
        <v>-7</v>
      </c>
      <c r="V130" s="57" t="n">
        <f aca="false">ROUND(K130*100/P130-100,0)</f>
        <v>5</v>
      </c>
      <c r="W130" s="57" t="n">
        <f aca="false">ROUND(N130*100/P130-100,0)</f>
        <v>2</v>
      </c>
      <c r="Y130" s="43" t="n">
        <v>122</v>
      </c>
    </row>
    <row r="131" s="43" customFormat="true" ht="73.5" hidden="false" customHeight="true" outlineLevel="0" collapsed="false">
      <c r="A131" s="45" t="n">
        <v>126</v>
      </c>
      <c r="B131" s="46" t="s">
        <v>188</v>
      </c>
      <c r="C131" s="47" t="s">
        <v>53</v>
      </c>
      <c r="D131" s="48" t="n">
        <v>58.65</v>
      </c>
      <c r="E131" s="49" t="n">
        <v>917.04</v>
      </c>
      <c r="F131" s="50" t="n">
        <v>1090.4</v>
      </c>
      <c r="G131" s="51" t="s">
        <v>90</v>
      </c>
      <c r="H131" s="52" t="n">
        <f aca="false">1238.89/1.2</f>
        <v>1032.40833333333</v>
      </c>
      <c r="I131" s="53" t="n">
        <f aca="false">D131*H131</f>
        <v>60550.74875</v>
      </c>
      <c r="J131" s="51" t="s">
        <v>189</v>
      </c>
      <c r="K131" s="52" t="n">
        <f aca="false">1320.83/1.2</f>
        <v>1100.69166666667</v>
      </c>
      <c r="L131" s="53" t="n">
        <f aca="false">D131*K131</f>
        <v>64555.56625</v>
      </c>
      <c r="M131" s="51" t="s">
        <v>149</v>
      </c>
      <c r="N131" s="52" t="n">
        <f aca="false">1385.5/1.2</f>
        <v>1154.58333333333</v>
      </c>
      <c r="O131" s="53" t="n">
        <f aca="false">D131*N131</f>
        <v>67716.3125</v>
      </c>
      <c r="P131" s="54" t="n">
        <f aca="false">AVERAGE(H131,K131,N131)</f>
        <v>1095.89444444444</v>
      </c>
      <c r="Q131" s="55" t="n">
        <f aca="false">F131*100/P131-100</f>
        <v>-0.501366210249344</v>
      </c>
      <c r="R131" s="54" t="n">
        <f aca="false">D131*F131</f>
        <v>63951.96</v>
      </c>
      <c r="S131" s="67"/>
      <c r="T131" s="68"/>
      <c r="U131" s="57" t="n">
        <f aca="false">ROUND(H131*100/P131-100,0)</f>
        <v>-6</v>
      </c>
      <c r="V131" s="57" t="n">
        <f aca="false">ROUND(K131*100/P131-100,0)</f>
        <v>0</v>
      </c>
      <c r="W131" s="57" t="n">
        <f aca="false">ROUND(N131*100/P131-100,0)</f>
        <v>5</v>
      </c>
      <c r="Y131" s="43" t="n">
        <v>123</v>
      </c>
    </row>
    <row r="132" s="43" customFormat="true" ht="73.5" hidden="false" customHeight="true" outlineLevel="0" collapsed="false">
      <c r="A132" s="45" t="n">
        <v>127</v>
      </c>
      <c r="B132" s="46" t="s">
        <v>190</v>
      </c>
      <c r="C132" s="47" t="s">
        <v>53</v>
      </c>
      <c r="D132" s="48" t="s">
        <v>191</v>
      </c>
      <c r="E132" s="49" t="n">
        <v>1562.5</v>
      </c>
      <c r="F132" s="50" t="n">
        <v>2710.82</v>
      </c>
      <c r="G132" s="51" t="s">
        <v>90</v>
      </c>
      <c r="H132" s="52" t="n">
        <f aca="false">3111.11/1.2</f>
        <v>2592.59166666667</v>
      </c>
      <c r="I132" s="53" t="n">
        <f aca="false">D132*H132</f>
        <v>2851.85083333333</v>
      </c>
      <c r="J132" s="51" t="s">
        <v>189</v>
      </c>
      <c r="K132" s="52" t="n">
        <f aca="false">3185.77/1.2</f>
        <v>2654.80833333333</v>
      </c>
      <c r="L132" s="53" t="n">
        <f aca="false">D132*K132</f>
        <v>2920.28916666667</v>
      </c>
      <c r="M132" s="51" t="s">
        <v>149</v>
      </c>
      <c r="N132" s="52" t="n">
        <f aca="false">3480.8/1.2</f>
        <v>2900.66666666667</v>
      </c>
      <c r="O132" s="53" t="n">
        <f aca="false">D132*N132</f>
        <v>3190.73333333333</v>
      </c>
      <c r="P132" s="54" t="n">
        <f aca="false">AVERAGE(H132,K132,N132)</f>
        <v>2716.02222222222</v>
      </c>
      <c r="Q132" s="55" t="n">
        <f aca="false">F132*100/P132-100</f>
        <v>-0.191538279019156</v>
      </c>
      <c r="R132" s="54" t="n">
        <f aca="false">D132*F132</f>
        <v>2981.902</v>
      </c>
      <c r="S132" s="67"/>
      <c r="U132" s="57" t="n">
        <f aca="false">ROUND(H132*100/P132-100,0)</f>
        <v>-5</v>
      </c>
      <c r="V132" s="57" t="n">
        <f aca="false">ROUND(K132*100/P132-100,0)</f>
        <v>-2</v>
      </c>
      <c r="W132" s="57" t="n">
        <f aca="false">ROUND(N132*100/P132-100,0)</f>
        <v>7</v>
      </c>
      <c r="Y132" s="43" t="n">
        <v>124</v>
      </c>
    </row>
    <row r="133" s="43" customFormat="true" ht="73.5" hidden="false" customHeight="true" outlineLevel="0" collapsed="false">
      <c r="A133" s="45" t="n">
        <v>128</v>
      </c>
      <c r="B133" s="46" t="s">
        <v>192</v>
      </c>
      <c r="C133" s="47" t="s">
        <v>53</v>
      </c>
      <c r="D133" s="48" t="s">
        <v>193</v>
      </c>
      <c r="E133" s="49" t="n">
        <v>1779.17</v>
      </c>
      <c r="F133" s="50" t="n">
        <v>2701.65</v>
      </c>
      <c r="G133" s="51" t="s">
        <v>90</v>
      </c>
      <c r="H133" s="52" t="n">
        <f aca="false">3166.67/1.2</f>
        <v>2638.89166666667</v>
      </c>
      <c r="I133" s="53" t="n">
        <f aca="false">D133*H133</f>
        <v>8180.56416666667</v>
      </c>
      <c r="J133" s="51" t="s">
        <v>189</v>
      </c>
      <c r="K133" s="52" t="n">
        <f aca="false">3135.29/1.2</f>
        <v>2612.74166666667</v>
      </c>
      <c r="L133" s="53" t="n">
        <f aca="false">D133*K133</f>
        <v>8099.49916666667</v>
      </c>
      <c r="M133" s="51" t="s">
        <v>149</v>
      </c>
      <c r="N133" s="52" t="n">
        <f aca="false">3514.09/1.2</f>
        <v>2928.40833333333</v>
      </c>
      <c r="O133" s="53" t="n">
        <f aca="false">D133*N133</f>
        <v>9078.06583333333</v>
      </c>
      <c r="P133" s="54" t="n">
        <f aca="false">AVERAGE(H133,K133,N133)</f>
        <v>2726.68055555556</v>
      </c>
      <c r="Q133" s="55" t="n">
        <f aca="false">F133*100/P133-100</f>
        <v>-0.917986359075215</v>
      </c>
      <c r="R133" s="54" t="n">
        <f aca="false">D133*F133</f>
        <v>8375.115</v>
      </c>
      <c r="S133" s="67"/>
      <c r="U133" s="57" t="n">
        <f aca="false">ROUND(H133*100/P133-100,0)</f>
        <v>-3</v>
      </c>
      <c r="V133" s="57" t="n">
        <f aca="false">ROUND(K133*100/P133-100,0)</f>
        <v>-4</v>
      </c>
      <c r="W133" s="57" t="n">
        <f aca="false">ROUND(N133*100/P133-100,0)</f>
        <v>7</v>
      </c>
      <c r="Y133" s="43" t="n">
        <v>125</v>
      </c>
    </row>
    <row r="134" s="43" customFormat="true" ht="73.5" hidden="false" customHeight="true" outlineLevel="0" collapsed="false">
      <c r="A134" s="45" t="n">
        <v>129</v>
      </c>
      <c r="B134" s="46" t="s">
        <v>194</v>
      </c>
      <c r="C134" s="47" t="s">
        <v>53</v>
      </c>
      <c r="D134" s="48" t="n">
        <v>10</v>
      </c>
      <c r="E134" s="49" t="n">
        <v>1270.37</v>
      </c>
      <c r="F134" s="50" t="n">
        <v>1478.6</v>
      </c>
      <c r="G134" s="51" t="s">
        <v>90</v>
      </c>
      <c r="H134" s="52" t="n">
        <f aca="false">1725.55/1.2</f>
        <v>1437.95833333333</v>
      </c>
      <c r="I134" s="53" t="n">
        <f aca="false">D134*H134</f>
        <v>14379.5833333333</v>
      </c>
      <c r="J134" s="51" t="s">
        <v>189</v>
      </c>
      <c r="K134" s="52" t="n">
        <f aca="false">1741.12/1.2</f>
        <v>1450.93333333333</v>
      </c>
      <c r="L134" s="53" t="n">
        <f aca="false">D134*K134</f>
        <v>14509.3333333333</v>
      </c>
      <c r="M134" s="51" t="s">
        <v>149</v>
      </c>
      <c r="N134" s="52" t="n">
        <f aca="false">1865.66/1.2</f>
        <v>1554.71666666667</v>
      </c>
      <c r="O134" s="53" t="n">
        <f aca="false">D134*N134</f>
        <v>15547.1666666667</v>
      </c>
      <c r="P134" s="54" t="n">
        <f aca="false">AVERAGE(H134,K134,N134)</f>
        <v>1481.20277777778</v>
      </c>
      <c r="Q134" s="55" t="n">
        <f aca="false">F134*100/P134-100</f>
        <v>-0.175720557429869</v>
      </c>
      <c r="R134" s="54" t="n">
        <f aca="false">D134*F134</f>
        <v>14786</v>
      </c>
      <c r="S134" s="67"/>
      <c r="U134" s="57" t="n">
        <f aca="false">ROUND(H134*100/P134-100,0)</f>
        <v>-3</v>
      </c>
      <c r="V134" s="57" t="n">
        <f aca="false">ROUND(K134*100/P134-100,0)</f>
        <v>-2</v>
      </c>
      <c r="W134" s="57" t="n">
        <f aca="false">ROUND(N134*100/P134-100,0)</f>
        <v>5</v>
      </c>
      <c r="Y134" s="43" t="n">
        <v>126</v>
      </c>
    </row>
    <row r="135" s="43" customFormat="true" ht="73.5" hidden="false" customHeight="true" outlineLevel="0" collapsed="false">
      <c r="A135" s="45" t="n">
        <v>130</v>
      </c>
      <c r="B135" s="46" t="s">
        <v>195</v>
      </c>
      <c r="C135" s="47" t="s">
        <v>53</v>
      </c>
      <c r="D135" s="48" t="n">
        <v>15</v>
      </c>
      <c r="E135" s="49" t="n">
        <v>1323.15</v>
      </c>
      <c r="F135" s="50" t="n">
        <v>1369.87</v>
      </c>
      <c r="G135" s="51" t="s">
        <v>90</v>
      </c>
      <c r="H135" s="52" t="n">
        <f aca="false">1505.56/1.2</f>
        <v>1254.63333333333</v>
      </c>
      <c r="I135" s="53" t="n">
        <f aca="false">D135*H135</f>
        <v>18819.5</v>
      </c>
      <c r="J135" s="51" t="s">
        <v>189</v>
      </c>
      <c r="K135" s="52" t="n">
        <f aca="false">1637.46/1.2</f>
        <v>1364.55</v>
      </c>
      <c r="L135" s="53" t="n">
        <f aca="false">D135*K135</f>
        <v>20468.25</v>
      </c>
      <c r="M135" s="51" t="s">
        <v>149</v>
      </c>
      <c r="N135" s="52" t="n">
        <f aca="false">1805.2/1.2</f>
        <v>1504.33333333333</v>
      </c>
      <c r="O135" s="53" t="n">
        <f aca="false">D135*N135</f>
        <v>22565</v>
      </c>
      <c r="P135" s="54" t="n">
        <f aca="false">AVERAGE(H135,K135,N135)</f>
        <v>1374.50555555556</v>
      </c>
      <c r="Q135" s="55" t="n">
        <f aca="false">F135*100/P135-100</f>
        <v>-0.337252587799256</v>
      </c>
      <c r="R135" s="54" t="n">
        <f aca="false">D135*F135</f>
        <v>20548.05</v>
      </c>
      <c r="S135" s="67"/>
      <c r="U135" s="57" t="n">
        <f aca="false">ROUND(H135*100/P135-100,0)</f>
        <v>-9</v>
      </c>
      <c r="V135" s="57" t="n">
        <f aca="false">ROUND(K135*100/P135-100,0)</f>
        <v>-1</v>
      </c>
      <c r="W135" s="57" t="n">
        <f aca="false">ROUND(N135*100/P135-100,0)</f>
        <v>9</v>
      </c>
      <c r="Y135" s="43" t="n">
        <v>127</v>
      </c>
    </row>
    <row r="136" s="43" customFormat="true" ht="73.5" hidden="false" customHeight="true" outlineLevel="0" collapsed="false">
      <c r="A136" s="45" t="n">
        <v>131</v>
      </c>
      <c r="B136" s="46" t="s">
        <v>196</v>
      </c>
      <c r="C136" s="47" t="s">
        <v>53</v>
      </c>
      <c r="D136" s="48" t="s">
        <v>191</v>
      </c>
      <c r="E136" s="49" t="n">
        <v>1349.17</v>
      </c>
      <c r="F136" s="50" t="n">
        <v>1878.3</v>
      </c>
      <c r="G136" s="51" t="s">
        <v>90</v>
      </c>
      <c r="H136" s="52" t="n">
        <f aca="false">2222.22/1.2</f>
        <v>1851.85</v>
      </c>
      <c r="I136" s="53" t="n">
        <f aca="false">D136*H136</f>
        <v>2037.035</v>
      </c>
      <c r="J136" s="51" t="s">
        <v>189</v>
      </c>
      <c r="K136" s="52" t="n">
        <f aca="false">2269.73/1.2</f>
        <v>1891.44166666667</v>
      </c>
      <c r="L136" s="53" t="n">
        <f aca="false">D136*K136</f>
        <v>2080.58583333333</v>
      </c>
      <c r="M136" s="51" t="s">
        <v>149</v>
      </c>
      <c r="N136" s="52" t="n">
        <f aca="false">2294.14/1.2</f>
        <v>1911.78333333333</v>
      </c>
      <c r="O136" s="53" t="n">
        <f aca="false">D136*N136</f>
        <v>2102.96166666667</v>
      </c>
      <c r="P136" s="54" t="n">
        <f aca="false">AVERAGE(H136,K136,N136)</f>
        <v>1885.025</v>
      </c>
      <c r="Q136" s="55" t="n">
        <f aca="false">F136*100/P136-100</f>
        <v>-0.35675919417514</v>
      </c>
      <c r="R136" s="54" t="n">
        <f aca="false">D136*F136</f>
        <v>2066.13</v>
      </c>
      <c r="S136" s="67"/>
      <c r="U136" s="57" t="n">
        <f aca="false">ROUND(H136*100/P136-100,0)</f>
        <v>-2</v>
      </c>
      <c r="V136" s="57" t="n">
        <f aca="false">ROUND(K136*100/P136-100,0)</f>
        <v>0</v>
      </c>
      <c r="W136" s="57" t="n">
        <f aca="false">ROUND(N136*100/P136-100,0)</f>
        <v>1</v>
      </c>
      <c r="Y136" s="43" t="n">
        <v>128</v>
      </c>
    </row>
    <row r="137" s="43" customFormat="true" ht="73.5" hidden="false" customHeight="true" outlineLevel="0" collapsed="false">
      <c r="A137" s="45" t="n">
        <v>132</v>
      </c>
      <c r="B137" s="46" t="s">
        <v>197</v>
      </c>
      <c r="C137" s="47" t="s">
        <v>45</v>
      </c>
      <c r="D137" s="48" t="n">
        <v>450</v>
      </c>
      <c r="E137" s="49" t="s">
        <v>26</v>
      </c>
      <c r="F137" s="50" t="n">
        <v>452.31</v>
      </c>
      <c r="G137" s="47" t="s">
        <v>198</v>
      </c>
      <c r="H137" s="52" t="n">
        <f aca="false">12465/1.2/25</f>
        <v>415.5</v>
      </c>
      <c r="I137" s="53" t="n">
        <f aca="false">D137*H137</f>
        <v>186975</v>
      </c>
      <c r="J137" s="51" t="s">
        <v>189</v>
      </c>
      <c r="K137" s="52" t="n">
        <f aca="false">526.16/1.2</f>
        <v>438.466666666667</v>
      </c>
      <c r="L137" s="53" t="n">
        <f aca="false">D137*K137</f>
        <v>197310</v>
      </c>
      <c r="M137" s="53" t="s">
        <v>41</v>
      </c>
      <c r="N137" s="52" t="n">
        <v>509.48</v>
      </c>
      <c r="O137" s="53" t="n">
        <f aca="false">D137*N137</f>
        <v>229266</v>
      </c>
      <c r="P137" s="54" t="n">
        <f aca="false">AVERAGE(H137,K137,N137)</f>
        <v>454.482222222222</v>
      </c>
      <c r="Q137" s="55" t="n">
        <f aca="false">F137*100/P137-100</f>
        <v>-0.477955377792554</v>
      </c>
      <c r="R137" s="54" t="n">
        <f aca="false">D137*F137</f>
        <v>203539.5</v>
      </c>
      <c r="S137" s="56"/>
      <c r="U137" s="57" t="n">
        <f aca="false">ROUND(H137*100/P137-100,0)</f>
        <v>-9</v>
      </c>
      <c r="V137" s="57" t="n">
        <f aca="false">ROUND(K137*100/P137-100,0)</f>
        <v>-4</v>
      </c>
      <c r="W137" s="57" t="n">
        <f aca="false">ROUND(N137*100/P137-100,0)</f>
        <v>12</v>
      </c>
      <c r="Y137" s="43" t="n">
        <v>129</v>
      </c>
    </row>
    <row r="138" s="43" customFormat="true" ht="73.5" hidden="false" customHeight="true" outlineLevel="0" collapsed="false">
      <c r="A138" s="45" t="n">
        <v>133</v>
      </c>
      <c r="B138" s="46" t="s">
        <v>199</v>
      </c>
      <c r="C138" s="47" t="s">
        <v>25</v>
      </c>
      <c r="D138" s="48" t="n">
        <v>2</v>
      </c>
      <c r="E138" s="49" t="s">
        <v>26</v>
      </c>
      <c r="F138" s="50" t="n">
        <v>789.34</v>
      </c>
      <c r="G138" s="47" t="s">
        <v>27</v>
      </c>
      <c r="H138" s="52" t="n">
        <f aca="false">898.07/1.2</f>
        <v>748.391666666667</v>
      </c>
      <c r="I138" s="53" t="n">
        <f aca="false">D138*H138</f>
        <v>1496.78333333333</v>
      </c>
      <c r="J138" s="53" t="s">
        <v>28</v>
      </c>
      <c r="K138" s="52" t="n">
        <f aca="false">987.35/1.2</f>
        <v>822.791666666667</v>
      </c>
      <c r="L138" s="53" t="n">
        <f aca="false">D138*K138</f>
        <v>1645.58333333333</v>
      </c>
      <c r="M138" s="47" t="s">
        <v>29</v>
      </c>
      <c r="N138" s="52" t="n">
        <v>801.16</v>
      </c>
      <c r="O138" s="53" t="n">
        <f aca="false">D138*N138</f>
        <v>1602.32</v>
      </c>
      <c r="P138" s="54" t="n">
        <f aca="false">AVERAGE(H138,K138,N138)</f>
        <v>790.781111111111</v>
      </c>
      <c r="Q138" s="55" t="n">
        <f aca="false">F138*100/P138-100</f>
        <v>-0.182238939557649</v>
      </c>
      <c r="R138" s="54" t="n">
        <f aca="false">D138*F138</f>
        <v>1578.68</v>
      </c>
      <c r="S138" s="56"/>
      <c r="U138" s="57" t="n">
        <f aca="false">ROUND(H138*100/P138-100,0)</f>
        <v>-5</v>
      </c>
      <c r="V138" s="57" t="n">
        <f aca="false">ROUND(K138*100/P138-100,0)</f>
        <v>4</v>
      </c>
      <c r="W138" s="57" t="n">
        <f aca="false">ROUND(N138*100/P138-100,0)</f>
        <v>1</v>
      </c>
      <c r="Y138" s="43" t="n">
        <v>130</v>
      </c>
    </row>
    <row r="139" s="43" customFormat="true" ht="73.5" hidden="false" customHeight="true" outlineLevel="0" collapsed="false">
      <c r="A139" s="45" t="n">
        <v>134</v>
      </c>
      <c r="B139" s="46" t="s">
        <v>200</v>
      </c>
      <c r="C139" s="47" t="s">
        <v>25</v>
      </c>
      <c r="D139" s="48" t="n">
        <v>36</v>
      </c>
      <c r="E139" s="49" t="s">
        <v>26</v>
      </c>
      <c r="F139" s="50" t="n">
        <v>329.75</v>
      </c>
      <c r="G139" s="47" t="s">
        <v>27</v>
      </c>
      <c r="H139" s="52" t="n">
        <f aca="false">356.62/1.2</f>
        <v>297.183333333333</v>
      </c>
      <c r="I139" s="53" t="n">
        <f aca="false">D139*H139</f>
        <v>10698.6</v>
      </c>
      <c r="J139" s="53" t="s">
        <v>28</v>
      </c>
      <c r="K139" s="52" t="n">
        <f aca="false">442.12/1.2</f>
        <v>368.433333333333</v>
      </c>
      <c r="L139" s="53" t="n">
        <f aca="false">D139*K139</f>
        <v>13263.6</v>
      </c>
      <c r="M139" s="47" t="s">
        <v>29</v>
      </c>
      <c r="N139" s="52" t="n">
        <v>335.45</v>
      </c>
      <c r="O139" s="53" t="n">
        <f aca="false">D139*N139</f>
        <v>12076.2</v>
      </c>
      <c r="P139" s="54" t="n">
        <f aca="false">AVERAGE(H139,K139,N139)</f>
        <v>333.688888888889</v>
      </c>
      <c r="Q139" s="55" t="n">
        <f aca="false">F139*100/P139-100</f>
        <v>-1.18040756526371</v>
      </c>
      <c r="R139" s="54" t="n">
        <f aca="false">D139*F139</f>
        <v>11871</v>
      </c>
      <c r="S139" s="56"/>
      <c r="U139" s="57" t="n">
        <f aca="false">ROUND(H139*100/P139-100,0)</f>
        <v>-11</v>
      </c>
      <c r="V139" s="57" t="n">
        <f aca="false">ROUND(K139*100/P139-100,0)</f>
        <v>10</v>
      </c>
      <c r="W139" s="57" t="n">
        <f aca="false">ROUND(N139*100/P139-100,0)</f>
        <v>1</v>
      </c>
      <c r="Y139" s="43" t="n">
        <v>131</v>
      </c>
    </row>
    <row r="140" s="43" customFormat="true" ht="99.75" hidden="false" customHeight="true" outlineLevel="0" collapsed="false">
      <c r="A140" s="45" t="n">
        <v>135</v>
      </c>
      <c r="B140" s="46" t="s">
        <v>201</v>
      </c>
      <c r="C140" s="47" t="s">
        <v>45</v>
      </c>
      <c r="D140" s="48" t="n">
        <v>140</v>
      </c>
      <c r="E140" s="49" t="n">
        <v>387.5</v>
      </c>
      <c r="F140" s="50" t="n">
        <v>429.98</v>
      </c>
      <c r="G140" s="47" t="s">
        <v>202</v>
      </c>
      <c r="H140" s="52" t="n">
        <f aca="false">10220/25</f>
        <v>408.8</v>
      </c>
      <c r="I140" s="53" t="n">
        <f aca="false">D140*H140</f>
        <v>57232</v>
      </c>
      <c r="J140" s="47" t="s">
        <v>46</v>
      </c>
      <c r="K140" s="52" t="n">
        <v>456.73</v>
      </c>
      <c r="L140" s="53" t="n">
        <f aca="false">D140*K140</f>
        <v>63942.2</v>
      </c>
      <c r="M140" s="47" t="s">
        <v>57</v>
      </c>
      <c r="N140" s="52" t="n">
        <v>428.41</v>
      </c>
      <c r="O140" s="53" t="n">
        <f aca="false">D140*N140</f>
        <v>59977.4</v>
      </c>
      <c r="P140" s="54" t="n">
        <f aca="false">AVERAGE(H140,K140,N140)</f>
        <v>431.313333333333</v>
      </c>
      <c r="Q140" s="55" t="n">
        <f aca="false">F140*100/P140-100</f>
        <v>-0.309133344668226</v>
      </c>
      <c r="R140" s="54" t="n">
        <f aca="false">D140*F140</f>
        <v>60197.2</v>
      </c>
      <c r="S140" s="56"/>
      <c r="U140" s="57" t="n">
        <f aca="false">ROUND(H140*100/P140-100,0)</f>
        <v>-5</v>
      </c>
      <c r="V140" s="57" t="n">
        <f aca="false">ROUND(K140*100/P140-100,0)</f>
        <v>6</v>
      </c>
      <c r="W140" s="57" t="n">
        <f aca="false">ROUND(N140*100/P140-100,0)</f>
        <v>-1</v>
      </c>
      <c r="Y140" s="43" t="n">
        <v>132</v>
      </c>
    </row>
    <row r="141" s="43" customFormat="true" ht="95.25" hidden="false" customHeight="true" outlineLevel="0" collapsed="false">
      <c r="A141" s="45" t="n">
        <v>136</v>
      </c>
      <c r="B141" s="46" t="s">
        <v>203</v>
      </c>
      <c r="C141" s="47" t="s">
        <v>45</v>
      </c>
      <c r="D141" s="48" t="n">
        <v>12</v>
      </c>
      <c r="E141" s="49" t="n">
        <v>808.33</v>
      </c>
      <c r="F141" s="50" t="n">
        <v>905.66</v>
      </c>
      <c r="G141" s="47" t="s">
        <v>202</v>
      </c>
      <c r="H141" s="52" t="n">
        <f aca="false">21931.67/25</f>
        <v>877.2668</v>
      </c>
      <c r="I141" s="53" t="n">
        <f aca="false">D141*H141</f>
        <v>10527.2016</v>
      </c>
      <c r="J141" s="47" t="s">
        <v>46</v>
      </c>
      <c r="K141" s="52" t="n">
        <v>954.02</v>
      </c>
      <c r="L141" s="53" t="n">
        <f aca="false">D141*K141</f>
        <v>11448.24</v>
      </c>
      <c r="M141" s="47" t="s">
        <v>57</v>
      </c>
      <c r="N141" s="52" t="n">
        <v>893.4</v>
      </c>
      <c r="O141" s="53" t="n">
        <f aca="false">D141*N141</f>
        <v>10720.8</v>
      </c>
      <c r="P141" s="54" t="n">
        <f aca="false">AVERAGE(H141,K141,N141)</f>
        <v>908.228933333333</v>
      </c>
      <c r="Q141" s="55" t="n">
        <f aca="false">F141*100/P141-100</f>
        <v>-0.282850858307825</v>
      </c>
      <c r="R141" s="54" t="n">
        <f aca="false">D141*F141</f>
        <v>10867.92</v>
      </c>
      <c r="S141" s="56"/>
      <c r="U141" s="57" t="n">
        <f aca="false">ROUND(H141*100/P141-100,0)</f>
        <v>-3</v>
      </c>
      <c r="V141" s="57" t="n">
        <f aca="false">ROUND(K141*100/P141-100,0)</f>
        <v>5</v>
      </c>
      <c r="W141" s="57" t="n">
        <f aca="false">ROUND(N141*100/P141-100,0)</f>
        <v>-2</v>
      </c>
      <c r="Y141" s="43" t="n">
        <v>133</v>
      </c>
    </row>
    <row r="142" s="43" customFormat="true" ht="73.5" hidden="false" customHeight="true" outlineLevel="0" collapsed="false">
      <c r="A142" s="45" t="n">
        <v>137</v>
      </c>
      <c r="B142" s="46" t="s">
        <v>204</v>
      </c>
      <c r="C142" s="47" t="s">
        <v>25</v>
      </c>
      <c r="D142" s="48" t="n">
        <v>12</v>
      </c>
      <c r="E142" s="49" t="s">
        <v>26</v>
      </c>
      <c r="F142" s="50" t="n">
        <v>653.71</v>
      </c>
      <c r="G142" s="47" t="s">
        <v>27</v>
      </c>
      <c r="H142" s="52" t="n">
        <f aca="false">723.24/1.2</f>
        <v>602.7</v>
      </c>
      <c r="I142" s="53" t="n">
        <f aca="false">D142*H142</f>
        <v>7232.4</v>
      </c>
      <c r="J142" s="53" t="s">
        <v>28</v>
      </c>
      <c r="K142" s="52" t="n">
        <f aca="false">857.27/1.2</f>
        <v>714.391666666667</v>
      </c>
      <c r="L142" s="53" t="n">
        <f aca="false">D142*K142</f>
        <v>8572.7</v>
      </c>
      <c r="M142" s="47" t="s">
        <v>29</v>
      </c>
      <c r="N142" s="52" t="n">
        <v>652.02</v>
      </c>
      <c r="O142" s="53" t="n">
        <f aca="false">D142*N142</f>
        <v>7824.24</v>
      </c>
      <c r="P142" s="54" t="n">
        <f aca="false">AVERAGE(H142,K142,N142)</f>
        <v>656.370555555556</v>
      </c>
      <c r="Q142" s="55" t="n">
        <f aca="false">F142*100/P142-100</f>
        <v>-0.405343526310944</v>
      </c>
      <c r="R142" s="54" t="n">
        <f aca="false">D142*F142</f>
        <v>7844.52</v>
      </c>
      <c r="S142" s="56"/>
      <c r="U142" s="57" t="n">
        <f aca="false">ROUND(H142*100/P142-100,0)</f>
        <v>-8</v>
      </c>
      <c r="V142" s="57" t="n">
        <f aca="false">ROUND(K142*100/P142-100,0)</f>
        <v>9</v>
      </c>
      <c r="W142" s="57" t="n">
        <f aca="false">ROUND(N142*100/P142-100,0)</f>
        <v>-1</v>
      </c>
      <c r="Y142" s="43" t="n">
        <v>134</v>
      </c>
    </row>
    <row r="143" s="43" customFormat="true" ht="73.5" hidden="false" customHeight="true" outlineLevel="0" collapsed="false">
      <c r="A143" s="45" t="n">
        <v>138</v>
      </c>
      <c r="B143" s="46" t="s">
        <v>205</v>
      </c>
      <c r="C143" s="47" t="s">
        <v>25</v>
      </c>
      <c r="D143" s="48" t="n">
        <v>35</v>
      </c>
      <c r="E143" s="49" t="s">
        <v>26</v>
      </c>
      <c r="F143" s="50" t="n">
        <v>113.54</v>
      </c>
      <c r="G143" s="47" t="s">
        <v>27</v>
      </c>
      <c r="H143" s="52" t="n">
        <f aca="false">118.77/1.2</f>
        <v>98.975</v>
      </c>
      <c r="I143" s="53" t="n">
        <f aca="false">D143*H143</f>
        <v>3464.125</v>
      </c>
      <c r="J143" s="53" t="s">
        <v>28</v>
      </c>
      <c r="K143" s="52" t="n">
        <f aca="false">135.22/1.2</f>
        <v>112.683333333333</v>
      </c>
      <c r="L143" s="53" t="n">
        <f aca="false">D143*K143</f>
        <v>3943.91666666667</v>
      </c>
      <c r="M143" s="47" t="s">
        <v>29</v>
      </c>
      <c r="N143" s="52" t="n">
        <v>135.37</v>
      </c>
      <c r="O143" s="53" t="n">
        <f aca="false">D143*N143</f>
        <v>4737.95</v>
      </c>
      <c r="P143" s="54" t="n">
        <f aca="false">AVERAGE(H143,K143,N143)</f>
        <v>115.676111111111</v>
      </c>
      <c r="Q143" s="55" t="n">
        <f aca="false">F143*100/P143-100</f>
        <v>-1.84663115883909</v>
      </c>
      <c r="R143" s="54" t="n">
        <f aca="false">D143*F143</f>
        <v>3973.9</v>
      </c>
      <c r="S143" s="56"/>
      <c r="U143" s="57" t="n">
        <f aca="false">ROUND(H143*100/P143-100,0)</f>
        <v>-14</v>
      </c>
      <c r="V143" s="57" t="n">
        <f aca="false">ROUND(K143*100/P143-100,0)</f>
        <v>-3</v>
      </c>
      <c r="W143" s="57" t="n">
        <f aca="false">ROUND(N143*100/P143-100,0)</f>
        <v>17</v>
      </c>
      <c r="Y143" s="43" t="n">
        <v>135</v>
      </c>
    </row>
    <row r="144" s="43" customFormat="true" ht="73.5" hidden="false" customHeight="true" outlineLevel="0" collapsed="false">
      <c r="A144" s="45" t="n">
        <v>139</v>
      </c>
      <c r="B144" s="46" t="s">
        <v>206</v>
      </c>
      <c r="C144" s="47" t="s">
        <v>25</v>
      </c>
      <c r="D144" s="48" t="n">
        <v>20</v>
      </c>
      <c r="E144" s="49" t="n">
        <v>221.17</v>
      </c>
      <c r="F144" s="50" t="n">
        <v>242.64</v>
      </c>
      <c r="G144" s="47" t="s">
        <v>27</v>
      </c>
      <c r="H144" s="52" t="n">
        <f aca="false">283.32/1.2</f>
        <v>236.1</v>
      </c>
      <c r="I144" s="53" t="n">
        <f aca="false">D144*H144</f>
        <v>4722</v>
      </c>
      <c r="J144" s="53" t="s">
        <v>28</v>
      </c>
      <c r="K144" s="52" t="n">
        <f aca="false">320.12/1.2</f>
        <v>266.766666666667</v>
      </c>
      <c r="L144" s="53" t="n">
        <f aca="false">D144*K144</f>
        <v>5335.33333333333</v>
      </c>
      <c r="M144" s="47" t="s">
        <v>29</v>
      </c>
      <c r="N144" s="52" t="n">
        <v>231.89</v>
      </c>
      <c r="O144" s="53" t="n">
        <f aca="false">D144*N144</f>
        <v>4637.8</v>
      </c>
      <c r="P144" s="54" t="n">
        <f aca="false">AVERAGE(H144,K144,N144)</f>
        <v>244.918888888889</v>
      </c>
      <c r="Q144" s="55" t="n">
        <f aca="false">F144*100/P144-100</f>
        <v>-0.930466775848686</v>
      </c>
      <c r="R144" s="54" t="n">
        <f aca="false">D144*F144</f>
        <v>4852.8</v>
      </c>
      <c r="S144" s="56"/>
      <c r="U144" s="57" t="n">
        <f aca="false">ROUND(H144*100/P144-100,0)</f>
        <v>-4</v>
      </c>
      <c r="V144" s="57" t="n">
        <f aca="false">ROUND(K144*100/P144-100,0)</f>
        <v>9</v>
      </c>
      <c r="W144" s="57" t="n">
        <f aca="false">ROUND(N144*100/P144-100,0)</f>
        <v>-5</v>
      </c>
      <c r="Y144" s="43" t="n">
        <v>136</v>
      </c>
    </row>
    <row r="145" s="43" customFormat="true" ht="73.5" hidden="false" customHeight="true" outlineLevel="0" collapsed="false">
      <c r="A145" s="45" t="n">
        <v>140</v>
      </c>
      <c r="B145" s="46" t="s">
        <v>207</v>
      </c>
      <c r="C145" s="47" t="s">
        <v>25</v>
      </c>
      <c r="D145" s="48" t="n">
        <v>356</v>
      </c>
      <c r="E145" s="49" t="n">
        <v>148.41</v>
      </c>
      <c r="F145" s="50" t="n">
        <v>228.33</v>
      </c>
      <c r="G145" s="47" t="s">
        <v>27</v>
      </c>
      <c r="H145" s="52" t="n">
        <f aca="false">219.61/1.2</f>
        <v>183.008333333333</v>
      </c>
      <c r="I145" s="53" t="n">
        <f aca="false">D145*H145</f>
        <v>65150.9666666667</v>
      </c>
      <c r="J145" s="53" t="s">
        <v>28</v>
      </c>
      <c r="K145" s="52" t="n">
        <f aca="false">287.78/1.2</f>
        <v>239.816666666667</v>
      </c>
      <c r="L145" s="53" t="n">
        <f aca="false">D145*K145</f>
        <v>85374.7333333333</v>
      </c>
      <c r="M145" s="47" t="s">
        <v>29</v>
      </c>
      <c r="N145" s="52" t="n">
        <v>266.51</v>
      </c>
      <c r="O145" s="53" t="n">
        <f aca="false">D145*N145</f>
        <v>94877.56</v>
      </c>
      <c r="P145" s="54" t="n">
        <f aca="false">AVERAGE(H145,K145,N145)</f>
        <v>229.778333333333</v>
      </c>
      <c r="Q145" s="55" t="n">
        <f aca="false">F145*100/P145-100</f>
        <v>-0.630317624957385</v>
      </c>
      <c r="R145" s="54" t="n">
        <f aca="false">D145*F145</f>
        <v>81285.48</v>
      </c>
      <c r="S145" s="56"/>
      <c r="U145" s="57" t="n">
        <f aca="false">ROUND(H145*100/P145-100,0)</f>
        <v>-20</v>
      </c>
      <c r="V145" s="57" t="n">
        <f aca="false">ROUND(K145*100/P145-100,0)</f>
        <v>4</v>
      </c>
      <c r="W145" s="57" t="n">
        <f aca="false">ROUND(N145*100/P145-100,0)</f>
        <v>16</v>
      </c>
      <c r="Y145" s="43" t="n">
        <v>137</v>
      </c>
    </row>
    <row r="146" s="43" customFormat="true" ht="73.5" hidden="false" customHeight="true" outlineLevel="0" collapsed="false">
      <c r="A146" s="45" t="n">
        <v>141</v>
      </c>
      <c r="B146" s="46" t="s">
        <v>208</v>
      </c>
      <c r="C146" s="47" t="s">
        <v>25</v>
      </c>
      <c r="D146" s="48" t="s">
        <v>209</v>
      </c>
      <c r="E146" s="49" t="n">
        <v>201.62</v>
      </c>
      <c r="F146" s="50" t="n">
        <v>233.64</v>
      </c>
      <c r="G146" s="47" t="s">
        <v>27</v>
      </c>
      <c r="H146" s="52" t="n">
        <f aca="false">276.58/1.2</f>
        <v>230.483333333333</v>
      </c>
      <c r="I146" s="53" t="n">
        <f aca="false">D146*H146</f>
        <v>61769.5333333333</v>
      </c>
      <c r="J146" s="53" t="s">
        <v>28</v>
      </c>
      <c r="K146" s="52" t="n">
        <f aca="false">267.66/1.2</f>
        <v>223.05</v>
      </c>
      <c r="L146" s="53" t="n">
        <f aca="false">D146*K146</f>
        <v>59777.4</v>
      </c>
      <c r="M146" s="47" t="s">
        <v>29</v>
      </c>
      <c r="N146" s="52" t="n">
        <v>248.97</v>
      </c>
      <c r="O146" s="53" t="n">
        <f aca="false">D146*N146</f>
        <v>66723.96</v>
      </c>
      <c r="P146" s="54" t="n">
        <f aca="false">AVERAGE(H146,K146,N146)</f>
        <v>234.167777777778</v>
      </c>
      <c r="Q146" s="55" t="n">
        <f aca="false">F146*100/P146-100</f>
        <v>-0.225384458436736</v>
      </c>
      <c r="R146" s="54" t="n">
        <f aca="false">D146*F146</f>
        <v>62615.52</v>
      </c>
      <c r="S146" s="56"/>
      <c r="U146" s="57" t="n">
        <f aca="false">ROUND(H146*100/P146-100,0)</f>
        <v>-2</v>
      </c>
      <c r="V146" s="57" t="n">
        <f aca="false">ROUND(K146*100/P146-100,0)</f>
        <v>-5</v>
      </c>
      <c r="W146" s="57" t="n">
        <f aca="false">ROUND(N146*100/P146-100,0)</f>
        <v>6</v>
      </c>
      <c r="Y146" s="43" t="n">
        <v>138</v>
      </c>
    </row>
    <row r="147" s="43" customFormat="true" ht="73.5" hidden="false" customHeight="true" outlineLevel="0" collapsed="false">
      <c r="A147" s="45" t="n">
        <v>142</v>
      </c>
      <c r="B147" s="46" t="s">
        <v>210</v>
      </c>
      <c r="C147" s="47" t="s">
        <v>25</v>
      </c>
      <c r="D147" s="48" t="n">
        <v>200</v>
      </c>
      <c r="E147" s="49" t="n">
        <v>250.93</v>
      </c>
      <c r="F147" s="50" t="n">
        <v>325.78</v>
      </c>
      <c r="G147" s="47" t="s">
        <v>27</v>
      </c>
      <c r="H147" s="52" t="n">
        <f aca="false">364.29/1.2</f>
        <v>303.575</v>
      </c>
      <c r="I147" s="53" t="n">
        <f aca="false">D147*H147</f>
        <v>60715</v>
      </c>
      <c r="J147" s="53" t="s">
        <v>28</v>
      </c>
      <c r="K147" s="52" t="n">
        <f aca="false">361.37/1.2</f>
        <v>301.141666666667</v>
      </c>
      <c r="L147" s="53" t="n">
        <f aca="false">D147*K147</f>
        <v>60228.3333333333</v>
      </c>
      <c r="M147" s="47" t="s">
        <v>29</v>
      </c>
      <c r="N147" s="52" t="n">
        <v>374.02</v>
      </c>
      <c r="O147" s="53" t="n">
        <f aca="false">D147*N147</f>
        <v>74804</v>
      </c>
      <c r="P147" s="54" t="n">
        <f aca="false">AVERAGE(H147,K147,N147)</f>
        <v>326.245555555556</v>
      </c>
      <c r="Q147" s="55" t="n">
        <f aca="false">F147*100/P147-100</f>
        <v>-0.142700964849254</v>
      </c>
      <c r="R147" s="54" t="n">
        <f aca="false">D147*F147</f>
        <v>65156</v>
      </c>
      <c r="S147" s="56"/>
      <c r="U147" s="57" t="n">
        <f aca="false">ROUND(H147*100/P147-100,0)</f>
        <v>-7</v>
      </c>
      <c r="V147" s="57" t="n">
        <f aca="false">ROUND(K147*100/P147-100,0)</f>
        <v>-8</v>
      </c>
      <c r="W147" s="57" t="n">
        <f aca="false">ROUND(N147*100/P147-100,0)</f>
        <v>15</v>
      </c>
      <c r="Y147" s="43" t="n">
        <v>139</v>
      </c>
    </row>
    <row r="148" s="43" customFormat="true" ht="73.5" hidden="false" customHeight="true" outlineLevel="0" collapsed="false">
      <c r="A148" s="45" t="n">
        <v>143</v>
      </c>
      <c r="B148" s="46" t="s">
        <v>211</v>
      </c>
      <c r="C148" s="47" t="s">
        <v>25</v>
      </c>
      <c r="D148" s="48" t="n">
        <v>40</v>
      </c>
      <c r="E148" s="49" t="n">
        <v>814.79</v>
      </c>
      <c r="F148" s="50" t="n">
        <v>1233.75</v>
      </c>
      <c r="G148" s="47" t="s">
        <v>27</v>
      </c>
      <c r="H148" s="52" t="n">
        <f aca="false">1201.84/1.2</f>
        <v>1001.53333333333</v>
      </c>
      <c r="I148" s="53" t="n">
        <f aca="false">D148*H148</f>
        <v>40061.3333333333</v>
      </c>
      <c r="J148" s="53" t="s">
        <v>28</v>
      </c>
      <c r="K148" s="52" t="n">
        <f aca="false">1674.32/1.2</f>
        <v>1395.26666666667</v>
      </c>
      <c r="L148" s="53" t="n">
        <f aca="false">D148*K148</f>
        <v>55810.6666666667</v>
      </c>
      <c r="M148" s="47" t="s">
        <v>29</v>
      </c>
      <c r="N148" s="52" t="n">
        <v>1306.33</v>
      </c>
      <c r="O148" s="53" t="n">
        <f aca="false">D148*N148</f>
        <v>52253.2</v>
      </c>
      <c r="P148" s="54" t="n">
        <f aca="false">AVERAGE(H148,K148,N148)</f>
        <v>1234.37666666667</v>
      </c>
      <c r="Q148" s="55" t="n">
        <f aca="false">F148*100/P148-100</f>
        <v>-0.0507678639421272</v>
      </c>
      <c r="R148" s="54" t="n">
        <f aca="false">D148*F148</f>
        <v>49350</v>
      </c>
      <c r="S148" s="56"/>
      <c r="U148" s="57" t="n">
        <f aca="false">ROUND(H148*100/P148-100,0)</f>
        <v>-19</v>
      </c>
      <c r="V148" s="57" t="n">
        <f aca="false">ROUND(K148*100/P148-100,0)</f>
        <v>13</v>
      </c>
      <c r="W148" s="57" t="n">
        <f aca="false">ROUND(N148*100/P148-100,0)</f>
        <v>6</v>
      </c>
      <c r="Y148" s="43" t="n">
        <v>140</v>
      </c>
    </row>
    <row r="149" s="43" customFormat="true" ht="73.5" hidden="false" customHeight="true" outlineLevel="0" collapsed="false">
      <c r="A149" s="45" t="n">
        <v>144</v>
      </c>
      <c r="B149" s="46" t="s">
        <v>212</v>
      </c>
      <c r="C149" s="47" t="s">
        <v>25</v>
      </c>
      <c r="D149" s="48" t="n">
        <v>30</v>
      </c>
      <c r="E149" s="49" t="n">
        <v>883.22</v>
      </c>
      <c r="F149" s="50" t="n">
        <v>1098.76</v>
      </c>
      <c r="G149" s="47" t="s">
        <v>27</v>
      </c>
      <c r="H149" s="52" t="n">
        <f aca="false">1199.31/1.2</f>
        <v>999.425</v>
      </c>
      <c r="I149" s="53" t="n">
        <f aca="false">D149*H149</f>
        <v>29982.75</v>
      </c>
      <c r="J149" s="53" t="s">
        <v>28</v>
      </c>
      <c r="K149" s="52" t="n">
        <f aca="false">1269.16/1.2</f>
        <v>1057.63333333333</v>
      </c>
      <c r="L149" s="53" t="n">
        <f aca="false">D149*K149</f>
        <v>31729</v>
      </c>
      <c r="M149" s="47" t="s">
        <v>29</v>
      </c>
      <c r="N149" s="52" t="n">
        <v>1244.25</v>
      </c>
      <c r="O149" s="53" t="n">
        <f aca="false">D149*N149</f>
        <v>37327.5</v>
      </c>
      <c r="P149" s="54" t="n">
        <f aca="false">AVERAGE(H149,K149,N149)</f>
        <v>1100.43611111111</v>
      </c>
      <c r="Q149" s="55" t="n">
        <f aca="false">F149*100/P149-100</f>
        <v>-0.152313350515072</v>
      </c>
      <c r="R149" s="54" t="n">
        <f aca="false">D149*F149</f>
        <v>32962.8</v>
      </c>
      <c r="S149" s="56"/>
      <c r="U149" s="57" t="n">
        <f aca="false">ROUND(H149*100/P149-100,0)</f>
        <v>-9</v>
      </c>
      <c r="V149" s="57" t="n">
        <f aca="false">ROUND(K149*100/P149-100,0)</f>
        <v>-4</v>
      </c>
      <c r="W149" s="57" t="n">
        <f aca="false">ROUND(N149*100/P149-100,0)</f>
        <v>13</v>
      </c>
      <c r="Y149" s="43" t="n">
        <v>141</v>
      </c>
    </row>
    <row r="150" s="43" customFormat="true" ht="73.5" hidden="false" customHeight="true" outlineLevel="0" collapsed="false">
      <c r="A150" s="45" t="n">
        <v>145</v>
      </c>
      <c r="B150" s="46" t="s">
        <v>213</v>
      </c>
      <c r="C150" s="47" t="s">
        <v>25</v>
      </c>
      <c r="D150" s="48" t="n">
        <v>118</v>
      </c>
      <c r="E150" s="49" t="n">
        <v>924.46</v>
      </c>
      <c r="F150" s="50" t="n">
        <v>951.47</v>
      </c>
      <c r="G150" s="47" t="s">
        <v>27</v>
      </c>
      <c r="H150" s="52" t="n">
        <f aca="false">1115.69/1.2</f>
        <v>929.741666666667</v>
      </c>
      <c r="I150" s="53" t="n">
        <f aca="false">D150*H150</f>
        <v>109709.516666667</v>
      </c>
      <c r="J150" s="53" t="s">
        <v>28</v>
      </c>
      <c r="K150" s="52" t="n">
        <f aca="false">1208.38/1.2</f>
        <v>1006.98333333333</v>
      </c>
      <c r="L150" s="53" t="n">
        <f aca="false">D150*K150</f>
        <v>118824.033333333</v>
      </c>
      <c r="M150" s="47" t="s">
        <v>29</v>
      </c>
      <c r="N150" s="52" t="n">
        <v>921.17</v>
      </c>
      <c r="O150" s="53" t="n">
        <f aca="false">D150*N150</f>
        <v>108698.06</v>
      </c>
      <c r="P150" s="54" t="n">
        <f aca="false">AVERAGE(H150,K150,N150)</f>
        <v>952.631666666667</v>
      </c>
      <c r="Q150" s="55" t="n">
        <f aca="false">F150*100/P150-100</f>
        <v>-0.121942898531969</v>
      </c>
      <c r="R150" s="54" t="n">
        <f aca="false">D150*F150</f>
        <v>112273.46</v>
      </c>
      <c r="S150" s="56"/>
      <c r="U150" s="57" t="n">
        <f aca="false">ROUND(H150*100/P150-100,0)</f>
        <v>-2</v>
      </c>
      <c r="V150" s="57" t="n">
        <f aca="false">ROUND(K150*100/P150-100,0)</f>
        <v>6</v>
      </c>
      <c r="W150" s="57" t="n">
        <f aca="false">ROUND(N150*100/P150-100,0)</f>
        <v>-3</v>
      </c>
      <c r="Y150" s="43" t="n">
        <v>142</v>
      </c>
    </row>
    <row r="151" s="43" customFormat="true" ht="73.5" hidden="false" customHeight="true" outlineLevel="0" collapsed="false">
      <c r="A151" s="45" t="n">
        <v>146</v>
      </c>
      <c r="B151" s="46" t="s">
        <v>214</v>
      </c>
      <c r="C151" s="47" t="s">
        <v>25</v>
      </c>
      <c r="D151" s="48" t="n">
        <v>425</v>
      </c>
      <c r="E151" s="49" t="n">
        <v>1151.7</v>
      </c>
      <c r="F151" s="50" t="n">
        <v>1254.32</v>
      </c>
      <c r="G151" s="47" t="s">
        <v>27</v>
      </c>
      <c r="H151" s="52" t="n">
        <f aca="false">1382.75/1.2</f>
        <v>1152.29166666667</v>
      </c>
      <c r="I151" s="53" t="n">
        <f aca="false">D151*H151</f>
        <v>489723.958333333</v>
      </c>
      <c r="J151" s="53" t="s">
        <v>28</v>
      </c>
      <c r="K151" s="52" t="n">
        <f aca="false">1595.17/1.2</f>
        <v>1329.30833333333</v>
      </c>
      <c r="L151" s="53" t="n">
        <f aca="false">D151*K151</f>
        <v>564956.041666667</v>
      </c>
      <c r="M151" s="47" t="s">
        <v>29</v>
      </c>
      <c r="N151" s="52" t="n">
        <v>1288.63</v>
      </c>
      <c r="O151" s="53" t="n">
        <f aca="false">D151*N151</f>
        <v>547667.75</v>
      </c>
      <c r="P151" s="54" t="n">
        <f aca="false">AVERAGE(H151,K151,N151)</f>
        <v>1256.74333333333</v>
      </c>
      <c r="Q151" s="55" t="n">
        <f aca="false">F151*100/P151-100</f>
        <v>-0.192826432339686</v>
      </c>
      <c r="R151" s="54" t="n">
        <f aca="false">D151*F151</f>
        <v>533086</v>
      </c>
      <c r="S151" s="56"/>
      <c r="U151" s="57" t="n">
        <f aca="false">ROUND(H151*100/P151-100,0)</f>
        <v>-8</v>
      </c>
      <c r="V151" s="57" t="n">
        <f aca="false">ROUND(K151*100/P151-100,0)</f>
        <v>6</v>
      </c>
      <c r="W151" s="57" t="n">
        <f aca="false">ROUND(N151*100/P151-100,0)</f>
        <v>3</v>
      </c>
      <c r="Y151" s="43" t="n">
        <v>143</v>
      </c>
    </row>
    <row r="152" s="43" customFormat="true" ht="73.5" hidden="false" customHeight="true" outlineLevel="0" collapsed="false">
      <c r="A152" s="45" t="n">
        <v>147</v>
      </c>
      <c r="B152" s="46" t="s">
        <v>215</v>
      </c>
      <c r="C152" s="47" t="s">
        <v>25</v>
      </c>
      <c r="D152" s="48" t="n">
        <v>20</v>
      </c>
      <c r="E152" s="49" t="n">
        <v>1503.52</v>
      </c>
      <c r="F152" s="50" t="n">
        <v>1529.66</v>
      </c>
      <c r="G152" s="47" t="s">
        <v>27</v>
      </c>
      <c r="H152" s="52" t="n">
        <f aca="false">1801.3/1.2</f>
        <v>1501.08333333333</v>
      </c>
      <c r="I152" s="53" t="n">
        <f aca="false">D152*H152</f>
        <v>30021.6666666667</v>
      </c>
      <c r="J152" s="53" t="s">
        <v>28</v>
      </c>
      <c r="K152" s="52" t="n">
        <f aca="false">1933.26/1.2</f>
        <v>1611.05</v>
      </c>
      <c r="L152" s="53" t="n">
        <f aca="false">D152*K152</f>
        <v>32221</v>
      </c>
      <c r="M152" s="47" t="s">
        <v>29</v>
      </c>
      <c r="N152" s="52" t="n">
        <v>1482.09</v>
      </c>
      <c r="O152" s="53" t="n">
        <f aca="false">D152*N152</f>
        <v>29641.8</v>
      </c>
      <c r="P152" s="54" t="n">
        <f aca="false">AVERAGE(H152,K152,N152)</f>
        <v>1531.40777777778</v>
      </c>
      <c r="Q152" s="55" t="n">
        <f aca="false">F152*100/P152-100</f>
        <v>-0.114128829900153</v>
      </c>
      <c r="R152" s="54" t="n">
        <f aca="false">D152*F152</f>
        <v>30593.2</v>
      </c>
      <c r="S152" s="56"/>
      <c r="U152" s="57" t="n">
        <f aca="false">ROUND(H152*100/P152-100,0)</f>
        <v>-2</v>
      </c>
      <c r="V152" s="57" t="n">
        <f aca="false">ROUND(K152*100/P152-100,0)</f>
        <v>5</v>
      </c>
      <c r="W152" s="57" t="n">
        <f aca="false">ROUND(N152*100/P152-100,0)</f>
        <v>-3</v>
      </c>
      <c r="Y152" s="43" t="n">
        <v>144</v>
      </c>
    </row>
    <row r="153" s="43" customFormat="true" ht="73.5" hidden="false" customHeight="true" outlineLevel="0" collapsed="false">
      <c r="A153" s="45" t="n">
        <v>148</v>
      </c>
      <c r="B153" s="46" t="s">
        <v>216</v>
      </c>
      <c r="C153" s="47" t="s">
        <v>25</v>
      </c>
      <c r="D153" s="48" t="n">
        <v>250</v>
      </c>
      <c r="E153" s="49" t="n">
        <v>422.19</v>
      </c>
      <c r="F153" s="50" t="n">
        <v>469.64</v>
      </c>
      <c r="G153" s="47" t="s">
        <v>27</v>
      </c>
      <c r="H153" s="52" t="n">
        <f aca="false">508.15/1.2</f>
        <v>423.458333333333</v>
      </c>
      <c r="I153" s="53" t="n">
        <f aca="false">D153*H153</f>
        <v>105864.583333333</v>
      </c>
      <c r="J153" s="53" t="s">
        <v>28</v>
      </c>
      <c r="K153" s="52" t="n">
        <f aca="false">585.8/1.2</f>
        <v>488.166666666667</v>
      </c>
      <c r="L153" s="53" t="n">
        <f aca="false">D153*K153</f>
        <v>122041.666666667</v>
      </c>
      <c r="M153" s="47" t="s">
        <v>29</v>
      </c>
      <c r="N153" s="52" t="n">
        <v>501.33</v>
      </c>
      <c r="O153" s="53" t="n">
        <f aca="false">D153*N153</f>
        <v>125332.5</v>
      </c>
      <c r="P153" s="54" t="n">
        <f aca="false">AVERAGE(H153,K153,N153)</f>
        <v>470.985</v>
      </c>
      <c r="Q153" s="55" t="n">
        <f aca="false">F153*100/P153-100</f>
        <v>-0.285571727337384</v>
      </c>
      <c r="R153" s="54" t="n">
        <f aca="false">D153*F153</f>
        <v>117410</v>
      </c>
      <c r="S153" s="56"/>
      <c r="U153" s="57" t="n">
        <f aca="false">ROUND(H153*100/P153-100,0)</f>
        <v>-10</v>
      </c>
      <c r="V153" s="57" t="n">
        <f aca="false">ROUND(K153*100/P153-100,0)</f>
        <v>4</v>
      </c>
      <c r="W153" s="57" t="n">
        <f aca="false">ROUND(N153*100/P153-100,0)</f>
        <v>6</v>
      </c>
      <c r="Y153" s="43" t="n">
        <v>145</v>
      </c>
    </row>
    <row r="154" s="43" customFormat="true" ht="73.5" hidden="false" customHeight="true" outlineLevel="0" collapsed="false">
      <c r="A154" s="45" t="n">
        <v>149</v>
      </c>
      <c r="B154" s="46" t="s">
        <v>217</v>
      </c>
      <c r="C154" s="47" t="s">
        <v>25</v>
      </c>
      <c r="D154" s="48" t="n">
        <v>15</v>
      </c>
      <c r="E154" s="49" t="n">
        <v>1835.44</v>
      </c>
      <c r="F154" s="50" t="n">
        <v>1847.48</v>
      </c>
      <c r="G154" s="47" t="s">
        <v>27</v>
      </c>
      <c r="H154" s="52" t="n">
        <f aca="false">2200.3/1.2</f>
        <v>1833.58333333333</v>
      </c>
      <c r="I154" s="53" t="n">
        <f aca="false">D154*H154</f>
        <v>27503.75</v>
      </c>
      <c r="J154" s="53" t="s">
        <v>28</v>
      </c>
      <c r="K154" s="52" t="n">
        <f aca="false">2162.38/1.2</f>
        <v>1801.98333333333</v>
      </c>
      <c r="L154" s="53" t="n">
        <f aca="false">D154*K154</f>
        <v>27029.75</v>
      </c>
      <c r="M154" s="47" t="s">
        <v>29</v>
      </c>
      <c r="N154" s="52" t="n">
        <v>1912.41</v>
      </c>
      <c r="O154" s="53" t="n">
        <f aca="false">D154*N154</f>
        <v>28686.15</v>
      </c>
      <c r="P154" s="54" t="n">
        <f aca="false">AVERAGE(H154,K154,N154)</f>
        <v>1849.32555555556</v>
      </c>
      <c r="Q154" s="55" t="n">
        <f aca="false">F154*100/P154-100</f>
        <v>-0.099796141896789</v>
      </c>
      <c r="R154" s="54" t="n">
        <f aca="false">D154*F154</f>
        <v>27712.2</v>
      </c>
      <c r="S154" s="56"/>
      <c r="U154" s="57" t="n">
        <f aca="false">ROUND(H154*100/P154-100,0)</f>
        <v>-1</v>
      </c>
      <c r="V154" s="57" t="n">
        <f aca="false">ROUND(K154*100/P154-100,0)</f>
        <v>-3</v>
      </c>
      <c r="W154" s="57" t="n">
        <f aca="false">ROUND(N154*100/P154-100,0)</f>
        <v>3</v>
      </c>
      <c r="Y154" s="43" t="n">
        <v>146</v>
      </c>
    </row>
    <row r="155" s="43" customFormat="true" ht="73.5" hidden="false" customHeight="true" outlineLevel="0" collapsed="false">
      <c r="A155" s="45" t="n">
        <v>150</v>
      </c>
      <c r="B155" s="46" t="s">
        <v>218</v>
      </c>
      <c r="C155" s="47" t="s">
        <v>25</v>
      </c>
      <c r="D155" s="48" t="n">
        <v>14</v>
      </c>
      <c r="E155" s="49" t="n">
        <v>118.92</v>
      </c>
      <c r="F155" s="50" t="n">
        <v>130.55</v>
      </c>
      <c r="G155" s="47" t="s">
        <v>27</v>
      </c>
      <c r="H155" s="52" t="n">
        <f aca="false">149.23/1.2</f>
        <v>124.358333333333</v>
      </c>
      <c r="I155" s="53" t="n">
        <f aca="false">D155*H155</f>
        <v>1741.01666666667</v>
      </c>
      <c r="J155" s="53" t="s">
        <v>28</v>
      </c>
      <c r="K155" s="52" t="n">
        <f aca="false">144.07/1.2</f>
        <v>120.058333333333</v>
      </c>
      <c r="L155" s="53" t="n">
        <f aca="false">D155*K155</f>
        <v>1680.81666666667</v>
      </c>
      <c r="M155" s="47" t="s">
        <v>29</v>
      </c>
      <c r="N155" s="52" t="n">
        <v>151.36</v>
      </c>
      <c r="O155" s="53" t="n">
        <f aca="false">D155*N155</f>
        <v>2119.04</v>
      </c>
      <c r="P155" s="54" t="n">
        <f aca="false">AVERAGE(H155,K155,N155)</f>
        <v>131.925555555556</v>
      </c>
      <c r="Q155" s="55" t="n">
        <f aca="false">F155*100/P155-100</f>
        <v>-1.04267558303084</v>
      </c>
      <c r="R155" s="54" t="n">
        <f aca="false">D155*F155</f>
        <v>1827.7</v>
      </c>
      <c r="S155" s="56"/>
      <c r="U155" s="57" t="n">
        <f aca="false">ROUND(H155*100/P155-100,0)</f>
        <v>-6</v>
      </c>
      <c r="V155" s="57" t="n">
        <f aca="false">ROUND(K155*100/P155-100,0)</f>
        <v>-9</v>
      </c>
      <c r="W155" s="57" t="n">
        <f aca="false">ROUND(N155*100/P155-100,0)</f>
        <v>15</v>
      </c>
      <c r="Y155" s="43" t="n">
        <v>147</v>
      </c>
    </row>
    <row r="156" s="43" customFormat="true" ht="73.5" hidden="false" customHeight="true" outlineLevel="0" collapsed="false">
      <c r="A156" s="45" t="n">
        <v>151</v>
      </c>
      <c r="B156" s="46" t="s">
        <v>219</v>
      </c>
      <c r="C156" s="47" t="s">
        <v>25</v>
      </c>
      <c r="D156" s="48" t="s">
        <v>220</v>
      </c>
      <c r="E156" s="49" t="n">
        <v>274.17</v>
      </c>
      <c r="F156" s="50" t="n">
        <v>275.68</v>
      </c>
      <c r="G156" s="47" t="s">
        <v>27</v>
      </c>
      <c r="H156" s="52" t="n">
        <f aca="false">326.58/1.2</f>
        <v>272.15</v>
      </c>
      <c r="I156" s="53" t="n">
        <f aca="false">D156*H156</f>
        <v>339643.2</v>
      </c>
      <c r="J156" s="53" t="s">
        <v>28</v>
      </c>
      <c r="K156" s="52" t="n">
        <f aca="false">350.12/1.2</f>
        <v>291.766666666667</v>
      </c>
      <c r="L156" s="53" t="n">
        <f aca="false">D156*K156</f>
        <v>364124.8</v>
      </c>
      <c r="M156" s="47" t="s">
        <v>29</v>
      </c>
      <c r="N156" s="52" t="n">
        <v>265.09</v>
      </c>
      <c r="O156" s="53" t="n">
        <f aca="false">D156*N156</f>
        <v>330832.32</v>
      </c>
      <c r="P156" s="54" t="n">
        <f aca="false">AVERAGE(H156,K156,N156)</f>
        <v>276.335555555556</v>
      </c>
      <c r="Q156" s="55" t="n">
        <f aca="false">F156*100/P156-100</f>
        <v>-0.237231707022872</v>
      </c>
      <c r="R156" s="54" t="n">
        <f aca="false">D156*F156</f>
        <v>344048.64</v>
      </c>
      <c r="S156" s="56"/>
      <c r="U156" s="57" t="n">
        <f aca="false">ROUND(H156*100/P156-100,0)</f>
        <v>-2</v>
      </c>
      <c r="V156" s="57" t="n">
        <f aca="false">ROUND(K156*100/P156-100,0)</f>
        <v>6</v>
      </c>
      <c r="W156" s="57" t="n">
        <f aca="false">ROUND(N156*100/P156-100,0)</f>
        <v>-4</v>
      </c>
      <c r="Y156" s="43" t="n">
        <v>148</v>
      </c>
    </row>
    <row r="157" s="43" customFormat="true" ht="73.5" hidden="false" customHeight="true" outlineLevel="0" collapsed="false">
      <c r="A157" s="45" t="n">
        <v>152</v>
      </c>
      <c r="B157" s="46" t="s">
        <v>221</v>
      </c>
      <c r="C157" s="47" t="s">
        <v>25</v>
      </c>
      <c r="D157" s="48" t="n">
        <v>20</v>
      </c>
      <c r="E157" s="49" t="n">
        <v>255.69</v>
      </c>
      <c r="F157" s="50" t="n">
        <v>264.47</v>
      </c>
      <c r="G157" s="47" t="s">
        <v>27</v>
      </c>
      <c r="H157" s="52" t="n">
        <f aca="false">307.21/1.2</f>
        <v>256.008333333333</v>
      </c>
      <c r="I157" s="53" t="n">
        <f aca="false">D157*H157</f>
        <v>5120.16666666667</v>
      </c>
      <c r="J157" s="53" t="s">
        <v>28</v>
      </c>
      <c r="K157" s="52" t="n">
        <f aca="false">304.61/1.2</f>
        <v>253.841666666667</v>
      </c>
      <c r="L157" s="53" t="n">
        <f aca="false">D157*K157</f>
        <v>5076.83333333333</v>
      </c>
      <c r="M157" s="47" t="s">
        <v>29</v>
      </c>
      <c r="N157" s="52" t="n">
        <v>287.67</v>
      </c>
      <c r="O157" s="53" t="n">
        <f aca="false">D157*N157</f>
        <v>5753.4</v>
      </c>
      <c r="P157" s="54" t="n">
        <f aca="false">AVERAGE(H157,K157,N157)</f>
        <v>265.84</v>
      </c>
      <c r="Q157" s="55" t="n">
        <f aca="false">F157*100/P157-100</f>
        <v>-0.515347577490203</v>
      </c>
      <c r="R157" s="54" t="n">
        <f aca="false">D157*F157</f>
        <v>5289.4</v>
      </c>
      <c r="S157" s="56"/>
      <c r="U157" s="57" t="n">
        <f aca="false">ROUND(H157*100/P157-100,0)</f>
        <v>-4</v>
      </c>
      <c r="V157" s="57" t="n">
        <f aca="false">ROUND(K157*100/P157-100,0)</f>
        <v>-5</v>
      </c>
      <c r="W157" s="57" t="n">
        <f aca="false">ROUND(N157*100/P157-100,0)</f>
        <v>8</v>
      </c>
      <c r="Y157" s="43" t="n">
        <v>149</v>
      </c>
    </row>
    <row r="158" s="43" customFormat="true" ht="73.5" hidden="false" customHeight="true" outlineLevel="0" collapsed="false">
      <c r="A158" s="45" t="n">
        <v>153</v>
      </c>
      <c r="B158" s="46" t="s">
        <v>222</v>
      </c>
      <c r="C158" s="47" t="s">
        <v>25</v>
      </c>
      <c r="D158" s="48" t="n">
        <v>100</v>
      </c>
      <c r="E158" s="49" t="n">
        <v>389.92</v>
      </c>
      <c r="F158" s="50" t="n">
        <v>398.01</v>
      </c>
      <c r="G158" s="47" t="s">
        <v>27</v>
      </c>
      <c r="H158" s="52" t="n">
        <f aca="false">463.67/1.2</f>
        <v>386.391666666667</v>
      </c>
      <c r="I158" s="53" t="n">
        <f aca="false">D158*H158</f>
        <v>38639.1666666667</v>
      </c>
      <c r="J158" s="53" t="s">
        <v>28</v>
      </c>
      <c r="K158" s="52" t="n">
        <f aca="false">475.33/1.2</f>
        <v>396.108333333333</v>
      </c>
      <c r="L158" s="53" t="n">
        <f aca="false">D158*K158</f>
        <v>39610.8333333333</v>
      </c>
      <c r="M158" s="47" t="s">
        <v>29</v>
      </c>
      <c r="N158" s="52" t="n">
        <v>412.28</v>
      </c>
      <c r="O158" s="53" t="n">
        <f aca="false">D158*N158</f>
        <v>41228</v>
      </c>
      <c r="P158" s="54" t="n">
        <f aca="false">AVERAGE(H158,K158,N158)</f>
        <v>398.26</v>
      </c>
      <c r="Q158" s="55" t="n">
        <f aca="false">F158*100/P158-100</f>
        <v>-0.0627730628232825</v>
      </c>
      <c r="R158" s="54" t="n">
        <f aca="false">D158*F158</f>
        <v>39801</v>
      </c>
      <c r="S158" s="56"/>
      <c r="U158" s="57" t="n">
        <f aca="false">ROUND(H158*100/P158-100,0)</f>
        <v>-3</v>
      </c>
      <c r="V158" s="57" t="n">
        <f aca="false">ROUND(K158*100/P158-100,0)</f>
        <v>-1</v>
      </c>
      <c r="W158" s="57" t="n">
        <f aca="false">ROUND(N158*100/P158-100,0)</f>
        <v>4</v>
      </c>
      <c r="Y158" s="43" t="n">
        <v>150</v>
      </c>
    </row>
    <row r="159" s="43" customFormat="true" ht="73.5" hidden="false" customHeight="true" outlineLevel="0" collapsed="false">
      <c r="A159" s="45" t="n">
        <v>154</v>
      </c>
      <c r="B159" s="46" t="s">
        <v>223</v>
      </c>
      <c r="C159" s="47" t="s">
        <v>25</v>
      </c>
      <c r="D159" s="48" t="n">
        <v>35</v>
      </c>
      <c r="E159" s="49" t="n">
        <v>442.33</v>
      </c>
      <c r="F159" s="50" t="n">
        <v>560.24</v>
      </c>
      <c r="G159" s="47" t="s">
        <v>27</v>
      </c>
      <c r="H159" s="52" t="n">
        <f aca="false">628.4/1.2</f>
        <v>523.666666666667</v>
      </c>
      <c r="I159" s="53" t="n">
        <f aca="false">D159*H159</f>
        <v>18328.3333333333</v>
      </c>
      <c r="J159" s="53" t="s">
        <v>28</v>
      </c>
      <c r="K159" s="52" t="n">
        <f aca="false">707.8/1.2</f>
        <v>589.833333333333</v>
      </c>
      <c r="L159" s="53" t="n">
        <f aca="false">D159*K159</f>
        <v>20644.1666666667</v>
      </c>
      <c r="M159" s="47" t="s">
        <v>29</v>
      </c>
      <c r="N159" s="52" t="n">
        <v>574.41</v>
      </c>
      <c r="O159" s="53" t="n">
        <f aca="false">D159*N159</f>
        <v>20104.35</v>
      </c>
      <c r="P159" s="54" t="n">
        <f aca="false">AVERAGE(H159,K159,N159)</f>
        <v>562.636666666667</v>
      </c>
      <c r="Q159" s="55" t="n">
        <f aca="false">F159*100/P159-100</f>
        <v>-0.425970579000065</v>
      </c>
      <c r="R159" s="54" t="n">
        <f aca="false">D159*F159</f>
        <v>19608.4</v>
      </c>
      <c r="S159" s="56"/>
      <c r="U159" s="57" t="n">
        <f aca="false">ROUND(H159*100/P159-100,0)</f>
        <v>-7</v>
      </c>
      <c r="V159" s="57" t="n">
        <f aca="false">ROUND(K159*100/P159-100,0)</f>
        <v>5</v>
      </c>
      <c r="W159" s="57" t="n">
        <f aca="false">ROUND(N159*100/P159-100,0)</f>
        <v>2</v>
      </c>
      <c r="Y159" s="43" t="n">
        <v>151</v>
      </c>
    </row>
    <row r="160" s="43" customFormat="true" ht="73.5" hidden="false" customHeight="true" outlineLevel="0" collapsed="false">
      <c r="A160" s="45" t="n">
        <v>155</v>
      </c>
      <c r="B160" s="46" t="s">
        <v>224</v>
      </c>
      <c r="C160" s="47" t="s">
        <v>25</v>
      </c>
      <c r="D160" s="48" t="n">
        <v>20</v>
      </c>
      <c r="E160" s="49" t="n">
        <v>659.27</v>
      </c>
      <c r="F160" s="50" t="n">
        <v>662.34</v>
      </c>
      <c r="G160" s="47" t="s">
        <v>27</v>
      </c>
      <c r="H160" s="52" t="n">
        <f aca="false">786.17/1.2</f>
        <v>655.141666666667</v>
      </c>
      <c r="I160" s="53" t="n">
        <f aca="false">D160*H160</f>
        <v>13102.8333333333</v>
      </c>
      <c r="J160" s="53" t="s">
        <v>28</v>
      </c>
      <c r="K160" s="52" t="n">
        <f aca="false">780.48/1.2</f>
        <v>650.4</v>
      </c>
      <c r="L160" s="53" t="n">
        <f aca="false">D160*K160</f>
        <v>13008</v>
      </c>
      <c r="M160" s="47" t="s">
        <v>29</v>
      </c>
      <c r="N160" s="52" t="n">
        <v>688.63</v>
      </c>
      <c r="O160" s="53" t="n">
        <f aca="false">D160*N160</f>
        <v>13772.6</v>
      </c>
      <c r="P160" s="54" t="n">
        <f aca="false">AVERAGE(H160,K160,N160)</f>
        <v>664.723888888889</v>
      </c>
      <c r="Q160" s="55" t="n">
        <f aca="false">F160*100/P160-100</f>
        <v>-0.358628436368306</v>
      </c>
      <c r="R160" s="54" t="n">
        <f aca="false">D160*F160</f>
        <v>13246.8</v>
      </c>
      <c r="S160" s="56"/>
      <c r="U160" s="57" t="n">
        <f aca="false">ROUND(H160*100/P160-100,0)</f>
        <v>-1</v>
      </c>
      <c r="V160" s="57" t="n">
        <f aca="false">ROUND(K160*100/P160-100,0)</f>
        <v>-2</v>
      </c>
      <c r="W160" s="57" t="n">
        <f aca="false">ROUND(N160*100/P160-100,0)</f>
        <v>4</v>
      </c>
      <c r="Y160" s="43" t="n">
        <v>152</v>
      </c>
    </row>
    <row r="161" s="43" customFormat="true" ht="73.5" hidden="false" customHeight="true" outlineLevel="0" collapsed="false">
      <c r="A161" s="45" t="n">
        <v>156</v>
      </c>
      <c r="B161" s="46" t="s">
        <v>225</v>
      </c>
      <c r="C161" s="47" t="s">
        <v>25</v>
      </c>
      <c r="D161" s="48" t="n">
        <v>40</v>
      </c>
      <c r="E161" s="49" t="n">
        <v>204.48</v>
      </c>
      <c r="F161" s="50" t="n">
        <v>244.58</v>
      </c>
      <c r="G161" s="47" t="s">
        <v>27</v>
      </c>
      <c r="H161" s="52" t="n">
        <f aca="false">242.87/1.2</f>
        <v>202.391666666667</v>
      </c>
      <c r="I161" s="53" t="n">
        <f aca="false">D161*H161</f>
        <v>8095.66666666667</v>
      </c>
      <c r="J161" s="53" t="s">
        <v>28</v>
      </c>
      <c r="K161" s="52" t="n">
        <f aca="false">341.51/1.2</f>
        <v>284.591666666667</v>
      </c>
      <c r="L161" s="53" t="n">
        <f aca="false">D161*K161</f>
        <v>11383.6666666667</v>
      </c>
      <c r="M161" s="47" t="s">
        <v>29</v>
      </c>
      <c r="N161" s="52" t="n">
        <v>251.07</v>
      </c>
      <c r="O161" s="53" t="n">
        <f aca="false">D161*N161</f>
        <v>10042.8</v>
      </c>
      <c r="P161" s="54" t="n">
        <f aca="false">AVERAGE(H161,K161,N161)</f>
        <v>246.017777777778</v>
      </c>
      <c r="Q161" s="55" t="n">
        <f aca="false">F161*100/P161-100</f>
        <v>-0.584420276764107</v>
      </c>
      <c r="R161" s="54" t="n">
        <f aca="false">D161*F161</f>
        <v>9783.2</v>
      </c>
      <c r="S161" s="56"/>
      <c r="U161" s="57" t="n">
        <f aca="false">ROUND(H161*100/P161-100,0)</f>
        <v>-18</v>
      </c>
      <c r="V161" s="57" t="n">
        <f aca="false">ROUND(K161*100/P161-100,0)</f>
        <v>16</v>
      </c>
      <c r="W161" s="57" t="n">
        <f aca="false">ROUND(N161*100/P161-100,0)</f>
        <v>2</v>
      </c>
      <c r="Y161" s="43" t="n">
        <v>153</v>
      </c>
    </row>
    <row r="162" s="43" customFormat="true" ht="73.5" hidden="false" customHeight="true" outlineLevel="0" collapsed="false">
      <c r="A162" s="45" t="n">
        <v>157</v>
      </c>
      <c r="B162" s="46" t="s">
        <v>226</v>
      </c>
      <c r="C162" s="47" t="s">
        <v>25</v>
      </c>
      <c r="D162" s="48" t="n">
        <v>25</v>
      </c>
      <c r="E162" s="49" t="n">
        <v>185.82</v>
      </c>
      <c r="F162" s="50" t="n">
        <v>205.99</v>
      </c>
      <c r="G162" s="47" t="s">
        <v>27</v>
      </c>
      <c r="H162" s="52" t="n">
        <f aca="false">222.01/1.2</f>
        <v>185.008333333333</v>
      </c>
      <c r="I162" s="53" t="n">
        <f aca="false">D162*H162</f>
        <v>4625.20833333333</v>
      </c>
      <c r="J162" s="53" t="s">
        <v>28</v>
      </c>
      <c r="K162" s="52" t="n">
        <f aca="false">280.49/1.2</f>
        <v>233.741666666667</v>
      </c>
      <c r="L162" s="53" t="n">
        <f aca="false">D162*K162</f>
        <v>5843.54166666667</v>
      </c>
      <c r="M162" s="47" t="s">
        <v>29</v>
      </c>
      <c r="N162" s="52" t="n">
        <v>203.98</v>
      </c>
      <c r="O162" s="53" t="n">
        <f aca="false">D162*N162</f>
        <v>5099.5</v>
      </c>
      <c r="P162" s="54" t="n">
        <f aca="false">AVERAGE(H162,K162,N162)</f>
        <v>207.576666666667</v>
      </c>
      <c r="Q162" s="55" t="n">
        <f aca="false">F162*100/P162-100</f>
        <v>-0.764376214410746</v>
      </c>
      <c r="R162" s="54" t="n">
        <f aca="false">D162*F162</f>
        <v>5149.75</v>
      </c>
      <c r="S162" s="56"/>
      <c r="U162" s="57" t="n">
        <f aca="false">ROUND(H162*100/P162-100,0)</f>
        <v>-11</v>
      </c>
      <c r="V162" s="57" t="n">
        <f aca="false">ROUND(K162*100/P162-100,0)</f>
        <v>13</v>
      </c>
      <c r="W162" s="57" t="n">
        <f aca="false">ROUND(N162*100/P162-100,0)</f>
        <v>-2</v>
      </c>
      <c r="Y162" s="43" t="n">
        <v>154</v>
      </c>
    </row>
    <row r="163" s="43" customFormat="true" ht="73.5" hidden="false" customHeight="true" outlineLevel="0" collapsed="false">
      <c r="A163" s="45" t="n">
        <v>158</v>
      </c>
      <c r="B163" s="46" t="s">
        <v>227</v>
      </c>
      <c r="C163" s="47" t="s">
        <v>25</v>
      </c>
      <c r="D163" s="48" t="n">
        <v>60</v>
      </c>
      <c r="E163" s="49" t="n">
        <v>32.39</v>
      </c>
      <c r="F163" s="50" t="n">
        <v>48.03</v>
      </c>
      <c r="G163" s="47" t="s">
        <v>27</v>
      </c>
      <c r="H163" s="52" t="n">
        <f aca="false">48.91/1.2</f>
        <v>40.7583333333333</v>
      </c>
      <c r="I163" s="53" t="n">
        <f aca="false">D163*H163</f>
        <v>2445.5</v>
      </c>
      <c r="J163" s="53" t="s">
        <v>28</v>
      </c>
      <c r="K163" s="52" t="n">
        <f aca="false">69.67/1.2</f>
        <v>58.0583333333333</v>
      </c>
      <c r="L163" s="53" t="n">
        <f aca="false">D163*K163</f>
        <v>3483.5</v>
      </c>
      <c r="M163" s="47" t="s">
        <v>29</v>
      </c>
      <c r="N163" s="52" t="n">
        <v>49.5</v>
      </c>
      <c r="O163" s="53" t="n">
        <f aca="false">D163*N163</f>
        <v>2970</v>
      </c>
      <c r="P163" s="54" t="n">
        <f aca="false">AVERAGE(H163,K163,N163)</f>
        <v>49.4388888888889</v>
      </c>
      <c r="Q163" s="55" t="n">
        <f aca="false">F163*100/P163-100</f>
        <v>-2.8497583998202</v>
      </c>
      <c r="R163" s="54" t="n">
        <f aca="false">D163*F163</f>
        <v>2881.8</v>
      </c>
      <c r="S163" s="56"/>
      <c r="U163" s="57" t="n">
        <f aca="false">ROUND(H163*100/P163-100,0)</f>
        <v>-18</v>
      </c>
      <c r="V163" s="57" t="n">
        <f aca="false">ROUND(K163*100/P163-100,0)</f>
        <v>17</v>
      </c>
      <c r="W163" s="57" t="n">
        <f aca="false">ROUND(N163*100/P163-100,0)</f>
        <v>0</v>
      </c>
      <c r="Y163" s="43" t="n">
        <v>155</v>
      </c>
    </row>
    <row r="164" s="43" customFormat="true" ht="73.5" hidden="false" customHeight="true" outlineLevel="0" collapsed="false">
      <c r="A164" s="45" t="n">
        <v>159</v>
      </c>
      <c r="B164" s="46" t="s">
        <v>228</v>
      </c>
      <c r="C164" s="47" t="s">
        <v>25</v>
      </c>
      <c r="D164" s="48" t="n">
        <v>19</v>
      </c>
      <c r="E164" s="49" t="n">
        <v>237.08</v>
      </c>
      <c r="F164" s="50" t="n">
        <v>321.56</v>
      </c>
      <c r="G164" s="47" t="s">
        <v>27</v>
      </c>
      <c r="H164" s="52" t="n">
        <f aca="false">369.48/1.2</f>
        <v>307.9</v>
      </c>
      <c r="I164" s="53" t="n">
        <f aca="false">D164*H164</f>
        <v>5850.1</v>
      </c>
      <c r="J164" s="53" t="s">
        <v>28</v>
      </c>
      <c r="K164" s="52" t="n">
        <f aca="false">366.65/1.2</f>
        <v>305.541666666667</v>
      </c>
      <c r="L164" s="53" t="n">
        <f aca="false">D164*K164</f>
        <v>5805.29166666667</v>
      </c>
      <c r="M164" s="47" t="s">
        <v>29</v>
      </c>
      <c r="N164" s="52" t="n">
        <v>361.22</v>
      </c>
      <c r="O164" s="53" t="n">
        <f aca="false">D164*N164</f>
        <v>6863.18</v>
      </c>
      <c r="P164" s="54" t="n">
        <f aca="false">AVERAGE(H164,K164,N164)</f>
        <v>324.887222222222</v>
      </c>
      <c r="Q164" s="55" t="n">
        <f aca="false">F164*100/P164-100</f>
        <v>-1.02411606078691</v>
      </c>
      <c r="R164" s="54" t="n">
        <f aca="false">D164*F164</f>
        <v>6109.64</v>
      </c>
      <c r="S164" s="56"/>
      <c r="U164" s="57" t="n">
        <f aca="false">ROUND(H164*100/P164-100,0)</f>
        <v>-5</v>
      </c>
      <c r="V164" s="57" t="n">
        <f aca="false">ROUND(K164*100/P164-100,0)</f>
        <v>-6</v>
      </c>
      <c r="W164" s="57" t="n">
        <f aca="false">ROUND(N164*100/P164-100,0)</f>
        <v>11</v>
      </c>
      <c r="Y164" s="43" t="n">
        <v>156</v>
      </c>
    </row>
    <row r="165" s="43" customFormat="true" ht="73.5" hidden="false" customHeight="true" outlineLevel="0" collapsed="false">
      <c r="A165" s="45" t="n">
        <v>160</v>
      </c>
      <c r="B165" s="46" t="s">
        <v>229</v>
      </c>
      <c r="C165" s="47" t="s">
        <v>45</v>
      </c>
      <c r="D165" s="48" t="s">
        <v>230</v>
      </c>
      <c r="E165" s="49" t="n">
        <v>2603.12</v>
      </c>
      <c r="F165" s="50" t="n">
        <v>8050.5</v>
      </c>
      <c r="G165" s="47" t="s">
        <v>231</v>
      </c>
      <c r="H165" s="52" t="n">
        <f aca="false">9362.18/1.2</f>
        <v>7801.81666666667</v>
      </c>
      <c r="I165" s="53" t="n">
        <f aca="false">D165*H165</f>
        <v>429099.916666667</v>
      </c>
      <c r="J165" s="47" t="s">
        <v>46</v>
      </c>
      <c r="K165" s="52" t="n">
        <v>7956.2</v>
      </c>
      <c r="L165" s="53" t="n">
        <f aca="false">D165*K165</f>
        <v>437591</v>
      </c>
      <c r="M165" s="47" t="s">
        <v>58</v>
      </c>
      <c r="N165" s="52" t="n">
        <v>8400.3</v>
      </c>
      <c r="O165" s="53" t="n">
        <f aca="false">D165*N165</f>
        <v>462016.5</v>
      </c>
      <c r="P165" s="54" t="n">
        <f aca="false">AVERAGE(H165,K165,N165)</f>
        <v>8052.77222222222</v>
      </c>
      <c r="Q165" s="55" t="n">
        <f aca="false">F165*100/P165-100</f>
        <v>-0.0282166458893727</v>
      </c>
      <c r="R165" s="54" t="n">
        <f aca="false">D165*F165</f>
        <v>442777.5</v>
      </c>
      <c r="S165" s="56"/>
      <c r="U165" s="57" t="n">
        <f aca="false">ROUND(H165*100/P165-100,0)</f>
        <v>-3</v>
      </c>
      <c r="V165" s="57" t="n">
        <f aca="false">ROUND(K165*100/P165-100,0)</f>
        <v>-1</v>
      </c>
      <c r="W165" s="57" t="n">
        <f aca="false">ROUND(N165*100/P165-100,0)</f>
        <v>4</v>
      </c>
      <c r="Y165" s="43" t="n">
        <v>157</v>
      </c>
    </row>
    <row r="166" s="43" customFormat="true" ht="73.5" hidden="false" customHeight="true" outlineLevel="0" collapsed="false">
      <c r="A166" s="45" t="n">
        <v>161</v>
      </c>
      <c r="B166" s="46" t="s">
        <v>232</v>
      </c>
      <c r="C166" s="47" t="s">
        <v>25</v>
      </c>
      <c r="D166" s="48" t="s">
        <v>233</v>
      </c>
      <c r="E166" s="49" t="n">
        <v>85.37</v>
      </c>
      <c r="F166" s="50" t="n">
        <v>164.05</v>
      </c>
      <c r="G166" s="47" t="s">
        <v>39</v>
      </c>
      <c r="H166" s="52" t="n">
        <v>153.05</v>
      </c>
      <c r="I166" s="53" t="n">
        <f aca="false">D166*H166</f>
        <v>26324.6</v>
      </c>
      <c r="J166" s="53" t="s">
        <v>28</v>
      </c>
      <c r="K166" s="52" t="n">
        <v>159.37</v>
      </c>
      <c r="L166" s="53" t="n">
        <f aca="false">D166*K166</f>
        <v>27411.64</v>
      </c>
      <c r="M166" s="53" t="s">
        <v>46</v>
      </c>
      <c r="N166" s="52" t="n">
        <v>181.06</v>
      </c>
      <c r="O166" s="53" t="n">
        <f aca="false">D166*N166</f>
        <v>31142.32</v>
      </c>
      <c r="P166" s="54" t="n">
        <f aca="false">AVERAGE(H166,K166,N166)</f>
        <v>164.493333333333</v>
      </c>
      <c r="Q166" s="55" t="n">
        <f aca="false">F166*100/P166-100</f>
        <v>-0.269514468671474</v>
      </c>
      <c r="R166" s="54" t="n">
        <f aca="false">D166*F166</f>
        <v>28216.6</v>
      </c>
      <c r="S166" s="56"/>
      <c r="U166" s="57" t="n">
        <f aca="false">ROUND(H166*100/P166-100,0)</f>
        <v>-7</v>
      </c>
      <c r="V166" s="57" t="n">
        <f aca="false">ROUND(K166*100/P166-100,0)</f>
        <v>-3</v>
      </c>
      <c r="W166" s="57" t="n">
        <f aca="false">ROUND(N166*100/P166-100,0)</f>
        <v>10</v>
      </c>
      <c r="Y166" s="43" t="n">
        <v>158</v>
      </c>
    </row>
    <row r="167" s="43" customFormat="true" ht="73.5" hidden="false" customHeight="true" outlineLevel="0" collapsed="false">
      <c r="A167" s="45" t="n">
        <v>162</v>
      </c>
      <c r="B167" s="46" t="s">
        <v>234</v>
      </c>
      <c r="C167" s="47" t="s">
        <v>45</v>
      </c>
      <c r="D167" s="48" t="s">
        <v>235</v>
      </c>
      <c r="E167" s="49" t="n">
        <v>6333.33</v>
      </c>
      <c r="F167" s="50" t="n">
        <v>6388.4</v>
      </c>
      <c r="G167" s="47" t="s">
        <v>231</v>
      </c>
      <c r="H167" s="52" t="n">
        <f aca="false">7648.2/1.2</f>
        <v>6373.5</v>
      </c>
      <c r="I167" s="53" t="n">
        <f aca="false">D167*H167</f>
        <v>236456.85</v>
      </c>
      <c r="J167" s="47" t="s">
        <v>236</v>
      </c>
      <c r="K167" s="52" t="n">
        <f aca="false">7548/1.2</f>
        <v>6290</v>
      </c>
      <c r="L167" s="53" t="n">
        <f aca="false">D167*K167</f>
        <v>233359</v>
      </c>
      <c r="M167" s="47" t="s">
        <v>58</v>
      </c>
      <c r="N167" s="52" t="n">
        <v>6504.5</v>
      </c>
      <c r="O167" s="53" t="n">
        <f aca="false">D167*N167</f>
        <v>241316.95</v>
      </c>
      <c r="P167" s="54" t="n">
        <f aca="false">AVERAGE(H167,K167,N167)</f>
        <v>6389.33333333333</v>
      </c>
      <c r="Q167" s="55" t="n">
        <f aca="false">F167*100/P167-100</f>
        <v>-0.0146076794657688</v>
      </c>
      <c r="R167" s="54" t="n">
        <f aca="false">D167*F167</f>
        <v>237009.64</v>
      </c>
      <c r="S167" s="56"/>
      <c r="U167" s="57" t="n">
        <f aca="false">ROUND(H167*100/P167-100,0)</f>
        <v>-0</v>
      </c>
      <c r="V167" s="57" t="n">
        <f aca="false">ROUND(K167*100/P167-100,0)</f>
        <v>-2</v>
      </c>
      <c r="W167" s="57" t="n">
        <f aca="false">ROUND(N167*100/P167-100,0)</f>
        <v>2</v>
      </c>
      <c r="Y167" s="43" t="n">
        <v>159</v>
      </c>
    </row>
    <row r="168" s="43" customFormat="true" ht="73.5" hidden="false" customHeight="true" outlineLevel="0" collapsed="false">
      <c r="A168" s="45" t="n">
        <v>163</v>
      </c>
      <c r="B168" s="46" t="s">
        <v>237</v>
      </c>
      <c r="C168" s="47" t="s">
        <v>147</v>
      </c>
      <c r="D168" s="48" t="s">
        <v>238</v>
      </c>
      <c r="E168" s="49" t="n">
        <v>15.83</v>
      </c>
      <c r="F168" s="50" t="n">
        <v>14.72</v>
      </c>
      <c r="G168" s="47" t="s">
        <v>231</v>
      </c>
      <c r="H168" s="52" t="n">
        <f aca="false">18.73/1.2</f>
        <v>15.6083333333333</v>
      </c>
      <c r="I168" s="53" t="n">
        <f aca="false">D168*H168</f>
        <v>38240.4166666667</v>
      </c>
      <c r="J168" s="47" t="s">
        <v>236</v>
      </c>
      <c r="K168" s="52" t="n">
        <f aca="false">16.5/1.2</f>
        <v>13.75</v>
      </c>
      <c r="L168" s="53" t="n">
        <f aca="false">D168*K168</f>
        <v>33687.5</v>
      </c>
      <c r="M168" s="47" t="s">
        <v>58</v>
      </c>
      <c r="N168" s="52" t="n">
        <v>15.03</v>
      </c>
      <c r="O168" s="53" t="n">
        <f aca="false">D168*N168</f>
        <v>36823.5</v>
      </c>
      <c r="P168" s="54" t="n">
        <f aca="false">AVERAGE(H168,K168,N168)</f>
        <v>14.7961111111111</v>
      </c>
      <c r="Q168" s="55" t="n">
        <f aca="false">F168*100/P168-100</f>
        <v>-0.514399429279465</v>
      </c>
      <c r="R168" s="54" t="n">
        <f aca="false">D168*F168</f>
        <v>36064</v>
      </c>
      <c r="S168" s="56"/>
      <c r="U168" s="57" t="n">
        <f aca="false">ROUND(H168*100/P168-100,0)</f>
        <v>5</v>
      </c>
      <c r="V168" s="57" t="n">
        <f aca="false">ROUND(K168*100/P168-100,0)</f>
        <v>-7</v>
      </c>
      <c r="W168" s="57" t="n">
        <f aca="false">ROUND(N168*100/P168-100,0)</f>
        <v>2</v>
      </c>
      <c r="Y168" s="43" t="n">
        <v>160</v>
      </c>
    </row>
    <row r="169" s="43" customFormat="true" ht="73.5" hidden="false" customHeight="true" outlineLevel="0" collapsed="false">
      <c r="A169" s="45" t="n">
        <v>164</v>
      </c>
      <c r="B169" s="46" t="s">
        <v>239</v>
      </c>
      <c r="C169" s="47" t="s">
        <v>147</v>
      </c>
      <c r="D169" s="48" t="n">
        <v>65</v>
      </c>
      <c r="E169" s="49" t="n">
        <v>6.42</v>
      </c>
      <c r="F169" s="50" t="n">
        <v>6</v>
      </c>
      <c r="G169" s="47" t="s">
        <v>231</v>
      </c>
      <c r="H169" s="52" t="n">
        <f aca="false">7.12/1.2</f>
        <v>5.93333333333333</v>
      </c>
      <c r="I169" s="53" t="n">
        <f aca="false">D169*H169</f>
        <v>385.666666666667</v>
      </c>
      <c r="J169" s="47" t="s">
        <v>236</v>
      </c>
      <c r="K169" s="52" t="n">
        <f aca="false">6.91/1.2</f>
        <v>5.75833333333333</v>
      </c>
      <c r="L169" s="53" t="n">
        <f aca="false">D169*K169</f>
        <v>374.291666666667</v>
      </c>
      <c r="M169" s="47" t="s">
        <v>58</v>
      </c>
      <c r="N169" s="52" t="n">
        <v>6.37</v>
      </c>
      <c r="O169" s="53" t="n">
        <f aca="false">D169*N169</f>
        <v>414.05</v>
      </c>
      <c r="P169" s="54" t="n">
        <f aca="false">AVERAGE(H169,K169,N169)</f>
        <v>6.02055555555556</v>
      </c>
      <c r="Q169" s="55" t="n">
        <f aca="false">F169*100/P169-100</f>
        <v>-0.341422903017445</v>
      </c>
      <c r="R169" s="54" t="n">
        <f aca="false">D169*F169</f>
        <v>390</v>
      </c>
      <c r="S169" s="56"/>
      <c r="U169" s="57" t="n">
        <f aca="false">ROUND(H169*100/P169-100,0)</f>
        <v>-1</v>
      </c>
      <c r="V169" s="57" t="n">
        <f aca="false">ROUND(K169*100/P169-100,0)</f>
        <v>-4</v>
      </c>
      <c r="W169" s="57" t="n">
        <f aca="false">ROUND(N169*100/P169-100,0)</f>
        <v>6</v>
      </c>
      <c r="Y169" s="43" t="n">
        <v>161</v>
      </c>
    </row>
    <row r="170" s="43" customFormat="true" ht="73.5" hidden="false" customHeight="true" outlineLevel="0" collapsed="false">
      <c r="A170" s="45" t="n">
        <v>165</v>
      </c>
      <c r="B170" s="46" t="s">
        <v>240</v>
      </c>
      <c r="C170" s="47" t="s">
        <v>147</v>
      </c>
      <c r="D170" s="48" t="s">
        <v>241</v>
      </c>
      <c r="E170" s="49" t="n">
        <v>8.33</v>
      </c>
      <c r="F170" s="50" t="n">
        <v>7.6</v>
      </c>
      <c r="G170" s="47" t="s">
        <v>231</v>
      </c>
      <c r="H170" s="52" t="n">
        <f aca="false">8.7/1.2</f>
        <v>7.25</v>
      </c>
      <c r="I170" s="53" t="n">
        <f aca="false">D170*H170</f>
        <v>2900</v>
      </c>
      <c r="J170" s="47" t="s">
        <v>236</v>
      </c>
      <c r="K170" s="52" t="n">
        <f aca="false">9.03/1.2</f>
        <v>7.525</v>
      </c>
      <c r="L170" s="53" t="n">
        <f aca="false">D170*K170</f>
        <v>3010</v>
      </c>
      <c r="M170" s="47" t="s">
        <v>58</v>
      </c>
      <c r="N170" s="52" t="n">
        <v>8.12</v>
      </c>
      <c r="O170" s="53" t="n">
        <f aca="false">D170*N170</f>
        <v>3248</v>
      </c>
      <c r="P170" s="54" t="n">
        <f aca="false">AVERAGE(H170,K170,N170)</f>
        <v>7.63166666666667</v>
      </c>
      <c r="Q170" s="55" t="n">
        <f aca="false">F170*100/P170-100</f>
        <v>-0.414937759336098</v>
      </c>
      <c r="R170" s="54" t="n">
        <f aca="false">D170*F170</f>
        <v>3040</v>
      </c>
      <c r="S170" s="56"/>
      <c r="U170" s="57" t="n">
        <f aca="false">ROUND(H170*100/P170-100,0)</f>
        <v>-5</v>
      </c>
      <c r="V170" s="57" t="n">
        <f aca="false">ROUND(K170*100/P170-100,0)</f>
        <v>-1</v>
      </c>
      <c r="W170" s="57" t="n">
        <f aca="false">ROUND(N170*100/P170-100,0)</f>
        <v>6</v>
      </c>
      <c r="Y170" s="43" t="n">
        <v>162</v>
      </c>
    </row>
    <row r="171" s="43" customFormat="true" ht="73.5" hidden="false" customHeight="true" outlineLevel="0" collapsed="false">
      <c r="A171" s="45" t="n">
        <v>167</v>
      </c>
      <c r="B171" s="46" t="s">
        <v>242</v>
      </c>
      <c r="C171" s="47" t="s">
        <v>147</v>
      </c>
      <c r="D171" s="48" t="s">
        <v>243</v>
      </c>
      <c r="E171" s="49" t="n">
        <v>10.33</v>
      </c>
      <c r="F171" s="50" t="n">
        <v>9.52</v>
      </c>
      <c r="G171" s="47" t="s">
        <v>231</v>
      </c>
      <c r="H171" s="52" t="n">
        <f aca="false">11.28/1.2</f>
        <v>9.4</v>
      </c>
      <c r="I171" s="53" t="n">
        <f aca="false">D171*H171</f>
        <v>188</v>
      </c>
      <c r="J171" s="47" t="s">
        <v>236</v>
      </c>
      <c r="K171" s="52" t="n">
        <f aca="false">11.14/1.2</f>
        <v>9.28333333333334</v>
      </c>
      <c r="L171" s="53" t="n">
        <f aca="false">D171*K171</f>
        <v>185.666666666667</v>
      </c>
      <c r="M171" s="47" t="s">
        <v>58</v>
      </c>
      <c r="N171" s="52" t="n">
        <v>9.97</v>
      </c>
      <c r="O171" s="53" t="n">
        <f aca="false">D171*N171</f>
        <v>199.4</v>
      </c>
      <c r="P171" s="54" t="n">
        <f aca="false">AVERAGE(H171,K171,N171)</f>
        <v>9.55111111111111</v>
      </c>
      <c r="Q171" s="55" t="n">
        <f aca="false">F171*100/P171-100</f>
        <v>-0.32573289902281</v>
      </c>
      <c r="R171" s="54" t="n">
        <f aca="false">D171*F171</f>
        <v>190.4</v>
      </c>
      <c r="S171" s="56"/>
      <c r="U171" s="57" t="n">
        <f aca="false">ROUND(H171*100/P171-100,0)</f>
        <v>-2</v>
      </c>
      <c r="V171" s="57" t="n">
        <f aca="false">ROUND(K171*100/P171-100,0)</f>
        <v>-3</v>
      </c>
      <c r="W171" s="57" t="n">
        <f aca="false">ROUND(N171*100/P171-100,0)</f>
        <v>4</v>
      </c>
      <c r="Y171" s="43" t="n">
        <v>163</v>
      </c>
    </row>
    <row r="172" s="43" customFormat="true" ht="73.5" hidden="false" customHeight="true" outlineLevel="0" collapsed="false">
      <c r="A172" s="45" t="n">
        <v>168</v>
      </c>
      <c r="B172" s="46" t="s">
        <v>244</v>
      </c>
      <c r="C172" s="47" t="s">
        <v>147</v>
      </c>
      <c r="D172" s="48" t="s">
        <v>245</v>
      </c>
      <c r="E172" s="49" t="n">
        <v>4.67</v>
      </c>
      <c r="F172" s="50" t="n">
        <v>6.79</v>
      </c>
      <c r="G172" s="47" t="s">
        <v>231</v>
      </c>
      <c r="H172" s="52" t="n">
        <f aca="false">6.62/1.2</f>
        <v>5.51666666666667</v>
      </c>
      <c r="I172" s="53" t="n">
        <f aca="false">D172*H172</f>
        <v>3310</v>
      </c>
      <c r="J172" s="47" t="s">
        <v>236</v>
      </c>
      <c r="K172" s="52" t="n">
        <f aca="false">8.58/1.2</f>
        <v>7.15</v>
      </c>
      <c r="L172" s="53" t="n">
        <f aca="false">D172*K172</f>
        <v>4290</v>
      </c>
      <c r="M172" s="47" t="s">
        <v>58</v>
      </c>
      <c r="N172" s="52" t="n">
        <v>7.83</v>
      </c>
      <c r="O172" s="53" t="n">
        <f aca="false">D172*N172</f>
        <v>4698</v>
      </c>
      <c r="P172" s="54" t="n">
        <f aca="false">AVERAGE(H172,K172,N172)</f>
        <v>6.83222222222222</v>
      </c>
      <c r="Q172" s="55" t="n">
        <f aca="false">F172*100/P172-100</f>
        <v>-0.617986664498289</v>
      </c>
      <c r="R172" s="54" t="n">
        <f aca="false">D172*F172</f>
        <v>4074</v>
      </c>
      <c r="S172" s="56"/>
      <c r="U172" s="57" t="n">
        <f aca="false">ROUND(H172*100/P172-100,0)</f>
        <v>-19</v>
      </c>
      <c r="V172" s="57" t="n">
        <f aca="false">ROUND(K172*100/P172-100,0)</f>
        <v>5</v>
      </c>
      <c r="W172" s="57" t="n">
        <f aca="false">ROUND(N172*100/P172-100,0)</f>
        <v>15</v>
      </c>
      <c r="Y172" s="43" t="n">
        <v>164</v>
      </c>
    </row>
    <row r="173" s="43" customFormat="true" ht="73.5" hidden="false" customHeight="true" outlineLevel="0" collapsed="false">
      <c r="A173" s="45" t="n">
        <v>169</v>
      </c>
      <c r="B173" s="46" t="s">
        <v>246</v>
      </c>
      <c r="C173" s="47" t="s">
        <v>45</v>
      </c>
      <c r="D173" s="48" t="s">
        <v>247</v>
      </c>
      <c r="E173" s="49" t="n">
        <v>3225</v>
      </c>
      <c r="F173" s="50" t="n">
        <v>2210.44</v>
      </c>
      <c r="G173" s="51" t="s">
        <v>248</v>
      </c>
      <c r="H173" s="52" t="n">
        <f aca="false">8990/4</f>
        <v>2247.5</v>
      </c>
      <c r="I173" s="53" t="n">
        <f aca="false">D173*H173</f>
        <v>26970</v>
      </c>
      <c r="J173" s="47" t="s">
        <v>249</v>
      </c>
      <c r="K173" s="52" t="n">
        <f aca="false">10015/4</f>
        <v>2503.75</v>
      </c>
      <c r="L173" s="53" t="n">
        <f aca="false">D173*K173</f>
        <v>30045</v>
      </c>
      <c r="M173" s="47" t="s">
        <v>250</v>
      </c>
      <c r="N173" s="52" t="n">
        <v>1898.75</v>
      </c>
      <c r="O173" s="53" t="n">
        <f aca="false">D173*N173</f>
        <v>22785</v>
      </c>
      <c r="P173" s="54" t="n">
        <f aca="false">AVERAGE(H173,K173,N173)</f>
        <v>2216.66666666667</v>
      </c>
      <c r="Q173" s="55" t="n">
        <f aca="false">F173*100/P173-100</f>
        <v>-0.280902255639091</v>
      </c>
      <c r="R173" s="54" t="n">
        <f aca="false">D173*F173</f>
        <v>26525.28</v>
      </c>
      <c r="S173" s="56"/>
      <c r="U173" s="57" t="n">
        <f aca="false">ROUND(H173*100/P173-100,0)</f>
        <v>1</v>
      </c>
      <c r="V173" s="57" t="n">
        <f aca="false">ROUND(K173*100/P173-100,0)</f>
        <v>13</v>
      </c>
      <c r="W173" s="57" t="n">
        <f aca="false">ROUND(N173*100/P173-100,0)</f>
        <v>-14</v>
      </c>
      <c r="Y173" s="43" t="n">
        <v>165</v>
      </c>
    </row>
    <row r="174" s="43" customFormat="true" ht="73.5" hidden="true" customHeight="true" outlineLevel="0" collapsed="false">
      <c r="A174" s="45" t="n">
        <v>170</v>
      </c>
      <c r="B174" s="46" t="s">
        <v>251</v>
      </c>
      <c r="C174" s="47" t="s">
        <v>147</v>
      </c>
      <c r="D174" s="48" t="n">
        <v>60</v>
      </c>
      <c r="E174" s="49" t="n">
        <v>369.24</v>
      </c>
      <c r="F174" s="50" t="n">
        <v>480.56</v>
      </c>
      <c r="G174" s="47" t="s">
        <v>27</v>
      </c>
      <c r="H174" s="52" t="n">
        <f aca="false">542.05/1.2</f>
        <v>451.708333333333</v>
      </c>
      <c r="I174" s="53" t="n">
        <f aca="false">D174*H174</f>
        <v>27102.5</v>
      </c>
      <c r="J174" s="53" t="s">
        <v>28</v>
      </c>
      <c r="K174" s="52" t="n">
        <f aca="false">586.87/1.2</f>
        <v>489.058333333333</v>
      </c>
      <c r="L174" s="53" t="n">
        <f aca="false">D174*K174</f>
        <v>29343.5</v>
      </c>
      <c r="M174" s="53" t="s">
        <v>29</v>
      </c>
      <c r="N174" s="52" t="n">
        <v>506.22</v>
      </c>
      <c r="O174" s="53" t="n">
        <f aca="false">D174*N174</f>
        <v>30373.2</v>
      </c>
      <c r="P174" s="54" t="n">
        <f aca="false">AVERAGE(H174,K174,N174)</f>
        <v>482.328888888889</v>
      </c>
      <c r="Q174" s="55" t="n">
        <f aca="false">F174*100/P174-100</f>
        <v>-0.366739154472754</v>
      </c>
      <c r="R174" s="54" t="n">
        <f aca="false">D174*F174</f>
        <v>28833.6</v>
      </c>
      <c r="S174" s="62" t="s">
        <v>116</v>
      </c>
      <c r="U174" s="57" t="n">
        <f aca="false">ROUND(H174*100/P174-100,0)</f>
        <v>-6</v>
      </c>
      <c r="V174" s="57" t="n">
        <f aca="false">ROUND(K174*100/P174-100,0)</f>
        <v>1</v>
      </c>
      <c r="W174" s="57" t="n">
        <f aca="false">ROUND(N174*100/P174-100,0)</f>
        <v>5</v>
      </c>
      <c r="Y174" s="43" t="n">
        <v>166</v>
      </c>
    </row>
    <row r="175" s="43" customFormat="true" ht="73.5" hidden="false" customHeight="true" outlineLevel="0" collapsed="false">
      <c r="A175" s="45" t="n">
        <v>171</v>
      </c>
      <c r="B175" s="46" t="s">
        <v>252</v>
      </c>
      <c r="C175" s="47" t="s">
        <v>45</v>
      </c>
      <c r="D175" s="48" t="n">
        <v>180</v>
      </c>
      <c r="E175" s="49" t="n">
        <v>457.81</v>
      </c>
      <c r="F175" s="50" t="n">
        <v>383.82</v>
      </c>
      <c r="G175" s="47" t="s">
        <v>253</v>
      </c>
      <c r="H175" s="52" t="n">
        <v>385.11</v>
      </c>
      <c r="I175" s="53" t="n">
        <f aca="false">D175*H175</f>
        <v>69319.8</v>
      </c>
      <c r="J175" s="47" t="s">
        <v>254</v>
      </c>
      <c r="K175" s="52" t="n">
        <f aca="false">462/1.2</f>
        <v>385</v>
      </c>
      <c r="L175" s="53" t="n">
        <f aca="false">D175*K175</f>
        <v>69300</v>
      </c>
      <c r="M175" s="47" t="s">
        <v>255</v>
      </c>
      <c r="N175" s="52" t="n">
        <f aca="false">462.13/1.2</f>
        <v>385.108333333333</v>
      </c>
      <c r="O175" s="53" t="n">
        <f aca="false">D175*N175</f>
        <v>69319.5</v>
      </c>
      <c r="P175" s="54" t="n">
        <f aca="false">AVERAGE(H175,K175,N175)</f>
        <v>385.072777777778</v>
      </c>
      <c r="Q175" s="55" t="n">
        <f aca="false">F175*100/P175-100</f>
        <v>-0.325335326222586</v>
      </c>
      <c r="R175" s="54" t="n">
        <f aca="false">D175*F175</f>
        <v>69087.6</v>
      </c>
      <c r="S175" s="56"/>
      <c r="U175" s="57" t="n">
        <f aca="false">ROUND(H175*100/P175-100,0)</f>
        <v>0</v>
      </c>
      <c r="V175" s="57" t="n">
        <f aca="false">ROUND(K175*100/P175-100,0)</f>
        <v>-0</v>
      </c>
      <c r="W175" s="57" t="n">
        <f aca="false">ROUND(N175*100/P175-100,0)</f>
        <v>0</v>
      </c>
      <c r="Y175" s="43" t="n">
        <v>167</v>
      </c>
    </row>
    <row r="176" s="43" customFormat="true" ht="73.5" hidden="false" customHeight="true" outlineLevel="0" collapsed="false">
      <c r="A176" s="45" t="n">
        <v>172</v>
      </c>
      <c r="B176" s="46" t="s">
        <v>256</v>
      </c>
      <c r="C176" s="47" t="s">
        <v>25</v>
      </c>
      <c r="D176" s="48" t="n">
        <v>1580</v>
      </c>
      <c r="E176" s="49" t="n">
        <v>94.72</v>
      </c>
      <c r="F176" s="50" t="n">
        <v>254.67</v>
      </c>
      <c r="G176" s="47" t="s">
        <v>27</v>
      </c>
      <c r="H176" s="52" t="n">
        <f aca="false">246.91/1.2</f>
        <v>205.758333333333</v>
      </c>
      <c r="I176" s="53" t="n">
        <f aca="false">D176*H176</f>
        <v>325098.166666667</v>
      </c>
      <c r="J176" s="53" t="s">
        <v>28</v>
      </c>
      <c r="K176" s="52" t="n">
        <f aca="false">350.39/1.2</f>
        <v>291.991666666667</v>
      </c>
      <c r="L176" s="53" t="n">
        <f aca="false">D176*K176</f>
        <v>461346.833333333</v>
      </c>
      <c r="M176" s="53" t="s">
        <v>29</v>
      </c>
      <c r="N176" s="52" t="n">
        <v>268.85</v>
      </c>
      <c r="O176" s="53" t="n">
        <f aca="false">D176*N176</f>
        <v>424783</v>
      </c>
      <c r="P176" s="54" t="n">
        <f aca="false">AVERAGE(H176,K176,N176)</f>
        <v>255.533333333333</v>
      </c>
      <c r="Q176" s="55" t="n">
        <f aca="false">F176*100/P176-100</f>
        <v>-0.33785546569267</v>
      </c>
      <c r="R176" s="54" t="n">
        <f aca="false">D176*F176</f>
        <v>402378.6</v>
      </c>
      <c r="S176" s="56"/>
      <c r="U176" s="57" t="n">
        <f aca="false">ROUND(H176*100/P176-100,0)</f>
        <v>-19</v>
      </c>
      <c r="V176" s="57" t="n">
        <f aca="false">ROUND(K176*100/P176-100,0)</f>
        <v>14</v>
      </c>
      <c r="W176" s="57" t="n">
        <f aca="false">ROUND(N176*100/P176-100,0)</f>
        <v>5</v>
      </c>
      <c r="Y176" s="43" t="n">
        <v>168</v>
      </c>
    </row>
    <row r="177" s="43" customFormat="true" ht="73.5" hidden="false" customHeight="true" outlineLevel="0" collapsed="false">
      <c r="A177" s="45" t="n">
        <v>173</v>
      </c>
      <c r="B177" s="46" t="s">
        <v>257</v>
      </c>
      <c r="C177" s="47" t="s">
        <v>45</v>
      </c>
      <c r="D177" s="48" t="n">
        <v>13</v>
      </c>
      <c r="E177" s="49" t="n">
        <v>97.04</v>
      </c>
      <c r="F177" s="50" t="n">
        <v>98.56</v>
      </c>
      <c r="G177" s="47" t="s">
        <v>258</v>
      </c>
      <c r="H177" s="52" t="n">
        <v>98.67</v>
      </c>
      <c r="I177" s="53" t="n">
        <f aca="false">D177*H177</f>
        <v>1282.71</v>
      </c>
      <c r="J177" s="47" t="s">
        <v>259</v>
      </c>
      <c r="K177" s="52" t="n">
        <f aca="false">117.62/1.2</f>
        <v>98.0166666666667</v>
      </c>
      <c r="L177" s="53" t="n">
        <f aca="false">D177*K177</f>
        <v>1274.21666666667</v>
      </c>
      <c r="M177" s="53" t="s">
        <v>68</v>
      </c>
      <c r="N177" s="52" t="n">
        <v>100.23</v>
      </c>
      <c r="O177" s="53" t="n">
        <f aca="false">D177*N177</f>
        <v>1302.99</v>
      </c>
      <c r="P177" s="54" t="n">
        <f aca="false">AVERAGE(H177,K177,N177)</f>
        <v>98.9722222222222</v>
      </c>
      <c r="Q177" s="55" t="n">
        <f aca="false">F177*100/P177-100</f>
        <v>-0.416502946954822</v>
      </c>
      <c r="R177" s="54" t="n">
        <f aca="false">D177*F177</f>
        <v>1281.28</v>
      </c>
      <c r="S177" s="56"/>
      <c r="U177" s="57" t="n">
        <f aca="false">ROUND(H177*100/P177-100,0)</f>
        <v>-0</v>
      </c>
      <c r="V177" s="57" t="n">
        <f aca="false">ROUND(K177*100/P177-100,0)</f>
        <v>-1</v>
      </c>
      <c r="W177" s="57" t="n">
        <f aca="false">ROUND(N177*100/P177-100,0)</f>
        <v>1</v>
      </c>
      <c r="Y177" s="43" t="n">
        <v>169</v>
      </c>
    </row>
    <row r="178" s="43" customFormat="true" ht="73.5" hidden="false" customHeight="true" outlineLevel="0" collapsed="false">
      <c r="A178" s="45" t="n">
        <v>174</v>
      </c>
      <c r="B178" s="46" t="s">
        <v>260</v>
      </c>
      <c r="C178" s="47" t="s">
        <v>45</v>
      </c>
      <c r="D178" s="48" t="n">
        <v>3</v>
      </c>
      <c r="E178" s="49" t="n">
        <v>124.67</v>
      </c>
      <c r="F178" s="50" t="n">
        <v>395.42</v>
      </c>
      <c r="G178" s="47" t="s">
        <v>261</v>
      </c>
      <c r="H178" s="52" t="n">
        <f aca="false">460/1.2</f>
        <v>383.333333333333</v>
      </c>
      <c r="I178" s="53" t="n">
        <f aca="false">D178*H178</f>
        <v>1150</v>
      </c>
      <c r="J178" s="47" t="s">
        <v>46</v>
      </c>
      <c r="K178" s="52" t="n">
        <v>426.92</v>
      </c>
      <c r="L178" s="53" t="n">
        <f aca="false">D178*K178</f>
        <v>1280.76</v>
      </c>
      <c r="M178" s="47" t="s">
        <v>57</v>
      </c>
      <c r="N178" s="52" t="n">
        <v>378.8</v>
      </c>
      <c r="O178" s="53" t="n">
        <f aca="false">D178*N178</f>
        <v>1136.4</v>
      </c>
      <c r="P178" s="54" t="n">
        <f aca="false">AVERAGE(H178,K178,N178)</f>
        <v>396.351111111111</v>
      </c>
      <c r="Q178" s="55" t="n">
        <f aca="false">F178*100/P178-100</f>
        <v>-0.234920777313036</v>
      </c>
      <c r="R178" s="54" t="n">
        <f aca="false">D178*F178</f>
        <v>1186.26</v>
      </c>
      <c r="S178" s="56"/>
      <c r="U178" s="57" t="n">
        <f aca="false">ROUND(H178*100/P178-100,0)</f>
        <v>-3</v>
      </c>
      <c r="V178" s="57" t="n">
        <f aca="false">ROUND(K178*100/P178-100,0)</f>
        <v>8</v>
      </c>
      <c r="W178" s="57" t="n">
        <f aca="false">ROUND(N178*100/P178-100,0)</f>
        <v>-4</v>
      </c>
      <c r="Y178" s="43" t="n">
        <v>170</v>
      </c>
    </row>
    <row r="179" s="43" customFormat="true" ht="73.5" hidden="false" customHeight="true" outlineLevel="0" collapsed="false">
      <c r="A179" s="45" t="n">
        <v>175</v>
      </c>
      <c r="B179" s="46" t="s">
        <v>262</v>
      </c>
      <c r="C179" s="47" t="s">
        <v>45</v>
      </c>
      <c r="D179" s="48" t="n">
        <v>26.4</v>
      </c>
      <c r="E179" s="49" t="n">
        <v>9491.62</v>
      </c>
      <c r="F179" s="50" t="n">
        <v>12311.49</v>
      </c>
      <c r="G179" s="51" t="s">
        <v>90</v>
      </c>
      <c r="H179" s="52" t="n">
        <f aca="false">13658.48/1.2</f>
        <v>11382.0666666667</v>
      </c>
      <c r="I179" s="53" t="n">
        <f aca="false">D179*H179</f>
        <v>300486.56</v>
      </c>
      <c r="J179" s="47" t="s">
        <v>46</v>
      </c>
      <c r="K179" s="52" t="n">
        <v>13004.1</v>
      </c>
      <c r="L179" s="53" t="n">
        <f aca="false">D179*K179</f>
        <v>343308.24</v>
      </c>
      <c r="M179" s="47" t="s">
        <v>58</v>
      </c>
      <c r="N179" s="52" t="n">
        <v>12560.4</v>
      </c>
      <c r="O179" s="53" t="n">
        <f aca="false">D179*N179</f>
        <v>331594.56</v>
      </c>
      <c r="P179" s="54" t="n">
        <f aca="false">AVERAGE(H179,K179,N179)</f>
        <v>12315.5222222222</v>
      </c>
      <c r="Q179" s="55" t="n">
        <f aca="false">F179*100/P179-100</f>
        <v>-0.0327409763830104</v>
      </c>
      <c r="R179" s="54" t="n">
        <f aca="false">D179*F179</f>
        <v>325023.336</v>
      </c>
      <c r="S179" s="56"/>
      <c r="U179" s="57" t="n">
        <f aca="false">ROUND(H179*100/P179-100,0)</f>
        <v>-8</v>
      </c>
      <c r="V179" s="57" t="n">
        <f aca="false">ROUND(K179*100/P179-100,0)</f>
        <v>6</v>
      </c>
      <c r="W179" s="57" t="n">
        <f aca="false">ROUND(N179*100/P179-100,0)</f>
        <v>2</v>
      </c>
      <c r="Y179" s="43" t="n">
        <v>171</v>
      </c>
    </row>
    <row r="180" s="43" customFormat="true" ht="73.5" hidden="false" customHeight="true" outlineLevel="0" collapsed="false">
      <c r="A180" s="45" t="n">
        <v>176</v>
      </c>
      <c r="B180" s="46" t="s">
        <v>263</v>
      </c>
      <c r="C180" s="47" t="s">
        <v>25</v>
      </c>
      <c r="D180" s="48" t="n">
        <v>69</v>
      </c>
      <c r="E180" s="49" t="s">
        <v>26</v>
      </c>
      <c r="F180" s="50" t="n">
        <v>1431.87</v>
      </c>
      <c r="G180" s="47" t="s">
        <v>27</v>
      </c>
      <c r="H180" s="52" t="n">
        <f aca="false">1609.9/1.2</f>
        <v>1341.58333333333</v>
      </c>
      <c r="I180" s="53" t="n">
        <f aca="false">D180*H180</f>
        <v>92569.25</v>
      </c>
      <c r="J180" s="53" t="s">
        <v>28</v>
      </c>
      <c r="K180" s="52" t="n">
        <f aca="false">1748.87/1.2</f>
        <v>1457.39166666667</v>
      </c>
      <c r="L180" s="53" t="n">
        <f aca="false">D180*K180</f>
        <v>100560.025</v>
      </c>
      <c r="M180" s="53" t="s">
        <v>29</v>
      </c>
      <c r="N180" s="52" t="n">
        <v>1503.09</v>
      </c>
      <c r="O180" s="53" t="n">
        <f aca="false">D180*N180</f>
        <v>103713.21</v>
      </c>
      <c r="P180" s="54" t="n">
        <f aca="false">AVERAGE(H180,K180,N180)</f>
        <v>1434.02166666667</v>
      </c>
      <c r="Q180" s="55" t="n">
        <f aca="false">F180*100/P180-100</f>
        <v>-0.15004422294875</v>
      </c>
      <c r="R180" s="54" t="n">
        <f aca="false">D180*F180</f>
        <v>98799.03</v>
      </c>
      <c r="S180" s="56"/>
      <c r="U180" s="57" t="n">
        <f aca="false">ROUND(H180*100/P180-100,0)</f>
        <v>-6</v>
      </c>
      <c r="V180" s="57" t="n">
        <f aca="false">ROUND(K180*100/P180-100,0)</f>
        <v>2</v>
      </c>
      <c r="W180" s="57" t="n">
        <f aca="false">ROUND(N180*100/P180-100,0)</f>
        <v>5</v>
      </c>
      <c r="Y180" s="43" t="n">
        <v>172</v>
      </c>
    </row>
    <row r="181" s="43" customFormat="true" ht="73.5" hidden="false" customHeight="true" outlineLevel="0" collapsed="false">
      <c r="A181" s="45" t="n">
        <v>177</v>
      </c>
      <c r="B181" s="46" t="s">
        <v>264</v>
      </c>
      <c r="C181" s="47" t="s">
        <v>25</v>
      </c>
      <c r="D181" s="48" t="n">
        <v>78</v>
      </c>
      <c r="E181" s="49" t="n">
        <v>28.31</v>
      </c>
      <c r="F181" s="50" t="n">
        <v>40.01</v>
      </c>
      <c r="G181" s="47" t="s">
        <v>27</v>
      </c>
      <c r="H181" s="52" t="n">
        <f aca="false">45.64/1.2</f>
        <v>38.0333333333333</v>
      </c>
      <c r="I181" s="53" t="n">
        <f aca="false">D181*H181</f>
        <v>2966.6</v>
      </c>
      <c r="J181" s="53" t="s">
        <v>28</v>
      </c>
      <c r="K181" s="52" t="n">
        <f aca="false">44.54/1.2</f>
        <v>37.1166666666667</v>
      </c>
      <c r="L181" s="53" t="n">
        <f aca="false">D181*K181</f>
        <v>2895.1</v>
      </c>
      <c r="M181" s="53" t="s">
        <v>29</v>
      </c>
      <c r="N181" s="52" t="n">
        <v>45.47</v>
      </c>
      <c r="O181" s="53" t="n">
        <f aca="false">D181*N181</f>
        <v>3546.66</v>
      </c>
      <c r="P181" s="54" t="n">
        <f aca="false">AVERAGE(H181,K181,N181)</f>
        <v>40.2066666666667</v>
      </c>
      <c r="Q181" s="55" t="n">
        <f aca="false">F181*100/P181-100</f>
        <v>-0.48913944619467</v>
      </c>
      <c r="R181" s="54" t="n">
        <f aca="false">D181*F181</f>
        <v>3120.78</v>
      </c>
      <c r="S181" s="56"/>
      <c r="U181" s="57" t="n">
        <f aca="false">ROUND(H181*100/P181-100,0)</f>
        <v>-5</v>
      </c>
      <c r="V181" s="57" t="n">
        <f aca="false">ROUND(K181*100/P181-100,0)</f>
        <v>-8</v>
      </c>
      <c r="W181" s="57" t="n">
        <f aca="false">ROUND(N181*100/P181-100,0)</f>
        <v>13</v>
      </c>
      <c r="Y181" s="43" t="n">
        <v>173</v>
      </c>
    </row>
    <row r="182" s="43" customFormat="true" ht="73.5" hidden="false" customHeight="true" outlineLevel="0" collapsed="false">
      <c r="A182" s="45" t="n">
        <v>178</v>
      </c>
      <c r="B182" s="46" t="s">
        <v>265</v>
      </c>
      <c r="C182" s="47" t="s">
        <v>25</v>
      </c>
      <c r="D182" s="48" t="n">
        <v>1</v>
      </c>
      <c r="E182" s="49" t="n">
        <v>451.72</v>
      </c>
      <c r="F182" s="50" t="n">
        <v>539.74</v>
      </c>
      <c r="G182" s="47" t="s">
        <v>27</v>
      </c>
      <c r="H182" s="52" t="n">
        <f aca="false">628.74/1.2</f>
        <v>523.95</v>
      </c>
      <c r="I182" s="53" t="n">
        <f aca="false">D182*H182</f>
        <v>523.95</v>
      </c>
      <c r="J182" s="53" t="s">
        <v>28</v>
      </c>
      <c r="K182" s="52" t="n">
        <f aca="false">697.44/1.2</f>
        <v>581.2</v>
      </c>
      <c r="L182" s="53" t="n">
        <f aca="false">D182*K182</f>
        <v>581.2</v>
      </c>
      <c r="M182" s="53" t="s">
        <v>29</v>
      </c>
      <c r="N182" s="52" t="n">
        <v>520.81</v>
      </c>
      <c r="O182" s="53" t="n">
        <f aca="false">D182*N182</f>
        <v>520.81</v>
      </c>
      <c r="P182" s="54" t="n">
        <f aca="false">AVERAGE(H182,K182,N182)</f>
        <v>541.986666666667</v>
      </c>
      <c r="Q182" s="55" t="n">
        <f aca="false">F182*100/P182-100</f>
        <v>-0.414524342542251</v>
      </c>
      <c r="R182" s="54" t="n">
        <f aca="false">D182*F182</f>
        <v>539.74</v>
      </c>
      <c r="S182" s="56"/>
      <c r="U182" s="57" t="n">
        <f aca="false">ROUND(H182*100/P182-100,0)</f>
        <v>-3</v>
      </c>
      <c r="V182" s="57" t="n">
        <f aca="false">ROUND(K182*100/P182-100,0)</f>
        <v>7</v>
      </c>
      <c r="W182" s="57" t="n">
        <f aca="false">ROUND(N182*100/P182-100,0)</f>
        <v>-4</v>
      </c>
      <c r="Y182" s="43" t="n">
        <v>174</v>
      </c>
    </row>
    <row r="183" s="43" customFormat="true" ht="73.5" hidden="false" customHeight="true" outlineLevel="0" collapsed="false">
      <c r="A183" s="45" t="n">
        <v>179</v>
      </c>
      <c r="B183" s="46" t="s">
        <v>266</v>
      </c>
      <c r="C183" s="47" t="s">
        <v>25</v>
      </c>
      <c r="D183" s="48" t="n">
        <v>100</v>
      </c>
      <c r="E183" s="49" t="n">
        <v>0.89</v>
      </c>
      <c r="F183" s="50" t="n">
        <v>1.28</v>
      </c>
      <c r="G183" s="47" t="s">
        <v>27</v>
      </c>
      <c r="H183" s="52" t="n">
        <f aca="false">62.47/50/1.2</f>
        <v>1.04116666666667</v>
      </c>
      <c r="I183" s="53" t="n">
        <f aca="false">D183*H183</f>
        <v>104.116666666667</v>
      </c>
      <c r="J183" s="53" t="s">
        <v>28</v>
      </c>
      <c r="K183" s="52" t="n">
        <f aca="false">1.66/1.2</f>
        <v>1.38333333333333</v>
      </c>
      <c r="L183" s="53" t="n">
        <f aca="false">D183*K183</f>
        <v>138.333333333333</v>
      </c>
      <c r="M183" s="53" t="s">
        <v>29</v>
      </c>
      <c r="N183" s="52" t="n">
        <v>1.46</v>
      </c>
      <c r="O183" s="53" t="n">
        <f aca="false">D183*N183</f>
        <v>146</v>
      </c>
      <c r="P183" s="54" t="n">
        <f aca="false">AVERAGE(H183,K183,N183)</f>
        <v>1.29483333333333</v>
      </c>
      <c r="Q183" s="55" t="n">
        <f aca="false">F183*100/P183-100</f>
        <v>-1.14557858154203</v>
      </c>
      <c r="R183" s="54" t="n">
        <f aca="false">D183*F183</f>
        <v>128</v>
      </c>
      <c r="S183" s="56"/>
      <c r="U183" s="57" t="n">
        <f aca="false">ROUND(H183*100/P183-100,0)</f>
        <v>-20</v>
      </c>
      <c r="V183" s="57" t="n">
        <f aca="false">ROUND(K183*100/P183-100,0)</f>
        <v>7</v>
      </c>
      <c r="W183" s="57" t="n">
        <f aca="false">ROUND(N183*100/P183-100,0)</f>
        <v>13</v>
      </c>
      <c r="Y183" s="43" t="n">
        <v>175</v>
      </c>
    </row>
    <row r="184" s="43" customFormat="true" ht="73.5" hidden="false" customHeight="true" outlineLevel="0" collapsed="false">
      <c r="A184" s="45" t="n">
        <v>180</v>
      </c>
      <c r="B184" s="46" t="s">
        <v>267</v>
      </c>
      <c r="C184" s="47" t="s">
        <v>25</v>
      </c>
      <c r="D184" s="48" t="n">
        <v>26</v>
      </c>
      <c r="E184" s="49" t="s">
        <v>26</v>
      </c>
      <c r="F184" s="50" t="n">
        <v>22.15</v>
      </c>
      <c r="G184" s="47" t="s">
        <v>27</v>
      </c>
      <c r="H184" s="52" t="n">
        <f aca="false">21.83/1.2</f>
        <v>18.1916666666667</v>
      </c>
      <c r="I184" s="53" t="n">
        <f aca="false">D184*H184</f>
        <v>472.983333333333</v>
      </c>
      <c r="J184" s="53" t="s">
        <v>28</v>
      </c>
      <c r="K184" s="52" t="n">
        <f aca="false">27.18/1.2</f>
        <v>22.65</v>
      </c>
      <c r="L184" s="53" t="n">
        <f aca="false">D184*K184</f>
        <v>588.9</v>
      </c>
      <c r="M184" s="53" t="s">
        <v>29</v>
      </c>
      <c r="N184" s="52" t="n">
        <v>26.07</v>
      </c>
      <c r="O184" s="53" t="n">
        <f aca="false">D184*N184</f>
        <v>677.82</v>
      </c>
      <c r="P184" s="54" t="n">
        <f aca="false">AVERAGE(H184,K184,N184)</f>
        <v>22.3038888888889</v>
      </c>
      <c r="Q184" s="55" t="n">
        <f aca="false">F184*100/P184-100</f>
        <v>-0.689964380900193</v>
      </c>
      <c r="R184" s="54" t="n">
        <f aca="false">D184*F184</f>
        <v>575.9</v>
      </c>
      <c r="S184" s="56"/>
      <c r="U184" s="57" t="n">
        <f aca="false">ROUND(H184*100/P184-100,0)</f>
        <v>-18</v>
      </c>
      <c r="V184" s="57" t="n">
        <f aca="false">ROUND(K184*100/P184-100,0)</f>
        <v>2</v>
      </c>
      <c r="W184" s="57" t="n">
        <f aca="false">ROUND(N184*100/P184-100,0)</f>
        <v>17</v>
      </c>
      <c r="Y184" s="43" t="n">
        <v>176</v>
      </c>
    </row>
    <row r="185" s="43" customFormat="true" ht="73.5" hidden="false" customHeight="true" outlineLevel="0" collapsed="false">
      <c r="A185" s="45" t="n">
        <v>181</v>
      </c>
      <c r="B185" s="46" t="s">
        <v>268</v>
      </c>
      <c r="C185" s="47" t="s">
        <v>25</v>
      </c>
      <c r="D185" s="48" t="n">
        <v>8</v>
      </c>
      <c r="E185" s="49" t="n">
        <v>462.83</v>
      </c>
      <c r="F185" s="50" t="n">
        <v>569.91</v>
      </c>
      <c r="G185" s="47" t="s">
        <v>57</v>
      </c>
      <c r="H185" s="52" t="n">
        <v>518.54</v>
      </c>
      <c r="I185" s="53" t="n">
        <f aca="false">D185*H185</f>
        <v>4148.32</v>
      </c>
      <c r="J185" s="47" t="s">
        <v>46</v>
      </c>
      <c r="K185" s="52" t="n">
        <v>554.7</v>
      </c>
      <c r="L185" s="53" t="n">
        <f aca="false">D185*K185</f>
        <v>4437.6</v>
      </c>
      <c r="M185" s="53" t="s">
        <v>41</v>
      </c>
      <c r="N185" s="52" t="n">
        <v>640.8</v>
      </c>
      <c r="O185" s="53" t="n">
        <f aca="false">D185*N185</f>
        <v>5126.4</v>
      </c>
      <c r="P185" s="54" t="n">
        <f aca="false">AVERAGE(H185,K185,N185)</f>
        <v>571.346666666667</v>
      </c>
      <c r="Q185" s="55" t="n">
        <f aca="false">F185*100/P185-100</f>
        <v>-0.251452708221521</v>
      </c>
      <c r="R185" s="54" t="n">
        <f aca="false">D185*F185</f>
        <v>4559.28</v>
      </c>
      <c r="S185" s="56"/>
      <c r="U185" s="57" t="n">
        <f aca="false">ROUND(H185*100/P185-100,0)</f>
        <v>-9</v>
      </c>
      <c r="V185" s="57" t="n">
        <f aca="false">ROUND(K185*100/P185-100,0)</f>
        <v>-3</v>
      </c>
      <c r="W185" s="57" t="n">
        <f aca="false">ROUND(N185*100/P185-100,0)</f>
        <v>12</v>
      </c>
      <c r="Y185" s="43" t="n">
        <v>177</v>
      </c>
    </row>
    <row r="186" s="43" customFormat="true" ht="73.5" hidden="false" customHeight="true" outlineLevel="0" collapsed="false">
      <c r="A186" s="45" t="n">
        <v>182</v>
      </c>
      <c r="B186" s="46" t="s">
        <v>269</v>
      </c>
      <c r="C186" s="47" t="s">
        <v>45</v>
      </c>
      <c r="D186" s="48" t="n">
        <v>48</v>
      </c>
      <c r="E186" s="49" t="n">
        <v>2917.37</v>
      </c>
      <c r="F186" s="50" t="n">
        <v>4556.94</v>
      </c>
      <c r="G186" s="47" t="s">
        <v>270</v>
      </c>
      <c r="H186" s="52" t="n">
        <v>4125</v>
      </c>
      <c r="I186" s="53" t="n">
        <f aca="false">D186*H186</f>
        <v>198000</v>
      </c>
      <c r="J186" s="47" t="s">
        <v>271</v>
      </c>
      <c r="K186" s="52" t="n">
        <v>4583.33</v>
      </c>
      <c r="L186" s="53" t="n">
        <f aca="false">D186*K186</f>
        <v>219999.84</v>
      </c>
      <c r="M186" s="47" t="s">
        <v>272</v>
      </c>
      <c r="N186" s="52" t="n">
        <v>4970.33</v>
      </c>
      <c r="O186" s="53" t="n">
        <f aca="false">D186*N186</f>
        <v>238575.84</v>
      </c>
      <c r="P186" s="54" t="n">
        <f aca="false">AVERAGE(H186,K186,N186)</f>
        <v>4559.55333333333</v>
      </c>
      <c r="Q186" s="55" t="n">
        <f aca="false">F186*100/P186-100</f>
        <v>-0.057315555763509</v>
      </c>
      <c r="R186" s="54" t="n">
        <f aca="false">D186*F186</f>
        <v>218733.12</v>
      </c>
      <c r="S186" s="56"/>
      <c r="U186" s="57" t="n">
        <f aca="false">ROUND(H186*100/P186-100,0)</f>
        <v>-10</v>
      </c>
      <c r="V186" s="57" t="n">
        <f aca="false">ROUND(K186*100/P186-100,0)</f>
        <v>1</v>
      </c>
      <c r="W186" s="57" t="n">
        <f aca="false">ROUND(N186*100/P186-100,0)</f>
        <v>9</v>
      </c>
      <c r="Y186" s="43" t="n">
        <v>178</v>
      </c>
    </row>
    <row r="187" s="43" customFormat="true" ht="73.5" hidden="false" customHeight="true" outlineLevel="0" collapsed="false">
      <c r="A187" s="45" t="n">
        <v>183</v>
      </c>
      <c r="B187" s="46" t="s">
        <v>273</v>
      </c>
      <c r="C187" s="47" t="s">
        <v>45</v>
      </c>
      <c r="D187" s="48" t="n">
        <v>16</v>
      </c>
      <c r="E187" s="49" t="n">
        <v>781.69</v>
      </c>
      <c r="F187" s="50" t="n">
        <v>1229.54</v>
      </c>
      <c r="G187" s="47" t="s">
        <v>274</v>
      </c>
      <c r="H187" s="52" t="n">
        <v>980</v>
      </c>
      <c r="I187" s="53" t="n">
        <f aca="false">D187*H187</f>
        <v>15680</v>
      </c>
      <c r="J187" s="47" t="s">
        <v>275</v>
      </c>
      <c r="K187" s="52" t="n">
        <v>1450</v>
      </c>
      <c r="L187" s="53" t="n">
        <f aca="false">D187*K187</f>
        <v>23200</v>
      </c>
      <c r="M187" s="53" t="s">
        <v>41</v>
      </c>
      <c r="N187" s="52" t="n">
        <v>1263</v>
      </c>
      <c r="O187" s="53" t="n">
        <f aca="false">D187*N187</f>
        <v>20208</v>
      </c>
      <c r="P187" s="54" t="n">
        <f aca="false">AVERAGE(H187,K187,N187)</f>
        <v>1231</v>
      </c>
      <c r="Q187" s="55" t="n">
        <f aca="false">F187*100/P187-100</f>
        <v>-0.118602761982132</v>
      </c>
      <c r="R187" s="54" t="n">
        <f aca="false">D187*F187</f>
        <v>19672.64</v>
      </c>
      <c r="S187" s="56"/>
      <c r="U187" s="57" t="n">
        <f aca="false">ROUND(H187*100/P187-100,0)</f>
        <v>-20</v>
      </c>
      <c r="V187" s="57" t="n">
        <f aca="false">ROUND(K187*100/P187-100,0)</f>
        <v>18</v>
      </c>
      <c r="W187" s="57" t="n">
        <f aca="false">ROUND(N187*100/P187-100,0)</f>
        <v>3</v>
      </c>
      <c r="Y187" s="43" t="n">
        <v>179</v>
      </c>
    </row>
    <row r="188" s="43" customFormat="true" ht="73.5" hidden="false" customHeight="true" outlineLevel="0" collapsed="false">
      <c r="A188" s="45" t="n">
        <v>184</v>
      </c>
      <c r="B188" s="46" t="s">
        <v>276</v>
      </c>
      <c r="C188" s="47" t="s">
        <v>53</v>
      </c>
      <c r="D188" s="48" t="n">
        <v>500</v>
      </c>
      <c r="E188" s="49" t="n">
        <v>203.84</v>
      </c>
      <c r="F188" s="50" t="n">
        <v>482.37</v>
      </c>
      <c r="G188" s="47" t="s">
        <v>277</v>
      </c>
      <c r="H188" s="52" t="n">
        <f aca="false">625/1.2</f>
        <v>520.833333333333</v>
      </c>
      <c r="I188" s="53" t="n">
        <f aca="false">D188*H188</f>
        <v>260416.666666667</v>
      </c>
      <c r="J188" s="47" t="s">
        <v>46</v>
      </c>
      <c r="K188" s="52" t="n">
        <v>479</v>
      </c>
      <c r="L188" s="53" t="n">
        <f aca="false">D188*K188</f>
        <v>239500</v>
      </c>
      <c r="M188" s="47" t="s">
        <v>278</v>
      </c>
      <c r="N188" s="52" t="n">
        <f aca="false">10800/20/1.2</f>
        <v>450</v>
      </c>
      <c r="O188" s="53" t="n">
        <f aca="false">D188*N188</f>
        <v>225000</v>
      </c>
      <c r="P188" s="54" t="n">
        <f aca="false">AVERAGE(H188,K188,N188)</f>
        <v>483.277777777778</v>
      </c>
      <c r="Q188" s="55" t="n">
        <f aca="false">F188*100/P188-100</f>
        <v>-0.187837682492244</v>
      </c>
      <c r="R188" s="54" t="n">
        <f aca="false">D188*F188</f>
        <v>241185</v>
      </c>
      <c r="S188" s="56"/>
      <c r="U188" s="57" t="n">
        <f aca="false">ROUND(H188*100/P188-100,0)</f>
        <v>8</v>
      </c>
      <c r="V188" s="57" t="n">
        <f aca="false">ROUND(K188*100/P188-100,0)</f>
        <v>-1</v>
      </c>
      <c r="W188" s="57" t="n">
        <f aca="false">ROUND(N188*100/P188-100,0)</f>
        <v>-7</v>
      </c>
      <c r="Y188" s="43" t="n">
        <v>180</v>
      </c>
    </row>
    <row r="189" s="43" customFormat="true" ht="73.5" hidden="false" customHeight="true" outlineLevel="0" collapsed="false">
      <c r="A189" s="45" t="n">
        <v>185</v>
      </c>
      <c r="B189" s="46" t="s">
        <v>279</v>
      </c>
      <c r="C189" s="47" t="s">
        <v>45</v>
      </c>
      <c r="D189" s="48" t="s">
        <v>280</v>
      </c>
      <c r="E189" s="49" t="n">
        <v>25632.43</v>
      </c>
      <c r="F189" s="50" t="n">
        <v>28855.3</v>
      </c>
      <c r="G189" s="47" t="s">
        <v>281</v>
      </c>
      <c r="H189" s="52" t="n">
        <f aca="false">(1630*1000/50)/1.2</f>
        <v>27166.6666666667</v>
      </c>
      <c r="I189" s="53" t="n">
        <f aca="false">D189*H189</f>
        <v>13583.3333333333</v>
      </c>
      <c r="J189" s="47" t="s">
        <v>58</v>
      </c>
      <c r="K189" s="52" t="n">
        <v>30052.39</v>
      </c>
      <c r="L189" s="69" t="n">
        <f aca="false">D189*K189</f>
        <v>15026.195</v>
      </c>
      <c r="M189" s="53" t="s">
        <v>29</v>
      </c>
      <c r="N189" s="52" t="n">
        <v>29361.09</v>
      </c>
      <c r="O189" s="53" t="n">
        <f aca="false">D189*N189</f>
        <v>14680.545</v>
      </c>
      <c r="P189" s="54" t="n">
        <f aca="false">AVERAGE(H189,K189,N189)</f>
        <v>28860.0488888889</v>
      </c>
      <c r="Q189" s="55" t="n">
        <f aca="false">F189*100/P189-100</f>
        <v>-0.0164548885803129</v>
      </c>
      <c r="R189" s="54" t="n">
        <f aca="false">D189*F189</f>
        <v>14427.65</v>
      </c>
      <c r="S189" s="56"/>
      <c r="U189" s="57" t="n">
        <f aca="false">ROUND(H189*100/P189-100,0)</f>
        <v>-6</v>
      </c>
      <c r="V189" s="57" t="n">
        <f aca="false">ROUND(K189*100/P189-100,0)</f>
        <v>4</v>
      </c>
      <c r="W189" s="57" t="n">
        <f aca="false">ROUND(N189*100/P189-100,0)</f>
        <v>2</v>
      </c>
      <c r="Y189" s="43" t="n">
        <v>181</v>
      </c>
    </row>
    <row r="190" s="43" customFormat="true" ht="73.5" hidden="false" customHeight="true" outlineLevel="0" collapsed="false">
      <c r="A190" s="45" t="n">
        <v>186</v>
      </c>
      <c r="B190" s="46" t="s">
        <v>282</v>
      </c>
      <c r="C190" s="47" t="s">
        <v>25</v>
      </c>
      <c r="D190" s="48" t="n">
        <v>10</v>
      </c>
      <c r="E190" s="49" t="n">
        <v>114.38</v>
      </c>
      <c r="F190" s="50" t="n">
        <v>154.38</v>
      </c>
      <c r="G190" s="47" t="s">
        <v>27</v>
      </c>
      <c r="H190" s="52" t="n">
        <f aca="false">159.09/1.2</f>
        <v>132.575</v>
      </c>
      <c r="I190" s="53" t="n">
        <f aca="false">D190*H190</f>
        <v>1325.75</v>
      </c>
      <c r="J190" s="53" t="s">
        <v>28</v>
      </c>
      <c r="K190" s="52" t="n">
        <v>173.53</v>
      </c>
      <c r="L190" s="53" t="n">
        <f aca="false">D190*K190</f>
        <v>1735.3</v>
      </c>
      <c r="M190" s="53" t="s">
        <v>29</v>
      </c>
      <c r="N190" s="52" t="n">
        <v>159.82</v>
      </c>
      <c r="O190" s="53" t="n">
        <f aca="false">D190*N190</f>
        <v>1598.2</v>
      </c>
      <c r="P190" s="54" t="n">
        <f aca="false">AVERAGE(H190,K190,N190)</f>
        <v>155.308333333333</v>
      </c>
      <c r="Q190" s="55" t="n">
        <f aca="false">F190*100/P190-100</f>
        <v>-0.597735687074106</v>
      </c>
      <c r="R190" s="54" t="n">
        <f aca="false">D190*F190</f>
        <v>1543.8</v>
      </c>
      <c r="S190" s="56"/>
      <c r="U190" s="57" t="n">
        <f aca="false">ROUND(H190*100/P190-100,0)</f>
        <v>-15</v>
      </c>
      <c r="V190" s="57" t="n">
        <f aca="false">ROUND(K190*100/P190-100,0)</f>
        <v>12</v>
      </c>
      <c r="W190" s="57" t="n">
        <f aca="false">ROUND(N190*100/P190-100,0)</f>
        <v>3</v>
      </c>
      <c r="Y190" s="43" t="n">
        <v>182</v>
      </c>
    </row>
    <row r="191" s="43" customFormat="true" ht="73.5" hidden="false" customHeight="true" outlineLevel="0" collapsed="false">
      <c r="A191" s="45" t="n">
        <v>187</v>
      </c>
      <c r="B191" s="46" t="s">
        <v>283</v>
      </c>
      <c r="C191" s="47" t="s">
        <v>25</v>
      </c>
      <c r="D191" s="48" t="n">
        <v>5</v>
      </c>
      <c r="E191" s="49" t="n">
        <v>22.12</v>
      </c>
      <c r="F191" s="50" t="n">
        <v>38.66</v>
      </c>
      <c r="G191" s="47" t="s">
        <v>27</v>
      </c>
      <c r="H191" s="52" t="n">
        <f aca="false">41.96/1.2</f>
        <v>34.9666666666667</v>
      </c>
      <c r="I191" s="53" t="n">
        <f aca="false">D191*H191</f>
        <v>174.833333333333</v>
      </c>
      <c r="J191" s="53" t="s">
        <v>28</v>
      </c>
      <c r="K191" s="52" t="n">
        <v>40.11</v>
      </c>
      <c r="L191" s="53" t="n">
        <f aca="false">D191*K191</f>
        <v>200.55</v>
      </c>
      <c r="M191" s="53" t="s">
        <v>29</v>
      </c>
      <c r="N191" s="52" t="n">
        <v>42.43</v>
      </c>
      <c r="O191" s="53" t="n">
        <f aca="false">D191*N191</f>
        <v>212.15</v>
      </c>
      <c r="P191" s="54" t="n">
        <f aca="false">AVERAGE(H191,K191,N191)</f>
        <v>39.1688888888889</v>
      </c>
      <c r="Q191" s="55" t="n">
        <f aca="false">F191*100/P191-100</f>
        <v>-1.2992170656984</v>
      </c>
      <c r="R191" s="54" t="n">
        <f aca="false">D191*F191</f>
        <v>193.3</v>
      </c>
      <c r="S191" s="56"/>
      <c r="U191" s="57" t="n">
        <f aca="false">ROUND(H191*100/P191-100,0)</f>
        <v>-11</v>
      </c>
      <c r="V191" s="57" t="n">
        <f aca="false">ROUND(K191*100/P191-100,0)</f>
        <v>2</v>
      </c>
      <c r="W191" s="57" t="n">
        <f aca="false">ROUND(N191*100/P191-100,0)</f>
        <v>8</v>
      </c>
      <c r="Y191" s="43" t="n">
        <v>183</v>
      </c>
    </row>
    <row r="192" s="43" customFormat="true" ht="73.5" hidden="false" customHeight="true" outlineLevel="0" collapsed="false">
      <c r="A192" s="45" t="n">
        <v>188</v>
      </c>
      <c r="B192" s="46" t="s">
        <v>284</v>
      </c>
      <c r="C192" s="47" t="s">
        <v>25</v>
      </c>
      <c r="D192" s="48" t="n">
        <v>51</v>
      </c>
      <c r="E192" s="49" t="n">
        <v>25.74</v>
      </c>
      <c r="F192" s="50" t="n">
        <v>37.02</v>
      </c>
      <c r="G192" s="47" t="s">
        <v>27</v>
      </c>
      <c r="H192" s="52" t="n">
        <f aca="false">42.95/1.2</f>
        <v>35.7916666666667</v>
      </c>
      <c r="I192" s="53" t="n">
        <f aca="false">D192*H192</f>
        <v>1825.375</v>
      </c>
      <c r="J192" s="53" t="s">
        <v>28</v>
      </c>
      <c r="K192" s="52" t="n">
        <v>42.57</v>
      </c>
      <c r="L192" s="53" t="n">
        <f aca="false">D192*K192</f>
        <v>2171.07</v>
      </c>
      <c r="M192" s="53" t="s">
        <v>29</v>
      </c>
      <c r="N192" s="52" t="n">
        <v>34.21</v>
      </c>
      <c r="O192" s="53" t="n">
        <f aca="false">D192*N192</f>
        <v>1744.71</v>
      </c>
      <c r="P192" s="54" t="n">
        <f aca="false">AVERAGE(H192,K192,N192)</f>
        <v>37.5238888888889</v>
      </c>
      <c r="Q192" s="55" t="n">
        <f aca="false">F192*100/P192-100</f>
        <v>-1.34284825962719</v>
      </c>
      <c r="R192" s="54" t="n">
        <f aca="false">D192*F192</f>
        <v>1888.02</v>
      </c>
      <c r="S192" s="56"/>
      <c r="U192" s="57" t="n">
        <f aca="false">ROUND(H192*100/P192-100,0)</f>
        <v>-5</v>
      </c>
      <c r="V192" s="57" t="n">
        <f aca="false">ROUND(K192*100/P192-100,0)</f>
        <v>13</v>
      </c>
      <c r="W192" s="57" t="n">
        <f aca="false">ROUND(N192*100/P192-100,0)</f>
        <v>-9</v>
      </c>
      <c r="Y192" s="43" t="n">
        <v>184</v>
      </c>
    </row>
    <row r="193" s="43" customFormat="true" ht="73.5" hidden="false" customHeight="true" outlineLevel="0" collapsed="false">
      <c r="A193" s="45" t="n">
        <v>189</v>
      </c>
      <c r="B193" s="46" t="s">
        <v>285</v>
      </c>
      <c r="C193" s="47" t="s">
        <v>25</v>
      </c>
      <c r="D193" s="48" t="n">
        <v>65</v>
      </c>
      <c r="E193" s="49" t="n">
        <v>113.63</v>
      </c>
      <c r="F193" s="50" t="n">
        <v>128.98</v>
      </c>
      <c r="G193" s="47" t="s">
        <v>27</v>
      </c>
      <c r="H193" s="52" t="n">
        <f aca="false">152.58/1.2</f>
        <v>127.15</v>
      </c>
      <c r="I193" s="53" t="n">
        <f aca="false">D193*H193</f>
        <v>8264.75</v>
      </c>
      <c r="J193" s="53" t="s">
        <v>28</v>
      </c>
      <c r="K193" s="52" t="n">
        <v>124.64</v>
      </c>
      <c r="L193" s="53" t="n">
        <f aca="false">D193*K193</f>
        <v>8101.6</v>
      </c>
      <c r="M193" s="53" t="s">
        <v>29</v>
      </c>
      <c r="N193" s="52" t="n">
        <v>140.51</v>
      </c>
      <c r="O193" s="53" t="n">
        <f aca="false">D193*N193</f>
        <v>9133.15</v>
      </c>
      <c r="P193" s="54" t="n">
        <f aca="false">AVERAGE(H193,K193,N193)</f>
        <v>130.766666666667</v>
      </c>
      <c r="Q193" s="55" t="n">
        <f aca="false">F193*100/P193-100</f>
        <v>-1.36630130002551</v>
      </c>
      <c r="R193" s="54" t="n">
        <f aca="false">D193*F193</f>
        <v>8383.7</v>
      </c>
      <c r="S193" s="56"/>
      <c r="U193" s="57" t="n">
        <f aca="false">ROUND(H193*100/P193-100,0)</f>
        <v>-3</v>
      </c>
      <c r="V193" s="57" t="n">
        <f aca="false">ROUND(K193*100/P193-100,0)</f>
        <v>-5</v>
      </c>
      <c r="W193" s="57" t="n">
        <f aca="false">ROUND(N193*100/P193-100,0)</f>
        <v>7</v>
      </c>
      <c r="Y193" s="43" t="n">
        <v>185</v>
      </c>
    </row>
    <row r="194" s="43" customFormat="true" ht="73.5" hidden="false" customHeight="true" outlineLevel="0" collapsed="false">
      <c r="A194" s="45" t="n">
        <v>190</v>
      </c>
      <c r="B194" s="46" t="s">
        <v>286</v>
      </c>
      <c r="C194" s="47" t="s">
        <v>25</v>
      </c>
      <c r="D194" s="48" t="n">
        <v>17</v>
      </c>
      <c r="E194" s="49" t="n">
        <v>815.94</v>
      </c>
      <c r="F194" s="50" t="n">
        <v>825.64</v>
      </c>
      <c r="G194" s="47" t="s">
        <v>27</v>
      </c>
      <c r="H194" s="52" t="n">
        <f aca="false">964.79/1.2</f>
        <v>803.991666666667</v>
      </c>
      <c r="I194" s="53" t="n">
        <f aca="false">D194*H194</f>
        <v>13667.8583333333</v>
      </c>
      <c r="J194" s="53" t="s">
        <v>28</v>
      </c>
      <c r="K194" s="52" t="n">
        <v>800.97</v>
      </c>
      <c r="L194" s="53" t="n">
        <f aca="false">D194*K194</f>
        <v>13616.49</v>
      </c>
      <c r="M194" s="53" t="s">
        <v>29</v>
      </c>
      <c r="N194" s="52" t="n">
        <v>877.17</v>
      </c>
      <c r="O194" s="53" t="n">
        <f aca="false">D194*N194</f>
        <v>14911.89</v>
      </c>
      <c r="P194" s="54" t="n">
        <f aca="false">AVERAGE(H194,K194,N194)</f>
        <v>827.377222222222</v>
      </c>
      <c r="Q194" s="55" t="n">
        <f aca="false">F194*100/P194-100</f>
        <v>-0.209967373474015</v>
      </c>
      <c r="R194" s="54" t="n">
        <f aca="false">D194*F194</f>
        <v>14035.88</v>
      </c>
      <c r="S194" s="56"/>
      <c r="U194" s="57" t="n">
        <f aca="false">ROUND(H194*100/P194-100,0)</f>
        <v>-3</v>
      </c>
      <c r="V194" s="57" t="n">
        <f aca="false">ROUND(K194*100/P194-100,0)</f>
        <v>-3</v>
      </c>
      <c r="W194" s="57" t="n">
        <f aca="false">ROUND(N194*100/P194-100,0)</f>
        <v>6</v>
      </c>
      <c r="Y194" s="43" t="n">
        <v>186</v>
      </c>
    </row>
    <row r="195" s="43" customFormat="true" ht="73.5" hidden="false" customHeight="true" outlineLevel="0" collapsed="false">
      <c r="A195" s="45" t="n">
        <v>191</v>
      </c>
      <c r="B195" s="46" t="s">
        <v>287</v>
      </c>
      <c r="C195" s="47" t="s">
        <v>25</v>
      </c>
      <c r="D195" s="48" t="n">
        <v>1</v>
      </c>
      <c r="E195" s="49" t="n">
        <v>1346.39</v>
      </c>
      <c r="F195" s="50" t="n">
        <v>1705.34</v>
      </c>
      <c r="G195" s="47" t="s">
        <v>27</v>
      </c>
      <c r="H195" s="52" t="n">
        <f aca="false">1922.48/1.2</f>
        <v>1602.06666666667</v>
      </c>
      <c r="I195" s="53" t="n">
        <f aca="false">D195*H195</f>
        <v>1602.06666666667</v>
      </c>
      <c r="J195" s="53" t="s">
        <v>28</v>
      </c>
      <c r="K195" s="52" t="n">
        <v>1722.42</v>
      </c>
      <c r="L195" s="53" t="n">
        <f aca="false">D195*K195</f>
        <v>1722.42</v>
      </c>
      <c r="M195" s="53" t="s">
        <v>29</v>
      </c>
      <c r="N195" s="52" t="n">
        <v>1806.95</v>
      </c>
      <c r="O195" s="53" t="n">
        <f aca="false">D195*N195</f>
        <v>1806.95</v>
      </c>
      <c r="P195" s="54" t="n">
        <f aca="false">AVERAGE(H195,K195,N195)</f>
        <v>1710.47888888889</v>
      </c>
      <c r="Q195" s="55" t="n">
        <f aca="false">F195*100/P195-100</f>
        <v>-0.300435680455962</v>
      </c>
      <c r="R195" s="54" t="n">
        <f aca="false">D195*F195</f>
        <v>1705.34</v>
      </c>
      <c r="S195" s="56"/>
      <c r="U195" s="57" t="n">
        <f aca="false">ROUND(H195*100/P195-100,0)</f>
        <v>-6</v>
      </c>
      <c r="V195" s="57" t="n">
        <f aca="false">ROUND(K195*100/P195-100,0)</f>
        <v>1</v>
      </c>
      <c r="W195" s="57" t="n">
        <f aca="false">ROUND(N195*100/P195-100,0)</f>
        <v>6</v>
      </c>
      <c r="Y195" s="43" t="n">
        <v>187</v>
      </c>
    </row>
    <row r="196" s="43" customFormat="true" ht="73.5" hidden="false" customHeight="true" outlineLevel="0" collapsed="false">
      <c r="A196" s="45" t="n">
        <v>192</v>
      </c>
      <c r="B196" s="46" t="s">
        <v>288</v>
      </c>
      <c r="C196" s="47" t="s">
        <v>25</v>
      </c>
      <c r="D196" s="48" t="n">
        <v>1</v>
      </c>
      <c r="E196" s="49" t="n">
        <v>229.17</v>
      </c>
      <c r="F196" s="50" t="n">
        <v>246.37</v>
      </c>
      <c r="G196" s="47" t="s">
        <v>27</v>
      </c>
      <c r="H196" s="52" t="n">
        <f aca="false">272.92/1.2</f>
        <v>227.433333333333</v>
      </c>
      <c r="I196" s="53" t="n">
        <f aca="false">D196*H196</f>
        <v>227.433333333333</v>
      </c>
      <c r="J196" s="53" t="s">
        <v>28</v>
      </c>
      <c r="K196" s="52" t="n">
        <v>218.37</v>
      </c>
      <c r="L196" s="53" t="n">
        <f aca="false">D196*K196</f>
        <v>218.37</v>
      </c>
      <c r="M196" s="53" t="s">
        <v>29</v>
      </c>
      <c r="N196" s="52" t="n">
        <v>299.05</v>
      </c>
      <c r="O196" s="53" t="n">
        <f aca="false">D196*N196</f>
        <v>299.05</v>
      </c>
      <c r="P196" s="54" t="n">
        <f aca="false">AVERAGE(H196,K196,N196)</f>
        <v>248.284444444444</v>
      </c>
      <c r="Q196" s="55" t="n">
        <f aca="false">F196*100/P196-100</f>
        <v>-0.771069024774462</v>
      </c>
      <c r="R196" s="54" t="n">
        <f aca="false">D196*F196</f>
        <v>246.37</v>
      </c>
      <c r="S196" s="56"/>
      <c r="U196" s="57" t="n">
        <f aca="false">ROUND(H196*100/P196-100,0)</f>
        <v>-8</v>
      </c>
      <c r="V196" s="57" t="n">
        <f aca="false">ROUND(K196*100/P196-100,0)</f>
        <v>-12</v>
      </c>
      <c r="W196" s="57" t="n">
        <f aca="false">ROUND(N196*100/P196-100,0)</f>
        <v>20</v>
      </c>
      <c r="Y196" s="43" t="n">
        <v>188</v>
      </c>
    </row>
    <row r="197" s="43" customFormat="true" ht="73.5" hidden="false" customHeight="true" outlineLevel="0" collapsed="false">
      <c r="A197" s="45" t="n">
        <v>193</v>
      </c>
      <c r="B197" s="46" t="s">
        <v>289</v>
      </c>
      <c r="C197" s="47" t="s">
        <v>25</v>
      </c>
      <c r="D197" s="48" t="n">
        <v>36</v>
      </c>
      <c r="E197" s="49" t="n">
        <v>35.54</v>
      </c>
      <c r="F197" s="50" t="n">
        <v>39.04</v>
      </c>
      <c r="G197" s="47" t="s">
        <v>27</v>
      </c>
      <c r="H197" s="52" t="n">
        <f aca="false">42.98/1.2</f>
        <v>35.8166666666667</v>
      </c>
      <c r="I197" s="53" t="n">
        <f aca="false">D197*H197</f>
        <v>1289.4</v>
      </c>
      <c r="J197" s="53" t="s">
        <v>28</v>
      </c>
      <c r="K197" s="52" t="n">
        <v>44.2</v>
      </c>
      <c r="L197" s="53" t="n">
        <f aca="false">D197*K197</f>
        <v>1591.2</v>
      </c>
      <c r="M197" s="53" t="s">
        <v>29</v>
      </c>
      <c r="N197" s="52" t="n">
        <v>38.46</v>
      </c>
      <c r="O197" s="53" t="n">
        <f aca="false">D197*N197</f>
        <v>1384.56</v>
      </c>
      <c r="P197" s="54" t="n">
        <f aca="false">AVERAGE(H197,K197,N197)</f>
        <v>39.4922222222222</v>
      </c>
      <c r="Q197" s="55" t="n">
        <f aca="false">F197*100/P197-100</f>
        <v>-1.14509186056326</v>
      </c>
      <c r="R197" s="54" t="n">
        <f aca="false">D197*F197</f>
        <v>1405.44</v>
      </c>
      <c r="S197" s="56"/>
      <c r="U197" s="57" t="n">
        <f aca="false">ROUND(H197*100/P197-100,0)</f>
        <v>-9</v>
      </c>
      <c r="V197" s="57" t="n">
        <f aca="false">ROUND(K197*100/P197-100,0)</f>
        <v>12</v>
      </c>
      <c r="W197" s="57" t="n">
        <f aca="false">ROUND(N197*100/P197-100,0)</f>
        <v>-3</v>
      </c>
      <c r="Y197" s="43" t="n">
        <v>189</v>
      </c>
    </row>
    <row r="198" s="43" customFormat="true" ht="73.5" hidden="false" customHeight="true" outlineLevel="0" collapsed="false">
      <c r="A198" s="45" t="n">
        <v>194</v>
      </c>
      <c r="B198" s="46" t="s">
        <v>290</v>
      </c>
      <c r="C198" s="47" t="s">
        <v>45</v>
      </c>
      <c r="D198" s="48" t="n">
        <v>8</v>
      </c>
      <c r="E198" s="49" t="n">
        <v>544.47</v>
      </c>
      <c r="F198" s="50" t="n">
        <v>592.47</v>
      </c>
      <c r="G198" s="47" t="s">
        <v>56</v>
      </c>
      <c r="H198" s="52" t="n">
        <v>597.5</v>
      </c>
      <c r="I198" s="53" t="n">
        <f aca="false">D198*H198</f>
        <v>4780</v>
      </c>
      <c r="J198" s="53" t="s">
        <v>57</v>
      </c>
      <c r="K198" s="52" t="n">
        <v>549.78</v>
      </c>
      <c r="L198" s="53" t="n">
        <f aca="false">D198*K198</f>
        <v>4398.24</v>
      </c>
      <c r="M198" s="47" t="s">
        <v>58</v>
      </c>
      <c r="N198" s="52" t="n">
        <v>634.45</v>
      </c>
      <c r="O198" s="53" t="n">
        <f aca="false">D198*N198</f>
        <v>5075.6</v>
      </c>
      <c r="P198" s="54" t="n">
        <f aca="false">AVERAGE(H198,K198,N198)</f>
        <v>593.91</v>
      </c>
      <c r="Q198" s="55" t="n">
        <f aca="false">F198*100/P198-100</f>
        <v>-0.242460978936194</v>
      </c>
      <c r="R198" s="54" t="n">
        <f aca="false">D198*F198</f>
        <v>4739.76</v>
      </c>
      <c r="S198" s="56"/>
      <c r="U198" s="57" t="n">
        <f aca="false">ROUND(H198*100/P198-100,0)</f>
        <v>1</v>
      </c>
      <c r="V198" s="57" t="n">
        <f aca="false">ROUND(K198*100/P198-100,0)</f>
        <v>-7</v>
      </c>
      <c r="W198" s="57" t="n">
        <f aca="false">ROUND(N198*100/P198-100,0)</f>
        <v>7</v>
      </c>
      <c r="Y198" s="43" t="n">
        <v>190</v>
      </c>
    </row>
    <row r="199" s="43" customFormat="true" ht="73.5" hidden="false" customHeight="true" outlineLevel="0" collapsed="false">
      <c r="A199" s="45" t="n">
        <v>195</v>
      </c>
      <c r="B199" s="46" t="s">
        <v>291</v>
      </c>
      <c r="C199" s="47" t="s">
        <v>292</v>
      </c>
      <c r="D199" s="48" t="n">
        <v>532</v>
      </c>
      <c r="E199" s="49" t="n">
        <v>43.24</v>
      </c>
      <c r="F199" s="50" t="n">
        <v>53.08</v>
      </c>
      <c r="G199" s="51" t="s">
        <v>90</v>
      </c>
      <c r="H199" s="52" t="n">
        <f aca="false">61.72/1.2</f>
        <v>51.4333333333333</v>
      </c>
      <c r="I199" s="53" t="n">
        <f aca="false">D199*H199</f>
        <v>27362.5333333333</v>
      </c>
      <c r="J199" s="51" t="s">
        <v>46</v>
      </c>
      <c r="K199" s="52" t="n">
        <v>55.09</v>
      </c>
      <c r="L199" s="53" t="n">
        <f aca="false">D199*K199</f>
        <v>29307.88</v>
      </c>
      <c r="M199" s="47" t="s">
        <v>58</v>
      </c>
      <c r="N199" s="52" t="n">
        <v>53.87</v>
      </c>
      <c r="O199" s="53" t="n">
        <f aca="false">D199*N199</f>
        <v>28658.84</v>
      </c>
      <c r="P199" s="54" t="n">
        <f aca="false">AVERAGE(H199,K199,N199)</f>
        <v>53.4644444444444</v>
      </c>
      <c r="Q199" s="55" t="n">
        <f aca="false">F199*100/P199-100</f>
        <v>-0.71906563032546</v>
      </c>
      <c r="R199" s="54" t="n">
        <f aca="false">D199*F199</f>
        <v>28238.56</v>
      </c>
      <c r="S199" s="56"/>
      <c r="U199" s="57" t="n">
        <f aca="false">ROUND(H199*100/P199-100,0)</f>
        <v>-4</v>
      </c>
      <c r="V199" s="57" t="n">
        <f aca="false">ROUND(K199*100/P199-100,0)</f>
        <v>3</v>
      </c>
      <c r="W199" s="57" t="n">
        <f aca="false">ROUND(N199*100/P199-100,0)</f>
        <v>1</v>
      </c>
      <c r="Y199" s="43" t="n">
        <v>191</v>
      </c>
    </row>
    <row r="200" s="43" customFormat="true" ht="73.5" hidden="false" customHeight="true" outlineLevel="0" collapsed="false">
      <c r="A200" s="45" t="n">
        <v>196</v>
      </c>
      <c r="B200" s="46" t="s">
        <v>293</v>
      </c>
      <c r="C200" s="47" t="s">
        <v>25</v>
      </c>
      <c r="D200" s="48" t="n">
        <v>8</v>
      </c>
      <c r="E200" s="49" t="n">
        <v>357</v>
      </c>
      <c r="F200" s="50" t="n">
        <v>394.7</v>
      </c>
      <c r="G200" s="47" t="s">
        <v>294</v>
      </c>
      <c r="H200" s="52" t="n">
        <v>357.28</v>
      </c>
      <c r="I200" s="53" t="n">
        <f aca="false">D200*H200</f>
        <v>2858.24</v>
      </c>
      <c r="J200" s="47" t="s">
        <v>295</v>
      </c>
      <c r="K200" s="52" t="n">
        <v>380</v>
      </c>
      <c r="L200" s="53" t="n">
        <f aca="false">D200*K200</f>
        <v>3040</v>
      </c>
      <c r="M200" s="53" t="s">
        <v>41</v>
      </c>
      <c r="N200" s="52" t="n">
        <v>450.14</v>
      </c>
      <c r="O200" s="53" t="n">
        <f aca="false">D200*N200</f>
        <v>3601.12</v>
      </c>
      <c r="P200" s="54" t="n">
        <f aca="false">AVERAGE(H200,K200,N200)</f>
        <v>395.806666666667</v>
      </c>
      <c r="Q200" s="55" t="n">
        <f aca="false">F200*100/P200-100</f>
        <v>-0.279597783429622</v>
      </c>
      <c r="R200" s="54" t="n">
        <f aca="false">D200*F200</f>
        <v>3157.6</v>
      </c>
      <c r="S200" s="56"/>
      <c r="U200" s="57" t="n">
        <f aca="false">ROUND(H200*100/P200-100,0)</f>
        <v>-10</v>
      </c>
      <c r="V200" s="57" t="n">
        <f aca="false">ROUND(K200*100/P200-100,0)</f>
        <v>-4</v>
      </c>
      <c r="W200" s="57" t="n">
        <f aca="false">ROUND(N200*100/P200-100,0)</f>
        <v>14</v>
      </c>
      <c r="Y200" s="43" t="n">
        <v>192</v>
      </c>
    </row>
    <row r="201" s="43" customFormat="true" ht="73.5" hidden="false" customHeight="true" outlineLevel="0" collapsed="false">
      <c r="A201" s="45" t="n">
        <v>197</v>
      </c>
      <c r="B201" s="46" t="s">
        <v>296</v>
      </c>
      <c r="C201" s="47" t="s">
        <v>25</v>
      </c>
      <c r="D201" s="48" t="n">
        <v>28</v>
      </c>
      <c r="E201" s="49" t="s">
        <v>26</v>
      </c>
      <c r="F201" s="50" t="n">
        <v>402.64</v>
      </c>
      <c r="G201" s="47" t="s">
        <v>294</v>
      </c>
      <c r="H201" s="52" t="n">
        <v>395.38</v>
      </c>
      <c r="I201" s="53" t="n">
        <f aca="false">D201*H201</f>
        <v>11070.64</v>
      </c>
      <c r="J201" s="47" t="s">
        <v>295</v>
      </c>
      <c r="K201" s="52" t="n">
        <v>395</v>
      </c>
      <c r="L201" s="53" t="n">
        <f aca="false">D201*K201</f>
        <v>11060</v>
      </c>
      <c r="M201" s="53" t="s">
        <v>41</v>
      </c>
      <c r="N201" s="52" t="n">
        <v>420.11</v>
      </c>
      <c r="O201" s="53" t="n">
        <f aca="false">D201*N201</f>
        <v>11763.08</v>
      </c>
      <c r="P201" s="54" t="n">
        <f aca="false">AVERAGE(H201,K201,N201)</f>
        <v>403.496666666667</v>
      </c>
      <c r="Q201" s="55" t="n">
        <f aca="false">F201*100/P201-100</f>
        <v>-0.212310717147602</v>
      </c>
      <c r="R201" s="54" t="n">
        <f aca="false">D201*F201</f>
        <v>11273.92</v>
      </c>
      <c r="S201" s="56"/>
      <c r="U201" s="57" t="n">
        <f aca="false">ROUND(H201*100/P201-100,0)</f>
        <v>-2</v>
      </c>
      <c r="V201" s="57" t="n">
        <f aca="false">ROUND(K201*100/P201-100,0)</f>
        <v>-2</v>
      </c>
      <c r="W201" s="57" t="n">
        <f aca="false">ROUND(N201*100/P201-100,0)</f>
        <v>4</v>
      </c>
      <c r="Y201" s="43" t="n">
        <v>193</v>
      </c>
    </row>
    <row r="202" s="43" customFormat="true" ht="73.5" hidden="false" customHeight="true" outlineLevel="0" collapsed="false">
      <c r="A202" s="45" t="n">
        <v>198</v>
      </c>
      <c r="B202" s="46" t="s">
        <v>297</v>
      </c>
      <c r="C202" s="47" t="s">
        <v>25</v>
      </c>
      <c r="D202" s="48" t="n">
        <v>2</v>
      </c>
      <c r="E202" s="49" t="n">
        <v>961.21</v>
      </c>
      <c r="F202" s="50" t="n">
        <v>990.1</v>
      </c>
      <c r="G202" s="47" t="s">
        <v>294</v>
      </c>
      <c r="H202" s="52" t="n">
        <v>984.06</v>
      </c>
      <c r="I202" s="53" t="n">
        <f aca="false">D202*H202</f>
        <v>1968.12</v>
      </c>
      <c r="J202" s="47" t="s">
        <v>295</v>
      </c>
      <c r="K202" s="52" t="n">
        <v>956</v>
      </c>
      <c r="L202" s="53" t="n">
        <f aca="false">D202*K202</f>
        <v>1912</v>
      </c>
      <c r="M202" s="53" t="s">
        <v>41</v>
      </c>
      <c r="N202" s="52" t="n">
        <v>1040.46</v>
      </c>
      <c r="O202" s="53" t="n">
        <f aca="false">D202*N202</f>
        <v>2080.92</v>
      </c>
      <c r="P202" s="54" t="n">
        <f aca="false">AVERAGE(H202,K202,N202)</f>
        <v>993.506666666667</v>
      </c>
      <c r="Q202" s="55" t="n">
        <f aca="false">F202*100/P202-100</f>
        <v>-0.342893186423851</v>
      </c>
      <c r="R202" s="54" t="n">
        <f aca="false">D202*F202</f>
        <v>1980.2</v>
      </c>
      <c r="S202" s="56"/>
      <c r="U202" s="57" t="n">
        <f aca="false">ROUND(H202*100/P202-100,0)</f>
        <v>-1</v>
      </c>
      <c r="V202" s="57" t="n">
        <f aca="false">ROUND(K202*100/P202-100,0)</f>
        <v>-4</v>
      </c>
      <c r="W202" s="57" t="n">
        <f aca="false">ROUND(N202*100/P202-100,0)</f>
        <v>5</v>
      </c>
      <c r="Y202" s="43" t="n">
        <v>194</v>
      </c>
    </row>
    <row r="203" s="43" customFormat="true" ht="73.5" hidden="false" customHeight="true" outlineLevel="0" collapsed="false">
      <c r="A203" s="45" t="n">
        <v>199</v>
      </c>
      <c r="B203" s="46" t="s">
        <v>298</v>
      </c>
      <c r="C203" s="47" t="s">
        <v>25</v>
      </c>
      <c r="D203" s="48" t="n">
        <v>8</v>
      </c>
      <c r="E203" s="49" t="n">
        <v>462.54</v>
      </c>
      <c r="F203" s="50" t="n">
        <v>487.56</v>
      </c>
      <c r="G203" s="47" t="s">
        <v>294</v>
      </c>
      <c r="H203" s="52" t="n">
        <v>465.05</v>
      </c>
      <c r="I203" s="53" t="n">
        <f aca="false">D203*H203</f>
        <v>3720.4</v>
      </c>
      <c r="J203" s="47" t="s">
        <v>295</v>
      </c>
      <c r="K203" s="52" t="n">
        <v>482</v>
      </c>
      <c r="L203" s="53" t="n">
        <f aca="false">D203*K203</f>
        <v>3856</v>
      </c>
      <c r="M203" s="53" t="s">
        <v>41</v>
      </c>
      <c r="N203" s="52" t="n">
        <v>521.12</v>
      </c>
      <c r="O203" s="53" t="n">
        <f aca="false">D203*N203</f>
        <v>4168.96</v>
      </c>
      <c r="P203" s="54" t="n">
        <f aca="false">AVERAGE(H203,K203,N203)</f>
        <v>489.39</v>
      </c>
      <c r="Q203" s="55" t="n">
        <f aca="false">F203*100/P203-100</f>
        <v>-0.373934898547176</v>
      </c>
      <c r="R203" s="54" t="n">
        <f aca="false">D203*F203</f>
        <v>3900.48</v>
      </c>
      <c r="S203" s="56"/>
      <c r="U203" s="57" t="n">
        <f aca="false">ROUND(H203*100/P203-100,0)</f>
        <v>-5</v>
      </c>
      <c r="V203" s="57" t="n">
        <f aca="false">ROUND(K203*100/P203-100,0)</f>
        <v>-2</v>
      </c>
      <c r="W203" s="57" t="n">
        <f aca="false">ROUND(N203*100/P203-100,0)</f>
        <v>6</v>
      </c>
      <c r="Y203" s="43" t="n">
        <v>195</v>
      </c>
    </row>
    <row r="204" s="43" customFormat="true" ht="73.5" hidden="false" customHeight="true" outlineLevel="0" collapsed="false">
      <c r="A204" s="45" t="n">
        <v>200</v>
      </c>
      <c r="B204" s="46" t="s">
        <v>299</v>
      </c>
      <c r="C204" s="47" t="s">
        <v>25</v>
      </c>
      <c r="D204" s="48" t="n">
        <v>10</v>
      </c>
      <c r="E204" s="49" t="n">
        <v>607.75</v>
      </c>
      <c r="F204" s="50" t="n">
        <v>578.8</v>
      </c>
      <c r="G204" s="47" t="s">
        <v>294</v>
      </c>
      <c r="H204" s="52" t="n">
        <v>557.81</v>
      </c>
      <c r="I204" s="53" t="n">
        <f aca="false">D204*H204</f>
        <v>5578.1</v>
      </c>
      <c r="J204" s="47" t="s">
        <v>295</v>
      </c>
      <c r="K204" s="52" t="n">
        <v>560</v>
      </c>
      <c r="L204" s="53" t="n">
        <f aca="false">D204*K204</f>
        <v>5600</v>
      </c>
      <c r="M204" s="53" t="s">
        <v>41</v>
      </c>
      <c r="N204" s="52" t="n">
        <v>620.64</v>
      </c>
      <c r="O204" s="53" t="n">
        <f aca="false">D204*N204</f>
        <v>6206.4</v>
      </c>
      <c r="P204" s="54" t="n">
        <f aca="false">AVERAGE(H204,K204,N204)</f>
        <v>579.483333333333</v>
      </c>
      <c r="Q204" s="55" t="n">
        <f aca="false">F204*100/P204-100</f>
        <v>-0.117921136644711</v>
      </c>
      <c r="R204" s="54" t="n">
        <f aca="false">D204*F204</f>
        <v>5788</v>
      </c>
      <c r="S204" s="56"/>
      <c r="U204" s="57" t="n">
        <f aca="false">ROUND(H204*100/P204-100,0)</f>
        <v>-4</v>
      </c>
      <c r="V204" s="57" t="n">
        <f aca="false">ROUND(K204*100/P204-100,0)</f>
        <v>-3</v>
      </c>
      <c r="W204" s="57" t="n">
        <f aca="false">ROUND(N204*100/P204-100,0)</f>
        <v>7</v>
      </c>
      <c r="Y204" s="43" t="n">
        <v>196</v>
      </c>
    </row>
    <row r="205" s="43" customFormat="true" ht="73.5" hidden="false" customHeight="true" outlineLevel="0" collapsed="false">
      <c r="A205" s="45" t="n">
        <v>201</v>
      </c>
      <c r="B205" s="46" t="s">
        <v>300</v>
      </c>
      <c r="C205" s="47" t="s">
        <v>25</v>
      </c>
      <c r="D205" s="48" t="n">
        <v>46</v>
      </c>
      <c r="E205" s="49" t="n">
        <v>767.13</v>
      </c>
      <c r="F205" s="50" t="n">
        <v>841.2</v>
      </c>
      <c r="G205" s="47" t="s">
        <v>294</v>
      </c>
      <c r="H205" s="52" t="n">
        <v>766.01</v>
      </c>
      <c r="I205" s="53" t="n">
        <f aca="false">D205*H205</f>
        <v>35236.46</v>
      </c>
      <c r="J205" s="47" t="s">
        <v>295</v>
      </c>
      <c r="K205" s="52" t="n">
        <v>840</v>
      </c>
      <c r="L205" s="53" t="n">
        <f aca="false">D205*K205</f>
        <v>38640</v>
      </c>
      <c r="M205" s="53" t="s">
        <v>41</v>
      </c>
      <c r="N205" s="52" t="n">
        <v>921.5</v>
      </c>
      <c r="O205" s="53" t="n">
        <f aca="false">D205*N205</f>
        <v>42389</v>
      </c>
      <c r="P205" s="54" t="n">
        <f aca="false">AVERAGE(H205,K205,N205)</f>
        <v>842.503333333333</v>
      </c>
      <c r="Q205" s="55" t="n">
        <f aca="false">F205*100/P205-100</f>
        <v>-0.15469770643837</v>
      </c>
      <c r="R205" s="54" t="n">
        <f aca="false">D205*F205</f>
        <v>38695.2</v>
      </c>
      <c r="S205" s="56"/>
      <c r="U205" s="57" t="n">
        <f aca="false">ROUND(H205*100/P205-100,0)</f>
        <v>-9</v>
      </c>
      <c r="V205" s="57" t="n">
        <f aca="false">ROUND(K205*100/P205-100,0)</f>
        <v>-0</v>
      </c>
      <c r="W205" s="57" t="n">
        <f aca="false">ROUND(N205*100/P205-100,0)</f>
        <v>9</v>
      </c>
      <c r="Y205" s="43" t="n">
        <v>197</v>
      </c>
    </row>
    <row r="206" s="43" customFormat="true" ht="73.5" hidden="false" customHeight="true" outlineLevel="0" collapsed="false">
      <c r="A206" s="45" t="n">
        <v>202</v>
      </c>
      <c r="B206" s="46" t="s">
        <v>301</v>
      </c>
      <c r="C206" s="47" t="s">
        <v>25</v>
      </c>
      <c r="D206" s="48" t="n">
        <v>24</v>
      </c>
      <c r="E206" s="49" t="n">
        <v>1027.79</v>
      </c>
      <c r="F206" s="50" t="n">
        <v>1017.48</v>
      </c>
      <c r="G206" s="47" t="s">
        <v>294</v>
      </c>
      <c r="H206" s="52" t="n">
        <v>995.81</v>
      </c>
      <c r="I206" s="53" t="n">
        <f aca="false">D206*H206</f>
        <v>23899.44</v>
      </c>
      <c r="J206" s="47" t="s">
        <v>295</v>
      </c>
      <c r="K206" s="52" t="n">
        <v>960</v>
      </c>
      <c r="L206" s="53" t="n">
        <f aca="false">D206*K206</f>
        <v>23040</v>
      </c>
      <c r="M206" s="53" t="s">
        <v>41</v>
      </c>
      <c r="N206" s="52" t="n">
        <v>1102.7</v>
      </c>
      <c r="O206" s="53" t="n">
        <f aca="false">D206*N206</f>
        <v>26464.8</v>
      </c>
      <c r="P206" s="54" t="n">
        <f aca="false">AVERAGE(H206,K206,N206)</f>
        <v>1019.50333333333</v>
      </c>
      <c r="Q206" s="55" t="n">
        <f aca="false">F206*100/P206-100</f>
        <v>-0.198462650113953</v>
      </c>
      <c r="R206" s="54" t="n">
        <f aca="false">D206*F206</f>
        <v>24419.52</v>
      </c>
      <c r="S206" s="56"/>
      <c r="U206" s="57" t="n">
        <f aca="false">ROUND(H206*100/P206-100,0)</f>
        <v>-2</v>
      </c>
      <c r="V206" s="57" t="n">
        <f aca="false">ROUND(K206*100/P206-100,0)</f>
        <v>-6</v>
      </c>
      <c r="W206" s="57" t="n">
        <f aca="false">ROUND(N206*100/P206-100,0)</f>
        <v>8</v>
      </c>
      <c r="Y206" s="43" t="n">
        <v>198</v>
      </c>
    </row>
    <row r="207" s="43" customFormat="true" ht="73.5" hidden="false" customHeight="true" outlineLevel="0" collapsed="false">
      <c r="A207" s="45" t="n">
        <v>203</v>
      </c>
      <c r="B207" s="46" t="s">
        <v>302</v>
      </c>
      <c r="C207" s="47" t="s">
        <v>25</v>
      </c>
      <c r="D207" s="48" t="n">
        <v>2</v>
      </c>
      <c r="E207" s="49" t="n">
        <v>1904.71</v>
      </c>
      <c r="F207" s="50" t="n">
        <v>1897.42</v>
      </c>
      <c r="G207" s="47" t="s">
        <v>294</v>
      </c>
      <c r="H207" s="52" t="n">
        <v>1850.62</v>
      </c>
      <c r="I207" s="53" t="n">
        <f aca="false">D207*H207</f>
        <v>3701.24</v>
      </c>
      <c r="J207" s="47" t="s">
        <v>295</v>
      </c>
      <c r="K207" s="52" t="n">
        <v>1890</v>
      </c>
      <c r="L207" s="53" t="n">
        <f aca="false">D207*K207</f>
        <v>3780</v>
      </c>
      <c r="M207" s="53" t="s">
        <v>41</v>
      </c>
      <c r="N207" s="52" t="n">
        <v>1954.93</v>
      </c>
      <c r="O207" s="53" t="n">
        <f aca="false">D207*N207</f>
        <v>3909.86</v>
      </c>
      <c r="P207" s="54" t="n">
        <f aca="false">AVERAGE(H207,K207,N207)</f>
        <v>1898.51666666667</v>
      </c>
      <c r="Q207" s="55" t="n">
        <f aca="false">F207*100/P207-100</f>
        <v>-0.057764395010139</v>
      </c>
      <c r="R207" s="54" t="n">
        <f aca="false">D207*F207</f>
        <v>3794.84</v>
      </c>
      <c r="S207" s="56"/>
      <c r="U207" s="57" t="n">
        <f aca="false">ROUND(H207*100/P207-100,0)</f>
        <v>-3</v>
      </c>
      <c r="V207" s="57" t="n">
        <f aca="false">ROUND(K207*100/P207-100,0)</f>
        <v>-0</v>
      </c>
      <c r="W207" s="57" t="n">
        <f aca="false">ROUND(N207*100/P207-100,0)</f>
        <v>3</v>
      </c>
      <c r="Y207" s="43" t="n">
        <v>199</v>
      </c>
    </row>
    <row r="208" s="43" customFormat="true" ht="73.5" hidden="false" customHeight="true" outlineLevel="0" collapsed="false">
      <c r="A208" s="45" t="n">
        <v>204</v>
      </c>
      <c r="B208" s="46" t="s">
        <v>303</v>
      </c>
      <c r="C208" s="47" t="s">
        <v>25</v>
      </c>
      <c r="D208" s="48" t="n">
        <v>26</v>
      </c>
      <c r="E208" s="49" t="n">
        <v>2401.25</v>
      </c>
      <c r="F208" s="50" t="n">
        <v>2441.24</v>
      </c>
      <c r="G208" s="47" t="s">
        <v>294</v>
      </c>
      <c r="H208" s="52" t="n">
        <v>2411.34</v>
      </c>
      <c r="I208" s="53" t="n">
        <f aca="false">D208*H208</f>
        <v>62694.84</v>
      </c>
      <c r="J208" s="47" t="s">
        <v>295</v>
      </c>
      <c r="K208" s="52" t="n">
        <v>2400</v>
      </c>
      <c r="L208" s="53" t="n">
        <f aca="false">D208*K208</f>
        <v>62400</v>
      </c>
      <c r="M208" s="53" t="s">
        <v>41</v>
      </c>
      <c r="N208" s="52" t="n">
        <v>2515.5</v>
      </c>
      <c r="O208" s="53" t="n">
        <f aca="false">D208*N208</f>
        <v>65403</v>
      </c>
      <c r="P208" s="54" t="n">
        <f aca="false">AVERAGE(H208,K208,N208)</f>
        <v>2442.28</v>
      </c>
      <c r="Q208" s="55" t="n">
        <f aca="false">F208*100/P208-100</f>
        <v>-0.0425831599980597</v>
      </c>
      <c r="R208" s="54" t="n">
        <f aca="false">D208*F208</f>
        <v>63472.24</v>
      </c>
      <c r="S208" s="56"/>
      <c r="U208" s="57" t="n">
        <f aca="false">ROUND(H208*100/P208-100,0)</f>
        <v>-1</v>
      </c>
      <c r="V208" s="57" t="n">
        <f aca="false">ROUND(K208*100/P208-100,0)</f>
        <v>-2</v>
      </c>
      <c r="W208" s="57" t="n">
        <f aca="false">ROUND(N208*100/P208-100,0)</f>
        <v>3</v>
      </c>
      <c r="Y208" s="43" t="n">
        <v>200</v>
      </c>
    </row>
    <row r="209" s="43" customFormat="true" ht="73.5" hidden="false" customHeight="true" outlineLevel="0" collapsed="false">
      <c r="A209" s="45" t="n">
        <v>205</v>
      </c>
      <c r="B209" s="46" t="s">
        <v>304</v>
      </c>
      <c r="C209" s="47" t="s">
        <v>25</v>
      </c>
      <c r="D209" s="48" t="n">
        <v>24</v>
      </c>
      <c r="E209" s="49" t="n">
        <v>3188.21</v>
      </c>
      <c r="F209" s="50" t="n">
        <v>3222.7</v>
      </c>
      <c r="G209" s="47" t="s">
        <v>294</v>
      </c>
      <c r="H209" s="52" t="n">
        <v>3132.1</v>
      </c>
      <c r="I209" s="53" t="n">
        <f aca="false">D209*H209</f>
        <v>75170.4</v>
      </c>
      <c r="J209" s="47" t="s">
        <v>295</v>
      </c>
      <c r="K209" s="52" t="n">
        <v>3200</v>
      </c>
      <c r="L209" s="53" t="n">
        <f aca="false">D209*K209</f>
        <v>76800</v>
      </c>
      <c r="M209" s="53" t="s">
        <v>41</v>
      </c>
      <c r="N209" s="52" t="n">
        <v>3340.7</v>
      </c>
      <c r="O209" s="53" t="n">
        <f aca="false">D209*N209</f>
        <v>80176.8</v>
      </c>
      <c r="P209" s="54" t="n">
        <f aca="false">AVERAGE(H209,K209,N209)</f>
        <v>3224.26666666667</v>
      </c>
      <c r="Q209" s="55" t="n">
        <f aca="false">F209*100/P209-100</f>
        <v>-0.0485898602266133</v>
      </c>
      <c r="R209" s="54" t="n">
        <f aca="false">D209*F209</f>
        <v>77344.8</v>
      </c>
      <c r="S209" s="56"/>
      <c r="U209" s="57" t="n">
        <f aca="false">ROUND(H209*100/P209-100,0)</f>
        <v>-3</v>
      </c>
      <c r="V209" s="57" t="n">
        <f aca="false">ROUND(K209*100/P209-100,0)</f>
        <v>-1</v>
      </c>
      <c r="W209" s="57" t="n">
        <f aca="false">ROUND(N209*100/P209-100,0)</f>
        <v>4</v>
      </c>
      <c r="Y209" s="43" t="n">
        <v>201</v>
      </c>
    </row>
    <row r="210" s="43" customFormat="true" ht="73.5" hidden="false" customHeight="true" outlineLevel="0" collapsed="false">
      <c r="A210" s="45" t="n">
        <v>206</v>
      </c>
      <c r="B210" s="46" t="s">
        <v>305</v>
      </c>
      <c r="C210" s="47" t="s">
        <v>25</v>
      </c>
      <c r="D210" s="48" t="n">
        <v>2</v>
      </c>
      <c r="E210" s="49" t="n">
        <v>5065.29</v>
      </c>
      <c r="F210" s="50" t="n">
        <v>5075.3</v>
      </c>
      <c r="G210" s="47" t="s">
        <v>294</v>
      </c>
      <c r="H210" s="52" t="n">
        <v>5058.01</v>
      </c>
      <c r="I210" s="53" t="n">
        <f aca="false">D210*H210</f>
        <v>10116.02</v>
      </c>
      <c r="J210" s="47" t="s">
        <v>295</v>
      </c>
      <c r="K210" s="52" t="n">
        <v>5070</v>
      </c>
      <c r="L210" s="53" t="n">
        <f aca="false">D210*K210</f>
        <v>10140</v>
      </c>
      <c r="M210" s="53" t="s">
        <v>41</v>
      </c>
      <c r="N210" s="52" t="n">
        <v>5108.77</v>
      </c>
      <c r="O210" s="53" t="n">
        <f aca="false">D210*N210</f>
        <v>10217.54</v>
      </c>
      <c r="P210" s="54" t="n">
        <f aca="false">AVERAGE(H210,K210,N210)</f>
        <v>5078.92666666667</v>
      </c>
      <c r="Q210" s="55" t="n">
        <f aca="false">F210*100/P210-100</f>
        <v>-0.0714061632444754</v>
      </c>
      <c r="R210" s="54" t="n">
        <f aca="false">D210*F210</f>
        <v>10150.6</v>
      </c>
      <c r="S210" s="56"/>
      <c r="U210" s="57" t="n">
        <f aca="false">ROUND(H210*100/P210-100,0)</f>
        <v>-0</v>
      </c>
      <c r="V210" s="57" t="n">
        <f aca="false">ROUND(K210*100/P210-100,0)</f>
        <v>-0</v>
      </c>
      <c r="W210" s="57" t="n">
        <f aca="false">ROUND(N210*100/P210-100,0)</f>
        <v>1</v>
      </c>
      <c r="Y210" s="43" t="n">
        <v>202</v>
      </c>
    </row>
    <row r="211" s="43" customFormat="true" ht="73.5" hidden="false" customHeight="true" outlineLevel="0" collapsed="false">
      <c r="A211" s="45" t="n">
        <v>207</v>
      </c>
      <c r="B211" s="46" t="s">
        <v>306</v>
      </c>
      <c r="C211" s="47" t="s">
        <v>25</v>
      </c>
      <c r="D211" s="48" t="s">
        <v>307</v>
      </c>
      <c r="E211" s="49" t="n">
        <v>20798.08</v>
      </c>
      <c r="F211" s="50" t="n">
        <v>19950.74</v>
      </c>
      <c r="G211" s="47" t="s">
        <v>294</v>
      </c>
      <c r="H211" s="52" t="n">
        <v>19822.95</v>
      </c>
      <c r="I211" s="53" t="n">
        <f aca="false">D211*H211</f>
        <v>892032.75</v>
      </c>
      <c r="J211" s="47" t="s">
        <v>295</v>
      </c>
      <c r="K211" s="52" t="n">
        <v>19903</v>
      </c>
      <c r="L211" s="53" t="n">
        <f aca="false">D211*K211</f>
        <v>895635</v>
      </c>
      <c r="M211" s="53" t="s">
        <v>41</v>
      </c>
      <c r="N211" s="52" t="n">
        <v>20154.88</v>
      </c>
      <c r="O211" s="53" t="n">
        <f aca="false">D211*N211</f>
        <v>906969.6</v>
      </c>
      <c r="P211" s="54" t="n">
        <f aca="false">AVERAGE(H211,K211,N211)</f>
        <v>19960.2766666667</v>
      </c>
      <c r="Q211" s="55" t="n">
        <f aca="false">F211*100/P211-100</f>
        <v>-0.0477782288588884</v>
      </c>
      <c r="R211" s="54" t="n">
        <f aca="false">D211*F211</f>
        <v>897783.3</v>
      </c>
      <c r="S211" s="56"/>
      <c r="U211" s="57" t="n">
        <f aca="false">ROUND(H211*100/P211-100,0)</f>
        <v>-1</v>
      </c>
      <c r="V211" s="57" t="n">
        <f aca="false">ROUND(K211*100/P211-100,0)</f>
        <v>-0</v>
      </c>
      <c r="W211" s="57" t="n">
        <f aca="false">ROUND(N211*100/P211-100,0)</f>
        <v>1</v>
      </c>
      <c r="Y211" s="43" t="n">
        <v>203</v>
      </c>
    </row>
    <row r="212" s="43" customFormat="true" ht="73.5" hidden="false" customHeight="true" outlineLevel="0" collapsed="false">
      <c r="A212" s="45" t="n">
        <v>208</v>
      </c>
      <c r="B212" s="46" t="s">
        <v>308</v>
      </c>
      <c r="C212" s="47" t="s">
        <v>25</v>
      </c>
      <c r="D212" s="48" t="n">
        <v>4</v>
      </c>
      <c r="E212" s="49" t="s">
        <v>26</v>
      </c>
      <c r="F212" s="50" t="n">
        <v>301.5</v>
      </c>
      <c r="G212" s="47" t="s">
        <v>294</v>
      </c>
      <c r="H212" s="52" t="n">
        <v>299.49</v>
      </c>
      <c r="I212" s="53" t="n">
        <f aca="false">D212*H212</f>
        <v>1197.96</v>
      </c>
      <c r="J212" s="47" t="s">
        <v>295</v>
      </c>
      <c r="K212" s="52" t="n">
        <v>295</v>
      </c>
      <c r="L212" s="53" t="n">
        <f aca="false">D212*K212</f>
        <v>1180</v>
      </c>
      <c r="M212" s="53" t="s">
        <v>41</v>
      </c>
      <c r="N212" s="52" t="n">
        <v>320.14</v>
      </c>
      <c r="O212" s="53" t="n">
        <f aca="false">D212*N212</f>
        <v>1280.56</v>
      </c>
      <c r="P212" s="54" t="n">
        <f aca="false">AVERAGE(H212,K212,N212)</f>
        <v>304.876666666667</v>
      </c>
      <c r="Q212" s="55" t="n">
        <f aca="false">F212*100/P212-100</f>
        <v>-1.10755168756765</v>
      </c>
      <c r="R212" s="54" t="n">
        <f aca="false">D212*F212</f>
        <v>1206</v>
      </c>
      <c r="S212" s="56"/>
      <c r="U212" s="57" t="n">
        <f aca="false">ROUND(H212*100/P212-100,0)</f>
        <v>-2</v>
      </c>
      <c r="V212" s="57" t="n">
        <f aca="false">ROUND(K212*100/P212-100,0)</f>
        <v>-3</v>
      </c>
      <c r="W212" s="57" t="n">
        <f aca="false">ROUND(N212*100/P212-100,0)</f>
        <v>5</v>
      </c>
      <c r="Y212" s="43" t="n">
        <v>204</v>
      </c>
    </row>
    <row r="213" s="43" customFormat="true" ht="73.5" hidden="false" customHeight="true" outlineLevel="0" collapsed="false">
      <c r="A213" s="45" t="n">
        <v>209</v>
      </c>
      <c r="B213" s="46" t="s">
        <v>309</v>
      </c>
      <c r="C213" s="47" t="s">
        <v>25</v>
      </c>
      <c r="D213" s="48" t="n">
        <v>1</v>
      </c>
      <c r="E213" s="49" t="s">
        <v>26</v>
      </c>
      <c r="F213" s="50" t="n">
        <v>21351</v>
      </c>
      <c r="G213" s="47" t="s">
        <v>294</v>
      </c>
      <c r="H213" s="52" t="n">
        <v>21316.78</v>
      </c>
      <c r="I213" s="53" t="n">
        <f aca="false">D213*H213</f>
        <v>21316.78</v>
      </c>
      <c r="J213" s="47" t="s">
        <v>295</v>
      </c>
      <c r="K213" s="52" t="n">
        <v>21291</v>
      </c>
      <c r="L213" s="53" t="n">
        <f aca="false">D213*K213</f>
        <v>21291</v>
      </c>
      <c r="M213" s="53" t="s">
        <v>41</v>
      </c>
      <c r="N213" s="52" t="n">
        <v>21455</v>
      </c>
      <c r="O213" s="53" t="n">
        <f aca="false">D213*N213</f>
        <v>21455</v>
      </c>
      <c r="P213" s="54" t="n">
        <f aca="false">AVERAGE(H213,K213,N213)</f>
        <v>21354.26</v>
      </c>
      <c r="Q213" s="55" t="n">
        <f aca="false">F213*100/P213-100</f>
        <v>-0.0152662747386216</v>
      </c>
      <c r="R213" s="54" t="n">
        <f aca="false">D213*F213</f>
        <v>21351</v>
      </c>
      <c r="S213" s="56"/>
      <c r="U213" s="57" t="n">
        <f aca="false">ROUND(H213*100/P213-100,0)</f>
        <v>-0</v>
      </c>
      <c r="V213" s="57" t="n">
        <f aca="false">ROUND(K213*100/P213-100,0)</f>
        <v>-0</v>
      </c>
      <c r="W213" s="57" t="n">
        <f aca="false">ROUND(N213*100/P213-100,0)</f>
        <v>0</v>
      </c>
      <c r="Y213" s="43" t="n">
        <v>205</v>
      </c>
    </row>
    <row r="214" s="43" customFormat="true" ht="73.5" hidden="false" customHeight="true" outlineLevel="0" collapsed="false">
      <c r="A214" s="45" t="n">
        <v>210</v>
      </c>
      <c r="B214" s="46" t="s">
        <v>310</v>
      </c>
      <c r="C214" s="47" t="s">
        <v>81</v>
      </c>
      <c r="D214" s="48" t="n">
        <v>4724</v>
      </c>
      <c r="E214" s="49" t="n">
        <v>67.96</v>
      </c>
      <c r="F214" s="50" t="n">
        <v>83.4</v>
      </c>
      <c r="G214" s="51" t="s">
        <v>90</v>
      </c>
      <c r="H214" s="52" t="n">
        <f aca="false">102.29/1.2</f>
        <v>85.2416666666667</v>
      </c>
      <c r="I214" s="53" t="n">
        <f aca="false">D214*H214</f>
        <v>402681.633333333</v>
      </c>
      <c r="J214" s="51" t="s">
        <v>46</v>
      </c>
      <c r="K214" s="52" t="n">
        <v>83.77</v>
      </c>
      <c r="L214" s="53" t="n">
        <f aca="false">D214*K214</f>
        <v>395729.48</v>
      </c>
      <c r="M214" s="47" t="s">
        <v>58</v>
      </c>
      <c r="N214" s="52" t="n">
        <v>81.69</v>
      </c>
      <c r="O214" s="53" t="n">
        <f aca="false">D214*N214</f>
        <v>385903.56</v>
      </c>
      <c r="P214" s="54" t="n">
        <f aca="false">AVERAGE(H214,K214,N214)</f>
        <v>83.5672222222222</v>
      </c>
      <c r="Q214" s="55" t="n">
        <f aca="false">F214*100/P214-100</f>
        <v>-0.200105038525194</v>
      </c>
      <c r="R214" s="54" t="n">
        <f aca="false">D214*F214</f>
        <v>393981.6</v>
      </c>
      <c r="S214" s="56"/>
      <c r="U214" s="57" t="n">
        <f aca="false">ROUND(H214*100/P214-100,0)</f>
        <v>2</v>
      </c>
      <c r="V214" s="57" t="n">
        <f aca="false">ROUND(K214*100/P214-100,0)</f>
        <v>0</v>
      </c>
      <c r="W214" s="57" t="n">
        <f aca="false">ROUND(N214*100/P214-100,0)</f>
        <v>-2</v>
      </c>
      <c r="Y214" s="43" t="n">
        <v>206</v>
      </c>
    </row>
    <row r="215" s="43" customFormat="true" ht="73.5" hidden="false" customHeight="true" outlineLevel="0" collapsed="false">
      <c r="A215" s="45" t="n">
        <v>211</v>
      </c>
      <c r="B215" s="46" t="s">
        <v>311</v>
      </c>
      <c r="C215" s="47" t="s">
        <v>25</v>
      </c>
      <c r="D215" s="48" t="n">
        <v>1</v>
      </c>
      <c r="E215" s="49" t="n">
        <v>213.22</v>
      </c>
      <c r="F215" s="50" t="n">
        <v>323.4</v>
      </c>
      <c r="G215" s="47" t="s">
        <v>27</v>
      </c>
      <c r="H215" s="52" t="n">
        <f aca="false">356.57/1.2</f>
        <v>297.141666666667</v>
      </c>
      <c r="I215" s="53" t="n">
        <f aca="false">D215*H215</f>
        <v>297.141666666667</v>
      </c>
      <c r="J215" s="53" t="s">
        <v>28</v>
      </c>
      <c r="K215" s="52" t="n">
        <v>316.28</v>
      </c>
      <c r="L215" s="53" t="n">
        <f aca="false">D215*K215</f>
        <v>316.28</v>
      </c>
      <c r="M215" s="48" t="s">
        <v>29</v>
      </c>
      <c r="N215" s="52" t="n">
        <v>361.87</v>
      </c>
      <c r="O215" s="53" t="n">
        <f aca="false">D215*N215</f>
        <v>361.87</v>
      </c>
      <c r="P215" s="54" t="n">
        <f aca="false">AVERAGE(H215,K215,N215)</f>
        <v>325.097222222222</v>
      </c>
      <c r="Q215" s="55" t="n">
        <f aca="false">F215*100/P215-100</f>
        <v>-0.522066048617944</v>
      </c>
      <c r="R215" s="54" t="n">
        <f aca="false">D215*F215</f>
        <v>323.4</v>
      </c>
      <c r="S215" s="56"/>
      <c r="U215" s="57" t="n">
        <f aca="false">ROUND(H215*100/P215-100,0)</f>
        <v>-9</v>
      </c>
      <c r="V215" s="57" t="n">
        <f aca="false">ROUND(K215*100/P215-100,0)</f>
        <v>-3</v>
      </c>
      <c r="W215" s="57" t="n">
        <f aca="false">ROUND(N215*100/P215-100,0)</f>
        <v>11</v>
      </c>
      <c r="Y215" s="43" t="n">
        <v>207</v>
      </c>
    </row>
    <row r="216" s="43" customFormat="true" ht="73.5" hidden="false" customHeight="true" outlineLevel="0" collapsed="false">
      <c r="A216" s="45" t="n">
        <v>212</v>
      </c>
      <c r="B216" s="46" t="s">
        <v>312</v>
      </c>
      <c r="C216" s="47" t="s">
        <v>25</v>
      </c>
      <c r="D216" s="48" t="n">
        <v>8</v>
      </c>
      <c r="E216" s="49" t="n">
        <v>131456.09</v>
      </c>
      <c r="F216" s="50" t="n">
        <v>144835.7</v>
      </c>
      <c r="G216" s="47" t="s">
        <v>27</v>
      </c>
      <c r="H216" s="52" t="n">
        <f aca="false">168045.6/1.2</f>
        <v>140038</v>
      </c>
      <c r="I216" s="53" t="n">
        <f aca="false">D216*H216</f>
        <v>1120304</v>
      </c>
      <c r="J216" s="53" t="s">
        <v>28</v>
      </c>
      <c r="K216" s="52" t="n">
        <v>149082</v>
      </c>
      <c r="L216" s="53" t="n">
        <f aca="false">D216*K216</f>
        <v>1192656</v>
      </c>
      <c r="M216" s="48" t="s">
        <v>29</v>
      </c>
      <c r="N216" s="52" t="n">
        <v>145394</v>
      </c>
      <c r="O216" s="53" t="n">
        <f aca="false">D216*N216</f>
        <v>1163152</v>
      </c>
      <c r="P216" s="54" t="n">
        <f aca="false">AVERAGE(H216,K216,N216)</f>
        <v>144838</v>
      </c>
      <c r="Q216" s="55" t="n">
        <f aca="false">F216*100/P216-100</f>
        <v>-0.0015879810546835</v>
      </c>
      <c r="R216" s="54" t="n">
        <f aca="false">D216*F216</f>
        <v>1158685.6</v>
      </c>
      <c r="S216" s="56"/>
      <c r="U216" s="57" t="n">
        <f aca="false">ROUND(H216*100/P216-100,0)</f>
        <v>-3</v>
      </c>
      <c r="V216" s="57" t="n">
        <f aca="false">ROUND(K216*100/P216-100,0)</f>
        <v>3</v>
      </c>
      <c r="W216" s="57" t="n">
        <f aca="false">ROUND(N216*100/P216-100,0)</f>
        <v>0</v>
      </c>
      <c r="Y216" s="43" t="n">
        <v>208</v>
      </c>
    </row>
    <row r="217" s="43" customFormat="true" ht="73.5" hidden="false" customHeight="true" outlineLevel="0" collapsed="false">
      <c r="A217" s="45" t="n">
        <v>213</v>
      </c>
      <c r="B217" s="46" t="s">
        <v>313</v>
      </c>
      <c r="C217" s="47" t="s">
        <v>25</v>
      </c>
      <c r="D217" s="48" t="n">
        <v>3</v>
      </c>
      <c r="E217" s="49" t="n">
        <v>3412.84</v>
      </c>
      <c r="F217" s="50" t="n">
        <v>3621.37</v>
      </c>
      <c r="G217" s="47" t="s">
        <v>27</v>
      </c>
      <c r="H217" s="52" t="n">
        <f aca="false">4262.14/1.2</f>
        <v>3551.78333333333</v>
      </c>
      <c r="I217" s="53" t="n">
        <f aca="false">D217*H217</f>
        <v>10655.35</v>
      </c>
      <c r="J217" s="53" t="s">
        <v>28</v>
      </c>
      <c r="K217" s="52" t="n">
        <v>3458.37</v>
      </c>
      <c r="L217" s="53" t="n">
        <f aca="false">D217*K217</f>
        <v>10375.11</v>
      </c>
      <c r="M217" s="48" t="s">
        <v>29</v>
      </c>
      <c r="N217" s="52" t="n">
        <v>3907.54</v>
      </c>
      <c r="O217" s="53" t="n">
        <f aca="false">D217*N217</f>
        <v>11722.62</v>
      </c>
      <c r="P217" s="54" t="n">
        <f aca="false">AVERAGE(H217,K217,N217)</f>
        <v>3639.23111111111</v>
      </c>
      <c r="Q217" s="55" t="n">
        <f aca="false">F217*100/P217-100</f>
        <v>-0.49079353758485</v>
      </c>
      <c r="R217" s="54" t="n">
        <f aca="false">D217*F217</f>
        <v>10864.11</v>
      </c>
      <c r="S217" s="56"/>
      <c r="U217" s="57" t="n">
        <f aca="false">ROUND(H217*100/P217-100,0)</f>
        <v>-2</v>
      </c>
      <c r="V217" s="57" t="n">
        <f aca="false">ROUND(K217*100/P217-100,0)</f>
        <v>-5</v>
      </c>
      <c r="W217" s="57" t="n">
        <f aca="false">ROUND(N217*100/P217-100,0)</f>
        <v>7</v>
      </c>
      <c r="Y217" s="43" t="n">
        <v>209</v>
      </c>
    </row>
    <row r="218" s="43" customFormat="true" ht="73.5" hidden="false" customHeight="true" outlineLevel="0" collapsed="false">
      <c r="A218" s="45" t="n">
        <v>215</v>
      </c>
      <c r="B218" s="46" t="s">
        <v>314</v>
      </c>
      <c r="C218" s="47" t="s">
        <v>25</v>
      </c>
      <c r="D218" s="48" t="n">
        <v>4</v>
      </c>
      <c r="E218" s="49" t="n">
        <v>5685.72</v>
      </c>
      <c r="F218" s="50" t="n">
        <v>5811.74</v>
      </c>
      <c r="G218" s="47" t="s">
        <v>27</v>
      </c>
      <c r="H218" s="52" t="n">
        <f aca="false">6938.81/1.2</f>
        <v>5782.34166666667</v>
      </c>
      <c r="I218" s="53" t="n">
        <f aca="false">D218*H218</f>
        <v>23129.3666666667</v>
      </c>
      <c r="J218" s="53" t="s">
        <v>28</v>
      </c>
      <c r="K218" s="52" t="n">
        <v>5911.04</v>
      </c>
      <c r="L218" s="53" t="n">
        <f aca="false">D218*K218</f>
        <v>23644.16</v>
      </c>
      <c r="M218" s="48" t="s">
        <v>29</v>
      </c>
      <c r="N218" s="52" t="n">
        <v>5752.26</v>
      </c>
      <c r="O218" s="53" t="n">
        <f aca="false">D218*N218</f>
        <v>23009.04</v>
      </c>
      <c r="P218" s="54" t="n">
        <f aca="false">AVERAGE(H218,K218,N218)</f>
        <v>5815.21388888889</v>
      </c>
      <c r="Q218" s="55" t="n">
        <f aca="false">F218*100/P218-100</f>
        <v>-0.0597379383676042</v>
      </c>
      <c r="R218" s="54" t="n">
        <f aca="false">D218*F218</f>
        <v>23246.96</v>
      </c>
      <c r="S218" s="56"/>
      <c r="U218" s="57" t="n">
        <f aca="false">ROUND(H218*100/P218-100,0)</f>
        <v>-1</v>
      </c>
      <c r="V218" s="57" t="n">
        <f aca="false">ROUND(K218*100/P218-100,0)</f>
        <v>2</v>
      </c>
      <c r="W218" s="57" t="n">
        <f aca="false">ROUND(N218*100/P218-100,0)</f>
        <v>-1</v>
      </c>
      <c r="Y218" s="43" t="n">
        <v>210</v>
      </c>
    </row>
    <row r="219" s="43" customFormat="true" ht="73.5" hidden="false" customHeight="true" outlineLevel="0" collapsed="false">
      <c r="A219" s="45" t="n">
        <v>216</v>
      </c>
      <c r="B219" s="46" t="s">
        <v>315</v>
      </c>
      <c r="C219" s="47" t="s">
        <v>25</v>
      </c>
      <c r="D219" s="48" t="n">
        <v>6</v>
      </c>
      <c r="E219" s="49" t="n">
        <v>284.36</v>
      </c>
      <c r="F219" s="50" t="n">
        <v>292.47</v>
      </c>
      <c r="G219" s="47" t="s">
        <v>27</v>
      </c>
      <c r="H219" s="52" t="n">
        <f aca="false">349.09/1.2</f>
        <v>290.908333333333</v>
      </c>
      <c r="I219" s="53" t="n">
        <f aca="false">D219*H219</f>
        <v>1745.45</v>
      </c>
      <c r="J219" s="53" t="s">
        <v>28</v>
      </c>
      <c r="K219" s="52" t="n">
        <v>286.52</v>
      </c>
      <c r="L219" s="53" t="n">
        <f aca="false">D219*K219</f>
        <v>1719.12</v>
      </c>
      <c r="M219" s="48" t="s">
        <v>29</v>
      </c>
      <c r="N219" s="52" t="n">
        <v>309.87</v>
      </c>
      <c r="O219" s="53" t="n">
        <f aca="false">D219*N219</f>
        <v>1859.22</v>
      </c>
      <c r="P219" s="54" t="n">
        <f aca="false">AVERAGE(H219,K219,N219)</f>
        <v>295.766111111111</v>
      </c>
      <c r="Q219" s="55" t="n">
        <f aca="false">F219*100/P219-100</f>
        <v>-1.11443163610885</v>
      </c>
      <c r="R219" s="54" t="n">
        <f aca="false">D219*F219</f>
        <v>1754.82</v>
      </c>
      <c r="S219" s="56"/>
      <c r="U219" s="57" t="n">
        <f aca="false">ROUND(H219*100/P219-100,0)</f>
        <v>-2</v>
      </c>
      <c r="V219" s="57" t="n">
        <f aca="false">ROUND(K219*100/P219-100,0)</f>
        <v>-3</v>
      </c>
      <c r="W219" s="57" t="n">
        <f aca="false">ROUND(N219*100/P219-100,0)</f>
        <v>5</v>
      </c>
      <c r="Y219" s="43" t="n">
        <v>211</v>
      </c>
    </row>
    <row r="220" s="43" customFormat="true" ht="73.5" hidden="false" customHeight="true" outlineLevel="0" collapsed="false">
      <c r="A220" s="45" t="n">
        <v>217</v>
      </c>
      <c r="B220" s="46" t="s">
        <v>316</v>
      </c>
      <c r="C220" s="47" t="s">
        <v>25</v>
      </c>
      <c r="D220" s="48" t="n">
        <v>11</v>
      </c>
      <c r="E220" s="49" t="n">
        <v>530.51</v>
      </c>
      <c r="F220" s="50" t="n">
        <v>563.94</v>
      </c>
      <c r="G220" s="47" t="s">
        <v>27</v>
      </c>
      <c r="H220" s="52" t="n">
        <f aca="false">640.39/1.2</f>
        <v>533.658333333333</v>
      </c>
      <c r="I220" s="53" t="n">
        <f aca="false">D220*H220</f>
        <v>5870.24166666667</v>
      </c>
      <c r="J220" s="53" t="s">
        <v>28</v>
      </c>
      <c r="K220" s="52" t="n">
        <v>573.66</v>
      </c>
      <c r="L220" s="53" t="n">
        <f aca="false">D220*K220</f>
        <v>6310.26</v>
      </c>
      <c r="M220" s="48" t="s">
        <v>29</v>
      </c>
      <c r="N220" s="52" t="n">
        <v>599.2</v>
      </c>
      <c r="O220" s="53" t="n">
        <f aca="false">D220*N220</f>
        <v>6591.2</v>
      </c>
      <c r="P220" s="54" t="n">
        <f aca="false">AVERAGE(H220,K220,N220)</f>
        <v>568.839444444444</v>
      </c>
      <c r="Q220" s="55" t="n">
        <f aca="false">F220*100/P220-100</f>
        <v>-0.861305328295117</v>
      </c>
      <c r="R220" s="54" t="n">
        <f aca="false">D220*F220</f>
        <v>6203.34</v>
      </c>
      <c r="S220" s="56"/>
      <c r="U220" s="57" t="n">
        <f aca="false">ROUND(H220*100/P220-100,0)</f>
        <v>-6</v>
      </c>
      <c r="V220" s="57" t="n">
        <f aca="false">ROUND(K220*100/P220-100,0)</f>
        <v>1</v>
      </c>
      <c r="W220" s="57" t="n">
        <f aca="false">ROUND(N220*100/P220-100,0)</f>
        <v>5</v>
      </c>
      <c r="Y220" s="43" t="n">
        <v>212</v>
      </c>
    </row>
    <row r="221" s="43" customFormat="true" ht="73.5" hidden="false" customHeight="true" outlineLevel="0" collapsed="false">
      <c r="A221" s="45" t="n">
        <v>218</v>
      </c>
      <c r="B221" s="46" t="s">
        <v>317</v>
      </c>
      <c r="C221" s="47" t="s">
        <v>25</v>
      </c>
      <c r="D221" s="48" t="n">
        <v>13</v>
      </c>
      <c r="E221" s="49" t="n">
        <v>1043.7</v>
      </c>
      <c r="F221" s="50" t="n">
        <v>1331.15</v>
      </c>
      <c r="G221" s="47" t="s">
        <v>27</v>
      </c>
      <c r="H221" s="52" t="n">
        <f aca="false">1491.91/1.2</f>
        <v>1243.25833333333</v>
      </c>
      <c r="I221" s="53" t="n">
        <f aca="false">D221*H221</f>
        <v>16162.3583333333</v>
      </c>
      <c r="J221" s="53" t="s">
        <v>28</v>
      </c>
      <c r="K221" s="52" t="n">
        <v>1408.92</v>
      </c>
      <c r="L221" s="53" t="n">
        <f aca="false">D221*K221</f>
        <v>18315.96</v>
      </c>
      <c r="M221" s="48" t="s">
        <v>29</v>
      </c>
      <c r="N221" s="52" t="n">
        <v>1348.02</v>
      </c>
      <c r="O221" s="53" t="n">
        <f aca="false">D221*N221</f>
        <v>17524.26</v>
      </c>
      <c r="P221" s="54" t="n">
        <f aca="false">AVERAGE(H221,K221,N221)</f>
        <v>1333.39944444444</v>
      </c>
      <c r="Q221" s="55" t="n">
        <f aca="false">F221*100/P221-100</f>
        <v>-0.168699968626555</v>
      </c>
      <c r="R221" s="54" t="n">
        <f aca="false">D221*F221</f>
        <v>17304.95</v>
      </c>
      <c r="S221" s="56"/>
      <c r="U221" s="57" t="n">
        <f aca="false">ROUND(H221*100/P221-100,0)</f>
        <v>-7</v>
      </c>
      <c r="V221" s="57" t="n">
        <f aca="false">ROUND(K221*100/P221-100,0)</f>
        <v>6</v>
      </c>
      <c r="W221" s="57" t="n">
        <f aca="false">ROUND(N221*100/P221-100,0)</f>
        <v>1</v>
      </c>
      <c r="Y221" s="43" t="n">
        <v>213</v>
      </c>
    </row>
    <row r="222" s="43" customFormat="true" ht="73.5" hidden="false" customHeight="true" outlineLevel="0" collapsed="false">
      <c r="A222" s="45" t="n">
        <v>220</v>
      </c>
      <c r="B222" s="46" t="s">
        <v>318</v>
      </c>
      <c r="C222" s="47" t="s">
        <v>147</v>
      </c>
      <c r="D222" s="48" t="s">
        <v>319</v>
      </c>
      <c r="E222" s="49" t="n">
        <v>94.38</v>
      </c>
      <c r="F222" s="50" t="n">
        <v>104.48</v>
      </c>
      <c r="G222" s="51" t="s">
        <v>148</v>
      </c>
      <c r="H222" s="52" t="n">
        <f aca="false">118.23/1.2</f>
        <v>98.525</v>
      </c>
      <c r="I222" s="53" t="n">
        <f aca="false">D222*H222</f>
        <v>24631.25</v>
      </c>
      <c r="J222" s="51" t="s">
        <v>67</v>
      </c>
      <c r="K222" s="52" t="n">
        <f aca="false">123.29/1.2</f>
        <v>102.741666666667</v>
      </c>
      <c r="L222" s="53" t="n">
        <f aca="false">D222*K222</f>
        <v>25685.4166666667</v>
      </c>
      <c r="M222" s="51" t="s">
        <v>149</v>
      </c>
      <c r="N222" s="52" t="n">
        <f aca="false">138.44/1.2</f>
        <v>115.366666666667</v>
      </c>
      <c r="O222" s="53" t="n">
        <f aca="false">D222*N222</f>
        <v>28841.6666666667</v>
      </c>
      <c r="P222" s="54" t="n">
        <f aca="false">AVERAGE(H222,K222,N222)</f>
        <v>105.544444444444</v>
      </c>
      <c r="Q222" s="55" t="n">
        <f aca="false">F222*100/P222-100</f>
        <v>-1.00852721339088</v>
      </c>
      <c r="R222" s="54" t="n">
        <f aca="false">D222*F222</f>
        <v>26120</v>
      </c>
      <c r="S222" s="56"/>
      <c r="U222" s="57" t="n">
        <f aca="false">ROUND(H222*100/P222-100,0)</f>
        <v>-7</v>
      </c>
      <c r="V222" s="57" t="n">
        <f aca="false">ROUND(K222*100/P222-100,0)</f>
        <v>-3</v>
      </c>
      <c r="W222" s="57" t="n">
        <f aca="false">ROUND(N222*100/P222-100,0)</f>
        <v>9</v>
      </c>
      <c r="Y222" s="43" t="n">
        <v>215</v>
      </c>
    </row>
    <row r="223" s="43" customFormat="true" ht="73.5" hidden="false" customHeight="true" outlineLevel="0" collapsed="false">
      <c r="A223" s="45" t="n">
        <v>221</v>
      </c>
      <c r="B223" s="46" t="s">
        <v>320</v>
      </c>
      <c r="C223" s="47" t="s">
        <v>25</v>
      </c>
      <c r="D223" s="48" t="n">
        <v>10</v>
      </c>
      <c r="E223" s="49" t="s">
        <v>26</v>
      </c>
      <c r="F223" s="50" t="n">
        <v>796.51</v>
      </c>
      <c r="G223" s="47" t="s">
        <v>56</v>
      </c>
      <c r="H223" s="52" t="n">
        <v>830.5</v>
      </c>
      <c r="I223" s="53" t="n">
        <f aca="false">D223*H223</f>
        <v>8305</v>
      </c>
      <c r="J223" s="47" t="s">
        <v>57</v>
      </c>
      <c r="K223" s="52" t="n">
        <v>755.31</v>
      </c>
      <c r="L223" s="53" t="n">
        <f aca="false">D223*K223</f>
        <v>7553.1</v>
      </c>
      <c r="M223" s="47" t="s">
        <v>58</v>
      </c>
      <c r="N223" s="52" t="n">
        <v>810.41</v>
      </c>
      <c r="O223" s="53" t="n">
        <f aca="false">D223*N223</f>
        <v>8104.1</v>
      </c>
      <c r="P223" s="54" t="n">
        <f aca="false">AVERAGE(H223,K223,N223)</f>
        <v>798.74</v>
      </c>
      <c r="Q223" s="55" t="n">
        <f aca="false">F223*100/P223-100</f>
        <v>-0.279189723814994</v>
      </c>
      <c r="R223" s="54" t="n">
        <f aca="false">D223*F223</f>
        <v>7965.1</v>
      </c>
      <c r="S223" s="56"/>
      <c r="U223" s="57" t="n">
        <f aca="false">ROUND(H223*100/P223-100,0)</f>
        <v>4</v>
      </c>
      <c r="V223" s="57" t="n">
        <f aca="false">ROUND(K223*100/P223-100,0)</f>
        <v>-5</v>
      </c>
      <c r="W223" s="57" t="n">
        <f aca="false">ROUND(N223*100/P223-100,0)</f>
        <v>1</v>
      </c>
      <c r="Y223" s="43" t="n">
        <v>216</v>
      </c>
    </row>
    <row r="224" s="43" customFormat="true" ht="73.5" hidden="false" customHeight="true" outlineLevel="0" collapsed="false">
      <c r="A224" s="45" t="n">
        <v>222</v>
      </c>
      <c r="B224" s="46" t="s">
        <v>321</v>
      </c>
      <c r="C224" s="47" t="s">
        <v>25</v>
      </c>
      <c r="D224" s="48" t="n">
        <v>3</v>
      </c>
      <c r="E224" s="58" t="n">
        <v>4518.35</v>
      </c>
      <c r="F224" s="70" t="n">
        <v>5485.34</v>
      </c>
      <c r="G224" s="47" t="s">
        <v>27</v>
      </c>
      <c r="H224" s="52" t="n">
        <f aca="false">6274.38/1.2</f>
        <v>5228.65</v>
      </c>
      <c r="I224" s="53" t="n">
        <f aca="false">D224*H224</f>
        <v>15685.95</v>
      </c>
      <c r="J224" s="53" t="s">
        <v>28</v>
      </c>
      <c r="K224" s="52" t="n">
        <v>5500.4</v>
      </c>
      <c r="L224" s="53" t="n">
        <f aca="false">D224*K224</f>
        <v>16501.2</v>
      </c>
      <c r="M224" s="48" t="s">
        <v>29</v>
      </c>
      <c r="N224" s="52" t="n">
        <v>5740.12</v>
      </c>
      <c r="O224" s="53" t="n">
        <f aca="false">D224*N224</f>
        <v>17220.36</v>
      </c>
      <c r="P224" s="54" t="n">
        <f aca="false">AVERAGE(H224,K224,N224)</f>
        <v>5489.72333333333</v>
      </c>
      <c r="Q224" s="55" t="n">
        <f aca="false">F224*100/P224-100</f>
        <v>-0.0798461610390717</v>
      </c>
      <c r="R224" s="54" t="n">
        <f aca="false">D224*F224</f>
        <v>16456.02</v>
      </c>
      <c r="S224" s="56"/>
      <c r="U224" s="57" t="n">
        <f aca="false">ROUND(H224*100/P224-100,0)</f>
        <v>-5</v>
      </c>
      <c r="V224" s="57" t="n">
        <f aca="false">ROUND(K224*100/P224-100,0)</f>
        <v>0</v>
      </c>
      <c r="W224" s="57" t="n">
        <f aca="false">ROUND(N224*100/P224-100,0)</f>
        <v>5</v>
      </c>
      <c r="Y224" s="43" t="n">
        <v>217</v>
      </c>
    </row>
    <row r="225" s="43" customFormat="true" ht="73.5" hidden="false" customHeight="true" outlineLevel="0" collapsed="false">
      <c r="A225" s="45" t="n">
        <v>223</v>
      </c>
      <c r="B225" s="46" t="s">
        <v>322</v>
      </c>
      <c r="C225" s="47" t="s">
        <v>323</v>
      </c>
      <c r="D225" s="48" t="n">
        <v>0.048</v>
      </c>
      <c r="E225" s="58" t="n">
        <v>2666670</v>
      </c>
      <c r="F225" s="71" t="n">
        <v>2698750.3</v>
      </c>
      <c r="G225" s="47" t="s">
        <v>68</v>
      </c>
      <c r="H225" s="52" t="n">
        <f aca="false">3276.5/1.2*1000</f>
        <v>2730416.66666667</v>
      </c>
      <c r="I225" s="53" t="n">
        <f aca="false">H225*D225</f>
        <v>131060</v>
      </c>
      <c r="J225" s="51" t="s">
        <v>67</v>
      </c>
      <c r="K225" s="52" t="n">
        <f aca="false">3255/1.2*1000</f>
        <v>2712500</v>
      </c>
      <c r="L225" s="53" t="n">
        <f aca="false">D225*K225</f>
        <v>130200</v>
      </c>
      <c r="M225" s="47" t="s">
        <v>272</v>
      </c>
      <c r="N225" s="52" t="n">
        <f aca="false">2661.67*1000</f>
        <v>2661670</v>
      </c>
      <c r="O225" s="53" t="n">
        <f aca="false">D225*N225</f>
        <v>127760.16</v>
      </c>
      <c r="P225" s="54" t="n">
        <f aca="false">AVERAGE(H225,K225,N225)</f>
        <v>2701528.88888889</v>
      </c>
      <c r="Q225" s="55" t="n">
        <f aca="false">F225*100/P225-100</f>
        <v>-0.102852458854585</v>
      </c>
      <c r="R225" s="54" t="n">
        <f aca="false">D225*F225</f>
        <v>129540.0144</v>
      </c>
      <c r="S225" s="56"/>
      <c r="U225" s="57" t="n">
        <f aca="false">ROUND(H225*100/P225-100,0)</f>
        <v>1</v>
      </c>
      <c r="V225" s="57" t="n">
        <f aca="false">ROUND(K225*100/P225-100,0)</f>
        <v>0</v>
      </c>
      <c r="W225" s="57" t="n">
        <f aca="false">ROUND(N225*100/P225-100,0)</f>
        <v>-1</v>
      </c>
      <c r="Y225" s="43" t="n">
        <v>218</v>
      </c>
    </row>
    <row r="226" s="43" customFormat="true" ht="73.5" hidden="true" customHeight="true" outlineLevel="0" collapsed="false">
      <c r="A226" s="45" t="n">
        <v>224</v>
      </c>
      <c r="B226" s="46" t="s">
        <v>324</v>
      </c>
      <c r="C226" s="47" t="s">
        <v>25</v>
      </c>
      <c r="D226" s="48" t="n">
        <v>10</v>
      </c>
      <c r="E226" s="49" t="n">
        <v>4087.8</v>
      </c>
      <c r="F226" s="50" t="n">
        <v>6202.47</v>
      </c>
      <c r="G226" s="47" t="s">
        <v>56</v>
      </c>
      <c r="H226" s="52" t="n">
        <v>6050.4</v>
      </c>
      <c r="I226" s="53" t="n">
        <f aca="false">D226*H226</f>
        <v>60504</v>
      </c>
      <c r="J226" s="47" t="s">
        <v>57</v>
      </c>
      <c r="K226" s="52" t="n">
        <v>6131.78</v>
      </c>
      <c r="L226" s="53" t="n">
        <f aca="false">D226*K226</f>
        <v>61317.8</v>
      </c>
      <c r="M226" s="47" t="s">
        <v>58</v>
      </c>
      <c r="N226" s="52" t="n">
        <v>6541.19</v>
      </c>
      <c r="O226" s="53" t="n">
        <f aca="false">D226*N226</f>
        <v>65411.9</v>
      </c>
      <c r="P226" s="54" t="n">
        <f aca="false">AVERAGE(H226,K226,N226)</f>
        <v>6241.12333333333</v>
      </c>
      <c r="Q226" s="55" t="n">
        <f aca="false">F226*100/P226-100</f>
        <v>-0.619332951279603</v>
      </c>
      <c r="R226" s="54" t="n">
        <f aca="false">D226*F226</f>
        <v>62024.7</v>
      </c>
      <c r="S226" s="62" t="s">
        <v>116</v>
      </c>
      <c r="U226" s="57" t="n">
        <f aca="false">ROUND(H226*100/P226-100,0)</f>
        <v>-3</v>
      </c>
      <c r="V226" s="57" t="n">
        <f aca="false">ROUND(K226*100/P226-100,0)</f>
        <v>-2</v>
      </c>
      <c r="W226" s="57" t="n">
        <f aca="false">ROUND(N226*100/P226-100,0)</f>
        <v>5</v>
      </c>
      <c r="Y226" s="43" t="n">
        <v>219</v>
      </c>
    </row>
    <row r="227" s="43" customFormat="true" ht="73.5" hidden="false" customHeight="true" outlineLevel="0" collapsed="false">
      <c r="A227" s="45" t="n">
        <v>225</v>
      </c>
      <c r="B227" s="46" t="s">
        <v>325</v>
      </c>
      <c r="C227" s="47" t="s">
        <v>25</v>
      </c>
      <c r="D227" s="48" t="n">
        <v>4</v>
      </c>
      <c r="E227" s="49" t="s">
        <v>26</v>
      </c>
      <c r="F227" s="50" t="n">
        <v>13230.7</v>
      </c>
      <c r="G227" s="47" t="s">
        <v>27</v>
      </c>
      <c r="H227" s="52" t="n">
        <f aca="false">15633.38/1.2</f>
        <v>13027.8166666667</v>
      </c>
      <c r="I227" s="53" t="n">
        <f aca="false">D227*H227</f>
        <v>52111.2666666667</v>
      </c>
      <c r="J227" s="53" t="s">
        <v>28</v>
      </c>
      <c r="K227" s="52" t="n">
        <v>13344.3</v>
      </c>
      <c r="L227" s="53" t="n">
        <f aca="false">D227*K227</f>
        <v>53377.2</v>
      </c>
      <c r="M227" s="48" t="s">
        <v>29</v>
      </c>
      <c r="N227" s="52" t="n">
        <v>13500.58</v>
      </c>
      <c r="O227" s="53" t="n">
        <f aca="false">D227*N227</f>
        <v>54002.32</v>
      </c>
      <c r="P227" s="54" t="n">
        <f aca="false">AVERAGE(H227,K227,N227)</f>
        <v>13290.8988888889</v>
      </c>
      <c r="Q227" s="55" t="n">
        <f aca="false">F227*100/P227-100</f>
        <v>-0.452933164206172</v>
      </c>
      <c r="R227" s="54" t="n">
        <f aca="false">D227*F227</f>
        <v>52922.8</v>
      </c>
      <c r="S227" s="56"/>
      <c r="U227" s="57" t="n">
        <f aca="false">ROUND(H227*100/P227-100,0)</f>
        <v>-2</v>
      </c>
      <c r="V227" s="57" t="n">
        <f aca="false">ROUND(K227*100/P227-100,0)</f>
        <v>0</v>
      </c>
      <c r="W227" s="57" t="n">
        <f aca="false">ROUND(N227*100/P227-100,0)</f>
        <v>2</v>
      </c>
      <c r="Y227" s="43" t="n">
        <v>220</v>
      </c>
    </row>
    <row r="228" s="43" customFormat="true" ht="73.5" hidden="false" customHeight="true" outlineLevel="0" collapsed="false">
      <c r="A228" s="45" t="n">
        <v>226</v>
      </c>
      <c r="B228" s="46" t="s">
        <v>326</v>
      </c>
      <c r="C228" s="47" t="s">
        <v>25</v>
      </c>
      <c r="D228" s="48" t="n">
        <v>7</v>
      </c>
      <c r="E228" s="49" t="n">
        <v>672.95</v>
      </c>
      <c r="F228" s="50" t="n">
        <v>895.64</v>
      </c>
      <c r="G228" s="47" t="s">
        <v>27</v>
      </c>
      <c r="H228" s="52" t="n">
        <f aca="false">1005.59/1.2</f>
        <v>837.991666666667</v>
      </c>
      <c r="I228" s="53" t="n">
        <f aca="false">D228*H228</f>
        <v>5865.94166666667</v>
      </c>
      <c r="J228" s="53" t="s">
        <v>28</v>
      </c>
      <c r="K228" s="52" t="n">
        <v>921.8</v>
      </c>
      <c r="L228" s="53" t="n">
        <f aca="false">D228*K228</f>
        <v>6452.6</v>
      </c>
      <c r="M228" s="48" t="s">
        <v>29</v>
      </c>
      <c r="N228" s="52" t="n">
        <v>944.36</v>
      </c>
      <c r="O228" s="53" t="n">
        <f aca="false">D228*N228</f>
        <v>6610.52</v>
      </c>
      <c r="P228" s="54" t="n">
        <f aca="false">AVERAGE(H228,K228,N228)</f>
        <v>901.383888888889</v>
      </c>
      <c r="Q228" s="55" t="n">
        <f aca="false">F228*100/P228-100</f>
        <v>-0.637230037023315</v>
      </c>
      <c r="R228" s="54" t="n">
        <f aca="false">D228*F228</f>
        <v>6269.48</v>
      </c>
      <c r="S228" s="56"/>
      <c r="U228" s="57" t="n">
        <f aca="false">ROUND(H228*100/P228-100,0)</f>
        <v>-7</v>
      </c>
      <c r="V228" s="57" t="n">
        <f aca="false">ROUND(K228*100/P228-100,0)</f>
        <v>2</v>
      </c>
      <c r="W228" s="57" t="n">
        <f aca="false">ROUND(N228*100/P228-100,0)</f>
        <v>5</v>
      </c>
      <c r="Y228" s="43" t="n">
        <v>221</v>
      </c>
    </row>
    <row r="229" s="43" customFormat="true" ht="73.5" hidden="false" customHeight="true" outlineLevel="0" collapsed="false">
      <c r="A229" s="45" t="n">
        <v>227</v>
      </c>
      <c r="B229" s="46" t="s">
        <v>327</v>
      </c>
      <c r="C229" s="47" t="s">
        <v>25</v>
      </c>
      <c r="D229" s="48" t="n">
        <v>4</v>
      </c>
      <c r="E229" s="49" t="n">
        <v>762.43</v>
      </c>
      <c r="F229" s="50" t="n">
        <v>976.87</v>
      </c>
      <c r="G229" s="47" t="s">
        <v>27</v>
      </c>
      <c r="H229" s="52" t="n">
        <f aca="false">1138.77/1.2</f>
        <v>948.975</v>
      </c>
      <c r="I229" s="53" t="n">
        <f aca="false">D229*H229</f>
        <v>3795.9</v>
      </c>
      <c r="J229" s="53" t="s">
        <v>28</v>
      </c>
      <c r="K229" s="52" t="n">
        <v>1010.4</v>
      </c>
      <c r="L229" s="53" t="n">
        <f aca="false">D229*K229</f>
        <v>4041.6</v>
      </c>
      <c r="M229" s="48" t="s">
        <v>29</v>
      </c>
      <c r="N229" s="52" t="n">
        <v>995.11</v>
      </c>
      <c r="O229" s="53" t="n">
        <f aca="false">D229*N229</f>
        <v>3980.44</v>
      </c>
      <c r="P229" s="54" t="n">
        <f aca="false">AVERAGE(H229,K229,N229)</f>
        <v>984.828333333333</v>
      </c>
      <c r="Q229" s="55" t="n">
        <f aca="false">F229*100/P229-100</f>
        <v>-0.808093457912293</v>
      </c>
      <c r="R229" s="54" t="n">
        <f aca="false">D229*F229</f>
        <v>3907.48</v>
      </c>
      <c r="S229" s="56"/>
      <c r="U229" s="57" t="n">
        <f aca="false">ROUND(H229*100/P229-100,0)</f>
        <v>-4</v>
      </c>
      <c r="V229" s="57" t="n">
        <f aca="false">ROUND(K229*100/P229-100,0)</f>
        <v>3</v>
      </c>
      <c r="W229" s="57" t="n">
        <f aca="false">ROUND(N229*100/P229-100,0)</f>
        <v>1</v>
      </c>
      <c r="Y229" s="43" t="n">
        <v>222</v>
      </c>
    </row>
    <row r="230" s="43" customFormat="true" ht="73.5" hidden="false" customHeight="true" outlineLevel="0" collapsed="false">
      <c r="A230" s="45" t="n">
        <v>228</v>
      </c>
      <c r="B230" s="46" t="s">
        <v>328</v>
      </c>
      <c r="C230" s="47" t="s">
        <v>25</v>
      </c>
      <c r="D230" s="48" t="n">
        <v>1</v>
      </c>
      <c r="E230" s="49" t="n">
        <v>1460.08</v>
      </c>
      <c r="F230" s="50" t="n">
        <v>1842.92</v>
      </c>
      <c r="G230" s="47" t="s">
        <v>27</v>
      </c>
      <c r="H230" s="52" t="n">
        <f aca="false">2152.46/1.2</f>
        <v>1793.71666666667</v>
      </c>
      <c r="I230" s="53" t="n">
        <f aca="false">D230*H230</f>
        <v>1793.71666666667</v>
      </c>
      <c r="J230" s="53" t="s">
        <v>28</v>
      </c>
      <c r="K230" s="52" t="n">
        <v>1928.6</v>
      </c>
      <c r="L230" s="53" t="n">
        <f aca="false">D230*K230</f>
        <v>1928.6</v>
      </c>
      <c r="M230" s="48" t="s">
        <v>29</v>
      </c>
      <c r="N230" s="52" t="n">
        <v>1850.46</v>
      </c>
      <c r="O230" s="53" t="n">
        <f aca="false">D230*N230</f>
        <v>1850.46</v>
      </c>
      <c r="P230" s="54" t="n">
        <f aca="false">AVERAGE(H230,K230,N230)</f>
        <v>1857.59222222222</v>
      </c>
      <c r="Q230" s="55" t="n">
        <f aca="false">F230*100/P230-100</f>
        <v>-0.789851617954668</v>
      </c>
      <c r="R230" s="54" t="n">
        <f aca="false">D230*F230</f>
        <v>1842.92</v>
      </c>
      <c r="S230" s="56"/>
      <c r="U230" s="57" t="n">
        <f aca="false">ROUND(H230*100/P230-100,0)</f>
        <v>-3</v>
      </c>
      <c r="V230" s="57" t="n">
        <f aca="false">ROUND(K230*100/P230-100,0)</f>
        <v>4</v>
      </c>
      <c r="W230" s="57" t="n">
        <f aca="false">ROUND(N230*100/P230-100,0)</f>
        <v>-0</v>
      </c>
      <c r="Y230" s="43" t="n">
        <v>223</v>
      </c>
    </row>
    <row r="231" s="43" customFormat="true" ht="73.5" hidden="false" customHeight="true" outlineLevel="0" collapsed="false">
      <c r="A231" s="45" t="n">
        <v>229</v>
      </c>
      <c r="B231" s="46" t="s">
        <v>329</v>
      </c>
      <c r="C231" s="47" t="s">
        <v>25</v>
      </c>
      <c r="D231" s="48" t="n">
        <v>24</v>
      </c>
      <c r="E231" s="49" t="n">
        <v>244.97</v>
      </c>
      <c r="F231" s="50" t="n">
        <v>312.8</v>
      </c>
      <c r="G231" s="47" t="s">
        <v>27</v>
      </c>
      <c r="H231" s="52" t="n">
        <f aca="false">362.57/1.2</f>
        <v>302.141666666667</v>
      </c>
      <c r="I231" s="53" t="n">
        <f aca="false">D231*H231</f>
        <v>7251.4</v>
      </c>
      <c r="J231" s="53" t="s">
        <v>28</v>
      </c>
      <c r="K231" s="52" t="n">
        <v>312.77</v>
      </c>
      <c r="L231" s="53" t="n">
        <f aca="false">D231*K231</f>
        <v>7506.48</v>
      </c>
      <c r="M231" s="48" t="s">
        <v>29</v>
      </c>
      <c r="N231" s="52" t="n">
        <v>344.29</v>
      </c>
      <c r="O231" s="53" t="n">
        <f aca="false">D231*N231</f>
        <v>8262.96</v>
      </c>
      <c r="P231" s="54" t="n">
        <f aca="false">AVERAGE(H231,K231,N231)</f>
        <v>319.733888888889</v>
      </c>
      <c r="Q231" s="55" t="n">
        <f aca="false">F231*100/P231-100</f>
        <v>-2.16864371586789</v>
      </c>
      <c r="R231" s="54" t="n">
        <f aca="false">D231*F231</f>
        <v>7507.2</v>
      </c>
      <c r="S231" s="56"/>
      <c r="U231" s="57" t="n">
        <f aca="false">ROUND(H231*100/P231-100,0)</f>
        <v>-6</v>
      </c>
      <c r="V231" s="57" t="n">
        <f aca="false">ROUND(K231*100/P231-100,0)</f>
        <v>-2</v>
      </c>
      <c r="W231" s="57" t="n">
        <f aca="false">ROUND(N231*100/P231-100,0)</f>
        <v>8</v>
      </c>
      <c r="Y231" s="43" t="n">
        <v>224</v>
      </c>
    </row>
    <row r="232" s="43" customFormat="true" ht="73.5" hidden="false" customHeight="true" outlineLevel="0" collapsed="false">
      <c r="A232" s="45" t="n">
        <v>230</v>
      </c>
      <c r="B232" s="46" t="s">
        <v>330</v>
      </c>
      <c r="C232" s="47" t="s">
        <v>25</v>
      </c>
      <c r="D232" s="48" t="n">
        <v>18</v>
      </c>
      <c r="E232" s="49" t="n">
        <v>277.45</v>
      </c>
      <c r="F232" s="50" t="n">
        <v>343.64</v>
      </c>
      <c r="G232" s="47" t="s">
        <v>27</v>
      </c>
      <c r="H232" s="52" t="n">
        <f aca="false">398.85/1.2</f>
        <v>332.375</v>
      </c>
      <c r="I232" s="53" t="n">
        <f aca="false">D232*H232</f>
        <v>5982.75</v>
      </c>
      <c r="J232" s="53" t="s">
        <v>28</v>
      </c>
      <c r="K232" s="52" t="n">
        <v>364.5</v>
      </c>
      <c r="L232" s="53" t="n">
        <f aca="false">D232*K232</f>
        <v>6561</v>
      </c>
      <c r="M232" s="48" t="s">
        <v>29</v>
      </c>
      <c r="N232" s="52" t="n">
        <v>350.15</v>
      </c>
      <c r="O232" s="53" t="n">
        <f aca="false">D232*N232</f>
        <v>6302.7</v>
      </c>
      <c r="P232" s="54" t="n">
        <f aca="false">AVERAGE(H232,K232,N232)</f>
        <v>349.008333333333</v>
      </c>
      <c r="Q232" s="55" t="n">
        <f aca="false">F232*100/P232-100</f>
        <v>-1.53816766552853</v>
      </c>
      <c r="R232" s="54" t="n">
        <f aca="false">D232*F232</f>
        <v>6185.52</v>
      </c>
      <c r="S232" s="56"/>
      <c r="U232" s="57" t="n">
        <f aca="false">ROUND(H232*100/P232-100,0)</f>
        <v>-5</v>
      </c>
      <c r="V232" s="57" t="n">
        <f aca="false">ROUND(K232*100/P232-100,0)</f>
        <v>4</v>
      </c>
      <c r="W232" s="57" t="n">
        <f aca="false">ROUND(N232*100/P232-100,0)</f>
        <v>0</v>
      </c>
      <c r="Y232" s="43" t="n">
        <v>225</v>
      </c>
    </row>
    <row r="233" s="43" customFormat="true" ht="73.5" hidden="false" customHeight="true" outlineLevel="0" collapsed="false">
      <c r="A233" s="45" t="n">
        <v>231</v>
      </c>
      <c r="B233" s="46" t="s">
        <v>331</v>
      </c>
      <c r="C233" s="47" t="s">
        <v>25</v>
      </c>
      <c r="D233" s="48" t="n">
        <v>90</v>
      </c>
      <c r="E233" s="49" t="n">
        <v>187.63</v>
      </c>
      <c r="F233" s="50" t="n">
        <v>233.82</v>
      </c>
      <c r="G233" s="47" t="s">
        <v>27</v>
      </c>
      <c r="H233" s="52" t="n">
        <f aca="false">283.52/1.2</f>
        <v>236.266666666667</v>
      </c>
      <c r="I233" s="53" t="n">
        <f aca="false">D233*H233</f>
        <v>21264</v>
      </c>
      <c r="J233" s="53" t="s">
        <v>28</v>
      </c>
      <c r="K233" s="52" t="n">
        <v>232.43</v>
      </c>
      <c r="L233" s="53" t="n">
        <f aca="false">D233*K233</f>
        <v>20918.7</v>
      </c>
      <c r="M233" s="48" t="s">
        <v>29</v>
      </c>
      <c r="N233" s="52" t="n">
        <v>251.2</v>
      </c>
      <c r="O233" s="53" t="n">
        <f aca="false">D233*N233</f>
        <v>22608</v>
      </c>
      <c r="P233" s="54" t="n">
        <f aca="false">AVERAGE(H233,K233,N233)</f>
        <v>239.965555555556</v>
      </c>
      <c r="Q233" s="55" t="n">
        <f aca="false">F233*100/P233-100</f>
        <v>-2.56101570132751</v>
      </c>
      <c r="R233" s="54" t="n">
        <f aca="false">D233*F233</f>
        <v>21043.8</v>
      </c>
      <c r="S233" s="56"/>
      <c r="U233" s="57" t="n">
        <f aca="false">ROUND(H233*100/P233-100,0)</f>
        <v>-2</v>
      </c>
      <c r="V233" s="57" t="n">
        <f aca="false">ROUND(K233*100/P233-100,0)</f>
        <v>-3</v>
      </c>
      <c r="W233" s="57" t="n">
        <f aca="false">ROUND(N233*100/P233-100,0)</f>
        <v>5</v>
      </c>
      <c r="Y233" s="43" t="n">
        <v>226</v>
      </c>
    </row>
    <row r="234" s="43" customFormat="true" ht="73.5" hidden="false" customHeight="true" outlineLevel="0" collapsed="false">
      <c r="A234" s="45" t="n">
        <v>232</v>
      </c>
      <c r="B234" s="46" t="s">
        <v>332</v>
      </c>
      <c r="C234" s="47" t="s">
        <v>25</v>
      </c>
      <c r="D234" s="48" t="s">
        <v>333</v>
      </c>
      <c r="E234" s="49" t="n">
        <v>149.81</v>
      </c>
      <c r="F234" s="50" t="n">
        <v>178.37</v>
      </c>
      <c r="G234" s="47" t="s">
        <v>27</v>
      </c>
      <c r="H234" s="52" t="n">
        <f aca="false">210.11/1.2</f>
        <v>175.091666666667</v>
      </c>
      <c r="I234" s="53" t="n">
        <f aca="false">D234*H234</f>
        <v>8054.21666666667</v>
      </c>
      <c r="J234" s="53" t="s">
        <v>28</v>
      </c>
      <c r="K234" s="52" t="n">
        <v>186.22</v>
      </c>
      <c r="L234" s="53" t="n">
        <f aca="false">D234*K234</f>
        <v>8566.12</v>
      </c>
      <c r="M234" s="48" t="s">
        <v>29</v>
      </c>
      <c r="N234" s="52" t="n">
        <v>179.55</v>
      </c>
      <c r="O234" s="53" t="n">
        <f aca="false">D234*N234</f>
        <v>8259.3</v>
      </c>
      <c r="P234" s="54" t="n">
        <f aca="false">AVERAGE(H234,K234,N234)</f>
        <v>180.287222222222</v>
      </c>
      <c r="Q234" s="55" t="n">
        <f aca="false">F234*100/P234-100</f>
        <v>-1.06342656933226</v>
      </c>
      <c r="R234" s="54" t="n">
        <f aca="false">D234*F234</f>
        <v>8205.02</v>
      </c>
      <c r="S234" s="56"/>
      <c r="U234" s="57" t="n">
        <f aca="false">ROUND(H234*100/P234-100,0)</f>
        <v>-3</v>
      </c>
      <c r="V234" s="57" t="n">
        <f aca="false">ROUND(K234*100/P234-100,0)</f>
        <v>3</v>
      </c>
      <c r="W234" s="57" t="n">
        <f aca="false">ROUND(N234*100/P234-100,0)</f>
        <v>-0</v>
      </c>
      <c r="Y234" s="43" t="n">
        <v>227</v>
      </c>
    </row>
    <row r="235" s="43" customFormat="true" ht="73.5" hidden="false" customHeight="true" outlineLevel="0" collapsed="false">
      <c r="A235" s="45" t="n">
        <v>233</v>
      </c>
      <c r="B235" s="46" t="s">
        <v>334</v>
      </c>
      <c r="C235" s="47" t="s">
        <v>25</v>
      </c>
      <c r="D235" s="48" t="s">
        <v>335</v>
      </c>
      <c r="E235" s="49" t="n">
        <v>150.19</v>
      </c>
      <c r="F235" s="50" t="n">
        <v>191.64</v>
      </c>
      <c r="G235" s="47" t="s">
        <v>27</v>
      </c>
      <c r="H235" s="52" t="n">
        <f aca="false">224.62/1.2</f>
        <v>187.183333333333</v>
      </c>
      <c r="I235" s="53" t="n">
        <f aca="false">D235*H235</f>
        <v>1123.1</v>
      </c>
      <c r="J235" s="53" t="s">
        <v>28</v>
      </c>
      <c r="K235" s="52" t="n">
        <v>196.75</v>
      </c>
      <c r="L235" s="53" t="n">
        <f aca="false">D235*K235</f>
        <v>1180.5</v>
      </c>
      <c r="M235" s="48" t="s">
        <v>29</v>
      </c>
      <c r="N235" s="52" t="n">
        <v>199.8</v>
      </c>
      <c r="O235" s="53" t="n">
        <f aca="false">D235*N235</f>
        <v>1198.8</v>
      </c>
      <c r="P235" s="54" t="n">
        <f aca="false">AVERAGE(H235,K235,N235)</f>
        <v>194.577777777778</v>
      </c>
      <c r="Q235" s="55" t="n">
        <f aca="false">F235*100/P235-100</f>
        <v>-1.509821836455</v>
      </c>
      <c r="R235" s="54" t="n">
        <f aca="false">D235*F235</f>
        <v>1149.84</v>
      </c>
      <c r="S235" s="56"/>
      <c r="U235" s="57" t="n">
        <f aca="false">ROUND(H235*100/P235-100,0)</f>
        <v>-4</v>
      </c>
      <c r="V235" s="57" t="n">
        <f aca="false">ROUND(K235*100/P235-100,0)</f>
        <v>1</v>
      </c>
      <c r="W235" s="57" t="n">
        <f aca="false">ROUND(N235*100/P235-100,0)</f>
        <v>3</v>
      </c>
      <c r="Y235" s="43" t="n">
        <v>228</v>
      </c>
    </row>
    <row r="236" s="43" customFormat="true" ht="73.5" hidden="false" customHeight="true" outlineLevel="0" collapsed="false">
      <c r="A236" s="45" t="n">
        <v>234</v>
      </c>
      <c r="B236" s="46" t="s">
        <v>336</v>
      </c>
      <c r="C236" s="47" t="s">
        <v>25</v>
      </c>
      <c r="D236" s="48" t="n">
        <v>6</v>
      </c>
      <c r="E236" s="49" t="n">
        <v>13427.24</v>
      </c>
      <c r="F236" s="50" t="n">
        <v>15489.62</v>
      </c>
      <c r="G236" s="47" t="s">
        <v>27</v>
      </c>
      <c r="H236" s="52" t="n">
        <f aca="false">18284.58/1.2</f>
        <v>15237.15</v>
      </c>
      <c r="I236" s="53" t="n">
        <f aca="false">D236*H236</f>
        <v>91422.9</v>
      </c>
      <c r="J236" s="53" t="s">
        <v>28</v>
      </c>
      <c r="K236" s="52" t="n">
        <v>15870.63</v>
      </c>
      <c r="L236" s="53" t="n">
        <f aca="false">D236*K236</f>
        <v>95223.78</v>
      </c>
      <c r="M236" s="48" t="s">
        <v>29</v>
      </c>
      <c r="N236" s="52" t="n">
        <v>16020.61</v>
      </c>
      <c r="O236" s="53" t="n">
        <f aca="false">D236*N236</f>
        <v>96123.66</v>
      </c>
      <c r="P236" s="54" t="n">
        <f aca="false">AVERAGE(H236,K236,N236)</f>
        <v>15709.4633333333</v>
      </c>
      <c r="Q236" s="55" t="n">
        <f aca="false">F236*100/P236-100</f>
        <v>-1.39943248644819</v>
      </c>
      <c r="R236" s="54" t="n">
        <f aca="false">D236*F236</f>
        <v>92937.72</v>
      </c>
      <c r="S236" s="56"/>
      <c r="U236" s="57" t="n">
        <f aca="false">ROUND(H236*100/P236-100,0)</f>
        <v>-3</v>
      </c>
      <c r="V236" s="57" t="n">
        <f aca="false">ROUND(K236*100/P236-100,0)</f>
        <v>1</v>
      </c>
      <c r="W236" s="57" t="n">
        <f aca="false">ROUND(N236*100/P236-100,0)</f>
        <v>2</v>
      </c>
      <c r="Y236" s="43" t="n">
        <v>229</v>
      </c>
    </row>
    <row r="237" s="43" customFormat="true" ht="73.5" hidden="false" customHeight="true" outlineLevel="0" collapsed="false">
      <c r="A237" s="45" t="n">
        <v>235</v>
      </c>
      <c r="B237" s="46" t="s">
        <v>337</v>
      </c>
      <c r="C237" s="47" t="s">
        <v>45</v>
      </c>
      <c r="D237" s="48" t="n">
        <v>40</v>
      </c>
      <c r="E237" s="49" t="n">
        <v>2327.59</v>
      </c>
      <c r="F237" s="50" t="n">
        <v>3124.7</v>
      </c>
      <c r="G237" s="51" t="s">
        <v>90</v>
      </c>
      <c r="H237" s="52" t="n">
        <v>3607.24</v>
      </c>
      <c r="I237" s="53" t="n">
        <f aca="false">D237*H237</f>
        <v>144289.6</v>
      </c>
      <c r="J237" s="47" t="s">
        <v>338</v>
      </c>
      <c r="K237" s="52" t="n">
        <v>2575.7</v>
      </c>
      <c r="L237" s="53" t="n">
        <f aca="false">D237*K237</f>
        <v>103028</v>
      </c>
      <c r="M237" s="51" t="s">
        <v>339</v>
      </c>
      <c r="N237" s="52" t="n">
        <v>3370</v>
      </c>
      <c r="O237" s="53" t="n">
        <f aca="false">D237*N237</f>
        <v>134800</v>
      </c>
      <c r="P237" s="54" t="n">
        <f aca="false">AVERAGE(H237,K237,N237)</f>
        <v>3184.31333333333</v>
      </c>
      <c r="Q237" s="55" t="n">
        <f aca="false">F237*100/P237-100</f>
        <v>-1.87209382661253</v>
      </c>
      <c r="R237" s="54" t="n">
        <f aca="false">D237*F237</f>
        <v>124988</v>
      </c>
      <c r="S237" s="56"/>
      <c r="U237" s="57" t="n">
        <f aca="false">ROUND(H237*100/P237-100,0)</f>
        <v>13</v>
      </c>
      <c r="V237" s="57" t="n">
        <f aca="false">ROUND(K237*100/P237-100,0)</f>
        <v>-19</v>
      </c>
      <c r="W237" s="57" t="n">
        <f aca="false">ROUND(N237*100/P237-100,0)</f>
        <v>6</v>
      </c>
      <c r="Y237" s="43" t="n">
        <v>230</v>
      </c>
    </row>
    <row r="238" s="43" customFormat="true" ht="73.5" hidden="false" customHeight="true" outlineLevel="0" collapsed="false">
      <c r="A238" s="45" t="n">
        <v>236</v>
      </c>
      <c r="B238" s="46" t="s">
        <v>340</v>
      </c>
      <c r="C238" s="47" t="s">
        <v>25</v>
      </c>
      <c r="D238" s="48" t="n">
        <v>10</v>
      </c>
      <c r="E238" s="49" t="n">
        <v>1273.05</v>
      </c>
      <c r="F238" s="50" t="n">
        <v>2334.68</v>
      </c>
      <c r="G238" s="47" t="s">
        <v>27</v>
      </c>
      <c r="H238" s="52" t="n">
        <f aca="false">2872.8/1.2</f>
        <v>2394</v>
      </c>
      <c r="I238" s="53" t="n">
        <f aca="false">D238*H238</f>
        <v>23940</v>
      </c>
      <c r="J238" s="53" t="s">
        <v>28</v>
      </c>
      <c r="K238" s="52" t="n">
        <v>2254.9</v>
      </c>
      <c r="L238" s="53" t="n">
        <f aca="false">D238*K238</f>
        <v>22549</v>
      </c>
      <c r="M238" s="48" t="s">
        <v>29</v>
      </c>
      <c r="N238" s="52" t="n">
        <v>2467.66</v>
      </c>
      <c r="O238" s="53" t="n">
        <f aca="false">D238*N238</f>
        <v>24676.6</v>
      </c>
      <c r="P238" s="54" t="n">
        <f aca="false">AVERAGE(H238,K238,N238)</f>
        <v>2372.18666666667</v>
      </c>
      <c r="Q238" s="55" t="n">
        <f aca="false">F238*100/P238-100</f>
        <v>-1.58110098137304</v>
      </c>
      <c r="R238" s="54" t="n">
        <f aca="false">D238*F238</f>
        <v>23346.8</v>
      </c>
      <c r="S238" s="56"/>
      <c r="U238" s="57" t="n">
        <f aca="false">ROUND(H238*100/P238-100,0)</f>
        <v>1</v>
      </c>
      <c r="V238" s="57" t="n">
        <f aca="false">ROUND(K238*100/P238-100,0)</f>
        <v>-5</v>
      </c>
      <c r="W238" s="57" t="n">
        <f aca="false">ROUND(N238*100/P238-100,0)</f>
        <v>4</v>
      </c>
      <c r="Y238" s="43" t="n">
        <v>231</v>
      </c>
    </row>
    <row r="239" s="43" customFormat="true" ht="73.5" hidden="false" customHeight="true" outlineLevel="0" collapsed="false">
      <c r="A239" s="45" t="n">
        <v>237</v>
      </c>
      <c r="B239" s="46" t="s">
        <v>341</v>
      </c>
      <c r="C239" s="47" t="s">
        <v>25</v>
      </c>
      <c r="D239" s="48" t="s">
        <v>342</v>
      </c>
      <c r="E239" s="49" t="s">
        <v>26</v>
      </c>
      <c r="F239" s="50" t="n">
        <v>21782.44</v>
      </c>
      <c r="G239" s="47" t="s">
        <v>27</v>
      </c>
      <c r="H239" s="52" t="n">
        <f aca="false">25573/1.2</f>
        <v>21310.8333333333</v>
      </c>
      <c r="I239" s="53" t="n">
        <f aca="false">D239*H239</f>
        <v>1704866.66666667</v>
      </c>
      <c r="J239" s="53" t="s">
        <v>28</v>
      </c>
      <c r="K239" s="52" t="n">
        <v>21971.58</v>
      </c>
      <c r="L239" s="53" t="n">
        <f aca="false">D239*K239</f>
        <v>1757726.4</v>
      </c>
      <c r="M239" s="48" t="s">
        <v>29</v>
      </c>
      <c r="N239" s="52" t="n">
        <v>22150.4</v>
      </c>
      <c r="O239" s="53" t="n">
        <f aca="false">D239*N239</f>
        <v>1772032</v>
      </c>
      <c r="P239" s="54" t="n">
        <f aca="false">AVERAGE(H239,K239,N239)</f>
        <v>21810.9377777778</v>
      </c>
      <c r="Q239" s="55" t="n">
        <f aca="false">F239*100/P239-100</f>
        <v>-0.130658195755416</v>
      </c>
      <c r="R239" s="54" t="n">
        <f aca="false">D239*F239</f>
        <v>1742595.2</v>
      </c>
      <c r="S239" s="56"/>
      <c r="U239" s="57" t="n">
        <f aca="false">ROUND(H239*100/P239-100,0)</f>
        <v>-2</v>
      </c>
      <c r="V239" s="57" t="n">
        <f aca="false">ROUND(K239*100/P239-100,0)</f>
        <v>1</v>
      </c>
      <c r="W239" s="57" t="n">
        <f aca="false">ROUND(N239*100/P239-100,0)</f>
        <v>2</v>
      </c>
      <c r="Y239" s="43" t="n">
        <v>232</v>
      </c>
    </row>
    <row r="240" s="43" customFormat="true" ht="73.5" hidden="false" customHeight="true" outlineLevel="0" collapsed="false">
      <c r="A240" s="45" t="n">
        <v>238</v>
      </c>
      <c r="B240" s="46" t="s">
        <v>343</v>
      </c>
      <c r="C240" s="47" t="s">
        <v>25</v>
      </c>
      <c r="D240" s="48" t="n">
        <v>10</v>
      </c>
      <c r="E240" s="49" t="s">
        <v>26</v>
      </c>
      <c r="F240" s="50" t="n">
        <v>1394.8</v>
      </c>
      <c r="G240" s="47" t="s">
        <v>27</v>
      </c>
      <c r="H240" s="52" t="n">
        <f aca="false">1586.38/1.2</f>
        <v>1321.98333333333</v>
      </c>
      <c r="I240" s="53" t="n">
        <f aca="false">D240*H240</f>
        <v>13219.8333333333</v>
      </c>
      <c r="J240" s="53" t="s">
        <v>28</v>
      </c>
      <c r="K240" s="52" t="n">
        <v>1501.2</v>
      </c>
      <c r="L240" s="53" t="n">
        <f aca="false">D240*K240</f>
        <v>15012</v>
      </c>
      <c r="M240" s="48" t="s">
        <v>29</v>
      </c>
      <c r="N240" s="52" t="n">
        <v>1452.7</v>
      </c>
      <c r="O240" s="53" t="n">
        <f aca="false">D240*N240</f>
        <v>14527</v>
      </c>
      <c r="P240" s="54" t="n">
        <f aca="false">AVERAGE(H240,K240,N240)</f>
        <v>1425.29444444444</v>
      </c>
      <c r="Q240" s="55" t="n">
        <f aca="false">F240*100/P240-100</f>
        <v>-2.13951892981177</v>
      </c>
      <c r="R240" s="54" t="n">
        <f aca="false">D240*F240</f>
        <v>13948</v>
      </c>
      <c r="S240" s="56"/>
      <c r="U240" s="57" t="n">
        <f aca="false">ROUND(H240*100/P240-100,0)</f>
        <v>-7</v>
      </c>
      <c r="V240" s="57" t="n">
        <f aca="false">ROUND(K240*100/P240-100,0)</f>
        <v>5</v>
      </c>
      <c r="W240" s="57" t="n">
        <f aca="false">ROUND(N240*100/P240-100,0)</f>
        <v>2</v>
      </c>
      <c r="Y240" s="43" t="n">
        <v>233</v>
      </c>
    </row>
    <row r="241" s="43" customFormat="true" ht="73.5" hidden="false" customHeight="true" outlineLevel="0" collapsed="false">
      <c r="A241" s="45" t="n">
        <v>239</v>
      </c>
      <c r="B241" s="46" t="s">
        <v>344</v>
      </c>
      <c r="C241" s="47" t="s">
        <v>25</v>
      </c>
      <c r="D241" s="48" t="n">
        <v>2</v>
      </c>
      <c r="E241" s="49" t="n">
        <v>9167.12</v>
      </c>
      <c r="F241" s="50" t="n">
        <v>10840.24</v>
      </c>
      <c r="G241" s="47" t="s">
        <v>27</v>
      </c>
      <c r="H241" s="52" t="n">
        <f aca="false">12749.04/1.2</f>
        <v>10624.2</v>
      </c>
      <c r="I241" s="53" t="n">
        <f aca="false">D241*H241</f>
        <v>21248.4</v>
      </c>
      <c r="J241" s="53" t="s">
        <v>28</v>
      </c>
      <c r="K241" s="52" t="n">
        <v>11205.5</v>
      </c>
      <c r="L241" s="53" t="n">
        <f aca="false">D241*K241</f>
        <v>22411</v>
      </c>
      <c r="M241" s="48" t="s">
        <v>29</v>
      </c>
      <c r="N241" s="52" t="n">
        <v>10800.9</v>
      </c>
      <c r="O241" s="53" t="n">
        <f aca="false">D241*N241</f>
        <v>21601.8</v>
      </c>
      <c r="P241" s="54" t="n">
        <f aca="false">AVERAGE(H241,K241,N241)</f>
        <v>10876.8666666667</v>
      </c>
      <c r="Q241" s="55" t="n">
        <f aca="false">F241*100/P241-100</f>
        <v>-0.336739134432094</v>
      </c>
      <c r="R241" s="54" t="n">
        <f aca="false">D241*F241</f>
        <v>21680.48</v>
      </c>
      <c r="S241" s="56"/>
      <c r="U241" s="57" t="n">
        <f aca="false">ROUND(H241*100/P241-100,0)</f>
        <v>-2</v>
      </c>
      <c r="V241" s="57" t="n">
        <f aca="false">ROUND(K241*100/P241-100,0)</f>
        <v>3</v>
      </c>
      <c r="W241" s="57" t="n">
        <f aca="false">ROUND(N241*100/P241-100,0)</f>
        <v>-1</v>
      </c>
      <c r="Y241" s="43" t="n">
        <v>234</v>
      </c>
    </row>
    <row r="242" s="43" customFormat="true" ht="73.5" hidden="false" customHeight="true" outlineLevel="0" collapsed="false">
      <c r="A242" s="45" t="n">
        <v>240</v>
      </c>
      <c r="B242" s="46" t="s">
        <v>345</v>
      </c>
      <c r="C242" s="47" t="s">
        <v>25</v>
      </c>
      <c r="D242" s="48" t="n">
        <v>3</v>
      </c>
      <c r="E242" s="49" t="s">
        <v>26</v>
      </c>
      <c r="F242" s="50" t="n">
        <v>6897.64</v>
      </c>
      <c r="G242" s="47" t="s">
        <v>27</v>
      </c>
      <c r="H242" s="52" t="n">
        <f aca="false">8062.43/1.2</f>
        <v>6718.69166666667</v>
      </c>
      <c r="I242" s="53" t="n">
        <f aca="false">D242*H242</f>
        <v>20156.075</v>
      </c>
      <c r="J242" s="53" t="s">
        <v>28</v>
      </c>
      <c r="K242" s="52" t="n">
        <v>7211.8</v>
      </c>
      <c r="L242" s="53" t="n">
        <f aca="false">D242*K242</f>
        <v>21635.4</v>
      </c>
      <c r="M242" s="48" t="s">
        <v>29</v>
      </c>
      <c r="N242" s="52" t="n">
        <v>6897.87</v>
      </c>
      <c r="O242" s="53" t="n">
        <f aca="false">D242*N242</f>
        <v>20693.61</v>
      </c>
      <c r="P242" s="54" t="n">
        <f aca="false">AVERAGE(H242,K242,N242)</f>
        <v>6942.78722222222</v>
      </c>
      <c r="Q242" s="55" t="n">
        <f aca="false">F242*100/P242-100</f>
        <v>-0.650275181669358</v>
      </c>
      <c r="R242" s="54" t="n">
        <f aca="false">D242*F242</f>
        <v>20692.92</v>
      </c>
      <c r="S242" s="56"/>
      <c r="U242" s="57" t="n">
        <f aca="false">ROUND(H242*100/P242-100,0)</f>
        <v>-3</v>
      </c>
      <c r="V242" s="57" t="n">
        <f aca="false">ROUND(K242*100/P242-100,0)</f>
        <v>4</v>
      </c>
      <c r="W242" s="57" t="n">
        <f aca="false">ROUND(N242*100/P242-100,0)</f>
        <v>-1</v>
      </c>
      <c r="Y242" s="43" t="n">
        <v>235</v>
      </c>
    </row>
    <row r="243" s="43" customFormat="true" ht="73.5" hidden="false" customHeight="true" outlineLevel="0" collapsed="false">
      <c r="A243" s="45" t="n">
        <v>241</v>
      </c>
      <c r="B243" s="46" t="s">
        <v>346</v>
      </c>
      <c r="C243" s="47" t="s">
        <v>25</v>
      </c>
      <c r="D243" s="48" t="n">
        <v>20</v>
      </c>
      <c r="E243" s="49" t="n">
        <v>5743.19</v>
      </c>
      <c r="F243" s="50" t="n">
        <v>5997.3</v>
      </c>
      <c r="G243" s="47" t="s">
        <v>27</v>
      </c>
      <c r="H243" s="52" t="n">
        <f aca="false">6964.01/1.2</f>
        <v>5803.34166666667</v>
      </c>
      <c r="I243" s="53" t="n">
        <f aca="false">D243*H243</f>
        <v>116066.833333333</v>
      </c>
      <c r="J243" s="53" t="s">
        <v>28</v>
      </c>
      <c r="K243" s="52" t="n">
        <v>6025.6</v>
      </c>
      <c r="L243" s="53" t="n">
        <f aca="false">D243*K243</f>
        <v>120512</v>
      </c>
      <c r="M243" s="48" t="s">
        <v>29</v>
      </c>
      <c r="N243" s="52" t="n">
        <v>6300.1</v>
      </c>
      <c r="O243" s="53" t="n">
        <f aca="false">D243*N243</f>
        <v>126002</v>
      </c>
      <c r="P243" s="54" t="n">
        <f aca="false">AVERAGE(H243,K243,N243)</f>
        <v>6043.01388888889</v>
      </c>
      <c r="Q243" s="55" t="n">
        <f aca="false">F243*100/P243-100</f>
        <v>-0.756474992932624</v>
      </c>
      <c r="R243" s="54" t="n">
        <f aca="false">D243*F243</f>
        <v>119946</v>
      </c>
      <c r="S243" s="56"/>
      <c r="U243" s="57" t="n">
        <f aca="false">ROUND(H243*100/P243-100,0)</f>
        <v>-4</v>
      </c>
      <c r="V243" s="57" t="n">
        <f aca="false">ROUND(K243*100/P243-100,0)</f>
        <v>-0</v>
      </c>
      <c r="W243" s="57" t="n">
        <f aca="false">ROUND(N243*100/P243-100,0)</f>
        <v>4</v>
      </c>
      <c r="Y243" s="43" t="n">
        <v>236</v>
      </c>
    </row>
    <row r="244" s="43" customFormat="true" ht="73.5" hidden="false" customHeight="true" outlineLevel="0" collapsed="false">
      <c r="A244" s="45" t="n">
        <v>242</v>
      </c>
      <c r="B244" s="46" t="s">
        <v>347</v>
      </c>
      <c r="C244" s="47" t="s">
        <v>25</v>
      </c>
      <c r="D244" s="48" t="n">
        <v>2</v>
      </c>
      <c r="E244" s="49" t="n">
        <v>14620.92</v>
      </c>
      <c r="F244" s="50" t="n">
        <v>23347.6</v>
      </c>
      <c r="G244" s="47" t="s">
        <v>27</v>
      </c>
      <c r="H244" s="52" t="n">
        <f aca="false">27973.25/1.2</f>
        <v>23311.0416666667</v>
      </c>
      <c r="I244" s="53" t="n">
        <f aca="false">D244*H244</f>
        <v>46622.0833333333</v>
      </c>
      <c r="J244" s="53" t="s">
        <v>28</v>
      </c>
      <c r="K244" s="52" t="n">
        <v>24500.6</v>
      </c>
      <c r="L244" s="53" t="n">
        <f aca="false">D244*K244</f>
        <v>49001.2</v>
      </c>
      <c r="M244" s="48" t="s">
        <v>29</v>
      </c>
      <c r="N244" s="52" t="n">
        <v>22940.3</v>
      </c>
      <c r="O244" s="53" t="n">
        <f aca="false">D244*N244</f>
        <v>45880.6</v>
      </c>
      <c r="P244" s="54" t="n">
        <f aca="false">AVERAGE(H244,K244,N244)</f>
        <v>23583.9805555556</v>
      </c>
      <c r="Q244" s="55" t="n">
        <f aca="false">F244*100/P244-100</f>
        <v>-1.00229286993654</v>
      </c>
      <c r="R244" s="54" t="n">
        <f aca="false">D244*F244</f>
        <v>46695.2</v>
      </c>
      <c r="S244" s="56"/>
      <c r="U244" s="57" t="n">
        <f aca="false">ROUND(H244*100/P244-100,0)</f>
        <v>-1</v>
      </c>
      <c r="V244" s="57" t="n">
        <f aca="false">ROUND(K244*100/P244-100,0)</f>
        <v>4</v>
      </c>
      <c r="W244" s="57" t="n">
        <f aca="false">ROUND(N244*100/P244-100,0)</f>
        <v>-3</v>
      </c>
      <c r="Y244" s="43" t="n">
        <v>237</v>
      </c>
    </row>
    <row r="245" s="43" customFormat="true" ht="73.5" hidden="false" customHeight="true" outlineLevel="0" collapsed="false">
      <c r="A245" s="45" t="n">
        <v>243</v>
      </c>
      <c r="B245" s="46" t="s">
        <v>348</v>
      </c>
      <c r="C245" s="47" t="s">
        <v>25</v>
      </c>
      <c r="D245" s="48" t="n">
        <v>2</v>
      </c>
      <c r="E245" s="49" t="n">
        <v>5492.67</v>
      </c>
      <c r="F245" s="50" t="n">
        <v>6190.72</v>
      </c>
      <c r="G245" s="47" t="s">
        <v>27</v>
      </c>
      <c r="H245" s="52" t="n">
        <f aca="false">7415.29/1.2</f>
        <v>6179.40833333333</v>
      </c>
      <c r="I245" s="53" t="n">
        <f aca="false">D245*H245</f>
        <v>12358.8166666667</v>
      </c>
      <c r="J245" s="53" t="s">
        <v>28</v>
      </c>
      <c r="K245" s="52" t="n">
        <v>6487.33</v>
      </c>
      <c r="L245" s="53" t="n">
        <f aca="false">D245*K245</f>
        <v>12974.66</v>
      </c>
      <c r="M245" s="48" t="s">
        <v>29</v>
      </c>
      <c r="N245" s="52" t="n">
        <v>6150.7</v>
      </c>
      <c r="O245" s="53" t="n">
        <f aca="false">D245*N245</f>
        <v>12301.4</v>
      </c>
      <c r="P245" s="54" t="n">
        <f aca="false">AVERAGE(H245,K245,N245)</f>
        <v>6272.47944444444</v>
      </c>
      <c r="Q245" s="55" t="n">
        <f aca="false">F245*100/P245-100</f>
        <v>-1.30346293150245</v>
      </c>
      <c r="R245" s="54" t="n">
        <f aca="false">D245*F245</f>
        <v>12381.44</v>
      </c>
      <c r="S245" s="56"/>
      <c r="U245" s="57" t="n">
        <f aca="false">ROUND(H245*100/P245-100,0)</f>
        <v>-1</v>
      </c>
      <c r="V245" s="57" t="n">
        <f aca="false">ROUND(K245*100/P245-100,0)</f>
        <v>3</v>
      </c>
      <c r="W245" s="57" t="n">
        <f aca="false">ROUND(N245*100/P245-100,0)</f>
        <v>-2</v>
      </c>
      <c r="Y245" s="43" t="n">
        <v>238</v>
      </c>
    </row>
    <row r="246" s="43" customFormat="true" ht="73.5" hidden="false" customHeight="true" outlineLevel="0" collapsed="false">
      <c r="A246" s="45" t="n">
        <v>244</v>
      </c>
      <c r="B246" s="46" t="s">
        <v>349</v>
      </c>
      <c r="C246" s="47" t="s">
        <v>25</v>
      </c>
      <c r="D246" s="48" t="n">
        <v>4</v>
      </c>
      <c r="E246" s="49" t="n">
        <v>14242.03</v>
      </c>
      <c r="F246" s="50" t="n">
        <v>17148.68</v>
      </c>
      <c r="G246" s="47" t="s">
        <v>27</v>
      </c>
      <c r="H246" s="52" t="n">
        <f aca="false">20589.76/1.2</f>
        <v>17158.1333333333</v>
      </c>
      <c r="I246" s="53" t="n">
        <f aca="false">D246*H246</f>
        <v>68632.5333333333</v>
      </c>
      <c r="J246" s="53" t="s">
        <v>28</v>
      </c>
      <c r="K246" s="52" t="n">
        <v>17011.2</v>
      </c>
      <c r="L246" s="53" t="n">
        <f aca="false">D246*K246</f>
        <v>68044.8</v>
      </c>
      <c r="M246" s="48" t="s">
        <v>29</v>
      </c>
      <c r="N246" s="52" t="n">
        <v>17540.9</v>
      </c>
      <c r="O246" s="53" t="n">
        <f aca="false">D246*N246</f>
        <v>70163.6</v>
      </c>
      <c r="P246" s="54" t="n">
        <f aca="false">AVERAGE(H246,K246,N246)</f>
        <v>17236.7444444444</v>
      </c>
      <c r="Q246" s="55" t="n">
        <f aca="false">F246*100/P246-100</f>
        <v>-0.510911122040966</v>
      </c>
      <c r="R246" s="54" t="n">
        <f aca="false">D246*F246</f>
        <v>68594.72</v>
      </c>
      <c r="S246" s="56"/>
      <c r="U246" s="57" t="n">
        <f aca="false">ROUND(H246*100/P246-100,0)</f>
        <v>-0</v>
      </c>
      <c r="V246" s="57" t="n">
        <f aca="false">ROUND(K246*100/P246-100,0)</f>
        <v>-1</v>
      </c>
      <c r="W246" s="57" t="n">
        <f aca="false">ROUND(N246*100/P246-100,0)</f>
        <v>2</v>
      </c>
      <c r="Y246" s="43" t="n">
        <v>239</v>
      </c>
    </row>
    <row r="247" s="43" customFormat="true" ht="73.5" hidden="false" customHeight="true" outlineLevel="0" collapsed="false">
      <c r="A247" s="45" t="n">
        <v>245</v>
      </c>
      <c r="B247" s="46" t="s">
        <v>350</v>
      </c>
      <c r="C247" s="47" t="s">
        <v>25</v>
      </c>
      <c r="D247" s="48" t="n">
        <v>30</v>
      </c>
      <c r="E247" s="49" t="n">
        <v>908.32</v>
      </c>
      <c r="F247" s="50" t="n">
        <v>1243.98</v>
      </c>
      <c r="G247" s="47" t="s">
        <v>27</v>
      </c>
      <c r="H247" s="52" t="n">
        <f aca="false">1554.7/1.2</f>
        <v>1295.58333333333</v>
      </c>
      <c r="I247" s="53" t="n">
        <f aca="false">D247*H247</f>
        <v>38867.5</v>
      </c>
      <c r="J247" s="53" t="s">
        <v>28</v>
      </c>
      <c r="K247" s="52" t="n">
        <v>1315.14</v>
      </c>
      <c r="L247" s="53" t="n">
        <f aca="false">D247*K247</f>
        <v>39454.2</v>
      </c>
      <c r="M247" s="48" t="s">
        <v>29</v>
      </c>
      <c r="N247" s="52" t="n">
        <v>1205.4</v>
      </c>
      <c r="O247" s="53" t="n">
        <f aca="false">D247*N247</f>
        <v>36162</v>
      </c>
      <c r="P247" s="54" t="n">
        <f aca="false">AVERAGE(H247,K247,N247)</f>
        <v>1272.04111111111</v>
      </c>
      <c r="Q247" s="55" t="n">
        <f aca="false">F247*100/P247-100</f>
        <v>-2.20599089652066</v>
      </c>
      <c r="R247" s="54" t="n">
        <f aca="false">D247*F247</f>
        <v>37319.4</v>
      </c>
      <c r="S247" s="56"/>
      <c r="U247" s="57" t="n">
        <f aca="false">ROUND(H247*100/P247-100,0)</f>
        <v>2</v>
      </c>
      <c r="V247" s="57" t="n">
        <f aca="false">ROUND(K247*100/P247-100,0)</f>
        <v>3</v>
      </c>
      <c r="W247" s="57" t="n">
        <f aca="false">ROUND(N247*100/P247-100,0)</f>
        <v>-5</v>
      </c>
      <c r="Y247" s="43" t="n">
        <v>240</v>
      </c>
    </row>
    <row r="248" s="43" customFormat="true" ht="73.5" hidden="false" customHeight="true" outlineLevel="0" collapsed="false">
      <c r="A248" s="45" t="n">
        <v>246</v>
      </c>
      <c r="B248" s="46" t="s">
        <v>351</v>
      </c>
      <c r="C248" s="47" t="s">
        <v>25</v>
      </c>
      <c r="D248" s="48" t="n">
        <v>28</v>
      </c>
      <c r="E248" s="49" t="n">
        <v>538.14</v>
      </c>
      <c r="F248" s="50" t="n">
        <v>582.31</v>
      </c>
      <c r="G248" s="47" t="s">
        <v>27</v>
      </c>
      <c r="H248" s="52" t="n">
        <f aca="false">665.84/1.2</f>
        <v>554.866666666667</v>
      </c>
      <c r="I248" s="53" t="n">
        <f aca="false">D248*H248</f>
        <v>15536.2666666667</v>
      </c>
      <c r="J248" s="53" t="s">
        <v>28</v>
      </c>
      <c r="K248" s="52" t="n">
        <v>597.45</v>
      </c>
      <c r="L248" s="53" t="n">
        <f aca="false">D248*K248</f>
        <v>16728.6</v>
      </c>
      <c r="M248" s="48" t="s">
        <v>29</v>
      </c>
      <c r="N248" s="52" t="n">
        <v>611.65</v>
      </c>
      <c r="O248" s="53" t="n">
        <f aca="false">D248*N248</f>
        <v>17126.2</v>
      </c>
      <c r="P248" s="54" t="n">
        <f aca="false">AVERAGE(H248,K248,N248)</f>
        <v>587.988888888889</v>
      </c>
      <c r="Q248" s="55" t="n">
        <f aca="false">F248*100/P248-100</f>
        <v>-0.96581568056844</v>
      </c>
      <c r="R248" s="54" t="n">
        <f aca="false">D248*F248</f>
        <v>16304.68</v>
      </c>
      <c r="S248" s="56"/>
      <c r="U248" s="57" t="n">
        <f aca="false">ROUND(H248*100/P248-100,0)</f>
        <v>-6</v>
      </c>
      <c r="V248" s="57" t="n">
        <f aca="false">ROUND(K248*100/P248-100,0)</f>
        <v>2</v>
      </c>
      <c r="W248" s="57" t="n">
        <f aca="false">ROUND(N248*100/P248-100,0)</f>
        <v>4</v>
      </c>
      <c r="Y248" s="43" t="n">
        <v>241</v>
      </c>
    </row>
    <row r="249" s="43" customFormat="true" ht="73.5" hidden="false" customHeight="true" outlineLevel="0" collapsed="false">
      <c r="A249" s="45" t="n">
        <v>247</v>
      </c>
      <c r="B249" s="46" t="s">
        <v>352</v>
      </c>
      <c r="C249" s="47" t="s">
        <v>25</v>
      </c>
      <c r="D249" s="48" t="s">
        <v>353</v>
      </c>
      <c r="E249" s="49" t="n">
        <v>5021.69</v>
      </c>
      <c r="F249" s="50" t="n">
        <v>6401.45</v>
      </c>
      <c r="G249" s="47" t="s">
        <v>27</v>
      </c>
      <c r="H249" s="52" t="n">
        <f aca="false">7634.96/1.2</f>
        <v>6362.46666666667</v>
      </c>
      <c r="I249" s="53" t="n">
        <f aca="false">D249*H249</f>
        <v>101799.466666667</v>
      </c>
      <c r="J249" s="53" t="s">
        <v>28</v>
      </c>
      <c r="K249" s="52" t="n">
        <v>6500.77</v>
      </c>
      <c r="L249" s="53" t="n">
        <f aca="false">D249*K249</f>
        <v>104012.32</v>
      </c>
      <c r="M249" s="48" t="s">
        <v>29</v>
      </c>
      <c r="N249" s="52" t="n">
        <v>6412.9</v>
      </c>
      <c r="O249" s="53" t="n">
        <f aca="false">D249*N249</f>
        <v>102606.4</v>
      </c>
      <c r="P249" s="54" t="n">
        <f aca="false">AVERAGE(H249,K249,N249)</f>
        <v>6425.37888888889</v>
      </c>
      <c r="Q249" s="55" t="n">
        <f aca="false">F249*100/P249-100</f>
        <v>-0.372412106782804</v>
      </c>
      <c r="R249" s="54" t="n">
        <f aca="false">D249*F249</f>
        <v>102423.2</v>
      </c>
      <c r="S249" s="56"/>
      <c r="U249" s="57" t="n">
        <f aca="false">ROUND(H249*100/P249-100,0)</f>
        <v>-1</v>
      </c>
      <c r="V249" s="57" t="n">
        <f aca="false">ROUND(K249*100/P249-100,0)</f>
        <v>1</v>
      </c>
      <c r="W249" s="57" t="n">
        <f aca="false">ROUND(N249*100/P249-100,0)</f>
        <v>-0</v>
      </c>
      <c r="Y249" s="43" t="n">
        <v>242</v>
      </c>
    </row>
    <row r="250" s="43" customFormat="true" ht="73.5" hidden="false" customHeight="true" outlineLevel="0" collapsed="false">
      <c r="A250" s="45" t="n">
        <v>248</v>
      </c>
      <c r="B250" s="46" t="s">
        <v>354</v>
      </c>
      <c r="C250" s="47" t="s">
        <v>25</v>
      </c>
      <c r="D250" s="48" t="n">
        <v>9</v>
      </c>
      <c r="E250" s="49" t="n">
        <v>5408.87</v>
      </c>
      <c r="F250" s="50" t="n">
        <v>6620.5</v>
      </c>
      <c r="G250" s="47" t="s">
        <v>27</v>
      </c>
      <c r="H250" s="52" t="n">
        <f aca="false">7723.18/1.2</f>
        <v>6435.98333333333</v>
      </c>
      <c r="I250" s="53" t="n">
        <f aca="false">D250*H250</f>
        <v>57923.85</v>
      </c>
      <c r="J250" s="53" t="s">
        <v>28</v>
      </c>
      <c r="K250" s="52" t="n">
        <v>6705.7</v>
      </c>
      <c r="L250" s="53" t="n">
        <f aca="false">D250*K250</f>
        <v>60351.3</v>
      </c>
      <c r="M250" s="48" t="s">
        <v>29</v>
      </c>
      <c r="N250" s="52" t="n">
        <v>6944.66</v>
      </c>
      <c r="O250" s="53" t="n">
        <f aca="false">D250*N250</f>
        <v>62501.94</v>
      </c>
      <c r="P250" s="54" t="n">
        <f aca="false">AVERAGE(H250,K250,N250)</f>
        <v>6695.44777777778</v>
      </c>
      <c r="Q250" s="55" t="n">
        <f aca="false">F250*100/P250-100</f>
        <v>-1.11938409894751</v>
      </c>
      <c r="R250" s="54" t="n">
        <f aca="false">D250*F250</f>
        <v>59584.5</v>
      </c>
      <c r="S250" s="56"/>
      <c r="U250" s="57" t="n">
        <f aca="false">ROUND(H250*100/P250-100,0)</f>
        <v>-4</v>
      </c>
      <c r="V250" s="57" t="n">
        <f aca="false">ROUND(K250*100/P250-100,0)</f>
        <v>0</v>
      </c>
      <c r="W250" s="57" t="n">
        <f aca="false">ROUND(N250*100/P250-100,0)</f>
        <v>4</v>
      </c>
      <c r="Y250" s="43" t="n">
        <v>243</v>
      </c>
    </row>
    <row r="251" s="43" customFormat="true" ht="109.5" hidden="false" customHeight="true" outlineLevel="0" collapsed="false">
      <c r="A251" s="45" t="n">
        <v>249</v>
      </c>
      <c r="B251" s="46" t="s">
        <v>355</v>
      </c>
      <c r="C251" s="47" t="s">
        <v>25</v>
      </c>
      <c r="D251" s="48" t="s">
        <v>356</v>
      </c>
      <c r="E251" s="49" t="s">
        <v>26</v>
      </c>
      <c r="F251" s="50" t="n">
        <v>17795.68</v>
      </c>
      <c r="G251" s="47" t="s">
        <v>27</v>
      </c>
      <c r="H251" s="52" t="n">
        <v>17031.56</v>
      </c>
      <c r="I251" s="53" t="n">
        <f aca="false">D251*H251</f>
        <v>323599.64</v>
      </c>
      <c r="J251" s="53" t="s">
        <v>28</v>
      </c>
      <c r="K251" s="52" t="n">
        <v>17950.8</v>
      </c>
      <c r="L251" s="53" t="n">
        <f aca="false">D251*K251</f>
        <v>341065.2</v>
      </c>
      <c r="M251" s="48" t="s">
        <v>29</v>
      </c>
      <c r="N251" s="52" t="n">
        <v>18500.4</v>
      </c>
      <c r="O251" s="53" t="n">
        <f aca="false">D251*N251</f>
        <v>351507.6</v>
      </c>
      <c r="P251" s="54" t="n">
        <f aca="false">AVERAGE(H251,K251,N251)</f>
        <v>17827.5866666667</v>
      </c>
      <c r="Q251" s="55" t="n">
        <f aca="false">F251*100/P251-100</f>
        <v>-0.178973560825952</v>
      </c>
      <c r="R251" s="54" t="n">
        <f aca="false">D251*F251</f>
        <v>338117.92</v>
      </c>
      <c r="S251" s="56"/>
      <c r="U251" s="57" t="n">
        <f aca="false">ROUND(H251*100/P251-100,0)</f>
        <v>-4</v>
      </c>
      <c r="V251" s="57" t="n">
        <f aca="false">ROUND(K251*100/P251-100,0)</f>
        <v>1</v>
      </c>
      <c r="W251" s="57" t="n">
        <f aca="false">ROUND(N251*100/P251-100,0)</f>
        <v>4</v>
      </c>
      <c r="Y251" s="43" t="n">
        <v>244</v>
      </c>
    </row>
    <row r="252" s="43" customFormat="true" ht="73.5" hidden="false" customHeight="true" outlineLevel="0" collapsed="false">
      <c r="A252" s="45" t="n">
        <v>250</v>
      </c>
      <c r="B252" s="46" t="s">
        <v>357</v>
      </c>
      <c r="C252" s="47" t="s">
        <v>25</v>
      </c>
      <c r="D252" s="48" t="n">
        <v>186</v>
      </c>
      <c r="E252" s="49" t="s">
        <v>26</v>
      </c>
      <c r="F252" s="50" t="n">
        <v>6160.34</v>
      </c>
      <c r="G252" s="47" t="s">
        <v>27</v>
      </c>
      <c r="H252" s="52" t="n">
        <f aca="false">7116.72/1.2</f>
        <v>5930.6</v>
      </c>
      <c r="I252" s="53" t="n">
        <f aca="false">D252*H252</f>
        <v>1103091.6</v>
      </c>
      <c r="J252" s="53" t="s">
        <v>28</v>
      </c>
      <c r="K252" s="52" t="n">
        <v>6254.69</v>
      </c>
      <c r="L252" s="53" t="n">
        <f aca="false">D252*K252</f>
        <v>1163372.34</v>
      </c>
      <c r="M252" s="48" t="s">
        <v>29</v>
      </c>
      <c r="N252" s="52" t="n">
        <v>6411.33</v>
      </c>
      <c r="O252" s="53" t="n">
        <f aca="false">D252*N252</f>
        <v>1192507.38</v>
      </c>
      <c r="P252" s="54" t="n">
        <f aca="false">AVERAGE(H252,K252,N252)</f>
        <v>6198.87333333333</v>
      </c>
      <c r="Q252" s="55" t="n">
        <f aca="false">F252*100/P252-100</f>
        <v>-0.621618337095654</v>
      </c>
      <c r="R252" s="54" t="n">
        <f aca="false">D252*F252</f>
        <v>1145823.24</v>
      </c>
      <c r="S252" s="56"/>
      <c r="U252" s="57" t="n">
        <f aca="false">ROUND(H252*100/P252-100,0)</f>
        <v>-4</v>
      </c>
      <c r="V252" s="57" t="n">
        <f aca="false">ROUND(K252*100/P252-100,0)</f>
        <v>1</v>
      </c>
      <c r="W252" s="57" t="n">
        <f aca="false">ROUND(N252*100/P252-100,0)</f>
        <v>3</v>
      </c>
      <c r="Y252" s="43" t="n">
        <v>245</v>
      </c>
    </row>
    <row r="253" s="43" customFormat="true" ht="73.5" hidden="false" customHeight="true" outlineLevel="0" collapsed="false">
      <c r="A253" s="45" t="n">
        <v>251</v>
      </c>
      <c r="B253" s="46" t="s">
        <v>358</v>
      </c>
      <c r="C253" s="47" t="s">
        <v>25</v>
      </c>
      <c r="D253" s="48" t="n">
        <v>3</v>
      </c>
      <c r="E253" s="49" t="n">
        <v>579.41</v>
      </c>
      <c r="F253" s="50" t="n">
        <v>803.64</v>
      </c>
      <c r="G253" s="47" t="s">
        <v>27</v>
      </c>
      <c r="H253" s="52" t="n">
        <f aca="false">977.24/1.2</f>
        <v>814.366666666667</v>
      </c>
      <c r="I253" s="53" t="n">
        <f aca="false">D253*H253</f>
        <v>2443.1</v>
      </c>
      <c r="J253" s="53" t="s">
        <v>28</v>
      </c>
      <c r="K253" s="52" t="n">
        <v>847.5</v>
      </c>
      <c r="L253" s="53" t="n">
        <f aca="false">D253*K253</f>
        <v>2542.5</v>
      </c>
      <c r="M253" s="48" t="s">
        <v>29</v>
      </c>
      <c r="N253" s="52" t="n">
        <v>802.4</v>
      </c>
      <c r="O253" s="53" t="n">
        <f aca="false">D253*N253</f>
        <v>2407.2</v>
      </c>
      <c r="P253" s="54" t="n">
        <f aca="false">AVERAGE(H253,K253,N253)</f>
        <v>821.422222222222</v>
      </c>
      <c r="Q253" s="55" t="n">
        <f aca="false">F253*100/P253-100</f>
        <v>-2.16480900335461</v>
      </c>
      <c r="R253" s="54" t="n">
        <f aca="false">D253*F253</f>
        <v>2410.92</v>
      </c>
      <c r="S253" s="56"/>
      <c r="U253" s="57" t="n">
        <f aca="false">ROUND(H253*100/P253-100,0)</f>
        <v>-1</v>
      </c>
      <c r="V253" s="57" t="n">
        <f aca="false">ROUND(K253*100/P253-100,0)</f>
        <v>3</v>
      </c>
      <c r="W253" s="57" t="n">
        <f aca="false">ROUND(N253*100/P253-100,0)</f>
        <v>-2</v>
      </c>
      <c r="Y253" s="43" t="n">
        <v>246</v>
      </c>
    </row>
    <row r="254" s="43" customFormat="true" ht="73.5" hidden="false" customHeight="true" outlineLevel="0" collapsed="false">
      <c r="A254" s="45" t="n">
        <v>252</v>
      </c>
      <c r="B254" s="46" t="s">
        <v>359</v>
      </c>
      <c r="C254" s="47" t="s">
        <v>25</v>
      </c>
      <c r="D254" s="48" t="n">
        <v>5</v>
      </c>
      <c r="E254" s="49" t="n">
        <v>5309.58</v>
      </c>
      <c r="F254" s="50" t="n">
        <v>6504.74</v>
      </c>
      <c r="G254" s="47" t="s">
        <v>27</v>
      </c>
      <c r="H254" s="52" t="n">
        <f aca="false">7779.68/1.2</f>
        <v>6483.06666666667</v>
      </c>
      <c r="I254" s="53" t="n">
        <f aca="false">D254*H254</f>
        <v>32415.3333333333</v>
      </c>
      <c r="J254" s="53" t="s">
        <v>28</v>
      </c>
      <c r="K254" s="52" t="n">
        <v>6402.14</v>
      </c>
      <c r="L254" s="53" t="n">
        <f aca="false">D254*K254</f>
        <v>32010.7</v>
      </c>
      <c r="M254" s="48" t="s">
        <v>29</v>
      </c>
      <c r="N254" s="52" t="n">
        <v>6755.82</v>
      </c>
      <c r="O254" s="53" t="n">
        <f aca="false">D254*N254</f>
        <v>33779.1</v>
      </c>
      <c r="P254" s="54" t="n">
        <f aca="false">AVERAGE(H254,K254,N254)</f>
        <v>6547.00888888889</v>
      </c>
      <c r="Q254" s="55" t="n">
        <f aca="false">F254*100/P254-100</f>
        <v>-0.645621376207771</v>
      </c>
      <c r="R254" s="54" t="n">
        <f aca="false">D254*F254</f>
        <v>32523.7</v>
      </c>
      <c r="S254" s="56"/>
      <c r="U254" s="57" t="n">
        <f aca="false">ROUND(H254*100/P254-100,0)</f>
        <v>-1</v>
      </c>
      <c r="V254" s="57" t="n">
        <f aca="false">ROUND(K254*100/P254-100,0)</f>
        <v>-2</v>
      </c>
      <c r="W254" s="57" t="n">
        <f aca="false">ROUND(N254*100/P254-100,0)</f>
        <v>3</v>
      </c>
      <c r="Y254" s="43" t="n">
        <v>247</v>
      </c>
    </row>
    <row r="255" s="43" customFormat="true" ht="73.5" hidden="false" customHeight="true" outlineLevel="0" collapsed="false">
      <c r="A255" s="45" t="n">
        <v>253</v>
      </c>
      <c r="B255" s="46" t="s">
        <v>360</v>
      </c>
      <c r="C255" s="47" t="s">
        <v>25</v>
      </c>
      <c r="D255" s="48" t="n">
        <v>26</v>
      </c>
      <c r="E255" s="49" t="n">
        <v>9120.17</v>
      </c>
      <c r="F255" s="50" t="n">
        <v>11227.31</v>
      </c>
      <c r="G255" s="47" t="s">
        <v>27</v>
      </c>
      <c r="H255" s="52" t="n">
        <f aca="false">13531.04/1.2</f>
        <v>11275.8666666667</v>
      </c>
      <c r="I255" s="53" t="n">
        <f aca="false">D255*H255</f>
        <v>293172.533333333</v>
      </c>
      <c r="J255" s="53" t="s">
        <v>28</v>
      </c>
      <c r="K255" s="52" t="n">
        <v>11489.66</v>
      </c>
      <c r="L255" s="53" t="n">
        <f aca="false">D255*K255</f>
        <v>298731.16</v>
      </c>
      <c r="M255" s="48" t="s">
        <v>29</v>
      </c>
      <c r="N255" s="52" t="n">
        <v>11020.45</v>
      </c>
      <c r="O255" s="53" t="n">
        <f aca="false">D255*N255</f>
        <v>286531.7</v>
      </c>
      <c r="P255" s="54" t="n">
        <f aca="false">AVERAGE(H255,K255,N255)</f>
        <v>11261.9922222222</v>
      </c>
      <c r="Q255" s="55" t="n">
        <f aca="false">F255*100/P255-100</f>
        <v>-0.307958143975526</v>
      </c>
      <c r="R255" s="54" t="n">
        <f aca="false">D255*F255</f>
        <v>291910.06</v>
      </c>
      <c r="S255" s="56"/>
      <c r="U255" s="57" t="n">
        <f aca="false">ROUND(H255*100/P255-100,0)</f>
        <v>0</v>
      </c>
      <c r="V255" s="57" t="n">
        <f aca="false">ROUND(K255*100/P255-100,0)</f>
        <v>2</v>
      </c>
      <c r="W255" s="57" t="n">
        <f aca="false">ROUND(N255*100/P255-100,0)</f>
        <v>-2</v>
      </c>
      <c r="Y255" s="43" t="n">
        <v>248</v>
      </c>
    </row>
    <row r="256" s="43" customFormat="true" ht="73.5" hidden="false" customHeight="true" outlineLevel="0" collapsed="false">
      <c r="A256" s="45" t="n">
        <v>254</v>
      </c>
      <c r="B256" s="46" t="s">
        <v>361</v>
      </c>
      <c r="C256" s="47" t="s">
        <v>25</v>
      </c>
      <c r="D256" s="48" t="n">
        <v>20</v>
      </c>
      <c r="E256" s="49" t="n">
        <v>11632.86</v>
      </c>
      <c r="F256" s="50" t="n">
        <v>13102.47</v>
      </c>
      <c r="G256" s="47" t="s">
        <v>27</v>
      </c>
      <c r="H256" s="52" t="n">
        <f aca="false">15620.43/1.2</f>
        <v>13017.025</v>
      </c>
      <c r="I256" s="53" t="n">
        <f aca="false">D256*H256</f>
        <v>260340.5</v>
      </c>
      <c r="J256" s="53" t="s">
        <v>28</v>
      </c>
      <c r="K256" s="52" t="n">
        <v>12950.42</v>
      </c>
      <c r="L256" s="53" t="n">
        <f aca="false">D256*K256</f>
        <v>259008.4</v>
      </c>
      <c r="M256" s="48" t="s">
        <v>29</v>
      </c>
      <c r="N256" s="52" t="n">
        <v>13451.61</v>
      </c>
      <c r="O256" s="53" t="n">
        <f aca="false">D256*N256</f>
        <v>269032.2</v>
      </c>
      <c r="P256" s="54" t="n">
        <f aca="false">AVERAGE(H256,K256,N256)</f>
        <v>13139.685</v>
      </c>
      <c r="Q256" s="55" t="n">
        <f aca="false">F256*100/P256-100</f>
        <v>-0.283225967745793</v>
      </c>
      <c r="R256" s="54" t="n">
        <f aca="false">D256*F256</f>
        <v>262049.4</v>
      </c>
      <c r="S256" s="56"/>
      <c r="U256" s="57" t="n">
        <f aca="false">ROUND(H256*100/P256-100,0)</f>
        <v>-1</v>
      </c>
      <c r="V256" s="57" t="n">
        <f aca="false">ROUND(K256*100/P256-100,0)</f>
        <v>-1</v>
      </c>
      <c r="W256" s="57" t="n">
        <f aca="false">ROUND(N256*100/P256-100,0)</f>
        <v>2</v>
      </c>
      <c r="Y256" s="43" t="n">
        <v>249</v>
      </c>
    </row>
    <row r="257" s="43" customFormat="true" ht="73.5" hidden="false" customHeight="true" outlineLevel="0" collapsed="false">
      <c r="A257" s="45" t="n">
        <v>255</v>
      </c>
      <c r="B257" s="46" t="s">
        <v>362</v>
      </c>
      <c r="C257" s="47" t="s">
        <v>25</v>
      </c>
      <c r="D257" s="48" t="n">
        <v>6</v>
      </c>
      <c r="E257" s="49" t="n">
        <v>8036.34</v>
      </c>
      <c r="F257" s="50" t="n">
        <v>9723.4</v>
      </c>
      <c r="G257" s="47" t="s">
        <v>27</v>
      </c>
      <c r="H257" s="52" t="n">
        <f aca="false">11643.9/1.2</f>
        <v>9703.25</v>
      </c>
      <c r="I257" s="53" t="n">
        <f aca="false">D257*H257</f>
        <v>58219.5</v>
      </c>
      <c r="J257" s="53" t="s">
        <v>28</v>
      </c>
      <c r="K257" s="52" t="n">
        <v>9670.9</v>
      </c>
      <c r="L257" s="53" t="n">
        <f aca="false">D257*K257</f>
        <v>58025.4</v>
      </c>
      <c r="M257" s="48" t="s">
        <v>29</v>
      </c>
      <c r="N257" s="52" t="n">
        <v>9977.47</v>
      </c>
      <c r="O257" s="53" t="n">
        <f aca="false">D257*N257</f>
        <v>59864.82</v>
      </c>
      <c r="P257" s="54" t="n">
        <f aca="false">AVERAGE(H257,K257,N257)</f>
        <v>9783.87333333333</v>
      </c>
      <c r="Q257" s="55" t="n">
        <f aca="false">F257*100/P257-100</f>
        <v>-0.618091948587505</v>
      </c>
      <c r="R257" s="54" t="n">
        <f aca="false">D257*F257</f>
        <v>58340.4</v>
      </c>
      <c r="S257" s="56"/>
      <c r="U257" s="57" t="n">
        <f aca="false">ROUND(H257*100/P257-100,0)</f>
        <v>-1</v>
      </c>
      <c r="V257" s="57" t="n">
        <f aca="false">ROUND(K257*100/P257-100,0)</f>
        <v>-1</v>
      </c>
      <c r="W257" s="57" t="n">
        <f aca="false">ROUND(N257*100/P257-100,0)</f>
        <v>2</v>
      </c>
      <c r="Y257" s="43" t="n">
        <v>250</v>
      </c>
    </row>
    <row r="258" s="43" customFormat="true" ht="73.5" hidden="false" customHeight="true" outlineLevel="0" collapsed="false">
      <c r="A258" s="45" t="n">
        <v>256</v>
      </c>
      <c r="B258" s="46" t="s">
        <v>363</v>
      </c>
      <c r="C258" s="47" t="s">
        <v>25</v>
      </c>
      <c r="D258" s="48" t="n">
        <v>7</v>
      </c>
      <c r="E258" s="49" t="n">
        <v>31232.91</v>
      </c>
      <c r="F258" s="50" t="n">
        <v>37685.88</v>
      </c>
      <c r="G258" s="47" t="s">
        <v>27</v>
      </c>
      <c r="H258" s="52" t="n">
        <f aca="false">45140.87/1.2</f>
        <v>37617.3916666667</v>
      </c>
      <c r="I258" s="53" t="n">
        <f aca="false">D258*H258</f>
        <v>263321.741666667</v>
      </c>
      <c r="J258" s="53" t="s">
        <v>28</v>
      </c>
      <c r="K258" s="52" t="n">
        <v>36970.31</v>
      </c>
      <c r="L258" s="53" t="n">
        <f aca="false">D258*K258</f>
        <v>258792.17</v>
      </c>
      <c r="M258" s="48" t="s">
        <v>29</v>
      </c>
      <c r="N258" s="52" t="n">
        <v>38780.3</v>
      </c>
      <c r="O258" s="53" t="n">
        <f aca="false">D258*N258</f>
        <v>271462.1</v>
      </c>
      <c r="P258" s="54" t="n">
        <f aca="false">AVERAGE(H258,K258,N258)</f>
        <v>37789.3338888889</v>
      </c>
      <c r="Q258" s="55" t="n">
        <f aca="false">F258*100/P258-100</f>
        <v>-0.273764785569071</v>
      </c>
      <c r="R258" s="54" t="n">
        <f aca="false">D258*F258</f>
        <v>263801.16</v>
      </c>
      <c r="S258" s="56"/>
      <c r="U258" s="57" t="n">
        <f aca="false">ROUND(H258*100/P258-100,0)</f>
        <v>-0</v>
      </c>
      <c r="V258" s="57" t="n">
        <f aca="false">ROUND(K258*100/P258-100,0)</f>
        <v>-2</v>
      </c>
      <c r="W258" s="57" t="n">
        <f aca="false">ROUND(N258*100/P258-100,0)</f>
        <v>3</v>
      </c>
      <c r="Y258" s="43" t="n">
        <v>251</v>
      </c>
    </row>
    <row r="259" s="43" customFormat="true" ht="73.5" hidden="false" customHeight="true" outlineLevel="0" collapsed="false">
      <c r="A259" s="45" t="n">
        <v>257</v>
      </c>
      <c r="B259" s="46" t="s">
        <v>364</v>
      </c>
      <c r="C259" s="47" t="s">
        <v>25</v>
      </c>
      <c r="D259" s="48" t="n">
        <v>96</v>
      </c>
      <c r="E259" s="49" t="n">
        <v>11893.48</v>
      </c>
      <c r="F259" s="50" t="n">
        <v>14297.31</v>
      </c>
      <c r="G259" s="47" t="s">
        <v>27</v>
      </c>
      <c r="H259" s="52" t="n">
        <f aca="false">16365.36/1.2</f>
        <v>13637.8</v>
      </c>
      <c r="I259" s="53" t="n">
        <f aca="false">D259*H259</f>
        <v>1309228.8</v>
      </c>
      <c r="J259" s="53" t="s">
        <v>28</v>
      </c>
      <c r="K259" s="52" t="n">
        <v>14945.88</v>
      </c>
      <c r="L259" s="53" t="n">
        <f aca="false">D259*K259</f>
        <v>1434804.48</v>
      </c>
      <c r="M259" s="48" t="s">
        <v>29</v>
      </c>
      <c r="N259" s="52" t="n">
        <v>14511.7</v>
      </c>
      <c r="O259" s="53" t="n">
        <f aca="false">D259*N259</f>
        <v>1393123.2</v>
      </c>
      <c r="P259" s="54" t="n">
        <f aca="false">AVERAGE(H259,K259,N259)</f>
        <v>14365.1266666667</v>
      </c>
      <c r="Q259" s="55" t="n">
        <f aca="false">F259*100/P259-100</f>
        <v>-0.472092368137851</v>
      </c>
      <c r="R259" s="54" t="n">
        <f aca="false">D259*F259</f>
        <v>1372541.76</v>
      </c>
      <c r="S259" s="56"/>
      <c r="U259" s="57" t="n">
        <f aca="false">ROUND(H259*100/P259-100,0)</f>
        <v>-5</v>
      </c>
      <c r="V259" s="57" t="n">
        <f aca="false">ROUND(K259*100/P259-100,0)</f>
        <v>4</v>
      </c>
      <c r="W259" s="57" t="n">
        <f aca="false">ROUND(N259*100/P259-100,0)</f>
        <v>1</v>
      </c>
      <c r="Y259" s="43" t="n">
        <v>252</v>
      </c>
    </row>
    <row r="260" s="43" customFormat="true" ht="73.5" hidden="false" customHeight="true" outlineLevel="0" collapsed="false">
      <c r="A260" s="45" t="n">
        <v>258</v>
      </c>
      <c r="B260" s="46" t="s">
        <v>365</v>
      </c>
      <c r="C260" s="47" t="s">
        <v>25</v>
      </c>
      <c r="D260" s="48" t="n">
        <v>20</v>
      </c>
      <c r="E260" s="49" t="n">
        <v>8750.09</v>
      </c>
      <c r="F260" s="50" t="n">
        <v>10989.9</v>
      </c>
      <c r="G260" s="47" t="s">
        <v>27</v>
      </c>
      <c r="H260" s="52" t="n">
        <f aca="false">12703.22/1.2</f>
        <v>10586.0166666667</v>
      </c>
      <c r="I260" s="53" t="n">
        <f aca="false">D260*H260</f>
        <v>211720.333333333</v>
      </c>
      <c r="J260" s="53" t="s">
        <v>28</v>
      </c>
      <c r="K260" s="52" t="n">
        <v>11600.4</v>
      </c>
      <c r="L260" s="53" t="n">
        <f aca="false">D260*K260</f>
        <v>232008</v>
      </c>
      <c r="M260" s="48" t="s">
        <v>29</v>
      </c>
      <c r="N260" s="52" t="n">
        <v>10945.3</v>
      </c>
      <c r="O260" s="53" t="n">
        <f aca="false">D260*N260</f>
        <v>218906</v>
      </c>
      <c r="P260" s="54" t="n">
        <f aca="false">AVERAGE(H260,K260,N260)</f>
        <v>11043.9055555556</v>
      </c>
      <c r="Q260" s="55" t="n">
        <f aca="false">F260*100/P260-100</f>
        <v>-0.489007763457266</v>
      </c>
      <c r="R260" s="54" t="n">
        <f aca="false">D260*F260</f>
        <v>219798</v>
      </c>
      <c r="S260" s="56"/>
      <c r="U260" s="57" t="n">
        <f aca="false">ROUND(H260*100/P260-100,0)</f>
        <v>-4</v>
      </c>
      <c r="V260" s="57" t="n">
        <f aca="false">ROUND(K260*100/P260-100,0)</f>
        <v>5</v>
      </c>
      <c r="W260" s="57" t="n">
        <f aca="false">ROUND(N260*100/P260-100,0)</f>
        <v>-1</v>
      </c>
      <c r="Y260" s="43" t="n">
        <v>253</v>
      </c>
    </row>
    <row r="261" s="43" customFormat="true" ht="73.5" hidden="false" customHeight="true" outlineLevel="0" collapsed="false">
      <c r="A261" s="45" t="n">
        <v>261</v>
      </c>
      <c r="B261" s="46" t="s">
        <v>366</v>
      </c>
      <c r="C261" s="47" t="s">
        <v>25</v>
      </c>
      <c r="D261" s="48" t="n">
        <v>2</v>
      </c>
      <c r="E261" s="49" t="n">
        <v>13979.66</v>
      </c>
      <c r="F261" s="50" t="n">
        <v>18180.7</v>
      </c>
      <c r="G261" s="47" t="s">
        <v>27</v>
      </c>
      <c r="H261" s="52" t="n">
        <f aca="false">20730.05/1.2</f>
        <v>17275.0416666667</v>
      </c>
      <c r="I261" s="53" t="n">
        <f aca="false">D261*H261</f>
        <v>34550.0833333333</v>
      </c>
      <c r="J261" s="53" t="s">
        <v>28</v>
      </c>
      <c r="K261" s="52" t="n">
        <v>18056.72</v>
      </c>
      <c r="L261" s="53" t="n">
        <f aca="false">D261*K261</f>
        <v>36113.44</v>
      </c>
      <c r="M261" s="48" t="s">
        <v>29</v>
      </c>
      <c r="N261" s="52" t="n">
        <v>19401.5</v>
      </c>
      <c r="O261" s="53" t="n">
        <f aca="false">D261*N261</f>
        <v>38803</v>
      </c>
      <c r="P261" s="54" t="n">
        <f aca="false">AVERAGE(H261,K261,N261)</f>
        <v>18244.4205555556</v>
      </c>
      <c r="Q261" s="55" t="n">
        <f aca="false">F261*100/P261-100</f>
        <v>-0.349260506035378</v>
      </c>
      <c r="R261" s="54" t="n">
        <f aca="false">D261*F261</f>
        <v>36361.4</v>
      </c>
      <c r="S261" s="56"/>
      <c r="U261" s="57" t="n">
        <f aca="false">ROUND(H261*100/P261-100,0)</f>
        <v>-5</v>
      </c>
      <c r="V261" s="57" t="n">
        <f aca="false">ROUND(K261*100/P261-100,0)</f>
        <v>-1</v>
      </c>
      <c r="W261" s="57" t="n">
        <f aca="false">ROUND(N261*100/P261-100,0)</f>
        <v>6</v>
      </c>
      <c r="Y261" s="43" t="n">
        <v>254</v>
      </c>
    </row>
    <row r="262" s="43" customFormat="true" ht="73.5" hidden="false" customHeight="true" outlineLevel="0" collapsed="false">
      <c r="A262" s="45" t="n">
        <v>262</v>
      </c>
      <c r="B262" s="46" t="s">
        <v>367</v>
      </c>
      <c r="C262" s="47" t="s">
        <v>25</v>
      </c>
      <c r="D262" s="48" t="n">
        <v>2</v>
      </c>
      <c r="E262" s="49" t="n">
        <v>12812.23</v>
      </c>
      <c r="F262" s="50" t="n">
        <v>15497.6</v>
      </c>
      <c r="G262" s="47" t="s">
        <v>27</v>
      </c>
      <c r="H262" s="52" t="n">
        <f aca="false">19032.94/1.2</f>
        <v>15860.7833333333</v>
      </c>
      <c r="I262" s="53" t="n">
        <f aca="false">D262*H262</f>
        <v>31721.5666666667</v>
      </c>
      <c r="J262" s="53" t="s">
        <v>28</v>
      </c>
      <c r="K262" s="52" t="n">
        <v>15002.64</v>
      </c>
      <c r="L262" s="53" t="n">
        <f aca="false">D262*K262</f>
        <v>30005.28</v>
      </c>
      <c r="M262" s="48" t="s">
        <v>29</v>
      </c>
      <c r="N262" s="52" t="n">
        <v>16200.7</v>
      </c>
      <c r="O262" s="53" t="n">
        <f aca="false">D262*N262</f>
        <v>32401.4</v>
      </c>
      <c r="P262" s="54" t="n">
        <f aca="false">AVERAGE(H262,K262,N262)</f>
        <v>15688.0411111111</v>
      </c>
      <c r="Q262" s="55" t="n">
        <f aca="false">F262*100/P262-100</f>
        <v>-1.21392537004655</v>
      </c>
      <c r="R262" s="54" t="n">
        <f aca="false">D262*F262</f>
        <v>30995.2</v>
      </c>
      <c r="S262" s="56"/>
      <c r="U262" s="57" t="n">
        <f aca="false">ROUND(H262*100/P262-100,0)</f>
        <v>1</v>
      </c>
      <c r="V262" s="57" t="n">
        <f aca="false">ROUND(K262*100/P262-100,0)</f>
        <v>-4</v>
      </c>
      <c r="W262" s="57" t="n">
        <f aca="false">ROUND(N262*100/P262-100,0)</f>
        <v>3</v>
      </c>
      <c r="Y262" s="43" t="n">
        <v>255</v>
      </c>
    </row>
    <row r="263" s="43" customFormat="true" ht="73.5" hidden="false" customHeight="true" outlineLevel="0" collapsed="false">
      <c r="A263" s="45" t="n">
        <v>263</v>
      </c>
      <c r="B263" s="46" t="s">
        <v>368</v>
      </c>
      <c r="C263" s="47" t="s">
        <v>25</v>
      </c>
      <c r="D263" s="48" t="n">
        <v>16</v>
      </c>
      <c r="E263" s="49" t="n">
        <v>13996.87</v>
      </c>
      <c r="F263" s="50" t="n">
        <v>16602.1</v>
      </c>
      <c r="G263" s="47" t="s">
        <v>27</v>
      </c>
      <c r="H263" s="52" t="n">
        <f aca="false">19411.67/1.2</f>
        <v>16176.3916666667</v>
      </c>
      <c r="I263" s="53" t="n">
        <f aca="false">D263*H263</f>
        <v>258822.266666667</v>
      </c>
      <c r="J263" s="53" t="s">
        <v>28</v>
      </c>
      <c r="K263" s="52" t="n">
        <v>17921.59</v>
      </c>
      <c r="L263" s="53" t="n">
        <f aca="false">D263*K263</f>
        <v>286745.44</v>
      </c>
      <c r="M263" s="48" t="s">
        <v>29</v>
      </c>
      <c r="N263" s="52" t="n">
        <v>15947.3</v>
      </c>
      <c r="O263" s="53" t="n">
        <f aca="false">D263*N263</f>
        <v>255156.8</v>
      </c>
      <c r="P263" s="54" t="n">
        <f aca="false">AVERAGE(H263,K263,N263)</f>
        <v>16681.7605555556</v>
      </c>
      <c r="Q263" s="55" t="n">
        <f aca="false">F263*100/P263-100</f>
        <v>-0.477530865463876</v>
      </c>
      <c r="R263" s="54" t="n">
        <f aca="false">D263*F263</f>
        <v>265633.6</v>
      </c>
      <c r="S263" s="56"/>
      <c r="U263" s="57" t="n">
        <f aca="false">ROUND(H263*100/P263-100,0)</f>
        <v>-3</v>
      </c>
      <c r="V263" s="57" t="n">
        <f aca="false">ROUND(K263*100/P263-100,0)</f>
        <v>7</v>
      </c>
      <c r="W263" s="57" t="n">
        <f aca="false">ROUND(N263*100/P263-100,0)</f>
        <v>-4</v>
      </c>
      <c r="Y263" s="43" t="n">
        <v>256</v>
      </c>
    </row>
    <row r="264" s="43" customFormat="true" ht="73.5" hidden="false" customHeight="true" outlineLevel="0" collapsed="false">
      <c r="A264" s="45" t="n">
        <v>264</v>
      </c>
      <c r="B264" s="46" t="s">
        <v>369</v>
      </c>
      <c r="C264" s="47" t="s">
        <v>25</v>
      </c>
      <c r="D264" s="48" t="n">
        <v>6</v>
      </c>
      <c r="E264" s="49" t="n">
        <v>16192.14</v>
      </c>
      <c r="F264" s="50" t="n">
        <v>16354.78</v>
      </c>
      <c r="G264" s="47" t="s">
        <v>27</v>
      </c>
      <c r="H264" s="52" t="n">
        <f aca="false">19299.98/1.2</f>
        <v>16083.3166666667</v>
      </c>
      <c r="I264" s="53" t="n">
        <f aca="false">D264*H264</f>
        <v>96499.9</v>
      </c>
      <c r="J264" s="53" t="s">
        <v>28</v>
      </c>
      <c r="K264" s="52" t="n">
        <v>16400.67</v>
      </c>
      <c r="L264" s="53" t="n">
        <f aca="false">D264*K264</f>
        <v>98404.02</v>
      </c>
      <c r="M264" s="48" t="s">
        <v>29</v>
      </c>
      <c r="N264" s="52" t="n">
        <v>17011.88</v>
      </c>
      <c r="O264" s="53" t="n">
        <f aca="false">D264*N264</f>
        <v>102071.28</v>
      </c>
      <c r="P264" s="54" t="n">
        <f aca="false">AVERAGE(H264,K264,N264)</f>
        <v>16498.6222222222</v>
      </c>
      <c r="Q264" s="55" t="n">
        <f aca="false">F264*100/P264-100</f>
        <v>-0.871843844199802</v>
      </c>
      <c r="R264" s="54" t="n">
        <f aca="false">D264*F264</f>
        <v>98128.68</v>
      </c>
      <c r="S264" s="56"/>
      <c r="U264" s="57" t="n">
        <f aca="false">ROUND(H264*100/P264-100,0)</f>
        <v>-3</v>
      </c>
      <c r="V264" s="57" t="n">
        <f aca="false">ROUND(K264*100/P264-100,0)</f>
        <v>-1</v>
      </c>
      <c r="W264" s="57" t="n">
        <f aca="false">ROUND(N264*100/P264-100,0)</f>
        <v>3</v>
      </c>
      <c r="Y264" s="43" t="n">
        <v>257</v>
      </c>
    </row>
    <row r="265" s="43" customFormat="true" ht="73.5" hidden="false" customHeight="true" outlineLevel="0" collapsed="false">
      <c r="A265" s="45" t="n">
        <v>265</v>
      </c>
      <c r="B265" s="46" t="s">
        <v>370</v>
      </c>
      <c r="C265" s="47" t="s">
        <v>25</v>
      </c>
      <c r="D265" s="48" t="n">
        <v>1</v>
      </c>
      <c r="E265" s="49" t="n">
        <v>24065.29</v>
      </c>
      <c r="F265" s="50" t="n">
        <v>25020.5</v>
      </c>
      <c r="G265" s="47" t="s">
        <v>27</v>
      </c>
      <c r="H265" s="52" t="n">
        <f aca="false">28803.13/1.2</f>
        <v>24002.6083333333</v>
      </c>
      <c r="I265" s="53" t="n">
        <f aca="false">D265*H265</f>
        <v>24002.6083333333</v>
      </c>
      <c r="J265" s="53" t="s">
        <v>28</v>
      </c>
      <c r="K265" s="52" t="n">
        <v>26007.32</v>
      </c>
      <c r="L265" s="53" t="n">
        <f aca="false">D265*K265</f>
        <v>26007.32</v>
      </c>
      <c r="M265" s="48" t="s">
        <v>29</v>
      </c>
      <c r="N265" s="52" t="n">
        <v>25452.45</v>
      </c>
      <c r="O265" s="53" t="n">
        <f aca="false">D265*N265</f>
        <v>25452.45</v>
      </c>
      <c r="P265" s="54" t="n">
        <f aca="false">AVERAGE(H265,K265,N265)</f>
        <v>25154.1261111111</v>
      </c>
      <c r="Q265" s="55" t="n">
        <f aca="false">F265*100/P265-100</f>
        <v>-0.53122939163481</v>
      </c>
      <c r="R265" s="54" t="n">
        <f aca="false">D265*F265</f>
        <v>25020.5</v>
      </c>
      <c r="S265" s="56"/>
      <c r="U265" s="57" t="n">
        <f aca="false">ROUND(H265*100/P265-100,0)</f>
        <v>-5</v>
      </c>
      <c r="V265" s="57" t="n">
        <f aca="false">ROUND(K265*100/P265-100,0)</f>
        <v>3</v>
      </c>
      <c r="W265" s="57" t="n">
        <f aca="false">ROUND(N265*100/P265-100,0)</f>
        <v>1</v>
      </c>
      <c r="Y265" s="43" t="n">
        <v>258</v>
      </c>
    </row>
    <row r="266" s="43" customFormat="true" ht="73.5" hidden="false" customHeight="true" outlineLevel="0" collapsed="false">
      <c r="A266" s="45" t="n">
        <v>267</v>
      </c>
      <c r="B266" s="46" t="s">
        <v>371</v>
      </c>
      <c r="C266" s="47" t="s">
        <v>25</v>
      </c>
      <c r="D266" s="48" t="s">
        <v>372</v>
      </c>
      <c r="E266" s="49" t="n">
        <v>9032.42</v>
      </c>
      <c r="F266" s="50" t="n">
        <v>10970.42</v>
      </c>
      <c r="G266" s="47" t="s">
        <v>27</v>
      </c>
      <c r="H266" s="52" t="n">
        <f aca="false">12771.25/1.2</f>
        <v>10642.7083333333</v>
      </c>
      <c r="I266" s="53" t="n">
        <f aca="false">D266*H266</f>
        <v>2586178.125</v>
      </c>
      <c r="J266" s="53" t="s">
        <v>28</v>
      </c>
      <c r="K266" s="52" t="n">
        <v>11023.45</v>
      </c>
      <c r="L266" s="53" t="n">
        <f aca="false">D266*K266</f>
        <v>2678698.35</v>
      </c>
      <c r="M266" s="48" t="s">
        <v>29</v>
      </c>
      <c r="N266" s="52" t="n">
        <v>11452.6</v>
      </c>
      <c r="O266" s="53" t="n">
        <f aca="false">D266*N266</f>
        <v>2782981.8</v>
      </c>
      <c r="P266" s="54" t="n">
        <f aca="false">AVERAGE(H266,K266,N266)</f>
        <v>11039.5861111111</v>
      </c>
      <c r="Q266" s="55" t="n">
        <f aca="false">F266*100/P266-100</f>
        <v>-0.626528118128405</v>
      </c>
      <c r="R266" s="54" t="n">
        <f aca="false">D266*F266</f>
        <v>2665812.06</v>
      </c>
      <c r="S266" s="56"/>
      <c r="U266" s="57" t="n">
        <f aca="false">ROUND(H266*100/P266-100,0)</f>
        <v>-4</v>
      </c>
      <c r="V266" s="57" t="n">
        <f aca="false">ROUND(K266*100/P266-100,0)</f>
        <v>-0</v>
      </c>
      <c r="W266" s="57" t="n">
        <f aca="false">ROUND(N266*100/P266-100,0)</f>
        <v>4</v>
      </c>
      <c r="Y266" s="43" t="n">
        <v>261</v>
      </c>
    </row>
    <row r="267" s="43" customFormat="true" ht="73.5" hidden="false" customHeight="true" outlineLevel="0" collapsed="false">
      <c r="A267" s="45" t="n">
        <v>268</v>
      </c>
      <c r="B267" s="46" t="s">
        <v>373</v>
      </c>
      <c r="C267" s="47" t="s">
        <v>45</v>
      </c>
      <c r="D267" s="48" t="s">
        <v>374</v>
      </c>
      <c r="E267" s="49" t="n">
        <v>4878.63</v>
      </c>
      <c r="F267" s="50" t="n">
        <v>3441.15</v>
      </c>
      <c r="G267" s="47" t="s">
        <v>375</v>
      </c>
      <c r="H267" s="52" t="n">
        <f aca="false">3619/1.2</f>
        <v>3015.83333333333</v>
      </c>
      <c r="I267" s="53" t="n">
        <f aca="false">D267*H267</f>
        <v>15682.3333333333</v>
      </c>
      <c r="J267" s="47" t="s">
        <v>376</v>
      </c>
      <c r="K267" s="52" t="n">
        <v>3316.67</v>
      </c>
      <c r="L267" s="53" t="n">
        <f aca="false">D267*K267</f>
        <v>17246.684</v>
      </c>
      <c r="M267" s="47" t="s">
        <v>377</v>
      </c>
      <c r="N267" s="52" t="n">
        <f aca="false">4800/1.2</f>
        <v>4000</v>
      </c>
      <c r="O267" s="53" t="n">
        <f aca="false">D267*N267</f>
        <v>20800</v>
      </c>
      <c r="P267" s="54" t="n">
        <f aca="false">AVERAGE(H267,K267,N267)</f>
        <v>3444.16777777778</v>
      </c>
      <c r="Q267" s="55" t="n">
        <f aca="false">F267*100/P267-100</f>
        <v>-0.087619941085606</v>
      </c>
      <c r="R267" s="54" t="n">
        <f aca="false">D267*F267</f>
        <v>17893.98</v>
      </c>
      <c r="S267" s="72"/>
      <c r="U267" s="57" t="n">
        <f aca="false">ROUND(H267*100/P267-100,0)</f>
        <v>-12</v>
      </c>
      <c r="V267" s="57" t="n">
        <f aca="false">ROUND(K267*100/P267-100,0)</f>
        <v>-4</v>
      </c>
      <c r="W267" s="57" t="n">
        <f aca="false">ROUND(N267*100/P267-100,0)</f>
        <v>16</v>
      </c>
      <c r="Y267" s="43" t="n">
        <v>262</v>
      </c>
    </row>
    <row r="268" s="43" customFormat="true" ht="73.5" hidden="false" customHeight="true" outlineLevel="0" collapsed="false">
      <c r="A268" s="45" t="n">
        <v>269</v>
      </c>
      <c r="B268" s="46" t="s">
        <v>378</v>
      </c>
      <c r="C268" s="47" t="s">
        <v>323</v>
      </c>
      <c r="D268" s="48" t="n">
        <v>0.008</v>
      </c>
      <c r="E268" s="49" t="n">
        <v>344968.75</v>
      </c>
      <c r="F268" s="50" t="n">
        <v>411502.5</v>
      </c>
      <c r="G268" s="52" t="s">
        <v>68</v>
      </c>
      <c r="H268" s="52" t="n">
        <f aca="false">498040.45/1.2</f>
        <v>415033.708333333</v>
      </c>
      <c r="I268" s="53" t="n">
        <f aca="false">D268*H268</f>
        <v>3320.26966666667</v>
      </c>
      <c r="J268" s="51" t="s">
        <v>67</v>
      </c>
      <c r="K268" s="52" t="n">
        <f aca="false">503.49/1.2*1000</f>
        <v>419575</v>
      </c>
      <c r="L268" s="53" t="n">
        <f aca="false">D268*K268</f>
        <v>3356.6</v>
      </c>
      <c r="M268" s="47" t="s">
        <v>272</v>
      </c>
      <c r="N268" s="52" t="n">
        <v>412432.5</v>
      </c>
      <c r="O268" s="53" t="n">
        <f aca="false">D268*N268</f>
        <v>3299.46</v>
      </c>
      <c r="P268" s="54" t="n">
        <f aca="false">AVERAGE(H268,K268,N268)</f>
        <v>415680.402777778</v>
      </c>
      <c r="Q268" s="55" t="n">
        <f aca="false">F268*100/P268-100</f>
        <v>-1.00507571438514</v>
      </c>
      <c r="R268" s="54" t="n">
        <f aca="false">D268*F268</f>
        <v>3292.02</v>
      </c>
      <c r="S268" s="56"/>
      <c r="U268" s="57" t="n">
        <f aca="false">ROUND(H268*100/P268-100,0)</f>
        <v>-0</v>
      </c>
      <c r="V268" s="57" t="n">
        <f aca="false">ROUND(K268*100/P268-100,0)</f>
        <v>1</v>
      </c>
      <c r="W268" s="57" t="n">
        <f aca="false">ROUND(N268*100/P268-100,0)</f>
        <v>-1</v>
      </c>
      <c r="Y268" s="43" t="n">
        <v>263</v>
      </c>
    </row>
    <row r="269" s="43" customFormat="true" ht="73.5" hidden="false" customHeight="true" outlineLevel="0" collapsed="false">
      <c r="A269" s="45" t="n">
        <v>270</v>
      </c>
      <c r="B269" s="46" t="s">
        <v>379</v>
      </c>
      <c r="C269" s="47" t="s">
        <v>25</v>
      </c>
      <c r="D269" s="48" t="n">
        <v>20</v>
      </c>
      <c r="E269" s="49" t="n">
        <v>18.49</v>
      </c>
      <c r="F269" s="50" t="n">
        <v>28.03</v>
      </c>
      <c r="G269" s="47" t="s">
        <v>27</v>
      </c>
      <c r="H269" s="52" t="n">
        <f aca="false">30.27/1.2</f>
        <v>25.225</v>
      </c>
      <c r="I269" s="53" t="n">
        <f aca="false">D269*H269</f>
        <v>504.5</v>
      </c>
      <c r="J269" s="53" t="s">
        <v>28</v>
      </c>
      <c r="K269" s="52" t="n">
        <v>29.45</v>
      </c>
      <c r="L269" s="53" t="n">
        <f aca="false">D269*K269</f>
        <v>589</v>
      </c>
      <c r="M269" s="48" t="s">
        <v>29</v>
      </c>
      <c r="N269" s="52" t="n">
        <v>31.7</v>
      </c>
      <c r="O269" s="53" t="n">
        <f aca="false">D269*N269</f>
        <v>634</v>
      </c>
      <c r="P269" s="54" t="n">
        <f aca="false">AVERAGE(H269,K269,N269)</f>
        <v>28.7916666666667</v>
      </c>
      <c r="Q269" s="55" t="n">
        <f aca="false">F269*100/P269-100</f>
        <v>-2.64544138929088</v>
      </c>
      <c r="R269" s="54" t="n">
        <f aca="false">D269*F269</f>
        <v>560.6</v>
      </c>
      <c r="S269" s="56"/>
      <c r="U269" s="57" t="n">
        <f aca="false">ROUND(H269*100/P269-100,0)</f>
        <v>-12</v>
      </c>
      <c r="V269" s="57" t="n">
        <f aca="false">ROUND(K269*100/P269-100,0)</f>
        <v>2</v>
      </c>
      <c r="W269" s="57" t="n">
        <f aca="false">ROUND(N269*100/P269-100,0)</f>
        <v>10</v>
      </c>
      <c r="Y269" s="43" t="n">
        <v>264</v>
      </c>
    </row>
    <row r="270" s="43" customFormat="true" ht="73.5" hidden="false" customHeight="true" outlineLevel="0" collapsed="false">
      <c r="A270" s="45" t="n">
        <v>271</v>
      </c>
      <c r="B270" s="46" t="s">
        <v>380</v>
      </c>
      <c r="C270" s="47" t="s">
        <v>381</v>
      </c>
      <c r="D270" s="48" t="n">
        <v>2</v>
      </c>
      <c r="E270" s="49" t="n">
        <v>34776.28</v>
      </c>
      <c r="F270" s="50" t="n">
        <v>41590.2</v>
      </c>
      <c r="G270" s="51" t="s">
        <v>90</v>
      </c>
      <c r="H270" s="52" t="n">
        <f aca="false">51705.01/1.2</f>
        <v>43087.5083333333</v>
      </c>
      <c r="I270" s="53" t="n">
        <f aca="false">D270*H270</f>
        <v>86175.0166666667</v>
      </c>
      <c r="J270" s="47" t="s">
        <v>46</v>
      </c>
      <c r="K270" s="52" t="n">
        <v>41393.25</v>
      </c>
      <c r="L270" s="53" t="n">
        <f aca="false">D270*K270</f>
        <v>82786.5</v>
      </c>
      <c r="M270" s="47" t="s">
        <v>58</v>
      </c>
      <c r="N270" s="52" t="n">
        <v>40981.06</v>
      </c>
      <c r="O270" s="53" t="n">
        <f aca="false">D270*N270</f>
        <v>81962.12</v>
      </c>
      <c r="P270" s="54" t="n">
        <f aca="false">AVERAGE(H270,K270,N270)</f>
        <v>41820.6061111111</v>
      </c>
      <c r="Q270" s="55" t="n">
        <f aca="false">F270*100/P270-100</f>
        <v>-0.550939196096209</v>
      </c>
      <c r="R270" s="54" t="n">
        <f aca="false">D270*F270</f>
        <v>83180.4</v>
      </c>
      <c r="S270" s="56"/>
      <c r="U270" s="57" t="n">
        <f aca="false">ROUND(H270*100/P270-100,0)</f>
        <v>3</v>
      </c>
      <c r="V270" s="57" t="n">
        <f aca="false">ROUND(K270*100/P270-100,0)</f>
        <v>-1</v>
      </c>
      <c r="W270" s="57" t="n">
        <f aca="false">ROUND(N270*100/P270-100,0)</f>
        <v>-2</v>
      </c>
      <c r="Y270" s="43" t="n">
        <v>265</v>
      </c>
    </row>
    <row r="271" s="43" customFormat="true" ht="73.5" hidden="true" customHeight="true" outlineLevel="0" collapsed="false">
      <c r="A271" s="45" t="n">
        <v>272</v>
      </c>
      <c r="B271" s="46" t="s">
        <v>382</v>
      </c>
      <c r="C271" s="47" t="s">
        <v>383</v>
      </c>
      <c r="D271" s="48" t="n">
        <v>20</v>
      </c>
      <c r="E271" s="49" t="n">
        <v>1749.5</v>
      </c>
      <c r="F271" s="50" t="n">
        <v>1778.52</v>
      </c>
      <c r="G271" s="47" t="s">
        <v>27</v>
      </c>
      <c r="H271" s="52" t="n">
        <f aca="false">2098.33/1.2</f>
        <v>1748.60833333333</v>
      </c>
      <c r="I271" s="53" t="n">
        <f aca="false">D271*H271</f>
        <v>34972.1666666667</v>
      </c>
      <c r="J271" s="53" t="s">
        <v>28</v>
      </c>
      <c r="K271" s="52" t="n">
        <v>1845.6</v>
      </c>
      <c r="L271" s="53" t="n">
        <f aca="false">D271*K271</f>
        <v>36912</v>
      </c>
      <c r="M271" s="48" t="s">
        <v>29</v>
      </c>
      <c r="N271" s="52" t="n">
        <v>1795.33</v>
      </c>
      <c r="O271" s="53" t="n">
        <f aca="false">D271*N271</f>
        <v>35906.6</v>
      </c>
      <c r="P271" s="54" t="n">
        <f aca="false">AVERAGE(H271,K271,N271)</f>
        <v>1796.51277777778</v>
      </c>
      <c r="Q271" s="55" t="n">
        <f aca="false">F271*100/P271-100</f>
        <v>-1.00153909286603</v>
      </c>
      <c r="R271" s="54" t="n">
        <f aca="false">D271*F271</f>
        <v>35570.4</v>
      </c>
      <c r="S271" s="62" t="s">
        <v>116</v>
      </c>
      <c r="U271" s="57" t="n">
        <f aca="false">ROUND(H271*100/P271-100,0)</f>
        <v>-3</v>
      </c>
      <c r="V271" s="57" t="n">
        <f aca="false">ROUND(K271*100/P271-100,0)</f>
        <v>3</v>
      </c>
      <c r="W271" s="57" t="n">
        <f aca="false">ROUND(N271*100/P271-100,0)</f>
        <v>-0</v>
      </c>
      <c r="Y271" s="43" t="n">
        <v>266</v>
      </c>
    </row>
    <row r="272" s="43" customFormat="true" ht="73.5" hidden="false" customHeight="true" outlineLevel="0" collapsed="false">
      <c r="A272" s="45" t="n">
        <v>273</v>
      </c>
      <c r="B272" s="46" t="s">
        <v>384</v>
      </c>
      <c r="C272" s="47" t="s">
        <v>323</v>
      </c>
      <c r="D272" s="48" t="n">
        <v>18</v>
      </c>
      <c r="E272" s="49" t="n">
        <v>176355</v>
      </c>
      <c r="F272" s="50" t="n">
        <v>181054.64</v>
      </c>
      <c r="G272" s="52" t="s">
        <v>90</v>
      </c>
      <c r="H272" s="52" t="n">
        <v>185520</v>
      </c>
      <c r="I272" s="53" t="n">
        <f aca="false">D272*H272</f>
        <v>3339360</v>
      </c>
      <c r="J272" s="47" t="s">
        <v>385</v>
      </c>
      <c r="K272" s="52" t="n">
        <v>179571</v>
      </c>
      <c r="L272" s="53" t="n">
        <f aca="false">D272*K272</f>
        <v>3232278</v>
      </c>
      <c r="M272" s="51" t="s">
        <v>386</v>
      </c>
      <c r="N272" s="52" t="n">
        <v>179000</v>
      </c>
      <c r="O272" s="53" t="n">
        <f aca="false">D272*N272</f>
        <v>3222000</v>
      </c>
      <c r="P272" s="54" t="n">
        <f aca="false">AVERAGE(H272,K272,N272)</f>
        <v>181363.666666667</v>
      </c>
      <c r="Q272" s="55" t="n">
        <f aca="false">F272*100/P272-100</f>
        <v>-0.170390614805243</v>
      </c>
      <c r="R272" s="54" t="n">
        <f aca="false">D272*F272</f>
        <v>3258983.52</v>
      </c>
      <c r="S272" s="56"/>
      <c r="U272" s="57" t="n">
        <f aca="false">ROUND(H272*100/P272-100,0)</f>
        <v>2</v>
      </c>
      <c r="V272" s="57" t="n">
        <f aca="false">ROUND(K272*100/P272-100,0)</f>
        <v>-1</v>
      </c>
      <c r="W272" s="57" t="n">
        <f aca="false">ROUND(N272*100/P272-100,0)</f>
        <v>-1</v>
      </c>
      <c r="Y272" s="43" t="n">
        <v>267</v>
      </c>
    </row>
    <row r="273" s="43" customFormat="true" ht="73.5" hidden="false" customHeight="true" outlineLevel="0" collapsed="false">
      <c r="A273" s="45" t="n">
        <v>274</v>
      </c>
      <c r="B273" s="46" t="s">
        <v>387</v>
      </c>
      <c r="C273" s="47" t="s">
        <v>25</v>
      </c>
      <c r="D273" s="48" t="n">
        <v>48</v>
      </c>
      <c r="E273" s="49" t="n">
        <v>571.42</v>
      </c>
      <c r="F273" s="50" t="n">
        <v>902.6</v>
      </c>
      <c r="G273" s="47" t="s">
        <v>56</v>
      </c>
      <c r="H273" s="52" t="n">
        <v>921.12</v>
      </c>
      <c r="I273" s="53" t="n">
        <f aca="false">D273*H273</f>
        <v>44213.76</v>
      </c>
      <c r="J273" s="47" t="s">
        <v>57</v>
      </c>
      <c r="K273" s="52" t="n">
        <v>899.34</v>
      </c>
      <c r="L273" s="53" t="n">
        <f aca="false">D273*K273</f>
        <v>43168.32</v>
      </c>
      <c r="M273" s="53" t="s">
        <v>68</v>
      </c>
      <c r="N273" s="52" t="n">
        <v>925.7</v>
      </c>
      <c r="O273" s="53" t="n">
        <f aca="false">D273*N273</f>
        <v>44433.6</v>
      </c>
      <c r="P273" s="54" t="n">
        <f aca="false">AVERAGE(H273,K273,N273)</f>
        <v>915.386666666667</v>
      </c>
      <c r="Q273" s="55" t="n">
        <f aca="false">F273*100/P273-100</f>
        <v>-1.39685961488041</v>
      </c>
      <c r="R273" s="54" t="n">
        <f aca="false">D273*F273</f>
        <v>43324.8</v>
      </c>
      <c r="S273" s="56"/>
      <c r="U273" s="57" t="n">
        <f aca="false">ROUND(H273*100/P273-100,0)</f>
        <v>1</v>
      </c>
      <c r="V273" s="57" t="n">
        <f aca="false">ROUND(K273*100/P273-100,0)</f>
        <v>-2</v>
      </c>
      <c r="W273" s="57" t="n">
        <f aca="false">ROUND(N273*100/P273-100,0)</f>
        <v>1</v>
      </c>
      <c r="Y273" s="43" t="n">
        <v>268</v>
      </c>
    </row>
    <row r="274" s="43" customFormat="true" ht="73.5" hidden="false" customHeight="true" outlineLevel="0" collapsed="false">
      <c r="A274" s="45" t="n">
        <v>279</v>
      </c>
      <c r="B274" s="46" t="s">
        <v>388</v>
      </c>
      <c r="C274" s="47" t="s">
        <v>25</v>
      </c>
      <c r="D274" s="48" t="n">
        <v>40</v>
      </c>
      <c r="E274" s="49" t="s">
        <v>26</v>
      </c>
      <c r="F274" s="50" t="n">
        <v>835.7</v>
      </c>
      <c r="G274" s="47" t="s">
        <v>56</v>
      </c>
      <c r="H274" s="52" t="n">
        <v>811.5</v>
      </c>
      <c r="I274" s="53" t="n">
        <f aca="false">D274*H274</f>
        <v>32460</v>
      </c>
      <c r="J274" s="47" t="s">
        <v>57</v>
      </c>
      <c r="K274" s="52" t="n">
        <v>889.61</v>
      </c>
      <c r="L274" s="53" t="n">
        <f aca="false">D274*K274</f>
        <v>35584.4</v>
      </c>
      <c r="M274" s="53" t="s">
        <v>68</v>
      </c>
      <c r="N274" s="52" t="n">
        <v>825.3</v>
      </c>
      <c r="O274" s="53" t="n">
        <f aca="false">D274*N274</f>
        <v>33012</v>
      </c>
      <c r="P274" s="54" t="n">
        <f aca="false">AVERAGE(H274,K274,N274)</f>
        <v>842.136666666667</v>
      </c>
      <c r="Q274" s="55" t="n">
        <f aca="false">F274*100/P274-100</f>
        <v>-0.764325663688794</v>
      </c>
      <c r="R274" s="54" t="n">
        <f aca="false">D274*F274</f>
        <v>33428</v>
      </c>
      <c r="S274" s="56"/>
      <c r="U274" s="57" t="n">
        <f aca="false">ROUND(H274*100/P274-100,0)</f>
        <v>-4</v>
      </c>
      <c r="V274" s="57" t="n">
        <f aca="false">ROUND(K274*100/P274-100,0)</f>
        <v>6</v>
      </c>
      <c r="W274" s="57" t="n">
        <f aca="false">ROUND(N274*100/P274-100,0)</f>
        <v>-2</v>
      </c>
      <c r="Y274" s="43" t="n">
        <v>269</v>
      </c>
    </row>
    <row r="275" s="43" customFormat="true" ht="73.5" hidden="false" customHeight="true" outlineLevel="0" collapsed="false">
      <c r="A275" s="45" t="n">
        <v>280</v>
      </c>
      <c r="B275" s="46" t="s">
        <v>389</v>
      </c>
      <c r="C275" s="47" t="s">
        <v>390</v>
      </c>
      <c r="D275" s="48" t="n">
        <v>21</v>
      </c>
      <c r="E275" s="49" t="s">
        <v>26</v>
      </c>
      <c r="F275" s="50" t="n">
        <v>856.33</v>
      </c>
      <c r="G275" s="51" t="s">
        <v>27</v>
      </c>
      <c r="H275" s="52" t="n">
        <f aca="false">988.3/1.2</f>
        <v>823.583333333333</v>
      </c>
      <c r="I275" s="53" t="n">
        <f aca="false">D275*H275</f>
        <v>17295.25</v>
      </c>
      <c r="J275" s="53" t="s">
        <v>28</v>
      </c>
      <c r="K275" s="52" t="n">
        <v>897.61</v>
      </c>
      <c r="L275" s="53" t="n">
        <f aca="false">D275*K275</f>
        <v>18849.81</v>
      </c>
      <c r="M275" s="48" t="s">
        <v>29</v>
      </c>
      <c r="N275" s="52" t="n">
        <v>854.77</v>
      </c>
      <c r="O275" s="53" t="n">
        <f aca="false">D275*N275</f>
        <v>17950.17</v>
      </c>
      <c r="P275" s="54" t="n">
        <f aca="false">AVERAGE(H275,K275,N275)</f>
        <v>858.654444444444</v>
      </c>
      <c r="Q275" s="55" t="n">
        <f aca="false">F275*100/P275-100</f>
        <v>-0.270707786989718</v>
      </c>
      <c r="R275" s="54" t="n">
        <f aca="false">D275*F275</f>
        <v>17982.93</v>
      </c>
      <c r="S275" s="56"/>
      <c r="U275" s="57" t="n">
        <f aca="false">ROUND(H275*100/P275-100,0)</f>
        <v>-4</v>
      </c>
      <c r="V275" s="57" t="n">
        <f aca="false">ROUND(K275*100/P275-100,0)</f>
        <v>5</v>
      </c>
      <c r="W275" s="57" t="n">
        <f aca="false">ROUND(N275*100/P275-100,0)</f>
        <v>-0</v>
      </c>
      <c r="Y275" s="43" t="n">
        <v>270</v>
      </c>
    </row>
    <row r="276" s="43" customFormat="true" ht="73.5" hidden="false" customHeight="true" outlineLevel="0" collapsed="false">
      <c r="A276" s="45" t="n">
        <v>281</v>
      </c>
      <c r="B276" s="46" t="s">
        <v>391</v>
      </c>
      <c r="C276" s="47" t="s">
        <v>392</v>
      </c>
      <c r="D276" s="48" t="n">
        <v>80</v>
      </c>
      <c r="E276" s="49"/>
      <c r="F276" s="50" t="n">
        <v>891.4</v>
      </c>
      <c r="G276" s="47" t="s">
        <v>27</v>
      </c>
      <c r="H276" s="52" t="n">
        <f aca="false">993.74/1.2</f>
        <v>828.116666666667</v>
      </c>
      <c r="I276" s="53" t="n">
        <f aca="false">D276*H276</f>
        <v>66249.3333333333</v>
      </c>
      <c r="J276" s="53" t="s">
        <v>28</v>
      </c>
      <c r="K276" s="52" t="n">
        <v>910.49</v>
      </c>
      <c r="L276" s="53" t="n">
        <f aca="false">D276*K276</f>
        <v>72839.2</v>
      </c>
      <c r="M276" s="48" t="s">
        <v>29</v>
      </c>
      <c r="N276" s="52" t="n">
        <v>941.56</v>
      </c>
      <c r="O276" s="53" t="n">
        <f aca="false">D276*N276</f>
        <v>75324.8</v>
      </c>
      <c r="P276" s="54" t="n">
        <f aca="false">AVERAGE(H276,K276,N276)</f>
        <v>893.388888888889</v>
      </c>
      <c r="Q276" s="55" t="n">
        <f aca="false">F276*100/P276-100</f>
        <v>-0.222622971208253</v>
      </c>
      <c r="R276" s="54" t="n">
        <f aca="false">D276*F276</f>
        <v>71312</v>
      </c>
      <c r="S276" s="56"/>
      <c r="U276" s="57" t="n">
        <f aca="false">ROUND(H276*100/P276-100,0)</f>
        <v>-7</v>
      </c>
      <c r="V276" s="57" t="n">
        <f aca="false">ROUND(K276*100/P276-100,0)</f>
        <v>2</v>
      </c>
      <c r="W276" s="57" t="n">
        <f aca="false">ROUND(N276*100/P276-100,0)</f>
        <v>5</v>
      </c>
      <c r="Y276" s="43" t="n">
        <v>271</v>
      </c>
    </row>
    <row r="277" s="43" customFormat="true" ht="73.5" hidden="false" customHeight="true" outlineLevel="0" collapsed="false">
      <c r="A277" s="45" t="n">
        <v>282</v>
      </c>
      <c r="B277" s="46" t="s">
        <v>393</v>
      </c>
      <c r="C277" s="47" t="s">
        <v>25</v>
      </c>
      <c r="D277" s="48" t="n">
        <v>44</v>
      </c>
      <c r="E277" s="49" t="n">
        <v>73059.55</v>
      </c>
      <c r="F277" s="50" t="n">
        <v>85001.4</v>
      </c>
      <c r="G277" s="47" t="s">
        <v>56</v>
      </c>
      <c r="H277" s="52" t="n">
        <v>85400.4</v>
      </c>
      <c r="I277" s="53" t="n">
        <f aca="false">D277*H277</f>
        <v>3757617.6</v>
      </c>
      <c r="J277" s="47" t="s">
        <v>57</v>
      </c>
      <c r="K277" s="52" t="n">
        <v>83700.61</v>
      </c>
      <c r="L277" s="53" t="n">
        <f aca="false">D277*K277</f>
        <v>3682826.84</v>
      </c>
      <c r="M277" s="47" t="s">
        <v>119</v>
      </c>
      <c r="N277" s="52" t="n">
        <v>87712.52</v>
      </c>
      <c r="O277" s="53" t="n">
        <f aca="false">D277*N277</f>
        <v>3859350.88</v>
      </c>
      <c r="P277" s="54" t="n">
        <f aca="false">AVERAGE(H277,K277,N277)</f>
        <v>85604.51</v>
      </c>
      <c r="Q277" s="55" t="n">
        <f aca="false">F277*100/P277-100</f>
        <v>-0.704530637462909</v>
      </c>
      <c r="R277" s="54" t="n">
        <f aca="false">D277*F277</f>
        <v>3740061.6</v>
      </c>
      <c r="S277" s="56"/>
      <c r="U277" s="57" t="n">
        <f aca="false">ROUND(H277*100/P277-100,0)</f>
        <v>-0</v>
      </c>
      <c r="V277" s="57" t="n">
        <f aca="false">ROUND(K277*100/P277-100,0)</f>
        <v>-2</v>
      </c>
      <c r="W277" s="57" t="n">
        <f aca="false">ROUND(N277*100/P277-100,0)</f>
        <v>2</v>
      </c>
      <c r="Y277" s="43" t="n">
        <v>272</v>
      </c>
    </row>
    <row r="278" s="43" customFormat="true" ht="129.75" hidden="false" customHeight="true" outlineLevel="0" collapsed="false">
      <c r="A278" s="45" t="n">
        <v>284</v>
      </c>
      <c r="B278" s="46" t="s">
        <v>394</v>
      </c>
      <c r="C278" s="47" t="s">
        <v>65</v>
      </c>
      <c r="D278" s="48" t="n">
        <v>9</v>
      </c>
      <c r="E278" s="49" t="n">
        <v>10087.13</v>
      </c>
      <c r="F278" s="50" t="n">
        <v>13200.5</v>
      </c>
      <c r="G278" s="51" t="s">
        <v>27</v>
      </c>
      <c r="H278" s="52" t="n">
        <f aca="false">14543.24/1.2</f>
        <v>12119.3666666667</v>
      </c>
      <c r="I278" s="53" t="n">
        <f aca="false">D278*H278</f>
        <v>109074.3</v>
      </c>
      <c r="J278" s="53" t="s">
        <v>28</v>
      </c>
      <c r="K278" s="52" t="n">
        <v>13540.62</v>
      </c>
      <c r="L278" s="53" t="n">
        <f aca="false">D278*K278</f>
        <v>121865.58</v>
      </c>
      <c r="M278" s="48" t="s">
        <v>29</v>
      </c>
      <c r="N278" s="52" t="n">
        <v>13974.2</v>
      </c>
      <c r="O278" s="53" t="n">
        <f aca="false">D278*N278</f>
        <v>125767.8</v>
      </c>
      <c r="P278" s="54" t="n">
        <f aca="false">AVERAGE(H278,K278,N278)</f>
        <v>13211.3955555556</v>
      </c>
      <c r="Q278" s="55" t="n">
        <f aca="false">F278*100/P278-100</f>
        <v>-0.0824708904501392</v>
      </c>
      <c r="R278" s="54" t="n">
        <f aca="false">D278*F278</f>
        <v>118804.5</v>
      </c>
      <c r="S278" s="56"/>
      <c r="U278" s="57" t="n">
        <f aca="false">ROUND(H278*100/P278-100,0)</f>
        <v>-8</v>
      </c>
      <c r="V278" s="57" t="n">
        <f aca="false">ROUND(K278*100/P278-100,0)</f>
        <v>2</v>
      </c>
      <c r="W278" s="57" t="n">
        <f aca="false">ROUND(N278*100/P278-100,0)</f>
        <v>6</v>
      </c>
      <c r="Y278" s="43" t="n">
        <v>273</v>
      </c>
    </row>
    <row r="279" s="43" customFormat="true" ht="152.25" hidden="false" customHeight="true" outlineLevel="0" collapsed="false">
      <c r="A279" s="45" t="n">
        <v>285</v>
      </c>
      <c r="B279" s="46" t="s">
        <v>395</v>
      </c>
      <c r="C279" s="47" t="s">
        <v>65</v>
      </c>
      <c r="D279" s="48" t="n">
        <v>6</v>
      </c>
      <c r="E279" s="49" t="n">
        <v>10712.49</v>
      </c>
      <c r="F279" s="50" t="n">
        <v>13054.66</v>
      </c>
      <c r="G279" s="51" t="s">
        <v>27</v>
      </c>
      <c r="H279" s="52" t="n">
        <f aca="false">15425.82/1.2</f>
        <v>12854.85</v>
      </c>
      <c r="I279" s="53" t="n">
        <f aca="false">D279*H279</f>
        <v>77129.1</v>
      </c>
      <c r="J279" s="53" t="s">
        <v>28</v>
      </c>
      <c r="K279" s="52" t="n">
        <v>13002.74</v>
      </c>
      <c r="L279" s="53" t="n">
        <f aca="false">D279*K279</f>
        <v>78016.44</v>
      </c>
      <c r="M279" s="48" t="s">
        <v>29</v>
      </c>
      <c r="N279" s="52" t="n">
        <v>13566.4</v>
      </c>
      <c r="O279" s="53" t="n">
        <f aca="false">D279*N279</f>
        <v>81398.4</v>
      </c>
      <c r="P279" s="54" t="n">
        <f aca="false">AVERAGE(H279,K279,N279)</f>
        <v>13141.33</v>
      </c>
      <c r="Q279" s="55" t="n">
        <f aca="false">F279*100/P279-100</f>
        <v>-0.65952228579603</v>
      </c>
      <c r="R279" s="54" t="n">
        <f aca="false">D279*F279</f>
        <v>78327.96</v>
      </c>
      <c r="S279" s="56"/>
      <c r="U279" s="57" t="n">
        <f aca="false">ROUND(H279*100/P279-100,0)</f>
        <v>-2</v>
      </c>
      <c r="V279" s="57" t="n">
        <f aca="false">ROUND(K279*100/P279-100,0)</f>
        <v>-1</v>
      </c>
      <c r="W279" s="57" t="n">
        <f aca="false">ROUND(N279*100/P279-100,0)</f>
        <v>3</v>
      </c>
      <c r="Y279" s="43" t="n">
        <v>274</v>
      </c>
    </row>
    <row r="280" s="43" customFormat="true" ht="73.5" hidden="false" customHeight="true" outlineLevel="0" collapsed="false">
      <c r="A280" s="45" t="n">
        <v>290</v>
      </c>
      <c r="B280" s="46" t="s">
        <v>396</v>
      </c>
      <c r="C280" s="47" t="s">
        <v>25</v>
      </c>
      <c r="D280" s="48" t="n">
        <v>1</v>
      </c>
      <c r="E280" s="49" t="n">
        <v>3933.86</v>
      </c>
      <c r="F280" s="50" t="n">
        <v>16735.5</v>
      </c>
      <c r="G280" s="51" t="s">
        <v>27</v>
      </c>
      <c r="H280" s="52" t="n">
        <f aca="false">20044.48/1.2</f>
        <v>16703.7333333333</v>
      </c>
      <c r="I280" s="53" t="n">
        <f aca="false">D280*H280</f>
        <v>16703.7333333333</v>
      </c>
      <c r="J280" s="53" t="s">
        <v>28</v>
      </c>
      <c r="K280" s="52" t="n">
        <v>16540.53</v>
      </c>
      <c r="L280" s="53" t="n">
        <f aca="false">D280*K280</f>
        <v>16540.53</v>
      </c>
      <c r="M280" s="48" t="s">
        <v>29</v>
      </c>
      <c r="N280" s="52" t="n">
        <v>17010</v>
      </c>
      <c r="O280" s="53" t="n">
        <f aca="false">D280*N280</f>
        <v>17010</v>
      </c>
      <c r="P280" s="54" t="n">
        <f aca="false">AVERAGE(H280,K280,N280)</f>
        <v>16751.4211111111</v>
      </c>
      <c r="Q280" s="55" t="n">
        <f aca="false">F280*100/P280-100</f>
        <v>-0.0950433459078255</v>
      </c>
      <c r="R280" s="54" t="n">
        <f aca="false">D280*F280</f>
        <v>16735.5</v>
      </c>
      <c r="S280" s="72"/>
      <c r="U280" s="57" t="n">
        <f aca="false">ROUND(H280*100/P280-100,0)</f>
        <v>-0</v>
      </c>
      <c r="V280" s="57" t="n">
        <f aca="false">ROUND(K280*100/P280-100,0)</f>
        <v>-1</v>
      </c>
      <c r="W280" s="57" t="n">
        <f aca="false">ROUND(N280*100/P280-100,0)</f>
        <v>2</v>
      </c>
      <c r="Y280" s="43" t="n">
        <v>279</v>
      </c>
    </row>
    <row r="281" s="43" customFormat="true" ht="73.5" hidden="false" customHeight="true" outlineLevel="0" collapsed="false">
      <c r="A281" s="45" t="n">
        <v>291</v>
      </c>
      <c r="B281" s="46" t="s">
        <v>397</v>
      </c>
      <c r="C281" s="47" t="s">
        <v>25</v>
      </c>
      <c r="D281" s="48" t="n">
        <v>1</v>
      </c>
      <c r="E281" s="49" t="n">
        <v>1841.37</v>
      </c>
      <c r="F281" s="50" t="n">
        <v>2330.77</v>
      </c>
      <c r="G281" s="51" t="s">
        <v>27</v>
      </c>
      <c r="H281" s="52" t="n">
        <f aca="false">2628.72/1.2</f>
        <v>2190.6</v>
      </c>
      <c r="I281" s="53" t="n">
        <f aca="false">D281*H281</f>
        <v>2190.6</v>
      </c>
      <c r="J281" s="53" t="s">
        <v>28</v>
      </c>
      <c r="K281" s="52" t="n">
        <v>2345.68</v>
      </c>
      <c r="L281" s="53" t="n">
        <f aca="false">D281*K281</f>
        <v>2345.68</v>
      </c>
      <c r="M281" s="48" t="s">
        <v>29</v>
      </c>
      <c r="N281" s="52" t="n">
        <v>2487.2</v>
      </c>
      <c r="O281" s="53" t="n">
        <f aca="false">D281*N281</f>
        <v>2487.2</v>
      </c>
      <c r="P281" s="54" t="n">
        <f aca="false">AVERAGE(H281,K281,N281)</f>
        <v>2341.16</v>
      </c>
      <c r="Q281" s="55" t="n">
        <f aca="false">F281*100/P281-100</f>
        <v>-0.443797092039844</v>
      </c>
      <c r="R281" s="54" t="n">
        <f aca="false">D281*F281</f>
        <v>2330.77</v>
      </c>
      <c r="S281" s="56"/>
      <c r="U281" s="57" t="n">
        <f aca="false">ROUND(H281*100/P281-100,0)</f>
        <v>-6</v>
      </c>
      <c r="V281" s="57" t="n">
        <f aca="false">ROUND(K281*100/P281-100,0)</f>
        <v>0</v>
      </c>
      <c r="W281" s="57" t="n">
        <f aca="false">ROUND(N281*100/P281-100,0)</f>
        <v>6</v>
      </c>
      <c r="Y281" s="43" t="n">
        <v>280</v>
      </c>
    </row>
    <row r="282" s="43" customFormat="true" ht="73.5" hidden="false" customHeight="true" outlineLevel="0" collapsed="false">
      <c r="A282" s="45" t="n">
        <v>292</v>
      </c>
      <c r="B282" s="46" t="s">
        <v>398</v>
      </c>
      <c r="C282" s="47" t="s">
        <v>25</v>
      </c>
      <c r="D282" s="48" t="n">
        <v>2</v>
      </c>
      <c r="E282" s="49" t="n">
        <v>1841.37</v>
      </c>
      <c r="F282" s="50" t="n">
        <v>3600</v>
      </c>
      <c r="G282" s="51" t="s">
        <v>27</v>
      </c>
      <c r="H282" s="52" t="n">
        <f aca="false">3915.81/1.2</f>
        <v>3263.175</v>
      </c>
      <c r="I282" s="53" t="n">
        <f aca="false">D282*H282</f>
        <v>6526.35</v>
      </c>
      <c r="J282" s="53" t="s">
        <v>28</v>
      </c>
      <c r="K282" s="52" t="n">
        <v>3604.32</v>
      </c>
      <c r="L282" s="53" t="n">
        <f aca="false">D282*K282</f>
        <v>7208.64</v>
      </c>
      <c r="M282" s="48" t="s">
        <v>29</v>
      </c>
      <c r="N282" s="52" t="n">
        <v>3954.31</v>
      </c>
      <c r="O282" s="53" t="n">
        <f aca="false">D282*N282</f>
        <v>7908.62</v>
      </c>
      <c r="P282" s="54" t="n">
        <f aca="false">AVERAGE(H282,K282,N282)</f>
        <v>3607.26833333333</v>
      </c>
      <c r="Q282" s="55" t="n">
        <f aca="false">F282*100/P282-100</f>
        <v>-0.201491340862276</v>
      </c>
      <c r="R282" s="54" t="n">
        <f aca="false">D282*F282</f>
        <v>7200</v>
      </c>
      <c r="S282" s="56"/>
      <c r="U282" s="57" t="n">
        <f aca="false">ROUND(H282*100/P282-100,0)</f>
        <v>-10</v>
      </c>
      <c r="V282" s="57" t="n">
        <f aca="false">ROUND(K282*100/P282-100,0)</f>
        <v>-0</v>
      </c>
      <c r="W282" s="57" t="n">
        <f aca="false">ROUND(N282*100/P282-100,0)</f>
        <v>10</v>
      </c>
      <c r="Y282" s="43" t="n">
        <v>281</v>
      </c>
    </row>
    <row r="283" s="43" customFormat="true" ht="73.5" hidden="false" customHeight="true" outlineLevel="0" collapsed="false">
      <c r="A283" s="45" t="n">
        <v>293</v>
      </c>
      <c r="B283" s="46" t="s">
        <v>399</v>
      </c>
      <c r="C283" s="47" t="s">
        <v>25</v>
      </c>
      <c r="D283" s="48" t="n">
        <v>1</v>
      </c>
      <c r="E283" s="49" t="n">
        <v>6174.53</v>
      </c>
      <c r="F283" s="50" t="n">
        <v>6600.75</v>
      </c>
      <c r="G283" s="47" t="s">
        <v>27</v>
      </c>
      <c r="H283" s="52" t="n">
        <f aca="false">7630.45/1.2</f>
        <v>6358.70833333333</v>
      </c>
      <c r="I283" s="53" t="n">
        <f aca="false">D283*H283</f>
        <v>6358.70833333333</v>
      </c>
      <c r="J283" s="53" t="s">
        <v>28</v>
      </c>
      <c r="K283" s="52" t="n">
        <v>6468.15</v>
      </c>
      <c r="L283" s="53" t="n">
        <f aca="false">D283*K283</f>
        <v>6468.15</v>
      </c>
      <c r="M283" s="48" t="s">
        <v>29</v>
      </c>
      <c r="N283" s="52" t="n">
        <v>7020.16</v>
      </c>
      <c r="O283" s="53" t="n">
        <f aca="false">D283*N283</f>
        <v>7020.16</v>
      </c>
      <c r="P283" s="54" t="n">
        <f aca="false">AVERAGE(H283,K283,N283)</f>
        <v>6615.67277777778</v>
      </c>
      <c r="Q283" s="55" t="n">
        <f aca="false">F283*100/P283-100</f>
        <v>-0.225567047812646</v>
      </c>
      <c r="R283" s="54" t="n">
        <f aca="false">D283*F283</f>
        <v>6600.75</v>
      </c>
      <c r="S283" s="56"/>
      <c r="U283" s="57" t="n">
        <f aca="false">ROUND(H283*100/P283-100,0)</f>
        <v>-4</v>
      </c>
      <c r="V283" s="57" t="n">
        <f aca="false">ROUND(K283*100/P283-100,0)</f>
        <v>-2</v>
      </c>
      <c r="W283" s="57" t="n">
        <f aca="false">ROUND(N283*100/P283-100,0)</f>
        <v>6</v>
      </c>
      <c r="Y283" s="43" t="n">
        <v>282</v>
      </c>
    </row>
    <row r="284" s="43" customFormat="true" ht="73.5" hidden="false" customHeight="true" outlineLevel="0" collapsed="false">
      <c r="A284" s="45" t="n">
        <v>295</v>
      </c>
      <c r="B284" s="46" t="s">
        <v>400</v>
      </c>
      <c r="C284" s="47" t="s">
        <v>25</v>
      </c>
      <c r="D284" s="48" t="n">
        <v>2</v>
      </c>
      <c r="E284" s="49" t="s">
        <v>26</v>
      </c>
      <c r="F284" s="50" t="n">
        <v>27700.56</v>
      </c>
      <c r="G284" s="47" t="s">
        <v>27</v>
      </c>
      <c r="H284" s="52" t="n">
        <f aca="false">32738.89/1.2</f>
        <v>27282.4083333333</v>
      </c>
      <c r="I284" s="53" t="n">
        <f aca="false">D284*H284</f>
        <v>54564.8166666667</v>
      </c>
      <c r="J284" s="53" t="s">
        <v>28</v>
      </c>
      <c r="K284" s="52" t="n">
        <v>28314.24</v>
      </c>
      <c r="L284" s="53" t="n">
        <f aca="false">D284*K284</f>
        <v>56628.48</v>
      </c>
      <c r="M284" s="48" t="s">
        <v>29</v>
      </c>
      <c r="N284" s="52" t="n">
        <v>27597.6</v>
      </c>
      <c r="O284" s="53" t="n">
        <f aca="false">D284*N284</f>
        <v>55195.2</v>
      </c>
      <c r="P284" s="54" t="n">
        <f aca="false">AVERAGE(H284,K284,N284)</f>
        <v>27731.4161111111</v>
      </c>
      <c r="Q284" s="55" t="n">
        <f aca="false">F284*100/P284-100</f>
        <v>-0.11126770803007</v>
      </c>
      <c r="R284" s="54" t="n">
        <f aca="false">D284*F284</f>
        <v>55401.12</v>
      </c>
      <c r="S284" s="56"/>
      <c r="U284" s="57" t="n">
        <f aca="false">ROUND(H284*100/P284-100,0)</f>
        <v>-2</v>
      </c>
      <c r="V284" s="57" t="n">
        <f aca="false">ROUND(K284*100/P284-100,0)</f>
        <v>2</v>
      </c>
      <c r="W284" s="57" t="n">
        <f aca="false">ROUND(N284*100/P284-100,0)</f>
        <v>-0</v>
      </c>
      <c r="Y284" s="43" t="n">
        <v>284</v>
      </c>
    </row>
    <row r="285" s="43" customFormat="true" ht="73.5" hidden="false" customHeight="true" outlineLevel="0" collapsed="false">
      <c r="A285" s="45" t="n">
        <v>296</v>
      </c>
      <c r="B285" s="46" t="s">
        <v>401</v>
      </c>
      <c r="C285" s="47" t="s">
        <v>25</v>
      </c>
      <c r="D285" s="48" t="n">
        <v>1</v>
      </c>
      <c r="E285" s="49" t="n">
        <v>36961.48</v>
      </c>
      <c r="F285" s="50" t="n">
        <v>46300.5</v>
      </c>
      <c r="G285" s="47" t="s">
        <v>27</v>
      </c>
      <c r="H285" s="52" t="n">
        <f aca="false">54979.55/1.2</f>
        <v>45816.2916666667</v>
      </c>
      <c r="I285" s="53" t="n">
        <f aca="false">D285*H285</f>
        <v>45816.2916666667</v>
      </c>
      <c r="J285" s="53" t="s">
        <v>28</v>
      </c>
      <c r="K285" s="52" t="n">
        <v>46315.48</v>
      </c>
      <c r="L285" s="53" t="n">
        <f aca="false">D285*K285</f>
        <v>46315.48</v>
      </c>
      <c r="M285" s="48" t="s">
        <v>29</v>
      </c>
      <c r="N285" s="52" t="n">
        <v>46780.3</v>
      </c>
      <c r="O285" s="53" t="n">
        <f aca="false">D285*N285</f>
        <v>46780.3</v>
      </c>
      <c r="P285" s="54" t="n">
        <f aca="false">AVERAGE(H285,K285,N285)</f>
        <v>46304.0238888889</v>
      </c>
      <c r="Q285" s="55" t="n">
        <f aca="false">F285*100/P285-100</f>
        <v>-0.00761032971421116</v>
      </c>
      <c r="R285" s="54" t="n">
        <f aca="false">D285*F285</f>
        <v>46300.5</v>
      </c>
      <c r="S285" s="56"/>
      <c r="U285" s="57" t="n">
        <f aca="false">ROUND(H285*100/P285-100,0)</f>
        <v>-1</v>
      </c>
      <c r="V285" s="57" t="n">
        <f aca="false">ROUND(K285*100/P285-100,0)</f>
        <v>0</v>
      </c>
      <c r="W285" s="57" t="n">
        <f aca="false">ROUND(N285*100/P285-100,0)</f>
        <v>1</v>
      </c>
      <c r="Y285" s="43" t="n">
        <v>285</v>
      </c>
    </row>
    <row r="286" s="43" customFormat="true" ht="73.5" hidden="true" customHeight="true" outlineLevel="0" collapsed="false">
      <c r="A286" s="45" t="n">
        <v>297</v>
      </c>
      <c r="B286" s="46" t="s">
        <v>402</v>
      </c>
      <c r="C286" s="47" t="s">
        <v>147</v>
      </c>
      <c r="D286" s="48" t="n">
        <v>2</v>
      </c>
      <c r="E286" s="49" t="n">
        <v>41.08</v>
      </c>
      <c r="F286" s="50" t="n">
        <v>42.3</v>
      </c>
      <c r="G286" s="47" t="s">
        <v>27</v>
      </c>
      <c r="H286" s="52" t="n">
        <f aca="false">50.03/1.2</f>
        <v>41.6916666666667</v>
      </c>
      <c r="I286" s="53" t="n">
        <f aca="false">D286*H286</f>
        <v>83.3833333333333</v>
      </c>
      <c r="J286" s="53" t="s">
        <v>28</v>
      </c>
      <c r="K286" s="52" t="n">
        <v>42.01</v>
      </c>
      <c r="L286" s="53" t="n">
        <f aca="false">D286*K286</f>
        <v>84.02</v>
      </c>
      <c r="M286" s="48" t="s">
        <v>29</v>
      </c>
      <c r="N286" s="52" t="n">
        <v>44.25</v>
      </c>
      <c r="O286" s="53" t="n">
        <f aca="false">D286*N286</f>
        <v>88.5</v>
      </c>
      <c r="P286" s="54" t="n">
        <f aca="false">AVERAGE(H286,K286,N286)</f>
        <v>42.6505555555556</v>
      </c>
      <c r="Q286" s="55" t="n">
        <f aca="false">F286*100/P286-100</f>
        <v>-0.821924945617482</v>
      </c>
      <c r="R286" s="54" t="n">
        <f aca="false">D286*F286</f>
        <v>84.6</v>
      </c>
      <c r="S286" s="62" t="s">
        <v>116</v>
      </c>
      <c r="U286" s="57" t="n">
        <f aca="false">ROUND(H286*100/P286-100,0)</f>
        <v>-2</v>
      </c>
      <c r="V286" s="57" t="n">
        <f aca="false">ROUND(K286*100/P286-100,0)</f>
        <v>-2</v>
      </c>
      <c r="W286" s="57" t="n">
        <f aca="false">ROUND(N286*100/P286-100,0)</f>
        <v>4</v>
      </c>
      <c r="Y286" s="43" t="n">
        <v>286</v>
      </c>
    </row>
    <row r="287" s="43" customFormat="true" ht="73.5" hidden="true" customHeight="true" outlineLevel="0" collapsed="false">
      <c r="A287" s="45" t="n">
        <v>298</v>
      </c>
      <c r="B287" s="46" t="s">
        <v>403</v>
      </c>
      <c r="C287" s="47" t="s">
        <v>147</v>
      </c>
      <c r="D287" s="48" t="n">
        <v>10</v>
      </c>
      <c r="E287" s="49" t="n">
        <v>19.62</v>
      </c>
      <c r="F287" s="50" t="n">
        <v>21.55</v>
      </c>
      <c r="G287" s="47" t="s">
        <v>27</v>
      </c>
      <c r="H287" s="52" t="n">
        <f aca="false">23.86/1.2</f>
        <v>19.8833333333333</v>
      </c>
      <c r="I287" s="53" t="n">
        <f aca="false">D287*H287</f>
        <v>198.833333333333</v>
      </c>
      <c r="J287" s="53" t="s">
        <v>28</v>
      </c>
      <c r="K287" s="52" t="n">
        <v>23.66</v>
      </c>
      <c r="L287" s="53" t="n">
        <f aca="false">D287*K287</f>
        <v>236.6</v>
      </c>
      <c r="M287" s="48" t="s">
        <v>29</v>
      </c>
      <c r="N287" s="52" t="n">
        <v>21.7</v>
      </c>
      <c r="O287" s="53" t="n">
        <f aca="false">D287*N287</f>
        <v>217</v>
      </c>
      <c r="P287" s="54" t="n">
        <f aca="false">AVERAGE(H287,K287,N287)</f>
        <v>21.7477777777778</v>
      </c>
      <c r="Q287" s="55" t="n">
        <f aca="false">F287*100/P287-100</f>
        <v>-0.9094160322894</v>
      </c>
      <c r="R287" s="54" t="n">
        <f aca="false">D287*F287</f>
        <v>215.5</v>
      </c>
      <c r="S287" s="62" t="s">
        <v>116</v>
      </c>
      <c r="U287" s="57" t="n">
        <f aca="false">ROUND(H287*100/P287-100,0)</f>
        <v>-9</v>
      </c>
      <c r="V287" s="57" t="n">
        <f aca="false">ROUND(K287*100/P287-100,0)</f>
        <v>9</v>
      </c>
      <c r="W287" s="57" t="n">
        <f aca="false">ROUND(N287*100/P287-100,0)</f>
        <v>-0</v>
      </c>
      <c r="Y287" s="43" t="n">
        <v>287</v>
      </c>
    </row>
    <row r="288" s="43" customFormat="true" ht="73.5" hidden="true" customHeight="true" outlineLevel="0" collapsed="false">
      <c r="A288" s="45" t="n">
        <v>299</v>
      </c>
      <c r="B288" s="46" t="s">
        <v>404</v>
      </c>
      <c r="C288" s="47" t="s">
        <v>147</v>
      </c>
      <c r="D288" s="48" t="n">
        <v>2</v>
      </c>
      <c r="E288" s="49" t="n">
        <v>15.79</v>
      </c>
      <c r="F288" s="50" t="n">
        <v>17.5</v>
      </c>
      <c r="G288" s="47" t="s">
        <v>27</v>
      </c>
      <c r="H288" s="52" t="n">
        <f aca="false">19.58/1.2</f>
        <v>16.3166666666667</v>
      </c>
      <c r="I288" s="53" t="n">
        <f aca="false">D288*H288</f>
        <v>32.6333333333333</v>
      </c>
      <c r="J288" s="53" t="s">
        <v>28</v>
      </c>
      <c r="K288" s="52" t="n">
        <v>17.74</v>
      </c>
      <c r="L288" s="53" t="n">
        <f aca="false">D288*K288</f>
        <v>35.48</v>
      </c>
      <c r="M288" s="48" t="s">
        <v>29</v>
      </c>
      <c r="N288" s="52" t="n">
        <v>19.7</v>
      </c>
      <c r="O288" s="53" t="n">
        <f aca="false">D288*N288</f>
        <v>39.4</v>
      </c>
      <c r="P288" s="54" t="n">
        <f aca="false">AVERAGE(H288,K288,N288)</f>
        <v>17.9188888888889</v>
      </c>
      <c r="Q288" s="55" t="n">
        <f aca="false">F288*100/P288-100</f>
        <v>-2.33769454951323</v>
      </c>
      <c r="R288" s="54" t="n">
        <f aca="false">D288*F288</f>
        <v>35</v>
      </c>
      <c r="S288" s="62" t="s">
        <v>116</v>
      </c>
      <c r="U288" s="57" t="n">
        <f aca="false">ROUND(H288*100/P288-100,0)</f>
        <v>-9</v>
      </c>
      <c r="V288" s="57" t="n">
        <f aca="false">ROUND(K288*100/P288-100,0)</f>
        <v>-1</v>
      </c>
      <c r="W288" s="57" t="n">
        <f aca="false">ROUND(N288*100/P288-100,0)</f>
        <v>10</v>
      </c>
      <c r="Y288" s="43" t="n">
        <v>288</v>
      </c>
    </row>
    <row r="289" s="43" customFormat="true" ht="73.5" hidden="true" customHeight="true" outlineLevel="0" collapsed="false">
      <c r="A289" s="45" t="n">
        <v>300</v>
      </c>
      <c r="B289" s="46" t="s">
        <v>405</v>
      </c>
      <c r="C289" s="47" t="s">
        <v>147</v>
      </c>
      <c r="D289" s="48" t="n">
        <v>10</v>
      </c>
      <c r="E289" s="49" t="n">
        <v>38.33</v>
      </c>
      <c r="F289" s="50" t="n">
        <v>48.02</v>
      </c>
      <c r="G289" s="47" t="s">
        <v>27</v>
      </c>
      <c r="H289" s="52" t="n">
        <f aca="false">55.42/1.2</f>
        <v>46.1833333333333</v>
      </c>
      <c r="I289" s="53" t="n">
        <f aca="false">D289*H289</f>
        <v>461.833333333333</v>
      </c>
      <c r="J289" s="53" t="s">
        <v>28</v>
      </c>
      <c r="K289" s="52" t="n">
        <v>51.47</v>
      </c>
      <c r="L289" s="53" t="n">
        <f aca="false">D289*K289</f>
        <v>514.7</v>
      </c>
      <c r="M289" s="48" t="s">
        <v>29</v>
      </c>
      <c r="N289" s="52" t="n">
        <v>48.63</v>
      </c>
      <c r="O289" s="53" t="n">
        <f aca="false">D289*N289</f>
        <v>486.3</v>
      </c>
      <c r="P289" s="54" t="n">
        <f aca="false">AVERAGE(H289,K289,N289)</f>
        <v>48.7611111111111</v>
      </c>
      <c r="Q289" s="55" t="n">
        <f aca="false">F289*100/P289-100</f>
        <v>-1.5198815084881</v>
      </c>
      <c r="R289" s="54" t="n">
        <f aca="false">D289*F289</f>
        <v>480.2</v>
      </c>
      <c r="S289" s="62" t="s">
        <v>116</v>
      </c>
      <c r="U289" s="57" t="n">
        <f aca="false">ROUND(H289*100/P289-100,0)</f>
        <v>-5</v>
      </c>
      <c r="V289" s="57" t="n">
        <f aca="false">ROUND(K289*100/P289-100,0)</f>
        <v>6</v>
      </c>
      <c r="W289" s="57" t="n">
        <f aca="false">ROUND(N289*100/P289-100,0)</f>
        <v>-0</v>
      </c>
      <c r="Y289" s="43" t="n">
        <v>289</v>
      </c>
    </row>
    <row r="290" s="43" customFormat="true" ht="73.5" hidden="false" customHeight="true" outlineLevel="0" collapsed="false">
      <c r="A290" s="45" t="n">
        <v>301</v>
      </c>
      <c r="B290" s="46" t="s">
        <v>406</v>
      </c>
      <c r="C290" s="47" t="s">
        <v>25</v>
      </c>
      <c r="D290" s="48" t="n">
        <v>4</v>
      </c>
      <c r="E290" s="49" t="s">
        <v>26</v>
      </c>
      <c r="F290" s="50" t="n">
        <v>869.7</v>
      </c>
      <c r="G290" s="47" t="s">
        <v>27</v>
      </c>
      <c r="H290" s="52" t="n">
        <f aca="false">998.09/1.2</f>
        <v>831.741666666667</v>
      </c>
      <c r="I290" s="53" t="n">
        <f aca="false">D290*H290</f>
        <v>3326.96666666667</v>
      </c>
      <c r="J290" s="53" t="s">
        <v>28</v>
      </c>
      <c r="K290" s="52" t="n">
        <v>864.2</v>
      </c>
      <c r="L290" s="53" t="n">
        <f aca="false">D290*K290</f>
        <v>3456.8</v>
      </c>
      <c r="M290" s="48" t="s">
        <v>29</v>
      </c>
      <c r="N290" s="52" t="n">
        <v>921.4</v>
      </c>
      <c r="O290" s="53" t="n">
        <f aca="false">D290*N290</f>
        <v>3685.6</v>
      </c>
      <c r="P290" s="54" t="n">
        <f aca="false">AVERAGE(H290,K290,N290)</f>
        <v>872.447222222222</v>
      </c>
      <c r="Q290" s="55" t="n">
        <f aca="false">F290*100/P290-100</f>
        <v>-0.314886924073718</v>
      </c>
      <c r="R290" s="54" t="n">
        <f aca="false">D290*F290</f>
        <v>3478.8</v>
      </c>
      <c r="S290" s="63"/>
      <c r="U290" s="57" t="n">
        <f aca="false">ROUND(H290*100/P290-100,0)</f>
        <v>-5</v>
      </c>
      <c r="V290" s="57" t="n">
        <f aca="false">ROUND(K290*100/P290-100,0)</f>
        <v>-1</v>
      </c>
      <c r="W290" s="57" t="n">
        <f aca="false">ROUND(N290*100/P290-100,0)</f>
        <v>6</v>
      </c>
      <c r="Y290" s="43" t="n">
        <v>290</v>
      </c>
    </row>
    <row r="291" s="43" customFormat="true" ht="73.5" hidden="false" customHeight="true" outlineLevel="0" collapsed="false">
      <c r="A291" s="45" t="n">
        <v>302</v>
      </c>
      <c r="B291" s="46" t="s">
        <v>407</v>
      </c>
      <c r="C291" s="47" t="s">
        <v>25</v>
      </c>
      <c r="D291" s="48" t="n">
        <v>100</v>
      </c>
      <c r="E291" s="49" t="n">
        <v>1579.17</v>
      </c>
      <c r="F291" s="50" t="n">
        <v>2075.4</v>
      </c>
      <c r="G291" s="47" t="s">
        <v>56</v>
      </c>
      <c r="H291" s="52" t="n">
        <v>2105.69</v>
      </c>
      <c r="I291" s="53" t="n">
        <f aca="false">D291*H291</f>
        <v>210569</v>
      </c>
      <c r="J291" s="47" t="s">
        <v>57</v>
      </c>
      <c r="K291" s="52" t="n">
        <v>1929.86</v>
      </c>
      <c r="L291" s="53" t="n">
        <f aca="false">D291*K291</f>
        <v>192986</v>
      </c>
      <c r="M291" s="47" t="s">
        <v>119</v>
      </c>
      <c r="N291" s="52" t="n">
        <v>2201.34</v>
      </c>
      <c r="O291" s="53" t="n">
        <f aca="false">D291*N291</f>
        <v>220134</v>
      </c>
      <c r="P291" s="54" t="n">
        <f aca="false">AVERAGE(H291,K291,N291)</f>
        <v>2078.96333333333</v>
      </c>
      <c r="Q291" s="55" t="n">
        <f aca="false">F291*100/P291-100</f>
        <v>-0.171399527649214</v>
      </c>
      <c r="R291" s="54" t="n">
        <f aca="false">D291*F291</f>
        <v>207540</v>
      </c>
      <c r="S291" s="63"/>
      <c r="U291" s="57" t="n">
        <f aca="false">ROUND(H291*100/P291-100,0)</f>
        <v>1</v>
      </c>
      <c r="V291" s="57" t="n">
        <f aca="false">ROUND(K291*100/P291-100,0)</f>
        <v>-7</v>
      </c>
      <c r="W291" s="57" t="n">
        <f aca="false">ROUND(N291*100/P291-100,0)</f>
        <v>6</v>
      </c>
      <c r="Y291" s="43" t="n">
        <v>291</v>
      </c>
    </row>
    <row r="292" s="43" customFormat="true" ht="73.5" hidden="false" customHeight="true" outlineLevel="0" collapsed="false">
      <c r="A292" s="45" t="n">
        <v>303</v>
      </c>
      <c r="B292" s="46" t="s">
        <v>408</v>
      </c>
      <c r="C292" s="47" t="s">
        <v>25</v>
      </c>
      <c r="D292" s="48" t="n">
        <v>10</v>
      </c>
      <c r="E292" s="49" t="n">
        <v>1698.61</v>
      </c>
      <c r="F292" s="50" t="n">
        <v>1865.8</v>
      </c>
      <c r="G292" s="47" t="s">
        <v>27</v>
      </c>
      <c r="H292" s="52" t="n">
        <f aca="false">2139.16/1.2</f>
        <v>1782.63333333333</v>
      </c>
      <c r="I292" s="53" t="n">
        <f aca="false">D292*H292</f>
        <v>17826.3333333333</v>
      </c>
      <c r="J292" s="53" t="s">
        <v>28</v>
      </c>
      <c r="K292" s="52" t="n">
        <v>1874.56</v>
      </c>
      <c r="L292" s="53" t="n">
        <f aca="false">D292*K292</f>
        <v>18745.6</v>
      </c>
      <c r="M292" s="48" t="s">
        <v>29</v>
      </c>
      <c r="N292" s="52" t="n">
        <v>1947.3</v>
      </c>
      <c r="O292" s="53" t="n">
        <f aca="false">D292*N292</f>
        <v>19473</v>
      </c>
      <c r="P292" s="54" t="n">
        <f aca="false">AVERAGE(H292,K292,N292)</f>
        <v>1868.16444444444</v>
      </c>
      <c r="Q292" s="55" t="n">
        <f aca="false">F292*100/P292-100</f>
        <v>-0.126565113230569</v>
      </c>
      <c r="R292" s="54" t="n">
        <f aca="false">D292*F292</f>
        <v>18658</v>
      </c>
      <c r="S292" s="63"/>
      <c r="U292" s="57" t="n">
        <f aca="false">ROUND(H292*100/P292-100,0)</f>
        <v>-5</v>
      </c>
      <c r="V292" s="57" t="n">
        <f aca="false">ROUND(K292*100/P292-100,0)</f>
        <v>0</v>
      </c>
      <c r="W292" s="57" t="n">
        <f aca="false">ROUND(N292*100/P292-100,0)</f>
        <v>4</v>
      </c>
      <c r="Y292" s="43" t="n">
        <v>292</v>
      </c>
    </row>
    <row r="293" s="43" customFormat="true" ht="73.5" hidden="false" customHeight="true" outlineLevel="0" collapsed="false">
      <c r="A293" s="45" t="n">
        <v>304</v>
      </c>
      <c r="B293" s="46" t="s">
        <v>409</v>
      </c>
      <c r="C293" s="47" t="s">
        <v>25</v>
      </c>
      <c r="D293" s="48" t="n">
        <v>2</v>
      </c>
      <c r="E293" s="49" t="s">
        <v>26</v>
      </c>
      <c r="F293" s="50" t="n">
        <v>31990.5</v>
      </c>
      <c r="G293" s="47" t="s">
        <v>27</v>
      </c>
      <c r="H293" s="52" t="n">
        <f aca="false">37069.36/1.2</f>
        <v>30891.1333333333</v>
      </c>
      <c r="I293" s="53" t="n">
        <f aca="false">D293*H293</f>
        <v>61782.2666666667</v>
      </c>
      <c r="J293" s="53" t="s">
        <v>28</v>
      </c>
      <c r="K293" s="52" t="n">
        <v>32114.72</v>
      </c>
      <c r="L293" s="53" t="n">
        <f aca="false">D293*K293</f>
        <v>64229.44</v>
      </c>
      <c r="M293" s="48" t="s">
        <v>29</v>
      </c>
      <c r="N293" s="52" t="n">
        <v>32972.6</v>
      </c>
      <c r="O293" s="53" t="n">
        <f aca="false">D293*N293</f>
        <v>65945.2</v>
      </c>
      <c r="P293" s="54" t="n">
        <f aca="false">AVERAGE(H293,K293,N293)</f>
        <v>31992.8177777778</v>
      </c>
      <c r="Q293" s="55" t="n">
        <f aca="false">F293*100/P293-100</f>
        <v>-0.00724468158408342</v>
      </c>
      <c r="R293" s="54" t="n">
        <f aca="false">D293*F293</f>
        <v>63981</v>
      </c>
      <c r="S293" s="63"/>
      <c r="U293" s="57" t="n">
        <f aca="false">ROUND(H293*100/P293-100,0)</f>
        <v>-3</v>
      </c>
      <c r="V293" s="57" t="n">
        <f aca="false">ROUND(K293*100/P293-100,0)</f>
        <v>0</v>
      </c>
      <c r="W293" s="57" t="n">
        <f aca="false">ROUND(N293*100/P293-100,0)</f>
        <v>3</v>
      </c>
      <c r="Y293" s="43" t="n">
        <v>293</v>
      </c>
    </row>
    <row r="294" s="43" customFormat="true" ht="73.5" hidden="true" customHeight="true" outlineLevel="0" collapsed="false">
      <c r="A294" s="45" t="n">
        <v>305</v>
      </c>
      <c r="B294" s="46" t="s">
        <v>410</v>
      </c>
      <c r="C294" s="47" t="s">
        <v>25</v>
      </c>
      <c r="D294" s="48" t="n">
        <v>20</v>
      </c>
      <c r="E294" s="49" t="n">
        <v>84.32</v>
      </c>
      <c r="F294" s="50" t="n">
        <v>110.4</v>
      </c>
      <c r="G294" s="47" t="s">
        <v>27</v>
      </c>
      <c r="H294" s="52" t="n">
        <f aca="false">130.26/1.2</f>
        <v>108.55</v>
      </c>
      <c r="I294" s="53" t="n">
        <f aca="false">D294*H294</f>
        <v>2171</v>
      </c>
      <c r="J294" s="53" t="s">
        <v>28</v>
      </c>
      <c r="K294" s="52" t="n">
        <v>110.5</v>
      </c>
      <c r="L294" s="53" t="n">
        <f aca="false">D294*K294</f>
        <v>2210</v>
      </c>
      <c r="M294" s="48" t="s">
        <v>29</v>
      </c>
      <c r="N294" s="52" t="n">
        <v>114.8</v>
      </c>
      <c r="O294" s="53" t="n">
        <f aca="false">D294*N294</f>
        <v>2296</v>
      </c>
      <c r="P294" s="54" t="n">
        <f aca="false">AVERAGE(H294,K294,N294)</f>
        <v>111.283333333333</v>
      </c>
      <c r="Q294" s="55" t="n">
        <f aca="false">F294*100/P294-100</f>
        <v>-0.793769657031618</v>
      </c>
      <c r="R294" s="54" t="n">
        <f aca="false">D294*F294</f>
        <v>2208</v>
      </c>
      <c r="S294" s="62" t="s">
        <v>116</v>
      </c>
      <c r="U294" s="57" t="n">
        <f aca="false">ROUND(H294*100/P294-100,0)</f>
        <v>-2</v>
      </c>
      <c r="V294" s="57" t="n">
        <f aca="false">ROUND(K294*100/P294-100,0)</f>
        <v>-1</v>
      </c>
      <c r="W294" s="57" t="n">
        <f aca="false">ROUND(N294*100/P294-100,0)</f>
        <v>3</v>
      </c>
      <c r="Y294" s="43" t="n">
        <v>294</v>
      </c>
    </row>
    <row r="295" s="43" customFormat="true" ht="73.5" hidden="false" customHeight="true" outlineLevel="0" collapsed="false">
      <c r="A295" s="45" t="n">
        <v>306</v>
      </c>
      <c r="B295" s="46" t="s">
        <v>411</v>
      </c>
      <c r="C295" s="47" t="s">
        <v>25</v>
      </c>
      <c r="D295" s="48" t="n">
        <v>1</v>
      </c>
      <c r="E295" s="49" t="n">
        <v>2607.74</v>
      </c>
      <c r="F295" s="50" t="n">
        <v>2664.2</v>
      </c>
      <c r="G295" s="47" t="s">
        <v>27</v>
      </c>
      <c r="H295" s="52" t="n">
        <f aca="false">3124.54/1.2</f>
        <v>2603.78333333333</v>
      </c>
      <c r="I295" s="53" t="n">
        <f aca="false">D295*H295</f>
        <v>2603.78333333333</v>
      </c>
      <c r="J295" s="53" t="s">
        <v>28</v>
      </c>
      <c r="K295" s="52" t="n">
        <v>2754.12</v>
      </c>
      <c r="L295" s="53" t="n">
        <f aca="false">D295*K295</f>
        <v>2754.12</v>
      </c>
      <c r="M295" s="48" t="s">
        <v>29</v>
      </c>
      <c r="N295" s="52" t="n">
        <v>2697.35</v>
      </c>
      <c r="O295" s="53" t="n">
        <f aca="false">D295*N295</f>
        <v>2697.35</v>
      </c>
      <c r="P295" s="54" t="n">
        <f aca="false">AVERAGE(H295,K295,N295)</f>
        <v>2685.08444444444</v>
      </c>
      <c r="Q295" s="55" t="n">
        <f aca="false">F295*100/P295-100</f>
        <v>-0.7777946979528</v>
      </c>
      <c r="R295" s="54" t="n">
        <f aca="false">D295*F295</f>
        <v>2664.2</v>
      </c>
      <c r="S295" s="63"/>
      <c r="U295" s="57" t="n">
        <f aca="false">ROUND(H295*100/P295-100,0)</f>
        <v>-3</v>
      </c>
      <c r="V295" s="57" t="n">
        <f aca="false">ROUND(K295*100/P295-100,0)</f>
        <v>3</v>
      </c>
      <c r="W295" s="57" t="n">
        <f aca="false">ROUND(N295*100/P295-100,0)</f>
        <v>0</v>
      </c>
      <c r="Y295" s="43" t="n">
        <v>295</v>
      </c>
    </row>
    <row r="296" s="43" customFormat="true" ht="73.5" hidden="false" customHeight="true" outlineLevel="0" collapsed="false">
      <c r="A296" s="45" t="n">
        <v>307</v>
      </c>
      <c r="B296" s="46" t="s">
        <v>412</v>
      </c>
      <c r="C296" s="47" t="s">
        <v>25</v>
      </c>
      <c r="D296" s="48" t="n">
        <v>1250</v>
      </c>
      <c r="E296" s="49" t="s">
        <v>26</v>
      </c>
      <c r="F296" s="50" t="n">
        <v>1.37</v>
      </c>
      <c r="G296" s="47" t="s">
        <v>27</v>
      </c>
      <c r="H296" s="52" t="n">
        <f aca="false">1.55/1.2</f>
        <v>1.29166666666667</v>
      </c>
      <c r="I296" s="53" t="n">
        <f aca="false">D296*H296</f>
        <v>1614.58333333333</v>
      </c>
      <c r="J296" s="53" t="s">
        <v>28</v>
      </c>
      <c r="K296" s="52" t="n">
        <v>1.36</v>
      </c>
      <c r="L296" s="53" t="n">
        <f aca="false">D296*K296</f>
        <v>1700</v>
      </c>
      <c r="M296" s="48" t="s">
        <v>29</v>
      </c>
      <c r="N296" s="52" t="n">
        <v>1.51</v>
      </c>
      <c r="O296" s="53" t="n">
        <f aca="false">D296*N296</f>
        <v>1887.5</v>
      </c>
      <c r="P296" s="54" t="n">
        <f aca="false">AVERAGE(H296,K296,N296)</f>
        <v>1.38722222222222</v>
      </c>
      <c r="Q296" s="55" t="n">
        <f aca="false">F296*100/P296-100</f>
        <v>-1.24148978774531</v>
      </c>
      <c r="R296" s="54" t="n">
        <f aca="false">D296*F296</f>
        <v>1712.5</v>
      </c>
      <c r="S296" s="63"/>
      <c r="U296" s="57" t="n">
        <f aca="false">ROUND(H296*100/P296-100,0)</f>
        <v>-7</v>
      </c>
      <c r="V296" s="57" t="n">
        <f aca="false">ROUND(K296*100/P296-100,0)</f>
        <v>-2</v>
      </c>
      <c r="W296" s="57" t="n">
        <f aca="false">ROUND(N296*100/P296-100,0)</f>
        <v>9</v>
      </c>
      <c r="Y296" s="43" t="n">
        <v>296</v>
      </c>
    </row>
    <row r="297" s="43" customFormat="true" ht="73.5" hidden="false" customHeight="true" outlineLevel="0" collapsed="false">
      <c r="A297" s="45" t="n">
        <v>308</v>
      </c>
      <c r="B297" s="46" t="s">
        <v>413</v>
      </c>
      <c r="C297" s="47" t="s">
        <v>25</v>
      </c>
      <c r="D297" s="48" t="n">
        <v>80</v>
      </c>
      <c r="E297" s="49" t="n">
        <v>0.94</v>
      </c>
      <c r="F297" s="50" t="n">
        <v>1.18</v>
      </c>
      <c r="G297" s="47" t="s">
        <v>39</v>
      </c>
      <c r="H297" s="52" t="n">
        <v>1.14</v>
      </c>
      <c r="I297" s="53" t="n">
        <f aca="false">D297*H297</f>
        <v>91.2</v>
      </c>
      <c r="J297" s="47" t="s">
        <v>54</v>
      </c>
      <c r="K297" s="52" t="n">
        <v>1.2</v>
      </c>
      <c r="L297" s="53" t="n">
        <f aca="false">D297*K297</f>
        <v>96</v>
      </c>
      <c r="M297" s="53" t="s">
        <v>41</v>
      </c>
      <c r="N297" s="52" t="n">
        <v>1.23</v>
      </c>
      <c r="O297" s="53" t="n">
        <f aca="false">D297*N297</f>
        <v>98.4</v>
      </c>
      <c r="P297" s="54" t="n">
        <f aca="false">AVERAGE(H297,K297,N297)</f>
        <v>1.19</v>
      </c>
      <c r="Q297" s="55" t="n">
        <f aca="false">F297*100/P297-100</f>
        <v>-0.840336134453779</v>
      </c>
      <c r="R297" s="54" t="n">
        <f aca="false">D297*F297</f>
        <v>94.4</v>
      </c>
      <c r="S297" s="56"/>
      <c r="U297" s="57" t="n">
        <f aca="false">ROUND(H297*100/P297-100,0)</f>
        <v>-4</v>
      </c>
      <c r="V297" s="57" t="n">
        <f aca="false">ROUND(K297*100/P297-100,0)</f>
        <v>1</v>
      </c>
      <c r="W297" s="57" t="n">
        <f aca="false">ROUND(N297*100/P297-100,0)</f>
        <v>3</v>
      </c>
      <c r="Y297" s="43" t="n">
        <v>297</v>
      </c>
    </row>
    <row r="298" s="43" customFormat="true" ht="73.5" hidden="false" customHeight="true" outlineLevel="0" collapsed="false">
      <c r="A298" s="45" t="n">
        <v>309</v>
      </c>
      <c r="B298" s="46" t="s">
        <v>414</v>
      </c>
      <c r="C298" s="47" t="s">
        <v>25</v>
      </c>
      <c r="D298" s="48" t="n">
        <v>40</v>
      </c>
      <c r="E298" s="49" t="n">
        <v>3.08</v>
      </c>
      <c r="F298" s="50" t="n">
        <v>3.91</v>
      </c>
      <c r="G298" s="47" t="s">
        <v>39</v>
      </c>
      <c r="H298" s="52" t="n">
        <v>3.82</v>
      </c>
      <c r="I298" s="53" t="n">
        <f aca="false">D298*H298</f>
        <v>152.8</v>
      </c>
      <c r="J298" s="47" t="s">
        <v>54</v>
      </c>
      <c r="K298" s="52" t="n">
        <v>4.01</v>
      </c>
      <c r="L298" s="53" t="n">
        <f aca="false">D298*K298</f>
        <v>160.4</v>
      </c>
      <c r="M298" s="53" t="s">
        <v>41</v>
      </c>
      <c r="N298" s="52" t="n">
        <v>4.05</v>
      </c>
      <c r="O298" s="53" t="n">
        <f aca="false">D298*N298</f>
        <v>162</v>
      </c>
      <c r="P298" s="54" t="n">
        <f aca="false">AVERAGE(H298,K298,N298)</f>
        <v>3.96</v>
      </c>
      <c r="Q298" s="55" t="n">
        <f aca="false">F298*100/P298-100</f>
        <v>-1.26262626262626</v>
      </c>
      <c r="R298" s="54" t="n">
        <f aca="false">D298*F298</f>
        <v>156.4</v>
      </c>
      <c r="S298" s="56"/>
      <c r="U298" s="57" t="n">
        <f aca="false">ROUND(H298*100/P298-100,0)</f>
        <v>-4</v>
      </c>
      <c r="V298" s="57" t="n">
        <f aca="false">ROUND(K298*100/P298-100,0)</f>
        <v>1</v>
      </c>
      <c r="W298" s="57" t="n">
        <f aca="false">ROUND(N298*100/P298-100,0)</f>
        <v>2</v>
      </c>
      <c r="Y298" s="43" t="n">
        <v>298</v>
      </c>
    </row>
    <row r="299" s="43" customFormat="true" ht="73.5" hidden="false" customHeight="true" outlineLevel="0" collapsed="false">
      <c r="A299" s="45" t="n">
        <v>310</v>
      </c>
      <c r="B299" s="46" t="s">
        <v>415</v>
      </c>
      <c r="C299" s="47" t="s">
        <v>25</v>
      </c>
      <c r="D299" s="48" t="n">
        <v>960</v>
      </c>
      <c r="E299" s="49" t="n">
        <v>1.91</v>
      </c>
      <c r="F299" s="50" t="n">
        <v>2.4</v>
      </c>
      <c r="G299" s="47" t="s">
        <v>39</v>
      </c>
      <c r="H299" s="52" t="n">
        <v>2.36</v>
      </c>
      <c r="I299" s="53" t="n">
        <f aca="false">D299*H299</f>
        <v>2265.6</v>
      </c>
      <c r="J299" s="47" t="s">
        <v>54</v>
      </c>
      <c r="K299" s="52" t="n">
        <v>2.42</v>
      </c>
      <c r="L299" s="53" t="n">
        <f aca="false">D299*K299</f>
        <v>2323.2</v>
      </c>
      <c r="M299" s="53" t="s">
        <v>41</v>
      </c>
      <c r="N299" s="52" t="n">
        <v>2.45</v>
      </c>
      <c r="O299" s="53" t="n">
        <f aca="false">D299*N299</f>
        <v>2352</v>
      </c>
      <c r="P299" s="54" t="n">
        <f aca="false">AVERAGE(H299,K299,N299)</f>
        <v>2.41</v>
      </c>
      <c r="Q299" s="55" t="n">
        <f aca="false">F299*100/P299-100</f>
        <v>-0.414937759336112</v>
      </c>
      <c r="R299" s="54" t="n">
        <f aca="false">D299*F299</f>
        <v>2304</v>
      </c>
      <c r="S299" s="56"/>
      <c r="U299" s="57" t="n">
        <f aca="false">ROUND(H299*100/P299-100,0)</f>
        <v>-2</v>
      </c>
      <c r="V299" s="57" t="n">
        <f aca="false">ROUND(K299*100/P299-100,0)</f>
        <v>0</v>
      </c>
      <c r="W299" s="57" t="n">
        <f aca="false">ROUND(N299*100/P299-100,0)</f>
        <v>2</v>
      </c>
      <c r="Y299" s="43" t="n">
        <v>299</v>
      </c>
    </row>
    <row r="300" s="43" customFormat="true" ht="73.5" hidden="false" customHeight="true" outlineLevel="0" collapsed="false">
      <c r="A300" s="45" t="n">
        <v>311</v>
      </c>
      <c r="B300" s="46" t="s">
        <v>416</v>
      </c>
      <c r="C300" s="47" t="s">
        <v>25</v>
      </c>
      <c r="D300" s="48" t="n">
        <v>1200</v>
      </c>
      <c r="E300" s="49" t="n">
        <v>10.13</v>
      </c>
      <c r="F300" s="50" t="n">
        <v>12.6</v>
      </c>
      <c r="G300" s="47" t="s">
        <v>39</v>
      </c>
      <c r="H300" s="52" t="n">
        <v>12.21</v>
      </c>
      <c r="I300" s="53" t="n">
        <f aca="false">D300*H300</f>
        <v>14652</v>
      </c>
      <c r="J300" s="47" t="s">
        <v>54</v>
      </c>
      <c r="K300" s="52" t="n">
        <v>12.8</v>
      </c>
      <c r="L300" s="53" t="n">
        <f aca="false">D300*K300</f>
        <v>15360</v>
      </c>
      <c r="M300" s="53" t="s">
        <v>41</v>
      </c>
      <c r="N300" s="52" t="n">
        <v>13.01</v>
      </c>
      <c r="O300" s="53" t="n">
        <f aca="false">D300*N300</f>
        <v>15612</v>
      </c>
      <c r="P300" s="54" t="n">
        <f aca="false">AVERAGE(H300,K300,N300)</f>
        <v>12.6733333333333</v>
      </c>
      <c r="Q300" s="55" t="n">
        <f aca="false">F300*100/P300-100</f>
        <v>-0.578642819568657</v>
      </c>
      <c r="R300" s="54" t="n">
        <f aca="false">D300*F300</f>
        <v>15120</v>
      </c>
      <c r="S300" s="56"/>
      <c r="U300" s="57" t="n">
        <f aca="false">ROUND(H300*100/P300-100,0)</f>
        <v>-4</v>
      </c>
      <c r="V300" s="57" t="n">
        <f aca="false">ROUND(K300*100/P300-100,0)</f>
        <v>1</v>
      </c>
      <c r="W300" s="57" t="n">
        <f aca="false">ROUND(N300*100/P300-100,0)</f>
        <v>3</v>
      </c>
      <c r="Y300" s="43" t="n">
        <v>300</v>
      </c>
    </row>
    <row r="301" s="43" customFormat="true" ht="73.5" hidden="false" customHeight="true" outlineLevel="0" collapsed="false">
      <c r="A301" s="45" t="n">
        <v>312</v>
      </c>
      <c r="B301" s="46" t="s">
        <v>417</v>
      </c>
      <c r="C301" s="47" t="s">
        <v>25</v>
      </c>
      <c r="D301" s="48" t="n">
        <v>80</v>
      </c>
      <c r="E301" s="49" t="n">
        <v>0.91</v>
      </c>
      <c r="F301" s="50" t="n">
        <v>1.17</v>
      </c>
      <c r="G301" s="47" t="s">
        <v>39</v>
      </c>
      <c r="H301" s="52" t="n">
        <v>1.11</v>
      </c>
      <c r="I301" s="53" t="n">
        <f aca="false">D301*H301</f>
        <v>88.8</v>
      </c>
      <c r="J301" s="47" t="s">
        <v>54</v>
      </c>
      <c r="K301" s="52" t="n">
        <v>1.16</v>
      </c>
      <c r="L301" s="53" t="n">
        <f aca="false">D301*K301</f>
        <v>92.8</v>
      </c>
      <c r="M301" s="53" t="s">
        <v>41</v>
      </c>
      <c r="N301" s="52" t="n">
        <v>1.31</v>
      </c>
      <c r="O301" s="53" t="n">
        <f aca="false">D301*N301</f>
        <v>104.8</v>
      </c>
      <c r="P301" s="54" t="n">
        <f aca="false">AVERAGE(H301,K301,N301)</f>
        <v>1.19333333333333</v>
      </c>
      <c r="Q301" s="55" t="n">
        <f aca="false">F301*100/P301-100</f>
        <v>-1.95530726256983</v>
      </c>
      <c r="R301" s="54" t="n">
        <f aca="false">D301*F301</f>
        <v>93.6</v>
      </c>
      <c r="S301" s="56"/>
      <c r="U301" s="57" t="n">
        <f aca="false">ROUND(H301*100/P301-100,0)</f>
        <v>-7</v>
      </c>
      <c r="V301" s="57" t="n">
        <f aca="false">ROUND(K301*100/P301-100,0)</f>
        <v>-3</v>
      </c>
      <c r="W301" s="57" t="n">
        <f aca="false">ROUND(N301*100/P301-100,0)</f>
        <v>10</v>
      </c>
      <c r="Y301" s="43" t="n">
        <v>301</v>
      </c>
    </row>
    <row r="302" s="43" customFormat="true" ht="73.5" hidden="false" customHeight="true" outlineLevel="0" collapsed="false">
      <c r="A302" s="45" t="n">
        <v>313</v>
      </c>
      <c r="B302" s="46" t="s">
        <v>418</v>
      </c>
      <c r="C302" s="47" t="s">
        <v>25</v>
      </c>
      <c r="D302" s="48" t="n">
        <v>60</v>
      </c>
      <c r="E302" s="49" t="n">
        <v>0.39</v>
      </c>
      <c r="F302" s="50" t="n">
        <v>0.51</v>
      </c>
      <c r="G302" s="47" t="s">
        <v>39</v>
      </c>
      <c r="H302" s="52" t="n">
        <v>0.49</v>
      </c>
      <c r="I302" s="53" t="n">
        <f aca="false">D302*H302</f>
        <v>29.4</v>
      </c>
      <c r="J302" s="47" t="s">
        <v>54</v>
      </c>
      <c r="K302" s="52" t="n">
        <v>0.51</v>
      </c>
      <c r="L302" s="53" t="n">
        <f aca="false">D302*K302</f>
        <v>30.6</v>
      </c>
      <c r="M302" s="53" t="s">
        <v>41</v>
      </c>
      <c r="N302" s="52" t="n">
        <v>0.55</v>
      </c>
      <c r="O302" s="53" t="n">
        <f aca="false">D302*N302</f>
        <v>33</v>
      </c>
      <c r="P302" s="54" t="n">
        <f aca="false">AVERAGE(H302,K302,N302)</f>
        <v>0.516666666666667</v>
      </c>
      <c r="Q302" s="55" t="n">
        <f aca="false">F302*100/P302-100</f>
        <v>-1.29032258064517</v>
      </c>
      <c r="R302" s="54" t="n">
        <f aca="false">D302*F302</f>
        <v>30.6</v>
      </c>
      <c r="S302" s="56"/>
      <c r="U302" s="57" t="n">
        <f aca="false">ROUND(H302*100/P302-100,0)</f>
        <v>-5</v>
      </c>
      <c r="V302" s="57" t="n">
        <f aca="false">ROUND(K302*100/P302-100,0)</f>
        <v>-1</v>
      </c>
      <c r="W302" s="57" t="n">
        <f aca="false">ROUND(N302*100/P302-100,0)</f>
        <v>6</v>
      </c>
      <c r="Y302" s="43" t="n">
        <v>302</v>
      </c>
    </row>
    <row r="303" s="43" customFormat="true" ht="73.5" hidden="false" customHeight="true" outlineLevel="0" collapsed="false">
      <c r="A303" s="45" t="n">
        <v>314</v>
      </c>
      <c r="B303" s="46" t="s">
        <v>419</v>
      </c>
      <c r="C303" s="47" t="s">
        <v>25</v>
      </c>
      <c r="D303" s="48" t="n">
        <v>40</v>
      </c>
      <c r="E303" s="49" t="n">
        <v>1.77</v>
      </c>
      <c r="F303" s="50" t="n">
        <v>2.35</v>
      </c>
      <c r="G303" s="47" t="s">
        <v>39</v>
      </c>
      <c r="H303" s="52" t="n">
        <v>2.14</v>
      </c>
      <c r="I303" s="53" t="n">
        <f aca="false">D303*H303</f>
        <v>85.6</v>
      </c>
      <c r="J303" s="47" t="s">
        <v>54</v>
      </c>
      <c r="K303" s="52" t="n">
        <v>2.64</v>
      </c>
      <c r="L303" s="53" t="n">
        <f aca="false">D303*K303</f>
        <v>105.6</v>
      </c>
      <c r="M303" s="53" t="s">
        <v>41</v>
      </c>
      <c r="N303" s="52" t="n">
        <v>2.33</v>
      </c>
      <c r="O303" s="53" t="n">
        <f aca="false">D303*N303</f>
        <v>93.2</v>
      </c>
      <c r="P303" s="54" t="n">
        <f aca="false">AVERAGE(H303,K303,N303)</f>
        <v>2.37</v>
      </c>
      <c r="Q303" s="55" t="n">
        <f aca="false">F303*100/P303-100</f>
        <v>-0.843881856540094</v>
      </c>
      <c r="R303" s="54" t="n">
        <f aca="false">D303*F303</f>
        <v>94</v>
      </c>
      <c r="S303" s="56"/>
      <c r="U303" s="57" t="n">
        <f aca="false">ROUND(H303*100/P303-100,0)</f>
        <v>-10</v>
      </c>
      <c r="V303" s="57" t="n">
        <f aca="false">ROUND(K303*100/P303-100,0)</f>
        <v>11</v>
      </c>
      <c r="W303" s="57" t="n">
        <f aca="false">ROUND(N303*100/P303-100,0)</f>
        <v>-2</v>
      </c>
      <c r="Y303" s="43" t="n">
        <v>303</v>
      </c>
    </row>
    <row r="304" s="43" customFormat="true" ht="73.5" hidden="false" customHeight="true" outlineLevel="0" collapsed="false">
      <c r="A304" s="45" t="n">
        <v>315</v>
      </c>
      <c r="B304" s="46" t="s">
        <v>420</v>
      </c>
      <c r="C304" s="47" t="s">
        <v>25</v>
      </c>
      <c r="D304" s="48" t="s">
        <v>421</v>
      </c>
      <c r="E304" s="49" t="n">
        <v>2.23</v>
      </c>
      <c r="F304" s="50" t="n">
        <v>2.71</v>
      </c>
      <c r="G304" s="47" t="s">
        <v>39</v>
      </c>
      <c r="H304" s="52" t="n">
        <v>2.68</v>
      </c>
      <c r="I304" s="53" t="n">
        <f aca="false">D304*H304</f>
        <v>6592.8</v>
      </c>
      <c r="J304" s="47" t="s">
        <v>54</v>
      </c>
      <c r="K304" s="52" t="n">
        <v>2.72</v>
      </c>
      <c r="L304" s="53" t="n">
        <f aca="false">D304*K304</f>
        <v>6691.2</v>
      </c>
      <c r="M304" s="53" t="s">
        <v>41</v>
      </c>
      <c r="N304" s="52" t="n">
        <v>2.75</v>
      </c>
      <c r="O304" s="53" t="n">
        <f aca="false">D304*N304</f>
        <v>6765</v>
      </c>
      <c r="P304" s="54" t="n">
        <f aca="false">AVERAGE(H304,K304,N304)</f>
        <v>2.71666666666667</v>
      </c>
      <c r="Q304" s="55" t="n">
        <f aca="false">F304*100/P304-100</f>
        <v>-0.245398773006144</v>
      </c>
      <c r="R304" s="54" t="n">
        <f aca="false">D304*F304</f>
        <v>6666.6</v>
      </c>
      <c r="S304" s="56"/>
      <c r="U304" s="57" t="n">
        <f aca="false">ROUND(H304*100/P304-100,0)</f>
        <v>-1</v>
      </c>
      <c r="V304" s="57" t="n">
        <f aca="false">ROUND(K304*100/P304-100,0)</f>
        <v>0</v>
      </c>
      <c r="W304" s="57" t="n">
        <f aca="false">ROUND(N304*100/P304-100,0)</f>
        <v>1</v>
      </c>
      <c r="Y304" s="43" t="n">
        <v>304</v>
      </c>
    </row>
    <row r="305" s="43" customFormat="true" ht="73.5" hidden="false" customHeight="true" outlineLevel="0" collapsed="false">
      <c r="A305" s="45" t="n">
        <v>316</v>
      </c>
      <c r="B305" s="46" t="s">
        <v>422</v>
      </c>
      <c r="C305" s="47" t="s">
        <v>25</v>
      </c>
      <c r="D305" s="48" t="n">
        <v>480</v>
      </c>
      <c r="E305" s="49" t="n">
        <v>4.74</v>
      </c>
      <c r="F305" s="50" t="n">
        <v>5.82</v>
      </c>
      <c r="G305" s="47" t="s">
        <v>39</v>
      </c>
      <c r="H305" s="52" t="n">
        <v>5.76</v>
      </c>
      <c r="I305" s="53" t="n">
        <f aca="false">D305*H305</f>
        <v>2764.8</v>
      </c>
      <c r="J305" s="47" t="s">
        <v>54</v>
      </c>
      <c r="K305" s="52" t="n">
        <v>5.87</v>
      </c>
      <c r="L305" s="53" t="n">
        <f aca="false">D305*K305</f>
        <v>2817.6</v>
      </c>
      <c r="M305" s="53" t="s">
        <v>41</v>
      </c>
      <c r="N305" s="52" t="n">
        <v>6.02</v>
      </c>
      <c r="O305" s="53" t="n">
        <f aca="false">D305*N305</f>
        <v>2889.6</v>
      </c>
      <c r="P305" s="54" t="n">
        <f aca="false">AVERAGE(H305,K305,N305)</f>
        <v>5.88333333333333</v>
      </c>
      <c r="Q305" s="55" t="n">
        <f aca="false">F305*100/P305-100</f>
        <v>-1.07648725212464</v>
      </c>
      <c r="R305" s="54" t="n">
        <f aca="false">D305*F305</f>
        <v>2793.6</v>
      </c>
      <c r="S305" s="56"/>
      <c r="U305" s="57" t="n">
        <f aca="false">ROUND(H305*100/P305-100,0)</f>
        <v>-2</v>
      </c>
      <c r="V305" s="57" t="n">
        <f aca="false">ROUND(K305*100/P305-100,0)</f>
        <v>-0</v>
      </c>
      <c r="W305" s="57" t="n">
        <f aca="false">ROUND(N305*100/P305-100,0)</f>
        <v>2</v>
      </c>
      <c r="Y305" s="43" t="n">
        <v>305</v>
      </c>
    </row>
    <row r="306" s="43" customFormat="true" ht="73.5" hidden="false" customHeight="true" outlineLevel="0" collapsed="false">
      <c r="A306" s="45" t="n">
        <v>317</v>
      </c>
      <c r="B306" s="46" t="s">
        <v>423</v>
      </c>
      <c r="C306" s="47" t="s">
        <v>25</v>
      </c>
      <c r="D306" s="48" t="n">
        <v>40</v>
      </c>
      <c r="E306" s="49" t="n">
        <v>0.26</v>
      </c>
      <c r="F306" s="50" t="n">
        <v>0.39</v>
      </c>
      <c r="G306" s="47" t="s">
        <v>39</v>
      </c>
      <c r="H306" s="52" t="n">
        <v>0.34</v>
      </c>
      <c r="I306" s="53" t="n">
        <f aca="false">D306*H306</f>
        <v>13.6</v>
      </c>
      <c r="J306" s="47" t="s">
        <v>54</v>
      </c>
      <c r="K306" s="52" t="n">
        <v>0.44</v>
      </c>
      <c r="L306" s="53" t="n">
        <f aca="false">D306*K306</f>
        <v>17.6</v>
      </c>
      <c r="M306" s="53" t="s">
        <v>41</v>
      </c>
      <c r="N306" s="52" t="n">
        <v>0.42</v>
      </c>
      <c r="O306" s="53" t="n">
        <f aca="false">D306*N306</f>
        <v>16.8</v>
      </c>
      <c r="P306" s="54" t="n">
        <f aca="false">AVERAGE(H306,K306,N306)</f>
        <v>0.4</v>
      </c>
      <c r="Q306" s="55" t="n">
        <f aca="false">F306*100/P306-100</f>
        <v>-2.49999999999999</v>
      </c>
      <c r="R306" s="54" t="n">
        <f aca="false">D306*F306</f>
        <v>15.6</v>
      </c>
      <c r="S306" s="56"/>
      <c r="U306" s="57" t="n">
        <f aca="false">ROUND(H306*100/P306-100,0)</f>
        <v>-15</v>
      </c>
      <c r="V306" s="57" t="n">
        <f aca="false">ROUND(K306*100/P306-100,0)</f>
        <v>10</v>
      </c>
      <c r="W306" s="57" t="n">
        <f aca="false">ROUND(N306*100/P306-100,0)</f>
        <v>5</v>
      </c>
      <c r="Y306" s="43" t="n">
        <v>306</v>
      </c>
    </row>
    <row r="307" s="43" customFormat="true" ht="73.5" hidden="false" customHeight="true" outlineLevel="0" collapsed="false">
      <c r="A307" s="45" t="n">
        <v>318</v>
      </c>
      <c r="B307" s="46" t="s">
        <v>424</v>
      </c>
      <c r="C307" s="47" t="s">
        <v>25</v>
      </c>
      <c r="D307" s="48" t="n">
        <v>30</v>
      </c>
      <c r="E307" s="49" t="n">
        <v>1.09</v>
      </c>
      <c r="F307" s="50" t="n">
        <v>1.44</v>
      </c>
      <c r="G307" s="47" t="s">
        <v>39</v>
      </c>
      <c r="H307" s="52" t="n">
        <v>1.37</v>
      </c>
      <c r="I307" s="53" t="n">
        <f aca="false">D307*H307</f>
        <v>41.1</v>
      </c>
      <c r="J307" s="47" t="s">
        <v>54</v>
      </c>
      <c r="K307" s="52" t="n">
        <v>1.58</v>
      </c>
      <c r="L307" s="53" t="n">
        <f aca="false">D307*K307</f>
        <v>47.4</v>
      </c>
      <c r="M307" s="53" t="s">
        <v>41</v>
      </c>
      <c r="N307" s="52" t="n">
        <v>1.44</v>
      </c>
      <c r="O307" s="53" t="n">
        <f aca="false">D307*N307</f>
        <v>43.2</v>
      </c>
      <c r="P307" s="54" t="n">
        <f aca="false">AVERAGE(H307,K307,N307)</f>
        <v>1.46333333333333</v>
      </c>
      <c r="Q307" s="55" t="n">
        <f aca="false">F307*100/P307-100</f>
        <v>-1.59453302961278</v>
      </c>
      <c r="R307" s="54" t="n">
        <f aca="false">D307*F307</f>
        <v>43.2</v>
      </c>
      <c r="S307" s="56"/>
      <c r="U307" s="57" t="n">
        <f aca="false">ROUND(H307*100/P307-100,0)</f>
        <v>-6</v>
      </c>
      <c r="V307" s="57" t="n">
        <f aca="false">ROUND(K307*100/P307-100,0)</f>
        <v>8</v>
      </c>
      <c r="W307" s="57" t="n">
        <f aca="false">ROUND(N307*100/P307-100,0)</f>
        <v>-2</v>
      </c>
      <c r="Y307" s="43" t="n">
        <v>307</v>
      </c>
    </row>
    <row r="308" s="43" customFormat="true" ht="66.75" hidden="false" customHeight="true" outlineLevel="0" collapsed="false">
      <c r="A308" s="45"/>
      <c r="B308" s="46" t="s">
        <v>425</v>
      </c>
      <c r="C308" s="47" t="s">
        <v>25</v>
      </c>
      <c r="D308" s="48" t="n">
        <v>200</v>
      </c>
      <c r="E308" s="49" t="n">
        <v>31.33</v>
      </c>
      <c r="F308" s="50" t="n">
        <v>39</v>
      </c>
      <c r="G308" s="47" t="s">
        <v>39</v>
      </c>
      <c r="H308" s="52" t="n">
        <v>37.82</v>
      </c>
      <c r="I308" s="53" t="n">
        <f aca="false">D308*H308</f>
        <v>7564</v>
      </c>
      <c r="J308" s="47" t="s">
        <v>54</v>
      </c>
      <c r="K308" s="52" t="n">
        <v>41.02</v>
      </c>
      <c r="L308" s="53" t="n">
        <f aca="false">D308*K308</f>
        <v>8204</v>
      </c>
      <c r="M308" s="53" t="s">
        <v>41</v>
      </c>
      <c r="N308" s="52" t="n">
        <v>38.46</v>
      </c>
      <c r="O308" s="53" t="n">
        <f aca="false">D308*N308</f>
        <v>7692</v>
      </c>
      <c r="P308" s="54" t="n">
        <f aca="false">AVERAGE(H308,K308,N308)</f>
        <v>39.1</v>
      </c>
      <c r="Q308" s="55" t="n">
        <f aca="false">F308*100/P308-100</f>
        <v>-0.255754475703327</v>
      </c>
      <c r="R308" s="54" t="n">
        <f aca="false">D308*F308</f>
        <v>7800</v>
      </c>
      <c r="S308" s="56"/>
      <c r="U308" s="57" t="n">
        <f aca="false">ROUND(H308*100/P308-100,0)</f>
        <v>-3</v>
      </c>
      <c r="V308" s="57" t="n">
        <f aca="false">ROUND(K308*100/P308-100,0)</f>
        <v>5</v>
      </c>
      <c r="W308" s="57" t="n">
        <f aca="false">ROUND(N308*100/P308-100,0)</f>
        <v>-2</v>
      </c>
      <c r="Y308" s="43" t="n">
        <v>308</v>
      </c>
    </row>
    <row r="309" s="43" customFormat="true" ht="73.5" hidden="false" customHeight="true" outlineLevel="0" collapsed="false">
      <c r="A309" s="45" t="n">
        <v>319</v>
      </c>
      <c r="B309" s="46" t="s">
        <v>426</v>
      </c>
      <c r="C309" s="47" t="s">
        <v>147</v>
      </c>
      <c r="D309" s="48" t="n">
        <v>48</v>
      </c>
      <c r="E309" s="49" t="n">
        <v>14885.42</v>
      </c>
      <c r="F309" s="50" t="n">
        <v>17801.5</v>
      </c>
      <c r="G309" s="47" t="s">
        <v>27</v>
      </c>
      <c r="H309" s="52" t="n">
        <f aca="false">20996.75/1.2</f>
        <v>17497.2916666667</v>
      </c>
      <c r="I309" s="53" t="n">
        <f aca="false">D309*H309</f>
        <v>839870</v>
      </c>
      <c r="J309" s="53" t="s">
        <v>28</v>
      </c>
      <c r="K309" s="52" t="n">
        <v>17891.4</v>
      </c>
      <c r="L309" s="53" t="n">
        <f aca="false">D309*K309</f>
        <v>858787.2</v>
      </c>
      <c r="M309" s="48" t="s">
        <v>29</v>
      </c>
      <c r="N309" s="52" t="n">
        <v>18112.77</v>
      </c>
      <c r="O309" s="53" t="n">
        <f aca="false">D309*N309</f>
        <v>869412.96</v>
      </c>
      <c r="P309" s="54" t="n">
        <f aca="false">AVERAGE(H309,K309,N309)</f>
        <v>17833.8205555556</v>
      </c>
      <c r="Q309" s="55" t="n">
        <f aca="false">F309*100/P309-100</f>
        <v>-0.18123180871352</v>
      </c>
      <c r="R309" s="54" t="n">
        <f aca="false">D309*F309</f>
        <v>854472</v>
      </c>
      <c r="S309" s="56"/>
      <c r="U309" s="57" t="n">
        <f aca="false">ROUND(H309*100/P309-100,0)</f>
        <v>-2</v>
      </c>
      <c r="V309" s="57" t="n">
        <f aca="false">ROUND(K309*100/P309-100,0)</f>
        <v>0</v>
      </c>
      <c r="W309" s="57" t="n">
        <f aca="false">ROUND(N309*100/P309-100,0)</f>
        <v>2</v>
      </c>
      <c r="Y309" s="43" t="n">
        <v>309</v>
      </c>
    </row>
    <row r="310" s="43" customFormat="true" ht="73.5" hidden="false" customHeight="true" outlineLevel="0" collapsed="false">
      <c r="A310" s="45" t="n">
        <f aca="false">A309+1</f>
        <v>320</v>
      </c>
      <c r="B310" s="46" t="s">
        <v>427</v>
      </c>
      <c r="C310" s="47" t="s">
        <v>25</v>
      </c>
      <c r="D310" s="48" t="n">
        <v>96</v>
      </c>
      <c r="E310" s="49" t="s">
        <v>26</v>
      </c>
      <c r="F310" s="50" t="n">
        <v>15087.84</v>
      </c>
      <c r="G310" s="47" t="s">
        <v>27</v>
      </c>
      <c r="H310" s="52" t="n">
        <v>15023.18</v>
      </c>
      <c r="I310" s="53" t="n">
        <f aca="false">D310*H310</f>
        <v>1442225.28</v>
      </c>
      <c r="J310" s="53" t="s">
        <v>28</v>
      </c>
      <c r="K310" s="52" t="n">
        <v>14681.33</v>
      </c>
      <c r="L310" s="53" t="n">
        <f aca="false">D310*K310</f>
        <v>1409407.68</v>
      </c>
      <c r="M310" s="48" t="s">
        <v>29</v>
      </c>
      <c r="N310" s="52" t="n">
        <v>15762.2</v>
      </c>
      <c r="O310" s="53" t="n">
        <f aca="false">D310*N310</f>
        <v>1513171.2</v>
      </c>
      <c r="P310" s="54" t="n">
        <f aca="false">AVERAGE(H310,K310,N310)</f>
        <v>15155.57</v>
      </c>
      <c r="Q310" s="55" t="n">
        <f aca="false">F310*100/P310-100</f>
        <v>-0.446898401049907</v>
      </c>
      <c r="R310" s="54" t="n">
        <f aca="false">D310*F310</f>
        <v>1448432.64</v>
      </c>
      <c r="S310" s="56"/>
      <c r="U310" s="57" t="n">
        <f aca="false">ROUND(H310*100/P310-100,0)</f>
        <v>-1</v>
      </c>
      <c r="V310" s="57" t="n">
        <f aca="false">ROUND(K310*100/P310-100,0)</f>
        <v>-3</v>
      </c>
      <c r="W310" s="57" t="n">
        <f aca="false">ROUND(N310*100/P310-100,0)</f>
        <v>4</v>
      </c>
      <c r="Y310" s="43" t="n">
        <v>310</v>
      </c>
    </row>
    <row r="311" s="43" customFormat="true" ht="73.5" hidden="false" customHeight="true" outlineLevel="0" collapsed="false">
      <c r="A311" s="45" t="n">
        <f aca="false">A310+1</f>
        <v>321</v>
      </c>
      <c r="B311" s="46" t="s">
        <v>428</v>
      </c>
      <c r="C311" s="47" t="s">
        <v>25</v>
      </c>
      <c r="D311" s="48" t="n">
        <v>48</v>
      </c>
      <c r="E311" s="49" t="n">
        <v>19410.31</v>
      </c>
      <c r="F311" s="50" t="n">
        <v>24326.9</v>
      </c>
      <c r="G311" s="47" t="s">
        <v>56</v>
      </c>
      <c r="H311" s="52" t="n">
        <v>24568.84</v>
      </c>
      <c r="I311" s="53" t="n">
        <f aca="false">D311*H311</f>
        <v>1179304.32</v>
      </c>
      <c r="J311" s="47" t="s">
        <v>57</v>
      </c>
      <c r="K311" s="52" t="n">
        <v>25037.67</v>
      </c>
      <c r="L311" s="53" t="n">
        <f aca="false">D311*K311</f>
        <v>1201808.16</v>
      </c>
      <c r="M311" s="47" t="s">
        <v>119</v>
      </c>
      <c r="N311" s="52" t="n">
        <v>23991.05</v>
      </c>
      <c r="O311" s="53" t="n">
        <f aca="false">D311*N311</f>
        <v>1151570.4</v>
      </c>
      <c r="P311" s="54" t="n">
        <f aca="false">AVERAGE(H311,K311,N311)</f>
        <v>24532.52</v>
      </c>
      <c r="Q311" s="55" t="n">
        <f aca="false">F311*100/P311-100</f>
        <v>-0.838152786586946</v>
      </c>
      <c r="R311" s="54" t="n">
        <f aca="false">D311*F311</f>
        <v>1167691.2</v>
      </c>
      <c r="S311" s="56"/>
      <c r="U311" s="57" t="n">
        <f aca="false">ROUND(H311*100/P311-100,0)</f>
        <v>0</v>
      </c>
      <c r="V311" s="57" t="n">
        <f aca="false">ROUND(K311*100/P311-100,0)</f>
        <v>2</v>
      </c>
      <c r="W311" s="57" t="n">
        <f aca="false">ROUND(N311*100/P311-100,0)</f>
        <v>-2</v>
      </c>
      <c r="Y311" s="43" t="n">
        <v>311</v>
      </c>
    </row>
    <row r="312" s="43" customFormat="true" ht="73.5" hidden="false" customHeight="true" outlineLevel="0" collapsed="false">
      <c r="A312" s="45" t="n">
        <f aca="false">A311+1</f>
        <v>322</v>
      </c>
      <c r="B312" s="46" t="s">
        <v>429</v>
      </c>
      <c r="C312" s="47" t="s">
        <v>25</v>
      </c>
      <c r="D312" s="48" t="n">
        <v>400</v>
      </c>
      <c r="E312" s="49" t="n">
        <v>33.17</v>
      </c>
      <c r="F312" s="50" t="n">
        <v>37.4</v>
      </c>
      <c r="G312" s="47" t="s">
        <v>39</v>
      </c>
      <c r="H312" s="52" t="n">
        <v>39.6</v>
      </c>
      <c r="I312" s="53" t="n">
        <f aca="false">D312*H312</f>
        <v>15840</v>
      </c>
      <c r="J312" s="47" t="s">
        <v>430</v>
      </c>
      <c r="K312" s="52" t="n">
        <f aca="false">46.28/1.2</f>
        <v>38.5666666666667</v>
      </c>
      <c r="L312" s="53" t="n">
        <f aca="false">D312*K312</f>
        <v>15426.6666666667</v>
      </c>
      <c r="M312" s="47" t="s">
        <v>431</v>
      </c>
      <c r="N312" s="52" t="n">
        <f aca="false">42.67/1.2</f>
        <v>35.5583333333333</v>
      </c>
      <c r="O312" s="53" t="n">
        <f aca="false">D312*N312</f>
        <v>14223.3333333333</v>
      </c>
      <c r="P312" s="54" t="n">
        <f aca="false">AVERAGE(H312,K312,N312)</f>
        <v>37.9083333333333</v>
      </c>
      <c r="Q312" s="55" t="n">
        <f aca="false">F312*100/P312-100</f>
        <v>-1.34095405583646</v>
      </c>
      <c r="R312" s="54" t="n">
        <f aca="false">D312*F312</f>
        <v>14960</v>
      </c>
      <c r="S312" s="56"/>
      <c r="U312" s="57" t="n">
        <f aca="false">ROUND(H312*100/P312-100,0)</f>
        <v>4</v>
      </c>
      <c r="V312" s="57" t="n">
        <f aca="false">ROUND(K312*100/P312-100,0)</f>
        <v>2</v>
      </c>
      <c r="W312" s="57" t="n">
        <f aca="false">ROUND(N312*100/P312-100,0)</f>
        <v>-6</v>
      </c>
      <c r="Y312" s="43" t="n">
        <v>312</v>
      </c>
    </row>
    <row r="313" s="43" customFormat="true" ht="73.5" hidden="false" customHeight="true" outlineLevel="0" collapsed="false">
      <c r="A313" s="45" t="n">
        <f aca="false">A312+1</f>
        <v>323</v>
      </c>
      <c r="B313" s="46" t="s">
        <v>432</v>
      </c>
      <c r="C313" s="47" t="s">
        <v>147</v>
      </c>
      <c r="D313" s="48" t="s">
        <v>433</v>
      </c>
      <c r="E313" s="49" t="n">
        <v>8.76</v>
      </c>
      <c r="F313" s="50" t="n">
        <v>11.03</v>
      </c>
      <c r="G313" s="51" t="s">
        <v>90</v>
      </c>
      <c r="H313" s="52" t="n">
        <f aca="false">13.24/1.2</f>
        <v>11.0333333333333</v>
      </c>
      <c r="I313" s="53" t="n">
        <f aca="false">D313*H313</f>
        <v>17653.3333333333</v>
      </c>
      <c r="J313" s="47" t="s">
        <v>46</v>
      </c>
      <c r="K313" s="52" t="n">
        <v>10.93</v>
      </c>
      <c r="L313" s="53" t="n">
        <f aca="false">D313*K313</f>
        <v>17488</v>
      </c>
      <c r="M313" s="47" t="s">
        <v>58</v>
      </c>
      <c r="N313" s="52" t="n">
        <v>11.89</v>
      </c>
      <c r="O313" s="53" t="n">
        <f aca="false">D313*N313</f>
        <v>19024</v>
      </c>
      <c r="P313" s="54" t="n">
        <f aca="false">AVERAGE(H313,K313,N313)</f>
        <v>11.2844444444444</v>
      </c>
      <c r="Q313" s="55" t="n">
        <f aca="false">F313*100/P313-100</f>
        <v>-2.25482473414731</v>
      </c>
      <c r="R313" s="54" t="n">
        <f aca="false">D313*F313</f>
        <v>17648</v>
      </c>
      <c r="S313" s="56"/>
      <c r="U313" s="57" t="n">
        <f aca="false">ROUND(H313*100/P313-100,0)</f>
        <v>-2</v>
      </c>
      <c r="V313" s="57" t="n">
        <f aca="false">ROUND(K313*100/P313-100,0)</f>
        <v>-3</v>
      </c>
      <c r="W313" s="57" t="n">
        <f aca="false">ROUND(N313*100/P313-100,0)</f>
        <v>5</v>
      </c>
      <c r="Y313" s="43" t="n">
        <v>313</v>
      </c>
    </row>
    <row r="314" s="43" customFormat="true" ht="73.5" hidden="false" customHeight="true" outlineLevel="0" collapsed="false">
      <c r="A314" s="45" t="n">
        <f aca="false">A313+1</f>
        <v>324</v>
      </c>
      <c r="B314" s="46" t="s">
        <v>434</v>
      </c>
      <c r="C314" s="47" t="s">
        <v>25</v>
      </c>
      <c r="D314" s="48" t="n">
        <v>30</v>
      </c>
      <c r="E314" s="49" t="n">
        <v>872.67</v>
      </c>
      <c r="F314" s="50" t="n">
        <v>1285.66</v>
      </c>
      <c r="G314" s="47" t="s">
        <v>435</v>
      </c>
      <c r="H314" s="52" t="n">
        <v>1300</v>
      </c>
      <c r="I314" s="53" t="n">
        <f aca="false">D314*H314</f>
        <v>39000</v>
      </c>
      <c r="J314" s="47" t="s">
        <v>436</v>
      </c>
      <c r="K314" s="52" t="n">
        <v>1300</v>
      </c>
      <c r="L314" s="53" t="n">
        <f aca="false">D314*K314</f>
        <v>39000</v>
      </c>
      <c r="M314" s="47" t="s">
        <v>437</v>
      </c>
      <c r="N314" s="52" t="n">
        <v>1260</v>
      </c>
      <c r="O314" s="53" t="n">
        <f aca="false">D314*N314</f>
        <v>37800</v>
      </c>
      <c r="P314" s="54" t="n">
        <f aca="false">AVERAGE(H314,K314,N314)</f>
        <v>1286.66666666667</v>
      </c>
      <c r="Q314" s="55" t="n">
        <f aca="false">F314*100/P314-100</f>
        <v>-0.0782383419689126</v>
      </c>
      <c r="R314" s="54" t="n">
        <f aca="false">D314*F314</f>
        <v>38569.8</v>
      </c>
      <c r="S314" s="56"/>
      <c r="U314" s="57" t="n">
        <f aca="false">ROUND(H314*100/P314-100,0)</f>
        <v>1</v>
      </c>
      <c r="V314" s="57" t="n">
        <f aca="false">ROUND(K314*100/P314-100,0)</f>
        <v>1</v>
      </c>
      <c r="W314" s="57" t="n">
        <f aca="false">ROUND(N314*100/P314-100,0)</f>
        <v>-2</v>
      </c>
      <c r="Y314" s="43" t="n">
        <v>314</v>
      </c>
    </row>
    <row r="315" s="43" customFormat="true" ht="73.5" hidden="false" customHeight="true" outlineLevel="0" collapsed="false">
      <c r="A315" s="45" t="n">
        <f aca="false">A314+1</f>
        <v>325</v>
      </c>
      <c r="B315" s="46" t="s">
        <v>438</v>
      </c>
      <c r="C315" s="47" t="s">
        <v>25</v>
      </c>
      <c r="D315" s="48" t="n">
        <v>1</v>
      </c>
      <c r="E315" s="49" t="n">
        <v>20102.93</v>
      </c>
      <c r="F315" s="50" t="n">
        <v>26054.6</v>
      </c>
      <c r="G315" s="47" t="s">
        <v>27</v>
      </c>
      <c r="H315" s="52" t="n">
        <f aca="false">30302.49/1.2</f>
        <v>25252.075</v>
      </c>
      <c r="I315" s="53" t="n">
        <f aca="false">D315*H315</f>
        <v>25252.075</v>
      </c>
      <c r="J315" s="53" t="s">
        <v>28</v>
      </c>
      <c r="K315" s="52" t="n">
        <v>26315.4</v>
      </c>
      <c r="L315" s="53" t="n">
        <f aca="false">D315*K315</f>
        <v>26315.4</v>
      </c>
      <c r="M315" s="48" t="s">
        <v>29</v>
      </c>
      <c r="N315" s="52" t="n">
        <v>26678.22</v>
      </c>
      <c r="O315" s="53" t="n">
        <f aca="false">D315*N315</f>
        <v>26678.22</v>
      </c>
      <c r="P315" s="54" t="n">
        <f aca="false">AVERAGE(H315,K315,N315)</f>
        <v>26081.8983333333</v>
      </c>
      <c r="Q315" s="55" t="n">
        <f aca="false">F315*100/P315-100</f>
        <v>-0.104663905151597</v>
      </c>
      <c r="R315" s="54" t="n">
        <f aca="false">D315*F315</f>
        <v>26054.6</v>
      </c>
      <c r="S315" s="56"/>
      <c r="U315" s="57" t="n">
        <f aca="false">ROUND(H315*100/P315-100,0)</f>
        <v>-3</v>
      </c>
      <c r="V315" s="57" t="n">
        <f aca="false">ROUND(K315*100/P315-100,0)</f>
        <v>1</v>
      </c>
      <c r="W315" s="57" t="n">
        <f aca="false">ROUND(N315*100/P315-100,0)</f>
        <v>2</v>
      </c>
      <c r="Y315" s="43" t="n">
        <v>315</v>
      </c>
    </row>
    <row r="316" s="43" customFormat="true" ht="73.5" hidden="false" customHeight="true" outlineLevel="0" collapsed="false">
      <c r="A316" s="45" t="n">
        <f aca="false">A315+1</f>
        <v>326</v>
      </c>
      <c r="B316" s="46" t="s">
        <v>439</v>
      </c>
      <c r="C316" s="47" t="s">
        <v>25</v>
      </c>
      <c r="D316" s="48" t="n">
        <v>1</v>
      </c>
      <c r="E316" s="49" t="n">
        <v>8208.33</v>
      </c>
      <c r="F316" s="50" t="n">
        <v>8930.15</v>
      </c>
      <c r="G316" s="47" t="s">
        <v>56</v>
      </c>
      <c r="H316" s="52" t="n">
        <v>9150.22</v>
      </c>
      <c r="I316" s="53" t="n">
        <f aca="false">D316*H316</f>
        <v>9150.22</v>
      </c>
      <c r="J316" s="47" t="s">
        <v>57</v>
      </c>
      <c r="K316" s="52" t="n">
        <v>8700</v>
      </c>
      <c r="L316" s="53" t="n">
        <f aca="false">D316*K316</f>
        <v>8700</v>
      </c>
      <c r="M316" s="52" t="s">
        <v>67</v>
      </c>
      <c r="N316" s="52" t="n">
        <f aca="false">10766.52/1.2</f>
        <v>8972.1</v>
      </c>
      <c r="O316" s="53" t="n">
        <f aca="false">D316*N316</f>
        <v>8972.1</v>
      </c>
      <c r="P316" s="54" t="n">
        <f aca="false">AVERAGE(H316,K316,N316)</f>
        <v>8940.77333333333</v>
      </c>
      <c r="Q316" s="55" t="n">
        <f aca="false">F316*100/P316-100</f>
        <v>-0.118818953766862</v>
      </c>
      <c r="R316" s="54" t="n">
        <f aca="false">D316*F316</f>
        <v>8930.15</v>
      </c>
      <c r="S316" s="56"/>
      <c r="U316" s="57" t="n">
        <f aca="false">ROUND(H316*100/P316-100,0)</f>
        <v>2</v>
      </c>
      <c r="V316" s="57" t="n">
        <f aca="false">ROUND(K316*100/P316-100,0)</f>
        <v>-3</v>
      </c>
      <c r="W316" s="57" t="n">
        <f aca="false">ROUND(N316*100/P316-100,0)</f>
        <v>0</v>
      </c>
      <c r="Y316" s="43" t="n">
        <v>316</v>
      </c>
    </row>
    <row r="317" s="43" customFormat="true" ht="73.5" hidden="false" customHeight="true" outlineLevel="0" collapsed="false">
      <c r="A317" s="45" t="n">
        <f aca="false">A316+1</f>
        <v>327</v>
      </c>
      <c r="B317" s="46" t="s">
        <v>440</v>
      </c>
      <c r="C317" s="47" t="s">
        <v>25</v>
      </c>
      <c r="D317" s="48" t="n">
        <v>1</v>
      </c>
      <c r="E317" s="49" t="n">
        <v>9087.5</v>
      </c>
      <c r="F317" s="50" t="n">
        <v>9080.12</v>
      </c>
      <c r="G317" s="47" t="s">
        <v>56</v>
      </c>
      <c r="H317" s="52" t="n">
        <v>9205.49</v>
      </c>
      <c r="I317" s="53" t="n">
        <f aca="false">D317*H317</f>
        <v>9205.49</v>
      </c>
      <c r="J317" s="47" t="s">
        <v>57</v>
      </c>
      <c r="K317" s="52" t="n">
        <v>8900</v>
      </c>
      <c r="L317" s="53" t="n">
        <f aca="false">D317*K317</f>
        <v>8900</v>
      </c>
      <c r="M317" s="52" t="s">
        <v>67</v>
      </c>
      <c r="N317" s="52" t="n">
        <f aca="false">10969.78/1.2</f>
        <v>9141.48333333333</v>
      </c>
      <c r="O317" s="53" t="n">
        <f aca="false">D317*N317</f>
        <v>9141.48333333333</v>
      </c>
      <c r="P317" s="54" t="n">
        <f aca="false">AVERAGE(H317,K317,N317)</f>
        <v>9082.32444444444</v>
      </c>
      <c r="Q317" s="55" t="n">
        <f aca="false">F317*100/P317-100</f>
        <v>-0.0242718090278231</v>
      </c>
      <c r="R317" s="54" t="n">
        <f aca="false">D317*F317</f>
        <v>9080.12</v>
      </c>
      <c r="S317" s="56"/>
      <c r="U317" s="57" t="n">
        <f aca="false">ROUND(H317*100/P317-100,0)</f>
        <v>1</v>
      </c>
      <c r="V317" s="57" t="n">
        <f aca="false">ROUND(K317*100/P317-100,0)</f>
        <v>-2</v>
      </c>
      <c r="W317" s="57" t="n">
        <f aca="false">ROUND(N317*100/P317-100,0)</f>
        <v>1</v>
      </c>
      <c r="Y317" s="43" t="n">
        <v>317</v>
      </c>
    </row>
    <row r="318" s="43" customFormat="true" ht="73.5" hidden="false" customHeight="true" outlineLevel="0" collapsed="false">
      <c r="A318" s="45" t="n">
        <f aca="false">A317+1</f>
        <v>328</v>
      </c>
      <c r="B318" s="46" t="s">
        <v>441</v>
      </c>
      <c r="C318" s="47" t="s">
        <v>25</v>
      </c>
      <c r="D318" s="48" t="n">
        <v>2</v>
      </c>
      <c r="E318" s="49" t="n">
        <v>37760.83</v>
      </c>
      <c r="F318" s="50" t="n">
        <v>33102.4</v>
      </c>
      <c r="G318" s="47" t="s">
        <v>56</v>
      </c>
      <c r="H318" s="52" t="n">
        <v>33450</v>
      </c>
      <c r="I318" s="53" t="n">
        <f aca="false">D318*H318</f>
        <v>66900</v>
      </c>
      <c r="J318" s="47" t="s">
        <v>57</v>
      </c>
      <c r="K318" s="52" t="n">
        <v>32000</v>
      </c>
      <c r="L318" s="53" t="n">
        <f aca="false">D318*K318</f>
        <v>64000</v>
      </c>
      <c r="M318" s="52" t="s">
        <v>67</v>
      </c>
      <c r="N318" s="52" t="n">
        <f aca="false">40734.72/1.2</f>
        <v>33945.6</v>
      </c>
      <c r="O318" s="53" t="n">
        <f aca="false">D318*N318</f>
        <v>67891.2</v>
      </c>
      <c r="P318" s="54" t="n">
        <f aca="false">AVERAGE(H318,K318,N318)</f>
        <v>33131.8666666667</v>
      </c>
      <c r="Q318" s="55" t="n">
        <f aca="false">F318*100/P318-100</f>
        <v>-0.0889375384825968</v>
      </c>
      <c r="R318" s="54" t="n">
        <f aca="false">D318*F318</f>
        <v>66204.8</v>
      </c>
      <c r="S318" s="56"/>
      <c r="U318" s="57" t="n">
        <f aca="false">ROUND(H318*100/P318-100,0)</f>
        <v>1</v>
      </c>
      <c r="V318" s="57" t="n">
        <f aca="false">ROUND(K318*100/P318-100,0)</f>
        <v>-3</v>
      </c>
      <c r="W318" s="57" t="n">
        <f aca="false">ROUND(N318*100/P318-100,0)</f>
        <v>2</v>
      </c>
      <c r="Y318" s="43" t="n">
        <v>318</v>
      </c>
    </row>
    <row r="319" s="43" customFormat="true" ht="73.5" hidden="false" customHeight="true" outlineLevel="0" collapsed="false">
      <c r="A319" s="45" t="n">
        <f aca="false">A318+1</f>
        <v>329</v>
      </c>
      <c r="B319" s="46" t="s">
        <v>442</v>
      </c>
      <c r="C319" s="47" t="s">
        <v>25</v>
      </c>
      <c r="D319" s="48" t="n">
        <v>2</v>
      </c>
      <c r="E319" s="49" t="n">
        <v>67797.5</v>
      </c>
      <c r="F319" s="50" t="n">
        <v>69148.5</v>
      </c>
      <c r="G319" s="47" t="s">
        <v>56</v>
      </c>
      <c r="H319" s="52" t="n">
        <v>69725.6</v>
      </c>
      <c r="I319" s="53" t="n">
        <f aca="false">D319*H319</f>
        <v>139451.2</v>
      </c>
      <c r="J319" s="47" t="s">
        <v>57</v>
      </c>
      <c r="K319" s="52" t="n">
        <v>68000</v>
      </c>
      <c r="L319" s="53" t="n">
        <f aca="false">D319*K319</f>
        <v>136000</v>
      </c>
      <c r="M319" s="52" t="s">
        <v>67</v>
      </c>
      <c r="N319" s="52" t="n">
        <f aca="false">84060.86/1.2</f>
        <v>70050.7166666667</v>
      </c>
      <c r="O319" s="53" t="n">
        <f aca="false">D319*N319</f>
        <v>140101.433333333</v>
      </c>
      <c r="P319" s="54" t="n">
        <f aca="false">AVERAGE(H319,K319,N319)</f>
        <v>69258.7722222222</v>
      </c>
      <c r="Q319" s="55" t="n">
        <f aca="false">F319*100/P319-100</f>
        <v>-0.159217697172579</v>
      </c>
      <c r="R319" s="54" t="n">
        <f aca="false">D319*F319</f>
        <v>138297</v>
      </c>
      <c r="S319" s="56"/>
      <c r="U319" s="57" t="n">
        <f aca="false">ROUND(H319*100/P319-100,0)</f>
        <v>1</v>
      </c>
      <c r="V319" s="57" t="n">
        <f aca="false">ROUND(K319*100/P319-100,0)</f>
        <v>-2</v>
      </c>
      <c r="W319" s="57" t="n">
        <f aca="false">ROUND(N319*100/P319-100,0)</f>
        <v>1</v>
      </c>
    </row>
    <row r="320" s="43" customFormat="true" ht="73.5" hidden="false" customHeight="true" outlineLevel="0" collapsed="false">
      <c r="A320" s="45" t="n">
        <f aca="false">A319+1</f>
        <v>330</v>
      </c>
      <c r="B320" s="46" t="s">
        <v>443</v>
      </c>
      <c r="C320" s="47" t="s">
        <v>45</v>
      </c>
      <c r="D320" s="48" t="n">
        <v>125.8</v>
      </c>
      <c r="E320" s="49" t="n">
        <v>287.33</v>
      </c>
      <c r="F320" s="50" t="n">
        <v>395.2</v>
      </c>
      <c r="G320" s="47" t="s">
        <v>39</v>
      </c>
      <c r="H320" s="52" t="n">
        <v>388.09</v>
      </c>
      <c r="I320" s="53" t="n">
        <f aca="false">D320*H320</f>
        <v>48821.722</v>
      </c>
      <c r="J320" s="47" t="s">
        <v>54</v>
      </c>
      <c r="K320" s="52" t="n">
        <v>410.77</v>
      </c>
      <c r="L320" s="53" t="n">
        <f aca="false">D320*K320</f>
        <v>51674.866</v>
      </c>
      <c r="M320" s="52" t="s">
        <v>67</v>
      </c>
      <c r="N320" s="52" t="n">
        <f aca="false">488.26/1.2</f>
        <v>406.883333333333</v>
      </c>
      <c r="O320" s="53" t="n">
        <f aca="false">D320*N320</f>
        <v>51185.9233333333</v>
      </c>
      <c r="P320" s="54" t="n">
        <f aca="false">AVERAGE(H320,K320,N320)</f>
        <v>401.914444444444</v>
      </c>
      <c r="Q320" s="55" t="n">
        <f aca="false">F320*100/P320-100</f>
        <v>-1.67061536037244</v>
      </c>
      <c r="R320" s="54" t="n">
        <f aca="false">D320*F320</f>
        <v>49716.16</v>
      </c>
      <c r="S320" s="56"/>
      <c r="U320" s="57" t="n">
        <f aca="false">ROUND(H320*100/P320-100,0)</f>
        <v>-3</v>
      </c>
      <c r="V320" s="57" t="n">
        <f aca="false">ROUND(K320*100/P320-100,0)</f>
        <v>2</v>
      </c>
      <c r="W320" s="57" t="n">
        <f aca="false">ROUND(N320*100/P320-100,0)</f>
        <v>1</v>
      </c>
      <c r="Y320" s="43" t="n">
        <v>319</v>
      </c>
    </row>
    <row r="321" s="43" customFormat="true" ht="73.5" hidden="false" customHeight="true" outlineLevel="0" collapsed="false">
      <c r="A321" s="45" t="n">
        <f aca="false">A320+1</f>
        <v>331</v>
      </c>
      <c r="B321" s="46" t="s">
        <v>444</v>
      </c>
      <c r="C321" s="47" t="s">
        <v>45</v>
      </c>
      <c r="D321" s="48" t="s">
        <v>445</v>
      </c>
      <c r="E321" s="49" t="n">
        <v>277.19</v>
      </c>
      <c r="F321" s="50" t="n">
        <v>385.4</v>
      </c>
      <c r="G321" s="47" t="s">
        <v>39</v>
      </c>
      <c r="H321" s="52" t="n">
        <v>395.81</v>
      </c>
      <c r="I321" s="53" t="n">
        <f aca="false">D321*H321</f>
        <v>28498.32</v>
      </c>
      <c r="J321" s="47" t="s">
        <v>54</v>
      </c>
      <c r="K321" s="52" t="n">
        <v>403.69</v>
      </c>
      <c r="L321" s="53" t="n">
        <f aca="false">D321*K321</f>
        <v>29065.68</v>
      </c>
      <c r="M321" s="52" t="s">
        <v>67</v>
      </c>
      <c r="N321" s="52" t="n">
        <f aca="false">465/1.2</f>
        <v>387.5</v>
      </c>
      <c r="O321" s="53" t="n">
        <f aca="false">D321*N321</f>
        <v>27900</v>
      </c>
      <c r="P321" s="54" t="n">
        <f aca="false">AVERAGE(H321,K321,N321)</f>
        <v>395.666666666667</v>
      </c>
      <c r="Q321" s="55" t="n">
        <f aca="false">F321*100/P321-100</f>
        <v>-2.59477674810447</v>
      </c>
      <c r="R321" s="54" t="n">
        <f aca="false">D321*F321</f>
        <v>27748.8</v>
      </c>
      <c r="S321" s="56"/>
      <c r="U321" s="57" t="n">
        <f aca="false">ROUND(H321*100/P321-100,0)</f>
        <v>0</v>
      </c>
      <c r="V321" s="57" t="n">
        <f aca="false">ROUND(K321*100/P321-100,0)</f>
        <v>2</v>
      </c>
      <c r="W321" s="57" t="n">
        <f aca="false">ROUND(N321*100/P321-100,0)</f>
        <v>-2</v>
      </c>
    </row>
    <row r="322" s="43" customFormat="true" ht="73.5" hidden="false" customHeight="true" outlineLevel="0" collapsed="false">
      <c r="A322" s="45" t="n">
        <f aca="false">A321+1</f>
        <v>332</v>
      </c>
      <c r="B322" s="46" t="s">
        <v>446</v>
      </c>
      <c r="C322" s="47" t="s">
        <v>45</v>
      </c>
      <c r="D322" s="48" t="n">
        <v>24</v>
      </c>
      <c r="E322" s="49" t="n">
        <v>277.19</v>
      </c>
      <c r="F322" s="50" t="n">
        <v>383</v>
      </c>
      <c r="G322" s="47" t="s">
        <v>39</v>
      </c>
      <c r="H322" s="52" t="n">
        <v>395.81</v>
      </c>
      <c r="I322" s="53" t="n">
        <f aca="false">D322*H322</f>
        <v>9499.44</v>
      </c>
      <c r="J322" s="47" t="s">
        <v>54</v>
      </c>
      <c r="K322" s="52" t="n">
        <v>403.69</v>
      </c>
      <c r="L322" s="53" t="n">
        <f aca="false">D322*K322</f>
        <v>9688.56</v>
      </c>
      <c r="M322" s="52" t="s">
        <v>67</v>
      </c>
      <c r="N322" s="52" t="n">
        <f aca="false">460.44/1.2</f>
        <v>383.7</v>
      </c>
      <c r="O322" s="53" t="n">
        <f aca="false">D322*N322</f>
        <v>9208.8</v>
      </c>
      <c r="P322" s="54" t="n">
        <f aca="false">AVERAGE(H322,K322,N322)</f>
        <v>394.4</v>
      </c>
      <c r="Q322" s="55" t="n">
        <f aca="false">F322*100/P322-100</f>
        <v>-2.89046653144017</v>
      </c>
      <c r="R322" s="54" t="n">
        <f aca="false">D322*F322</f>
        <v>9192</v>
      </c>
      <c r="S322" s="56"/>
      <c r="U322" s="57" t="n">
        <f aca="false">ROUND(H322*100/P322-100,0)</f>
        <v>0</v>
      </c>
      <c r="V322" s="57" t="n">
        <f aca="false">ROUND(K322*100/P322-100,0)</f>
        <v>2</v>
      </c>
      <c r="W322" s="57" t="n">
        <f aca="false">ROUND(N322*100/P322-100,0)</f>
        <v>-3</v>
      </c>
    </row>
    <row r="323" s="43" customFormat="true" ht="73.5" hidden="false" customHeight="true" outlineLevel="0" collapsed="false">
      <c r="A323" s="45" t="n">
        <f aca="false">A322+1</f>
        <v>333</v>
      </c>
      <c r="B323" s="46" t="s">
        <v>447</v>
      </c>
      <c r="C323" s="47" t="s">
        <v>25</v>
      </c>
      <c r="D323" s="48" t="n">
        <v>4</v>
      </c>
      <c r="E323" s="49" t="n">
        <v>925.16</v>
      </c>
      <c r="F323" s="50" t="n">
        <v>1175.2</v>
      </c>
      <c r="G323" s="47" t="s">
        <v>27</v>
      </c>
      <c r="H323" s="52" t="n">
        <f aca="false">1338.34/1.2</f>
        <v>1115.28333333333</v>
      </c>
      <c r="I323" s="53" t="n">
        <f aca="false">D323*H323</f>
        <v>4461.13333333333</v>
      </c>
      <c r="J323" s="53" t="s">
        <v>28</v>
      </c>
      <c r="K323" s="52" t="n">
        <v>1170.64</v>
      </c>
      <c r="L323" s="53" t="n">
        <f aca="false">D323*K323</f>
        <v>4682.56</v>
      </c>
      <c r="M323" s="48" t="s">
        <v>29</v>
      </c>
      <c r="N323" s="52" t="n">
        <v>1246.5</v>
      </c>
      <c r="O323" s="53" t="n">
        <f aca="false">D323*N323</f>
        <v>4986</v>
      </c>
      <c r="P323" s="54" t="n">
        <f aca="false">AVERAGE(H323,K323,N323)</f>
        <v>1177.47444444444</v>
      </c>
      <c r="Q323" s="55" t="n">
        <f aca="false">F323*100/P323-100</f>
        <v>-0.193162956119821</v>
      </c>
      <c r="R323" s="54" t="n">
        <f aca="false">D323*F323</f>
        <v>4700.8</v>
      </c>
      <c r="S323" s="56"/>
      <c r="U323" s="57" t="n">
        <f aca="false">ROUND(H323*100/P323-100,0)</f>
        <v>-5</v>
      </c>
      <c r="V323" s="57" t="n">
        <f aca="false">ROUND(K323*100/P323-100,0)</f>
        <v>-1</v>
      </c>
      <c r="W323" s="57" t="n">
        <f aca="false">ROUND(N323*100/P323-100,0)</f>
        <v>6</v>
      </c>
    </row>
    <row r="324" s="43" customFormat="true" ht="73.5" hidden="false" customHeight="true" outlineLevel="0" collapsed="false">
      <c r="A324" s="45" t="n">
        <f aca="false">A323+1</f>
        <v>334</v>
      </c>
      <c r="B324" s="46" t="s">
        <v>448</v>
      </c>
      <c r="C324" s="47" t="s">
        <v>25</v>
      </c>
      <c r="D324" s="47" t="n">
        <v>71</v>
      </c>
      <c r="E324" s="49" t="n">
        <v>1325.04</v>
      </c>
      <c r="F324" s="50" t="n">
        <v>1974.45</v>
      </c>
      <c r="G324" s="47" t="s">
        <v>27</v>
      </c>
      <c r="H324" s="52" t="n">
        <f aca="false">2332.39/1.2</f>
        <v>1943.65833333333</v>
      </c>
      <c r="I324" s="53" t="n">
        <f aca="false">D324*H324</f>
        <v>137999.741666667</v>
      </c>
      <c r="J324" s="53" t="s">
        <v>28</v>
      </c>
      <c r="K324" s="52" t="n">
        <v>2010.42</v>
      </c>
      <c r="L324" s="53" t="n">
        <f aca="false">D324*K324</f>
        <v>142739.82</v>
      </c>
      <c r="M324" s="48" t="s">
        <v>29</v>
      </c>
      <c r="N324" s="52" t="n">
        <v>1972.2</v>
      </c>
      <c r="O324" s="53" t="n">
        <f aca="false">D324*N324</f>
        <v>140026.2</v>
      </c>
      <c r="P324" s="54" t="n">
        <f aca="false">AVERAGE(H324,K324,N324)</f>
        <v>1975.42611111111</v>
      </c>
      <c r="Q324" s="55" t="n">
        <f aca="false">F324*100/P324-100</f>
        <v>-0.0494126864893048</v>
      </c>
      <c r="R324" s="54" t="n">
        <f aca="false">D324*F324</f>
        <v>140185.95</v>
      </c>
      <c r="S324" s="56"/>
      <c r="U324" s="57" t="n">
        <f aca="false">ROUND(H324*100/P324-100,0)</f>
        <v>-2</v>
      </c>
      <c r="V324" s="57" t="n">
        <f aca="false">ROUND(K324*100/P324-100,0)</f>
        <v>2</v>
      </c>
      <c r="W324" s="57" t="n">
        <f aca="false">ROUND(N324*100/P324-100,0)</f>
        <v>-0</v>
      </c>
    </row>
    <row r="325" s="43" customFormat="true" ht="73.5" hidden="false" customHeight="true" outlineLevel="0" collapsed="false">
      <c r="A325" s="45" t="n">
        <f aca="false">A324+1</f>
        <v>335</v>
      </c>
      <c r="B325" s="46" t="s">
        <v>449</v>
      </c>
      <c r="C325" s="47" t="s">
        <v>25</v>
      </c>
      <c r="D325" s="48" t="n">
        <v>34</v>
      </c>
      <c r="E325" s="49" t="n">
        <v>1487.95</v>
      </c>
      <c r="F325" s="50" t="n">
        <v>2651.1</v>
      </c>
      <c r="G325" s="47" t="s">
        <v>27</v>
      </c>
      <c r="H325" s="52" t="n">
        <f aca="false">2925.52/1.2</f>
        <v>2437.93333333333</v>
      </c>
      <c r="I325" s="53" t="n">
        <f aca="false">D325*H325</f>
        <v>82889.7333333333</v>
      </c>
      <c r="J325" s="53" t="s">
        <v>28</v>
      </c>
      <c r="K325" s="52" t="n">
        <v>2845.3</v>
      </c>
      <c r="L325" s="53" t="n">
        <f aca="false">D325*K325</f>
        <v>96740.2</v>
      </c>
      <c r="M325" s="48" t="s">
        <v>29</v>
      </c>
      <c r="N325" s="52" t="n">
        <v>2680.49</v>
      </c>
      <c r="O325" s="53" t="n">
        <f aca="false">D325*N325</f>
        <v>91136.66</v>
      </c>
      <c r="P325" s="54" t="n">
        <f aca="false">AVERAGE(H325,K325,N325)</f>
        <v>2654.57444444444</v>
      </c>
      <c r="Q325" s="55" t="n">
        <f aca="false">F325*100/P325-100</f>
        <v>-0.130885176406181</v>
      </c>
      <c r="R325" s="54" t="n">
        <f aca="false">D325*F325</f>
        <v>90137.4</v>
      </c>
      <c r="S325" s="56"/>
      <c r="U325" s="57" t="n">
        <f aca="false">ROUND(H325*100/P325-100,0)</f>
        <v>-8</v>
      </c>
      <c r="V325" s="57" t="n">
        <f aca="false">ROUND(K325*100/P325-100,0)</f>
        <v>7</v>
      </c>
      <c r="W325" s="57" t="n">
        <f aca="false">ROUND(N325*100/P325-100,0)</f>
        <v>1</v>
      </c>
    </row>
    <row r="326" s="43" customFormat="true" ht="73.5" hidden="false" customHeight="true" outlineLevel="0" collapsed="false">
      <c r="A326" s="45" t="n">
        <f aca="false">A325+1</f>
        <v>336</v>
      </c>
      <c r="B326" s="46" t="s">
        <v>450</v>
      </c>
      <c r="C326" s="47" t="s">
        <v>25</v>
      </c>
      <c r="D326" s="48" t="s">
        <v>451</v>
      </c>
      <c r="E326" s="49" t="n">
        <v>2941.87</v>
      </c>
      <c r="F326" s="50" t="n">
        <v>3640.5</v>
      </c>
      <c r="G326" s="47" t="s">
        <v>27</v>
      </c>
      <c r="H326" s="52" t="n">
        <f aca="false">4199.67/1.2</f>
        <v>3499.725</v>
      </c>
      <c r="I326" s="53" t="n">
        <f aca="false">D326*H326</f>
        <v>34997.25</v>
      </c>
      <c r="J326" s="53" t="s">
        <v>28</v>
      </c>
      <c r="K326" s="52" t="n">
        <v>3754.2</v>
      </c>
      <c r="L326" s="53" t="n">
        <f aca="false">D326*K326</f>
        <v>37542</v>
      </c>
      <c r="M326" s="48" t="s">
        <v>29</v>
      </c>
      <c r="N326" s="52" t="n">
        <v>3674.62</v>
      </c>
      <c r="O326" s="53" t="n">
        <f aca="false">D326*N326</f>
        <v>36746.2</v>
      </c>
      <c r="P326" s="54" t="n">
        <f aca="false">AVERAGE(H326,K326,N326)</f>
        <v>3642.84833333333</v>
      </c>
      <c r="Q326" s="55" t="n">
        <f aca="false">F326*100/P326-100</f>
        <v>-0.0644642081814197</v>
      </c>
      <c r="R326" s="54" t="n">
        <f aca="false">D326*F326</f>
        <v>36405</v>
      </c>
      <c r="S326" s="56"/>
      <c r="U326" s="57" t="n">
        <f aca="false">ROUND(H326*100/P326-100,0)</f>
        <v>-4</v>
      </c>
      <c r="V326" s="57" t="n">
        <f aca="false">ROUND(K326*100/P326-100,0)</f>
        <v>3</v>
      </c>
      <c r="W326" s="57" t="n">
        <f aca="false">ROUND(N326*100/P326-100,0)</f>
        <v>1</v>
      </c>
    </row>
    <row r="327" s="43" customFormat="true" ht="73.5" hidden="false" customHeight="true" outlineLevel="0" collapsed="false">
      <c r="A327" s="45" t="n">
        <f aca="false">A326+1</f>
        <v>337</v>
      </c>
      <c r="B327" s="46" t="s">
        <v>452</v>
      </c>
      <c r="C327" s="47" t="s">
        <v>25</v>
      </c>
      <c r="D327" s="48" t="n">
        <v>266</v>
      </c>
      <c r="E327" s="49" t="n">
        <v>480</v>
      </c>
      <c r="F327" s="50" t="n">
        <v>591.6</v>
      </c>
      <c r="G327" s="47" t="s">
        <v>56</v>
      </c>
      <c r="H327" s="52" t="n">
        <v>589.7</v>
      </c>
      <c r="I327" s="53" t="n">
        <f aca="false">D327*H327</f>
        <v>156860.2</v>
      </c>
      <c r="J327" s="47" t="s">
        <v>57</v>
      </c>
      <c r="K327" s="52" t="n">
        <v>578.64</v>
      </c>
      <c r="L327" s="53" t="n">
        <f aca="false">D327*K327</f>
        <v>153918.24</v>
      </c>
      <c r="M327" s="53" t="s">
        <v>68</v>
      </c>
      <c r="N327" s="52" t="n">
        <v>610.24</v>
      </c>
      <c r="O327" s="53" t="n">
        <f aca="false">D327*N327</f>
        <v>162323.84</v>
      </c>
      <c r="P327" s="54" t="n">
        <f aca="false">AVERAGE(H327,K327,N327)</f>
        <v>592.86</v>
      </c>
      <c r="Q327" s="55" t="n">
        <f aca="false">F327*100/P327-100</f>
        <v>-0.212529096245319</v>
      </c>
      <c r="R327" s="54" t="n">
        <f aca="false">D327*F327</f>
        <v>157365.6</v>
      </c>
      <c r="S327" s="56"/>
      <c r="U327" s="57" t="n">
        <f aca="false">ROUND(H327*100/P327-100,0)</f>
        <v>-1</v>
      </c>
      <c r="V327" s="57" t="n">
        <f aca="false">ROUND(K327*100/P327-100,0)</f>
        <v>-2</v>
      </c>
      <c r="W327" s="57" t="n">
        <f aca="false">ROUND(N327*100/P327-100,0)</f>
        <v>3</v>
      </c>
    </row>
    <row r="328" s="43" customFormat="true" ht="73.5" hidden="false" customHeight="true" outlineLevel="0" collapsed="false">
      <c r="A328" s="45" t="n">
        <f aca="false">A327+1</f>
        <v>338</v>
      </c>
      <c r="B328" s="46" t="s">
        <v>453</v>
      </c>
      <c r="C328" s="47" t="s">
        <v>25</v>
      </c>
      <c r="D328" s="48" t="n">
        <v>654</v>
      </c>
      <c r="E328" s="49" t="n">
        <v>450</v>
      </c>
      <c r="F328" s="50" t="n">
        <v>595.8</v>
      </c>
      <c r="G328" s="47" t="s">
        <v>56</v>
      </c>
      <c r="H328" s="52" t="n">
        <v>630.12</v>
      </c>
      <c r="I328" s="53" t="n">
        <f aca="false">D328*H328</f>
        <v>412098.48</v>
      </c>
      <c r="J328" s="47" t="s">
        <v>57</v>
      </c>
      <c r="K328" s="52" t="n">
        <v>562.09</v>
      </c>
      <c r="L328" s="53" t="n">
        <f aca="false">D328*K328</f>
        <v>367606.86</v>
      </c>
      <c r="M328" s="53" t="s">
        <v>68</v>
      </c>
      <c r="N328" s="52" t="n">
        <v>599.4</v>
      </c>
      <c r="O328" s="53" t="n">
        <f aca="false">D328*N328</f>
        <v>392007.6</v>
      </c>
      <c r="P328" s="54" t="n">
        <f aca="false">AVERAGE(H328,K328,N328)</f>
        <v>597.203333333333</v>
      </c>
      <c r="Q328" s="55" t="n">
        <f aca="false">F328*100/P328-100</f>
        <v>-0.234984176243728</v>
      </c>
      <c r="R328" s="54" t="n">
        <f aca="false">D328*F328</f>
        <v>389653.2</v>
      </c>
      <c r="S328" s="56"/>
      <c r="U328" s="57" t="n">
        <f aca="false">ROUND(H328*100/P328-100,0)</f>
        <v>6</v>
      </c>
      <c r="V328" s="57" t="n">
        <f aca="false">ROUND(K328*100/P328-100,0)</f>
        <v>-6</v>
      </c>
      <c r="W328" s="57" t="n">
        <f aca="false">ROUND(N328*100/P328-100,0)</f>
        <v>0</v>
      </c>
    </row>
    <row r="329" s="43" customFormat="true" ht="73.5" hidden="false" customHeight="true" outlineLevel="0" collapsed="false">
      <c r="A329" s="45" t="n">
        <f aca="false">A328+1</f>
        <v>339</v>
      </c>
      <c r="B329" s="46" t="s">
        <v>454</v>
      </c>
      <c r="C329" s="47" t="s">
        <v>25</v>
      </c>
      <c r="D329" s="48" t="n">
        <v>20</v>
      </c>
      <c r="E329" s="49" t="n">
        <v>1970.31</v>
      </c>
      <c r="F329" s="50" t="n">
        <v>2045.3</v>
      </c>
      <c r="G329" s="47" t="s">
        <v>27</v>
      </c>
      <c r="H329" s="52" t="n">
        <f aca="false">2395.66/1.2</f>
        <v>1996.38333333333</v>
      </c>
      <c r="I329" s="53" t="n">
        <f aca="false">D329*H329</f>
        <v>39927.6666666667</v>
      </c>
      <c r="J329" s="53" t="s">
        <v>28</v>
      </c>
      <c r="K329" s="52" t="n">
        <v>2100.3</v>
      </c>
      <c r="L329" s="53" t="n">
        <f aca="false">D329*K329</f>
        <v>42006</v>
      </c>
      <c r="M329" s="48" t="s">
        <v>29</v>
      </c>
      <c r="N329" s="52" t="n">
        <v>2050.88</v>
      </c>
      <c r="O329" s="53" t="n">
        <f aca="false">D329*N329</f>
        <v>41017.6</v>
      </c>
      <c r="P329" s="54" t="n">
        <f aca="false">AVERAGE(H329,K329,N329)</f>
        <v>2049.18777777778</v>
      </c>
      <c r="Q329" s="55" t="n">
        <f aca="false">F329*100/P329-100</f>
        <v>-0.189722865807539</v>
      </c>
      <c r="R329" s="54" t="n">
        <f aca="false">D329*F329</f>
        <v>40906</v>
      </c>
      <c r="S329" s="56"/>
      <c r="U329" s="57" t="n">
        <f aca="false">ROUND(H329*100/P329-100,0)</f>
        <v>-3</v>
      </c>
      <c r="V329" s="57" t="n">
        <f aca="false">ROUND(K329*100/P329-100,0)</f>
        <v>2</v>
      </c>
      <c r="W329" s="57" t="n">
        <f aca="false">ROUND(N329*100/P329-100,0)</f>
        <v>0</v>
      </c>
    </row>
    <row r="330" s="43" customFormat="true" ht="32.25" hidden="false" customHeight="true" outlineLevel="0" collapsed="false">
      <c r="A330" s="45"/>
      <c r="B330" s="73" t="s">
        <v>455</v>
      </c>
      <c r="C330" s="73"/>
      <c r="D330" s="73"/>
      <c r="E330" s="73"/>
      <c r="F330" s="73"/>
      <c r="G330" s="73"/>
      <c r="H330" s="73"/>
      <c r="I330" s="73"/>
      <c r="J330" s="73"/>
      <c r="K330" s="73"/>
      <c r="L330" s="73"/>
      <c r="M330" s="73"/>
      <c r="N330" s="73"/>
      <c r="O330" s="73"/>
      <c r="P330" s="73"/>
      <c r="Q330" s="73"/>
      <c r="R330" s="73"/>
      <c r="S330" s="73"/>
      <c r="U330" s="57"/>
      <c r="V330" s="57"/>
      <c r="W330" s="57"/>
    </row>
    <row r="331" s="43" customFormat="true" ht="73.5" hidden="false" customHeight="true" outlineLevel="0" collapsed="false">
      <c r="A331" s="45" t="n">
        <v>319</v>
      </c>
      <c r="B331" s="46" t="s">
        <v>456</v>
      </c>
      <c r="C331" s="47" t="s">
        <v>25</v>
      </c>
      <c r="D331" s="48" t="n">
        <v>8</v>
      </c>
      <c r="E331" s="49" t="n">
        <v>84891.83</v>
      </c>
      <c r="F331" s="50" t="n">
        <v>87042.7</v>
      </c>
      <c r="G331" s="47" t="s">
        <v>56</v>
      </c>
      <c r="H331" s="52" t="n">
        <v>85925.72</v>
      </c>
      <c r="I331" s="53" t="n">
        <f aca="false">D331*H331</f>
        <v>687405.76</v>
      </c>
      <c r="J331" s="47" t="s">
        <v>57</v>
      </c>
      <c r="K331" s="52" t="n">
        <v>88479.67</v>
      </c>
      <c r="L331" s="53" t="n">
        <f aca="false">D331*K331</f>
        <v>707837.36</v>
      </c>
      <c r="M331" s="47" t="s">
        <v>457</v>
      </c>
      <c r="N331" s="52" t="n">
        <f aca="false">87011.83</f>
        <v>87011.83</v>
      </c>
      <c r="O331" s="53" t="n">
        <f aca="false">D331*N331</f>
        <v>696094.64</v>
      </c>
      <c r="P331" s="54" t="n">
        <f aca="false">AVERAGE(H331,K331,N331)</f>
        <v>87139.0733333333</v>
      </c>
      <c r="Q331" s="55" t="n">
        <f aca="false">F331*100/P331-100</f>
        <v>-0.110597151939729</v>
      </c>
      <c r="R331" s="54" t="n">
        <f aca="false">D331*F331</f>
        <v>696341.6</v>
      </c>
      <c r="S331" s="46"/>
      <c r="U331" s="57" t="n">
        <f aca="false">ROUND(H331*100/P331-100,0)</f>
        <v>-1</v>
      </c>
      <c r="V331" s="57" t="n">
        <f aca="false">ROUND(K331*100/P331-100,0)</f>
        <v>2</v>
      </c>
      <c r="W331" s="57" t="n">
        <f aca="false">ROUND(N331*100/P331-100,0)</f>
        <v>-0</v>
      </c>
    </row>
    <row r="332" s="43" customFormat="true" ht="25.5" hidden="false" customHeight="true" outlineLevel="0" collapsed="false">
      <c r="A332" s="74" t="s">
        <v>458</v>
      </c>
      <c r="B332" s="74"/>
      <c r="C332" s="74"/>
      <c r="D332" s="74"/>
      <c r="E332" s="74"/>
      <c r="F332" s="74"/>
      <c r="G332" s="74"/>
      <c r="H332" s="74"/>
      <c r="I332" s="74"/>
      <c r="J332" s="74"/>
      <c r="K332" s="74"/>
      <c r="L332" s="74"/>
      <c r="M332" s="74"/>
      <c r="N332" s="74"/>
      <c r="O332" s="74"/>
      <c r="P332" s="54" t="n">
        <f aca="false">SUM(P11:P331)</f>
        <v>6335546.38621966</v>
      </c>
      <c r="Q332" s="55"/>
      <c r="R332" s="54" t="n">
        <f aca="false">SUM(R11:R331)</f>
        <v>44681902.2074</v>
      </c>
      <c r="S332" s="46"/>
    </row>
    <row r="333" s="14" customFormat="true" ht="33" hidden="false" customHeight="true" outlineLevel="0" collapsed="false">
      <c r="A333" s="75"/>
      <c r="B333" s="76"/>
      <c r="C333" s="76"/>
      <c r="D333" s="76"/>
      <c r="E333" s="76"/>
      <c r="F333" s="76"/>
      <c r="G333" s="76"/>
      <c r="H333" s="76"/>
      <c r="I333" s="76"/>
      <c r="J333" s="77"/>
      <c r="K333" s="78"/>
      <c r="L333" s="75"/>
      <c r="M333" s="75"/>
      <c r="N333" s="78"/>
      <c r="O333" s="75"/>
      <c r="P333" s="75"/>
      <c r="Q333" s="75"/>
      <c r="R333" s="75"/>
      <c r="S333" s="75"/>
    </row>
    <row r="334" customFormat="false" ht="15.75" hidden="false" customHeight="false" outlineLevel="0" collapsed="false">
      <c r="J334" s="77"/>
    </row>
    <row r="335" customFormat="false" ht="15.75" hidden="false" customHeight="false" outlineLevel="0" collapsed="false">
      <c r="J335" s="77"/>
    </row>
    <row r="337" customFormat="false" ht="124.5" hidden="false" customHeight="true" outlineLevel="0" collapsed="false">
      <c r="B337" s="79" t="s">
        <v>459</v>
      </c>
      <c r="C337" s="79"/>
      <c r="D337" s="79"/>
      <c r="E337" s="79"/>
      <c r="F337" s="79"/>
      <c r="G337" s="79"/>
      <c r="H337" s="79"/>
      <c r="I337" s="79"/>
      <c r="J337" s="79"/>
      <c r="K337" s="79"/>
      <c r="L337" s="79"/>
      <c r="M337" s="79"/>
      <c r="N337" s="79"/>
      <c r="O337" s="79"/>
      <c r="P337" s="79"/>
      <c r="Q337" s="79"/>
    </row>
    <row r="339" customFormat="false" ht="32.25" hidden="false" customHeight="true" outlineLevel="0" collapsed="false">
      <c r="B339" s="79" t="s">
        <v>460</v>
      </c>
      <c r="C339" s="79"/>
      <c r="D339" s="79"/>
      <c r="E339" s="79"/>
      <c r="F339" s="79"/>
      <c r="G339" s="79"/>
      <c r="H339" s="79"/>
      <c r="I339" s="79"/>
      <c r="J339" s="79"/>
      <c r="K339" s="79"/>
      <c r="L339" s="79"/>
      <c r="M339" s="79"/>
      <c r="N339" s="79"/>
      <c r="O339" s="79"/>
      <c r="P339" s="79"/>
      <c r="Q339" s="79"/>
    </row>
    <row r="347" customFormat="false" ht="14.25" hidden="false" customHeight="false" outlineLevel="0" collapsed="false">
      <c r="G347" s="51"/>
      <c r="H347" s="52"/>
    </row>
  </sheetData>
  <autoFilter ref="A10:S332">
    <filterColumn colId="18">
      <filters blank="1">
        <filter val="удаляем"/>
      </filters>
    </filterColumn>
  </autoFilter>
  <mergeCells count="25">
    <mergeCell ref="P1:S1"/>
    <mergeCell ref="P2:S2"/>
    <mergeCell ref="A3:P3"/>
    <mergeCell ref="A5:Q5"/>
    <mergeCell ref="A7:A9"/>
    <mergeCell ref="B7:B9"/>
    <mergeCell ref="C7:C9"/>
    <mergeCell ref="D7:D9"/>
    <mergeCell ref="E7:E9"/>
    <mergeCell ref="F7:F9"/>
    <mergeCell ref="G7:I8"/>
    <mergeCell ref="J7:L8"/>
    <mergeCell ref="M7:O8"/>
    <mergeCell ref="P7:P9"/>
    <mergeCell ref="Q7:Q9"/>
    <mergeCell ref="R7:R9"/>
    <mergeCell ref="S7:S9"/>
    <mergeCell ref="U7:W8"/>
    <mergeCell ref="A11:S11"/>
    <mergeCell ref="E32:E33"/>
    <mergeCell ref="B330:S330"/>
    <mergeCell ref="A332:O332"/>
    <mergeCell ref="B333:I333"/>
    <mergeCell ref="B337:Q337"/>
    <mergeCell ref="B339:Q339"/>
  </mergeCells>
  <conditionalFormatting sqref="Q331">
    <cfRule type="cellIs" priority="2" operator="greaterThan" aboveAverage="0" equalAverage="0" bottom="0" percent="0" rank="0" text="" dxfId="9">
      <formula>0</formula>
    </cfRule>
  </conditionalFormatting>
  <conditionalFormatting sqref="U11:W331">
    <cfRule type="expression" priority="3" aboveAverage="0" equalAverage="0" bottom="0" percent="0" rank="0" text="" dxfId="10">
      <formula>AND(U11&lt;-20,U11&lt;0)</formula>
    </cfRule>
    <cfRule type="expression" priority="4" aboveAverage="0" equalAverage="0" bottom="0" percent="0" rank="0" text="" dxfId="11">
      <formula>AND(U11&gt;20,U11&gt;0)</formula>
    </cfRule>
  </conditionalFormatting>
  <conditionalFormatting sqref="Q12:Q329">
    <cfRule type="cellIs" priority="5" operator="greaterThan" aboveAverage="0" equalAverage="0" bottom="0" percent="0" rank="0" text="" dxfId="12">
      <formula>0</formula>
    </cfRule>
  </conditionalFormatting>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AJ349"/>
  <sheetViews>
    <sheetView showFormulas="false" showGridLines="true" showRowColHeaders="true" showZeros="true" rightToLeft="false" tabSelected="false" showOutlineSymbols="true" defaultGridColor="true" view="normal" topLeftCell="A7" colorId="64" zoomScale="60" zoomScaleNormal="60" zoomScalePageLayoutView="100" workbookViewId="0">
      <pane xSplit="0" ySplit="4" topLeftCell="A11" activePane="bottomLeft" state="frozen"/>
      <selection pane="topLeft" activeCell="A7" activeCellId="0" sqref="A7"/>
      <selection pane="bottomLeft" activeCell="D343" activeCellId="0" sqref="A1:D1048576"/>
    </sheetView>
  </sheetViews>
  <sheetFormatPr defaultColWidth="9.1484375" defaultRowHeight="14.25" zeroHeight="false" outlineLevelRow="0" outlineLevelCol="1"/>
  <cols>
    <col collapsed="false" customWidth="true" hidden="false" outlineLevel="0" max="1" min="1" style="1" width="6.71"/>
    <col collapsed="false" customWidth="true" hidden="false" outlineLevel="0" max="2" min="2" style="2" width="39.71"/>
    <col collapsed="false" customWidth="true" hidden="false" outlineLevel="0" max="3" min="3" style="2" width="14.29"/>
    <col collapsed="false" customWidth="true" hidden="false" outlineLevel="0" max="4" min="4" style="2" width="15.14"/>
    <col collapsed="false" customWidth="true" hidden="false" outlineLevel="0" max="5" min="5" style="3" width="14.86"/>
    <col collapsed="false" customWidth="true" hidden="false" outlineLevel="0" max="6" min="6" style="1" width="16"/>
    <col collapsed="false" customWidth="true" hidden="false" outlineLevel="0" max="7" min="7" style="1" width="21"/>
    <col collapsed="false" customWidth="true" hidden="false" outlineLevel="0" max="8" min="8" style="4" width="17.57"/>
    <col collapsed="false" customWidth="true" hidden="false" outlineLevel="0" max="9" min="9" style="1" width="17.42"/>
    <col collapsed="false" customWidth="true" hidden="false" outlineLevel="0" max="10" min="10" style="1" width="19.86"/>
    <col collapsed="false" customWidth="true" hidden="false" outlineLevel="0" max="11" min="11" style="4" width="16.29"/>
    <col collapsed="false" customWidth="true" hidden="false" outlineLevel="0" max="12" min="12" style="1" width="17.86"/>
    <col collapsed="false" customWidth="true" hidden="false" outlineLevel="0" max="13" min="13" style="1" width="20.14"/>
    <col collapsed="false" customWidth="true" hidden="false" outlineLevel="0" max="14" min="14" style="4" width="17.29"/>
    <col collapsed="false" customWidth="true" hidden="false" outlineLevel="0" max="15" min="15" style="1" width="19.71"/>
    <col collapsed="false" customWidth="true" hidden="false" outlineLevel="0" max="18" min="16" style="1" width="23.42"/>
    <col collapsed="false" customWidth="true" hidden="false" outlineLevel="0" max="19" min="19" style="1" width="26"/>
    <col collapsed="false" customWidth="false" hidden="false" outlineLevel="0" max="20" min="20" style="1" width="9.14"/>
    <col collapsed="false" customWidth="true" hidden="false" outlineLevel="1" max="23" min="21" style="1" width="13"/>
    <col collapsed="false" customWidth="false" hidden="false" outlineLevel="0" max="16384" min="24" style="1" width="9.14"/>
  </cols>
  <sheetData>
    <row r="1" customFormat="false" ht="14.25" hidden="false" customHeight="false" outlineLevel="0" collapsed="false">
      <c r="P1" s="5" t="s">
        <v>0</v>
      </c>
      <c r="Q1" s="5"/>
      <c r="R1" s="5"/>
      <c r="S1" s="5"/>
    </row>
    <row r="2" customFormat="false" ht="32.25" hidden="false" customHeight="true" outlineLevel="0" collapsed="false">
      <c r="P2" s="6" t="s">
        <v>1</v>
      </c>
      <c r="Q2" s="6"/>
      <c r="R2" s="6"/>
      <c r="S2" s="6"/>
    </row>
    <row r="3" customFormat="false" ht="25.5" hidden="false" customHeight="true" outlineLevel="0" collapsed="false">
      <c r="A3" s="7" t="s">
        <v>2</v>
      </c>
      <c r="B3" s="7"/>
      <c r="C3" s="7"/>
      <c r="D3" s="7"/>
      <c r="E3" s="7"/>
      <c r="F3" s="7"/>
      <c r="G3" s="7"/>
      <c r="H3" s="7"/>
      <c r="I3" s="7"/>
      <c r="J3" s="7"/>
      <c r="K3" s="7"/>
      <c r="L3" s="7"/>
      <c r="M3" s="7"/>
      <c r="N3" s="7"/>
      <c r="O3" s="7"/>
      <c r="P3" s="7"/>
      <c r="Q3" s="8"/>
      <c r="R3" s="8"/>
    </row>
    <row r="4" customFormat="false" ht="17.25" hidden="false" customHeight="true" outlineLevel="0" collapsed="false">
      <c r="A4" s="9"/>
      <c r="B4" s="10"/>
      <c r="C4" s="10"/>
      <c r="D4" s="10"/>
      <c r="E4" s="11"/>
      <c r="F4" s="9"/>
      <c r="G4" s="9"/>
      <c r="H4" s="12"/>
      <c r="I4" s="9"/>
      <c r="J4" s="9"/>
      <c r="K4" s="12"/>
      <c r="L4" s="9"/>
      <c r="M4" s="9"/>
      <c r="N4" s="12"/>
      <c r="O4" s="9"/>
    </row>
    <row r="5" s="14" customFormat="true" ht="28.5" hidden="false" customHeight="true" outlineLevel="0" collapsed="false">
      <c r="A5" s="13" t="s">
        <v>3</v>
      </c>
      <c r="B5" s="13"/>
      <c r="C5" s="13"/>
      <c r="D5" s="13"/>
      <c r="E5" s="13"/>
      <c r="F5" s="13"/>
      <c r="G5" s="13"/>
      <c r="H5" s="13"/>
      <c r="I5" s="13"/>
      <c r="J5" s="13"/>
      <c r="K5" s="13"/>
      <c r="L5" s="13"/>
      <c r="M5" s="13"/>
      <c r="N5" s="13"/>
      <c r="O5" s="13"/>
      <c r="P5" s="13"/>
      <c r="Q5" s="13"/>
    </row>
    <row r="6" s="14" customFormat="true" ht="14.25" hidden="false" customHeight="false" outlineLevel="0" collapsed="false">
      <c r="B6" s="15"/>
      <c r="C6" s="15"/>
      <c r="D6" s="15"/>
      <c r="E6" s="16"/>
      <c r="H6" s="17"/>
      <c r="K6" s="17"/>
      <c r="N6" s="17"/>
    </row>
    <row r="7" s="14" customFormat="true" ht="27" hidden="false" customHeight="true" outlineLevel="0" collapsed="false">
      <c r="A7" s="18" t="s">
        <v>4</v>
      </c>
      <c r="B7" s="19" t="s">
        <v>5</v>
      </c>
      <c r="C7" s="20" t="s">
        <v>6</v>
      </c>
      <c r="D7" s="20" t="s">
        <v>7</v>
      </c>
      <c r="E7" s="21" t="s">
        <v>8</v>
      </c>
      <c r="F7" s="22" t="s">
        <v>9</v>
      </c>
      <c r="G7" s="23" t="s">
        <v>10</v>
      </c>
      <c r="H7" s="23"/>
      <c r="I7" s="23"/>
      <c r="J7" s="23" t="s">
        <v>11</v>
      </c>
      <c r="K7" s="23"/>
      <c r="L7" s="23"/>
      <c r="M7" s="24" t="s">
        <v>12</v>
      </c>
      <c r="N7" s="24"/>
      <c r="O7" s="24"/>
      <c r="P7" s="25" t="s">
        <v>13</v>
      </c>
      <c r="Q7" s="26" t="s">
        <v>14</v>
      </c>
      <c r="R7" s="25" t="s">
        <v>15</v>
      </c>
      <c r="S7" s="20" t="s">
        <v>16</v>
      </c>
      <c r="U7" s="27" t="s">
        <v>17</v>
      </c>
      <c r="V7" s="27"/>
      <c r="W7" s="27"/>
    </row>
    <row r="8" s="14" customFormat="true" ht="30.75" hidden="false" customHeight="true" outlineLevel="0" collapsed="false">
      <c r="A8" s="18"/>
      <c r="B8" s="18"/>
      <c r="C8" s="18"/>
      <c r="D8" s="18"/>
      <c r="E8" s="21"/>
      <c r="F8" s="22"/>
      <c r="G8" s="23"/>
      <c r="H8" s="23"/>
      <c r="I8" s="23"/>
      <c r="J8" s="23"/>
      <c r="K8" s="23"/>
      <c r="L8" s="23"/>
      <c r="M8" s="24"/>
      <c r="N8" s="24"/>
      <c r="O8" s="24"/>
      <c r="P8" s="25"/>
      <c r="Q8" s="26"/>
      <c r="R8" s="25"/>
      <c r="S8" s="20"/>
      <c r="U8" s="27"/>
      <c r="V8" s="27"/>
      <c r="W8" s="27"/>
    </row>
    <row r="9" s="32" customFormat="true" ht="132.75" hidden="false" customHeight="true" outlineLevel="0" collapsed="false">
      <c r="A9" s="18"/>
      <c r="B9" s="18"/>
      <c r="C9" s="20"/>
      <c r="D9" s="20"/>
      <c r="E9" s="21"/>
      <c r="F9" s="22"/>
      <c r="G9" s="28" t="s">
        <v>18</v>
      </c>
      <c r="H9" s="29" t="s">
        <v>19</v>
      </c>
      <c r="I9" s="30" t="s">
        <v>20</v>
      </c>
      <c r="J9" s="28" t="s">
        <v>18</v>
      </c>
      <c r="K9" s="29" t="s">
        <v>19</v>
      </c>
      <c r="L9" s="30" t="s">
        <v>20</v>
      </c>
      <c r="M9" s="28" t="s">
        <v>18</v>
      </c>
      <c r="N9" s="29" t="s">
        <v>21</v>
      </c>
      <c r="O9" s="30" t="s">
        <v>22</v>
      </c>
      <c r="P9" s="25"/>
      <c r="Q9" s="26"/>
      <c r="R9" s="25"/>
      <c r="S9" s="20"/>
      <c r="T9" s="14"/>
      <c r="U9" s="31" t="s">
        <v>10</v>
      </c>
      <c r="V9" s="31" t="s">
        <v>11</v>
      </c>
      <c r="W9" s="31" t="s">
        <v>12</v>
      </c>
      <c r="X9" s="14"/>
      <c r="Y9" s="14"/>
      <c r="Z9" s="14"/>
      <c r="AA9" s="14"/>
      <c r="AB9" s="14"/>
      <c r="AC9" s="14"/>
      <c r="AD9" s="14"/>
      <c r="AE9" s="14"/>
      <c r="AF9" s="14"/>
      <c r="AG9" s="14"/>
      <c r="AH9" s="14"/>
      <c r="AI9" s="14"/>
      <c r="AJ9" s="14"/>
    </row>
    <row r="10" s="40" customFormat="true" ht="14.25" hidden="false" customHeight="true" outlineLevel="0" collapsed="false">
      <c r="A10" s="33" t="n">
        <v>1</v>
      </c>
      <c r="B10" s="34" t="n">
        <v>2</v>
      </c>
      <c r="C10" s="35" t="n">
        <v>3</v>
      </c>
      <c r="D10" s="35" t="n">
        <v>4</v>
      </c>
      <c r="E10" s="36"/>
      <c r="F10" s="35"/>
      <c r="G10" s="37" t="n">
        <v>5</v>
      </c>
      <c r="H10" s="38" t="n">
        <v>6</v>
      </c>
      <c r="I10" s="34" t="n">
        <v>7</v>
      </c>
      <c r="J10" s="37" t="n">
        <v>8</v>
      </c>
      <c r="K10" s="39" t="n">
        <v>9</v>
      </c>
      <c r="L10" s="34" t="n">
        <v>10</v>
      </c>
      <c r="M10" s="37" t="n">
        <v>11</v>
      </c>
      <c r="N10" s="39" t="n">
        <v>12</v>
      </c>
      <c r="O10" s="34" t="n">
        <v>12</v>
      </c>
      <c r="P10" s="37" t="n">
        <v>15</v>
      </c>
      <c r="Q10" s="37" t="n">
        <v>16</v>
      </c>
      <c r="R10" s="37" t="n">
        <v>17</v>
      </c>
      <c r="S10" s="37" t="n">
        <v>18</v>
      </c>
      <c r="U10" s="41"/>
      <c r="V10" s="41"/>
      <c r="W10" s="41"/>
    </row>
    <row r="11" s="43" customFormat="true" ht="35.25" hidden="false" customHeight="true" outlineLevel="0" collapsed="false">
      <c r="A11" s="42" t="s">
        <v>23</v>
      </c>
      <c r="B11" s="42"/>
      <c r="C11" s="42"/>
      <c r="D11" s="42"/>
      <c r="E11" s="42"/>
      <c r="F11" s="42"/>
      <c r="G11" s="42"/>
      <c r="H11" s="42"/>
      <c r="I11" s="42"/>
      <c r="J11" s="42"/>
      <c r="K11" s="42"/>
      <c r="L11" s="42"/>
      <c r="M11" s="42"/>
      <c r="N11" s="42"/>
      <c r="O11" s="42"/>
      <c r="P11" s="42"/>
      <c r="Q11" s="42"/>
      <c r="R11" s="42"/>
      <c r="S11" s="42"/>
      <c r="U11" s="44"/>
      <c r="V11" s="44"/>
      <c r="W11" s="44"/>
    </row>
    <row r="12" s="43" customFormat="true" ht="73.5" hidden="false" customHeight="true" outlineLevel="0" collapsed="false">
      <c r="A12" s="45" t="n">
        <v>1</v>
      </c>
      <c r="B12" s="46" t="s">
        <v>24</v>
      </c>
      <c r="C12" s="47" t="s">
        <v>25</v>
      </c>
      <c r="D12" s="48" t="n">
        <v>12</v>
      </c>
      <c r="E12" s="49" t="s">
        <v>26</v>
      </c>
      <c r="F12" s="60" t="n">
        <v>211.5</v>
      </c>
      <c r="G12" s="51" t="s">
        <v>27</v>
      </c>
      <c r="H12" s="52" t="n">
        <f aca="false">241.6/1.2</f>
        <v>201.333333333333</v>
      </c>
      <c r="I12" s="53" t="n">
        <f aca="false">D12*H12</f>
        <v>2416</v>
      </c>
      <c r="J12" s="53" t="s">
        <v>28</v>
      </c>
      <c r="K12" s="52" t="n">
        <f aca="false">264.54/1.2</f>
        <v>220.45</v>
      </c>
      <c r="L12" s="53" t="n">
        <f aca="false">D12*K12</f>
        <v>2645.4</v>
      </c>
      <c r="M12" s="47" t="s">
        <v>29</v>
      </c>
      <c r="N12" s="52" t="n">
        <v>214.67</v>
      </c>
      <c r="O12" s="53" t="n">
        <f aca="false">D12*N12</f>
        <v>2576.04</v>
      </c>
      <c r="P12" s="54" t="n">
        <f aca="false">AVERAGE(H12,K12,N12)</f>
        <v>212.151111111111</v>
      </c>
      <c r="Q12" s="55" t="n">
        <f aca="false">F12*100/P12-100</f>
        <v>-0.306909121380997</v>
      </c>
      <c r="R12" s="54" t="n">
        <f aca="false">D12*F12</f>
        <v>2538</v>
      </c>
      <c r="S12" s="56"/>
      <c r="U12" s="57" t="n">
        <f aca="false">ROUND(H12*100/P12-100,0)</f>
        <v>-5</v>
      </c>
      <c r="V12" s="57" t="n">
        <f aca="false">ROUND(K12*100/P12-100,0)</f>
        <v>4</v>
      </c>
      <c r="W12" s="57" t="n">
        <f aca="false">ROUND(N12*100/P12-100,0)</f>
        <v>1</v>
      </c>
    </row>
    <row r="13" s="43" customFormat="true" ht="73.5" hidden="false" customHeight="true" outlineLevel="0" collapsed="false">
      <c r="A13" s="45" t="n">
        <v>2</v>
      </c>
      <c r="B13" s="46" t="s">
        <v>30</v>
      </c>
      <c r="C13" s="47" t="s">
        <v>25</v>
      </c>
      <c r="D13" s="48" t="n">
        <v>1</v>
      </c>
      <c r="E13" s="49" t="s">
        <v>26</v>
      </c>
      <c r="F13" s="60" t="n">
        <v>77750.45</v>
      </c>
      <c r="G13" s="47" t="s">
        <v>31</v>
      </c>
      <c r="H13" s="52" t="n">
        <f aca="false">89307.79/1.2</f>
        <v>74423.1583333333</v>
      </c>
      <c r="I13" s="53" t="n">
        <f aca="false">D13*H13</f>
        <v>74423.1583333333</v>
      </c>
      <c r="J13" s="47" t="s">
        <v>32</v>
      </c>
      <c r="K13" s="52" t="n">
        <f aca="false">107832.34/1.2</f>
        <v>89860.2833333333</v>
      </c>
      <c r="L13" s="53" t="n">
        <f aca="false">D13*K13</f>
        <v>89860.2833333333</v>
      </c>
      <c r="M13" s="47" t="s">
        <v>33</v>
      </c>
      <c r="N13" s="52" t="n">
        <f aca="false">82801.69/1.2</f>
        <v>69001.4083333333</v>
      </c>
      <c r="O13" s="53" t="n">
        <f aca="false">D13*N13</f>
        <v>69001.4083333333</v>
      </c>
      <c r="P13" s="54" t="n">
        <f aca="false">AVERAGE(H13,K13,N13)</f>
        <v>77761.6166666667</v>
      </c>
      <c r="Q13" s="55" t="n">
        <f aca="false">F13*100/P13-100</f>
        <v>-0.0143601266863271</v>
      </c>
      <c r="R13" s="54" t="n">
        <f aca="false">D13*F13</f>
        <v>77750.45</v>
      </c>
      <c r="S13" s="56"/>
      <c r="U13" s="57" t="n">
        <f aca="false">ROUND(H13*100/P13-100,0)</f>
        <v>-4</v>
      </c>
      <c r="V13" s="57" t="n">
        <f aca="false">ROUND(K13*100/P13-100,0)</f>
        <v>16</v>
      </c>
      <c r="W13" s="57" t="n">
        <f aca="false">ROUND(N13*100/P13-100,0)</f>
        <v>-11</v>
      </c>
    </row>
    <row r="14" s="43" customFormat="true" ht="73.5" hidden="false" customHeight="true" outlineLevel="0" collapsed="false">
      <c r="A14" s="45" t="n">
        <v>3</v>
      </c>
      <c r="B14" s="46" t="s">
        <v>34</v>
      </c>
      <c r="C14" s="47" t="s">
        <v>25</v>
      </c>
      <c r="D14" s="48" t="n">
        <v>1</v>
      </c>
      <c r="E14" s="49" t="s">
        <v>26</v>
      </c>
      <c r="F14" s="60" t="n">
        <v>84551</v>
      </c>
      <c r="G14" s="47" t="s">
        <v>31</v>
      </c>
      <c r="H14" s="52" t="n">
        <f aca="false">99534.53/1.2</f>
        <v>82945.4416666667</v>
      </c>
      <c r="I14" s="53" t="n">
        <f aca="false">D14*H14</f>
        <v>82945.4416666667</v>
      </c>
      <c r="J14" s="47" t="s">
        <v>32</v>
      </c>
      <c r="K14" s="52" t="n">
        <f aca="false">115890.88/1.2</f>
        <v>96575.7333333333</v>
      </c>
      <c r="L14" s="53" t="n">
        <f aca="false">D14*K14</f>
        <v>96575.7333333333</v>
      </c>
      <c r="M14" s="47" t="s">
        <v>33</v>
      </c>
      <c r="N14" s="52" t="n">
        <f aca="false">88990.14/1.2</f>
        <v>74158.45</v>
      </c>
      <c r="O14" s="53" t="n">
        <f aca="false">D14*N14</f>
        <v>74158.45</v>
      </c>
      <c r="P14" s="54" t="n">
        <f aca="false">AVERAGE(H14,K14,N14)</f>
        <v>84559.875</v>
      </c>
      <c r="Q14" s="55" t="n">
        <f aca="false">F14*100/P14-100</f>
        <v>-0.0104955216643816</v>
      </c>
      <c r="R14" s="54" t="n">
        <f aca="false">D14*F14</f>
        <v>84551</v>
      </c>
      <c r="S14" s="56"/>
      <c r="U14" s="57" t="n">
        <f aca="false">ROUND(H14*100/P14-100,0)</f>
        <v>-2</v>
      </c>
      <c r="V14" s="57" t="n">
        <f aca="false">ROUND(K14*100/P14-100,0)</f>
        <v>14</v>
      </c>
      <c r="W14" s="57" t="n">
        <f aca="false">ROUND(N14*100/P14-100,0)</f>
        <v>-12</v>
      </c>
    </row>
    <row r="15" s="43" customFormat="true" ht="73.5" hidden="false" customHeight="true" outlineLevel="0" collapsed="false">
      <c r="A15" s="45" t="n">
        <v>4</v>
      </c>
      <c r="B15" s="46" t="s">
        <v>35</v>
      </c>
      <c r="C15" s="47" t="s">
        <v>25</v>
      </c>
      <c r="D15" s="48" t="n">
        <v>1</v>
      </c>
      <c r="E15" s="49" t="s">
        <v>26</v>
      </c>
      <c r="F15" s="60" t="n">
        <v>155.25</v>
      </c>
      <c r="G15" s="47" t="s">
        <v>27</v>
      </c>
      <c r="H15" s="52" t="n">
        <f aca="false">177.86/1.2</f>
        <v>148.216666666667</v>
      </c>
      <c r="I15" s="53" t="n">
        <f aca="false">D15*H15</f>
        <v>148.216666666667</v>
      </c>
      <c r="J15" s="53" t="s">
        <v>28</v>
      </c>
      <c r="K15" s="52" t="n">
        <v>165.48</v>
      </c>
      <c r="L15" s="53" t="n">
        <f aca="false">D15*K15</f>
        <v>165.48</v>
      </c>
      <c r="M15" s="47" t="s">
        <v>29</v>
      </c>
      <c r="N15" s="52" t="n">
        <v>159.71</v>
      </c>
      <c r="O15" s="53" t="n">
        <f aca="false">D15*N15</f>
        <v>159.71</v>
      </c>
      <c r="P15" s="54" t="n">
        <f aca="false">AVERAGE(H15,K15,N15)</f>
        <v>157.802222222222</v>
      </c>
      <c r="Q15" s="55" t="n">
        <f aca="false">F15*100/P15-100</f>
        <v>-1.61735505766714</v>
      </c>
      <c r="R15" s="54" t="n">
        <f aca="false">D15*F15</f>
        <v>155.25</v>
      </c>
      <c r="S15" s="56"/>
      <c r="U15" s="57" t="n">
        <f aca="false">ROUND(H15*100/P15-100,0)</f>
        <v>-6</v>
      </c>
      <c r="V15" s="57" t="n">
        <f aca="false">ROUND(K15*100/P15-100,0)</f>
        <v>5</v>
      </c>
      <c r="W15" s="57" t="n">
        <f aca="false">ROUND(N15*100/P15-100,0)</f>
        <v>1</v>
      </c>
    </row>
    <row r="16" s="43" customFormat="true" ht="73.5" hidden="false" customHeight="true" outlineLevel="0" collapsed="false">
      <c r="A16" s="45" t="n">
        <v>5</v>
      </c>
      <c r="B16" s="46" t="s">
        <v>36</v>
      </c>
      <c r="C16" s="47" t="s">
        <v>25</v>
      </c>
      <c r="D16" s="48" t="n">
        <v>2</v>
      </c>
      <c r="E16" s="49" t="s">
        <v>26</v>
      </c>
      <c r="F16" s="60" t="n">
        <v>1088.65</v>
      </c>
      <c r="G16" s="47" t="s">
        <v>27</v>
      </c>
      <c r="H16" s="52" t="n">
        <f aca="false">1302.94/1.2</f>
        <v>1085.78333333333</v>
      </c>
      <c r="I16" s="53" t="n">
        <f aca="false">D16*H16</f>
        <v>2171.56666666667</v>
      </c>
      <c r="J16" s="53" t="s">
        <v>28</v>
      </c>
      <c r="K16" s="52" t="n">
        <v>1070.69</v>
      </c>
      <c r="L16" s="53" t="n">
        <f aca="false">D16*K16</f>
        <v>2141.38</v>
      </c>
      <c r="M16" s="47" t="s">
        <v>29</v>
      </c>
      <c r="N16" s="52" t="n">
        <v>1115.47</v>
      </c>
      <c r="O16" s="53" t="n">
        <f aca="false">D16*N16</f>
        <v>2230.94</v>
      </c>
      <c r="P16" s="54" t="n">
        <f aca="false">AVERAGE(H16,K16,N16)</f>
        <v>1090.64777777778</v>
      </c>
      <c r="Q16" s="55" t="n">
        <f aca="false">F16*100/P16-100</f>
        <v>-0.183173506468634</v>
      </c>
      <c r="R16" s="54" t="n">
        <f aca="false">D16*F16</f>
        <v>2177.3</v>
      </c>
      <c r="S16" s="56"/>
      <c r="U16" s="57" t="n">
        <f aca="false">ROUND(H16*100/P16-100,0)</f>
        <v>-0</v>
      </c>
      <c r="V16" s="57" t="n">
        <f aca="false">ROUND(K16*100/P16-100,0)</f>
        <v>-2</v>
      </c>
      <c r="W16" s="57" t="n">
        <f aca="false">ROUND(N16*100/P16-100,0)</f>
        <v>2</v>
      </c>
    </row>
    <row r="17" s="43" customFormat="true" ht="73.5" hidden="false" customHeight="true" outlineLevel="0" collapsed="false">
      <c r="A17" s="45" t="n">
        <v>6</v>
      </c>
      <c r="B17" s="46" t="s">
        <v>37</v>
      </c>
      <c r="C17" s="47" t="s">
        <v>25</v>
      </c>
      <c r="D17" s="48" t="n">
        <v>12</v>
      </c>
      <c r="E17" s="49" t="s">
        <v>26</v>
      </c>
      <c r="F17" s="60" t="n">
        <v>810.4</v>
      </c>
      <c r="G17" s="47" t="s">
        <v>27</v>
      </c>
      <c r="H17" s="52" t="n">
        <f aca="false">957.31/1.2</f>
        <v>797.758333333333</v>
      </c>
      <c r="I17" s="53" t="n">
        <f aca="false">D17*H17</f>
        <v>9573.1</v>
      </c>
      <c r="J17" s="53" t="s">
        <v>28</v>
      </c>
      <c r="K17" s="52" t="n">
        <v>850.7</v>
      </c>
      <c r="L17" s="53" t="n">
        <f aca="false">D17*K17</f>
        <v>10208.4</v>
      </c>
      <c r="M17" s="47" t="s">
        <v>29</v>
      </c>
      <c r="N17" s="52" t="n">
        <v>786.42</v>
      </c>
      <c r="O17" s="53" t="n">
        <f aca="false">D17*N17</f>
        <v>9437.04</v>
      </c>
      <c r="P17" s="54" t="n">
        <f aca="false">AVERAGE(H17,K17,N17)</f>
        <v>811.626111111111</v>
      </c>
      <c r="Q17" s="55" t="n">
        <f aca="false">F17*100/P17-100</f>
        <v>-0.151068465433241</v>
      </c>
      <c r="R17" s="54" t="n">
        <f aca="false">D17*F17</f>
        <v>9724.8</v>
      </c>
      <c r="S17" s="56"/>
      <c r="U17" s="57" t="n">
        <f aca="false">ROUND(H17*100/P17-100,0)</f>
        <v>-2</v>
      </c>
      <c r="V17" s="57" t="n">
        <f aca="false">ROUND(K17*100/P17-100,0)</f>
        <v>5</v>
      </c>
      <c r="W17" s="57" t="n">
        <f aca="false">ROUND(N17*100/P17-100,0)</f>
        <v>-3</v>
      </c>
    </row>
    <row r="18" s="43" customFormat="true" ht="73.5" hidden="false" customHeight="true" outlineLevel="0" collapsed="false">
      <c r="A18" s="45" t="n">
        <v>7</v>
      </c>
      <c r="B18" s="46" t="s">
        <v>38</v>
      </c>
      <c r="C18" s="47" t="s">
        <v>25</v>
      </c>
      <c r="D18" s="48" t="n">
        <v>4</v>
      </c>
      <c r="E18" s="49" t="n">
        <v>3583.33</v>
      </c>
      <c r="F18" s="60" t="n">
        <v>4105.6</v>
      </c>
      <c r="G18" s="47" t="s">
        <v>39</v>
      </c>
      <c r="H18" s="52" t="n">
        <v>3911.74</v>
      </c>
      <c r="I18" s="53" t="n">
        <f aca="false">D18*H18</f>
        <v>15646.96</v>
      </c>
      <c r="J18" s="47" t="s">
        <v>40</v>
      </c>
      <c r="K18" s="52" t="n">
        <f aca="false">5150/1.2</f>
        <v>4291.66666666667</v>
      </c>
      <c r="L18" s="53" t="n">
        <f aca="false">D18*K18</f>
        <v>17166.6666666667</v>
      </c>
      <c r="M18" s="53" t="s">
        <v>41</v>
      </c>
      <c r="N18" s="52" t="n">
        <f aca="false">4944.77/1.2</f>
        <v>4120.64166666667</v>
      </c>
      <c r="O18" s="53" t="n">
        <f aca="false">D18*N18</f>
        <v>16482.5666666667</v>
      </c>
      <c r="P18" s="54" t="n">
        <f aca="false">AVERAGE(H18,K18,N18)</f>
        <v>4108.01611111111</v>
      </c>
      <c r="Q18" s="55" t="n">
        <f aca="false">F18*100/P18-100</f>
        <v>-0.0588145480874687</v>
      </c>
      <c r="R18" s="54" t="n">
        <f aca="false">D18*F18</f>
        <v>16422.4</v>
      </c>
      <c r="S18" s="56"/>
      <c r="U18" s="57" t="n">
        <f aca="false">ROUND(H18*100/P18-100,0)</f>
        <v>-5</v>
      </c>
      <c r="V18" s="57" t="n">
        <f aca="false">ROUND(K18*100/P18-100,0)</f>
        <v>4</v>
      </c>
      <c r="W18" s="57" t="n">
        <f aca="false">ROUND(N18*100/P18-100,0)</f>
        <v>0</v>
      </c>
    </row>
    <row r="19" s="43" customFormat="true" ht="73.5" hidden="false" customHeight="true" outlineLevel="0" collapsed="false">
      <c r="A19" s="45" t="n">
        <v>8</v>
      </c>
      <c r="B19" s="46" t="s">
        <v>42</v>
      </c>
      <c r="C19" s="47" t="s">
        <v>25</v>
      </c>
      <c r="D19" s="48" t="s">
        <v>43</v>
      </c>
      <c r="E19" s="49" t="s">
        <v>26</v>
      </c>
      <c r="F19" s="60" t="n">
        <v>5173.66</v>
      </c>
      <c r="G19" s="47" t="s">
        <v>27</v>
      </c>
      <c r="H19" s="52" t="n">
        <f aca="false">6183.86/1.2</f>
        <v>5153.21666666667</v>
      </c>
      <c r="I19" s="53" t="n">
        <f aca="false">D19*H19</f>
        <v>288580.133333333</v>
      </c>
      <c r="J19" s="53" t="s">
        <v>28</v>
      </c>
      <c r="K19" s="52" t="n">
        <v>5129.75</v>
      </c>
      <c r="L19" s="53" t="n">
        <f aca="false">D19*K19</f>
        <v>287266</v>
      </c>
      <c r="M19" s="47" t="s">
        <v>29</v>
      </c>
      <c r="N19" s="52" t="n">
        <v>5251.46</v>
      </c>
      <c r="O19" s="53" t="n">
        <f aca="false">D19*N19</f>
        <v>294081.76</v>
      </c>
      <c r="P19" s="54" t="n">
        <f aca="false">AVERAGE(H19,K19,N19)</f>
        <v>5178.14222222222</v>
      </c>
      <c r="Q19" s="55" t="n">
        <f aca="false">F19*100/P19-100</f>
        <v>-0.0865604309396133</v>
      </c>
      <c r="R19" s="54" t="n">
        <f aca="false">D19*F19</f>
        <v>289724.96</v>
      </c>
      <c r="S19" s="56"/>
      <c r="U19" s="57" t="n">
        <f aca="false">ROUND(H19*100/P19-100,0)</f>
        <v>-0</v>
      </c>
      <c r="V19" s="57" t="n">
        <f aca="false">ROUND(K19*100/P19-100,0)</f>
        <v>-1</v>
      </c>
      <c r="W19" s="57" t="n">
        <f aca="false">ROUND(N19*100/P19-100,0)</f>
        <v>1</v>
      </c>
    </row>
    <row r="20" s="43" customFormat="true" ht="73.5" hidden="false" customHeight="true" outlineLevel="0" collapsed="false">
      <c r="A20" s="45" t="n">
        <v>9</v>
      </c>
      <c r="B20" s="46" t="s">
        <v>44</v>
      </c>
      <c r="C20" s="47" t="s">
        <v>45</v>
      </c>
      <c r="D20" s="48" t="n">
        <v>24.9</v>
      </c>
      <c r="E20" s="49" t="n">
        <v>1431.56</v>
      </c>
      <c r="F20" s="60" t="n">
        <v>2000</v>
      </c>
      <c r="G20" s="47" t="s">
        <v>39</v>
      </c>
      <c r="H20" s="52" t="n">
        <f aca="false">123.52*1000/65</f>
        <v>1900.30769230769</v>
      </c>
      <c r="I20" s="53" t="n">
        <f aca="false">D20*H20</f>
        <v>47317.6615384615</v>
      </c>
      <c r="J20" s="47" t="s">
        <v>46</v>
      </c>
      <c r="K20" s="52" t="n">
        <v>2005.78</v>
      </c>
      <c r="L20" s="53" t="n">
        <f aca="false">D20*K20</f>
        <v>49943.922</v>
      </c>
      <c r="M20" s="53" t="s">
        <v>41</v>
      </c>
      <c r="N20" s="52" t="n">
        <f aca="false">2520.94/1.2</f>
        <v>2100.78333333333</v>
      </c>
      <c r="O20" s="53" t="n">
        <f aca="false">D20*N20</f>
        <v>52309.505</v>
      </c>
      <c r="P20" s="54" t="n">
        <f aca="false">AVERAGE(H20,K20,N20)</f>
        <v>2002.29034188034</v>
      </c>
      <c r="Q20" s="55" t="n">
        <f aca="false">F20*100/P20-100</f>
        <v>-0.114386102376699</v>
      </c>
      <c r="R20" s="54" t="n">
        <f aca="false">D20*F20</f>
        <v>49800</v>
      </c>
      <c r="S20" s="56"/>
      <c r="U20" s="57" t="n">
        <f aca="false">ROUND(H20*100/P20-100,0)</f>
        <v>-5</v>
      </c>
      <c r="V20" s="57" t="n">
        <f aca="false">ROUND(K20*100/P20-100,0)</f>
        <v>0</v>
      </c>
      <c r="W20" s="57" t="n">
        <f aca="false">ROUND(N20*100/P20-100,0)</f>
        <v>5</v>
      </c>
    </row>
    <row r="21" s="43" customFormat="true" ht="73.5" hidden="false" customHeight="true" outlineLevel="0" collapsed="false">
      <c r="A21" s="45" t="n">
        <v>10</v>
      </c>
      <c r="B21" s="46" t="s">
        <v>47</v>
      </c>
      <c r="C21" s="47" t="s">
        <v>25</v>
      </c>
      <c r="D21" s="48" t="n">
        <v>1</v>
      </c>
      <c r="E21" s="49" t="s">
        <v>26</v>
      </c>
      <c r="F21" s="60" t="n">
        <v>227.1</v>
      </c>
      <c r="G21" s="47" t="s">
        <v>27</v>
      </c>
      <c r="H21" s="52" t="n">
        <f aca="false">272.44/1.2</f>
        <v>227.033333333333</v>
      </c>
      <c r="I21" s="53" t="n">
        <f aca="false">D21*H21</f>
        <v>227.033333333333</v>
      </c>
      <c r="J21" s="53" t="s">
        <v>28</v>
      </c>
      <c r="K21" s="52" t="n">
        <v>219.78</v>
      </c>
      <c r="L21" s="53" t="n">
        <f aca="false">D21*K21</f>
        <v>219.78</v>
      </c>
      <c r="M21" s="47" t="s">
        <v>29</v>
      </c>
      <c r="N21" s="52" t="n">
        <v>235.12</v>
      </c>
      <c r="O21" s="53" t="n">
        <f aca="false">D21*N21</f>
        <v>235.12</v>
      </c>
      <c r="P21" s="54" t="n">
        <f aca="false">AVERAGE(H21,K21,N21)</f>
        <v>227.311111111111</v>
      </c>
      <c r="Q21" s="55" t="n">
        <f aca="false">F21*100/P21-100</f>
        <v>-0.0928732036367279</v>
      </c>
      <c r="R21" s="54" t="n">
        <f aca="false">D21*F21</f>
        <v>227.1</v>
      </c>
      <c r="S21" s="56"/>
      <c r="U21" s="57" t="n">
        <f aca="false">ROUND(H21*100/P21-100,0)</f>
        <v>-0</v>
      </c>
      <c r="V21" s="57" t="n">
        <f aca="false">ROUND(K21*100/P21-100,0)</f>
        <v>-3</v>
      </c>
      <c r="W21" s="57" t="n">
        <f aca="false">ROUND(N21*100/P21-100,0)</f>
        <v>3</v>
      </c>
    </row>
    <row r="22" s="43" customFormat="true" ht="73.5" hidden="false" customHeight="true" outlineLevel="0" collapsed="false">
      <c r="A22" s="45" t="n">
        <v>11</v>
      </c>
      <c r="B22" s="46" t="s">
        <v>48</v>
      </c>
      <c r="C22" s="47" t="s">
        <v>25</v>
      </c>
      <c r="D22" s="48" t="n">
        <v>1</v>
      </c>
      <c r="E22" s="49" t="s">
        <v>26</v>
      </c>
      <c r="F22" s="60" t="n">
        <v>261.5</v>
      </c>
      <c r="G22" s="47" t="s">
        <v>27</v>
      </c>
      <c r="H22" s="52" t="n">
        <f aca="false">311.2/1.2</f>
        <v>259.333333333333</v>
      </c>
      <c r="I22" s="53" t="n">
        <f aca="false">D22*H22</f>
        <v>259.333333333333</v>
      </c>
      <c r="J22" s="53" t="s">
        <v>28</v>
      </c>
      <c r="K22" s="52" t="n">
        <v>255.13</v>
      </c>
      <c r="L22" s="53" t="n">
        <f aca="false">D22*K22</f>
        <v>255.13</v>
      </c>
      <c r="M22" s="47" t="s">
        <v>29</v>
      </c>
      <c r="N22" s="52" t="n">
        <v>272.4</v>
      </c>
      <c r="O22" s="53" t="n">
        <f aca="false">D22*N22</f>
        <v>272.4</v>
      </c>
      <c r="P22" s="54" t="n">
        <f aca="false">AVERAGE(H22,K22,N22)</f>
        <v>262.287777777778</v>
      </c>
      <c r="Q22" s="55" t="n">
        <f aca="false">F22*100/P22-100</f>
        <v>-0.300348641653144</v>
      </c>
      <c r="R22" s="54" t="n">
        <f aca="false">D22*F22</f>
        <v>261.5</v>
      </c>
      <c r="S22" s="56"/>
      <c r="U22" s="57" t="n">
        <f aca="false">ROUND(H22*100/P22-100,0)</f>
        <v>-1</v>
      </c>
      <c r="V22" s="57" t="n">
        <f aca="false">ROUND(K22*100/P22-100,0)</f>
        <v>-3</v>
      </c>
      <c r="W22" s="57" t="n">
        <f aca="false">ROUND(N22*100/P22-100,0)</f>
        <v>4</v>
      </c>
    </row>
    <row r="23" s="43" customFormat="true" ht="73.5" hidden="false" customHeight="true" outlineLevel="0" collapsed="false">
      <c r="A23" s="45" t="n">
        <v>12</v>
      </c>
      <c r="B23" s="46" t="s">
        <v>49</v>
      </c>
      <c r="C23" s="47" t="s">
        <v>25</v>
      </c>
      <c r="D23" s="48" t="n">
        <v>61</v>
      </c>
      <c r="E23" s="49" t="s">
        <v>26</v>
      </c>
      <c r="F23" s="60" t="n">
        <v>501.3</v>
      </c>
      <c r="G23" s="47" t="s">
        <v>27</v>
      </c>
      <c r="H23" s="52" t="n">
        <f aca="false">588.83/1.2</f>
        <v>490.691666666667</v>
      </c>
      <c r="I23" s="53" t="n">
        <f aca="false">D23*H23</f>
        <v>29932.1916666667</v>
      </c>
      <c r="J23" s="53" t="s">
        <v>28</v>
      </c>
      <c r="K23" s="52" t="n">
        <v>536.87</v>
      </c>
      <c r="L23" s="53" t="n">
        <f aca="false">D23*K23</f>
        <v>32749.07</v>
      </c>
      <c r="M23" s="47" t="s">
        <v>29</v>
      </c>
      <c r="N23" s="52" t="n">
        <v>480.65</v>
      </c>
      <c r="O23" s="53" t="n">
        <f aca="false">D23*N23</f>
        <v>29319.65</v>
      </c>
      <c r="P23" s="54" t="n">
        <f aca="false">AVERAGE(H23,K23,N23)</f>
        <v>502.737222222222</v>
      </c>
      <c r="Q23" s="55" t="n">
        <f aca="false">F23*100/P23-100</f>
        <v>-0.285879413477545</v>
      </c>
      <c r="R23" s="54" t="n">
        <f aca="false">D23*F23</f>
        <v>30579.3</v>
      </c>
      <c r="S23" s="56"/>
      <c r="U23" s="57" t="n">
        <f aca="false">ROUND(H23*100/P23-100,0)</f>
        <v>-2</v>
      </c>
      <c r="V23" s="57" t="n">
        <f aca="false">ROUND(K23*100/P23-100,0)</f>
        <v>7</v>
      </c>
      <c r="W23" s="57" t="n">
        <f aca="false">ROUND(N23*100/P23-100,0)</f>
        <v>-4</v>
      </c>
    </row>
    <row r="24" s="43" customFormat="true" ht="73.5" hidden="false" customHeight="true" outlineLevel="0" collapsed="false">
      <c r="A24" s="45" t="n">
        <v>13</v>
      </c>
      <c r="B24" s="46" t="s">
        <v>50</v>
      </c>
      <c r="C24" s="47" t="s">
        <v>25</v>
      </c>
      <c r="D24" s="48" t="n">
        <v>107</v>
      </c>
      <c r="E24" s="49" t="s">
        <v>26</v>
      </c>
      <c r="F24" s="60" t="n">
        <v>487.5</v>
      </c>
      <c r="G24" s="47" t="s">
        <v>27</v>
      </c>
      <c r="H24" s="52" t="n">
        <f aca="false">569.51/1.2</f>
        <v>474.591666666667</v>
      </c>
      <c r="I24" s="53" t="n">
        <f aca="false">D24*H24</f>
        <v>50781.3083333333</v>
      </c>
      <c r="J24" s="53" t="s">
        <v>28</v>
      </c>
      <c r="K24" s="52" t="n">
        <f aca="false">640.09/1.2</f>
        <v>533.408333333333</v>
      </c>
      <c r="L24" s="53" t="n">
        <f aca="false">D24*K24</f>
        <v>57074.6916666667</v>
      </c>
      <c r="M24" s="47" t="s">
        <v>29</v>
      </c>
      <c r="N24" s="52" t="n">
        <v>460.72</v>
      </c>
      <c r="O24" s="53" t="n">
        <f aca="false">D24*N24</f>
        <v>49297.04</v>
      </c>
      <c r="P24" s="54" t="n">
        <f aca="false">AVERAGE(H24,K24,N24)</f>
        <v>489.573333333333</v>
      </c>
      <c r="Q24" s="55" t="n">
        <f aca="false">F24*100/P24-100</f>
        <v>-0.423498011874301</v>
      </c>
      <c r="R24" s="54" t="n">
        <f aca="false">D24*F24</f>
        <v>52162.5</v>
      </c>
      <c r="S24" s="56"/>
      <c r="U24" s="57" t="n">
        <f aca="false">ROUND(H24*100/P24-100,0)</f>
        <v>-3</v>
      </c>
      <c r="V24" s="57" t="n">
        <f aca="false">ROUND(K24*100/P24-100,0)</f>
        <v>9</v>
      </c>
      <c r="W24" s="57" t="n">
        <f aca="false">ROUND(N24*100/P24-100,0)</f>
        <v>-6</v>
      </c>
    </row>
    <row r="25" s="43" customFormat="true" ht="73.5" hidden="false" customHeight="true" outlineLevel="0" collapsed="false">
      <c r="A25" s="45" t="n">
        <v>14</v>
      </c>
      <c r="B25" s="46" t="s">
        <v>51</v>
      </c>
      <c r="C25" s="47" t="s">
        <v>25</v>
      </c>
      <c r="D25" s="48" t="n">
        <v>2</v>
      </c>
      <c r="E25" s="49" t="s">
        <v>26</v>
      </c>
      <c r="F25" s="60" t="n">
        <v>1920.6</v>
      </c>
      <c r="G25" s="47" t="s">
        <v>27</v>
      </c>
      <c r="H25" s="52" t="n">
        <f aca="false">2205.97/1.2</f>
        <v>1838.30833333333</v>
      </c>
      <c r="I25" s="53" t="n">
        <f aca="false">D25*H25</f>
        <v>3676.61666666667</v>
      </c>
      <c r="J25" s="53" t="s">
        <v>28</v>
      </c>
      <c r="K25" s="52" t="n">
        <v>1945.34</v>
      </c>
      <c r="L25" s="53" t="n">
        <f aca="false">D25*K25</f>
        <v>3890.68</v>
      </c>
      <c r="M25" s="47" t="s">
        <v>29</v>
      </c>
      <c r="N25" s="52" t="n">
        <v>1990.71</v>
      </c>
      <c r="O25" s="53" t="n">
        <f aca="false">D25*N25</f>
        <v>3981.42</v>
      </c>
      <c r="P25" s="54" t="n">
        <f aca="false">AVERAGE(H25,K25,N25)</f>
        <v>1924.78611111111</v>
      </c>
      <c r="Q25" s="55" t="n">
        <f aca="false">F25*100/P25-100</f>
        <v>-0.21748448240281</v>
      </c>
      <c r="R25" s="54" t="n">
        <f aca="false">D25*F25</f>
        <v>3841.2</v>
      </c>
      <c r="S25" s="56"/>
      <c r="U25" s="57" t="n">
        <f aca="false">ROUND(H25*100/P25-100,0)</f>
        <v>-4</v>
      </c>
      <c r="V25" s="57" t="n">
        <f aca="false">ROUND(K25*100/P25-100,0)</f>
        <v>1</v>
      </c>
      <c r="W25" s="57" t="n">
        <f aca="false">ROUND(N25*100/P25-100,0)</f>
        <v>3</v>
      </c>
    </row>
    <row r="26" s="43" customFormat="true" ht="73.5" hidden="false" customHeight="true" outlineLevel="0" collapsed="false">
      <c r="A26" s="45" t="n">
        <v>15</v>
      </c>
      <c r="B26" s="46" t="s">
        <v>52</v>
      </c>
      <c r="C26" s="47" t="s">
        <v>53</v>
      </c>
      <c r="D26" s="48" t="n">
        <v>240</v>
      </c>
      <c r="E26" s="49" t="n">
        <v>225.49</v>
      </c>
      <c r="F26" s="60" t="n">
        <v>331.49</v>
      </c>
      <c r="G26" s="47" t="s">
        <v>54</v>
      </c>
      <c r="H26" s="52" t="n">
        <v>323.02</v>
      </c>
      <c r="I26" s="53" t="n">
        <f aca="false">D26*H26</f>
        <v>77524.8</v>
      </c>
      <c r="J26" s="47" t="s">
        <v>46</v>
      </c>
      <c r="K26" s="52" t="n">
        <v>355.87</v>
      </c>
      <c r="L26" s="53" t="n">
        <f aca="false">D26*K26</f>
        <v>85408.8</v>
      </c>
      <c r="M26" s="53" t="s">
        <v>41</v>
      </c>
      <c r="N26" s="52" t="n">
        <v>317.56</v>
      </c>
      <c r="O26" s="53" t="n">
        <f aca="false">D26*N26</f>
        <v>76214.4</v>
      </c>
      <c r="P26" s="54" t="n">
        <f aca="false">AVERAGE(H26,K26,N26)</f>
        <v>332.15</v>
      </c>
      <c r="Q26" s="55" t="n">
        <f aca="false">F26*100/P26-100</f>
        <v>-0.198705404184864</v>
      </c>
      <c r="R26" s="54" t="n">
        <f aca="false">D26*F26</f>
        <v>79557.6</v>
      </c>
      <c r="S26" s="56"/>
      <c r="U26" s="57" t="n">
        <f aca="false">ROUND(H26*100/P26-100,0)</f>
        <v>-3</v>
      </c>
      <c r="V26" s="57" t="n">
        <f aca="false">ROUND(K26*100/P26-100,0)</f>
        <v>7</v>
      </c>
      <c r="W26" s="57" t="n">
        <f aca="false">ROUND(N26*100/P26-100,0)</f>
        <v>-4</v>
      </c>
    </row>
    <row r="27" s="43" customFormat="true" ht="73.5" hidden="false" customHeight="true" outlineLevel="0" collapsed="false">
      <c r="A27" s="45" t="n">
        <v>16</v>
      </c>
      <c r="B27" s="46" t="s">
        <v>55</v>
      </c>
      <c r="C27" s="47" t="s">
        <v>25</v>
      </c>
      <c r="D27" s="48" t="n">
        <v>2</v>
      </c>
      <c r="E27" s="49" t="n">
        <v>15416.67</v>
      </c>
      <c r="F27" s="60" t="n">
        <v>19052</v>
      </c>
      <c r="G27" s="47" t="s">
        <v>56</v>
      </c>
      <c r="H27" s="52" t="n">
        <v>19820.74</v>
      </c>
      <c r="I27" s="53" t="n">
        <f aca="false">D27*H27</f>
        <v>39641.48</v>
      </c>
      <c r="J27" s="47" t="s">
        <v>57</v>
      </c>
      <c r="K27" s="52" t="n">
        <v>19276.63</v>
      </c>
      <c r="L27" s="53" t="n">
        <f aca="false">D27*K27</f>
        <v>38553.26</v>
      </c>
      <c r="M27" s="47" t="s">
        <v>58</v>
      </c>
      <c r="N27" s="52" t="n">
        <v>18175.31</v>
      </c>
      <c r="O27" s="53" t="n">
        <f aca="false">D27*N27</f>
        <v>36350.62</v>
      </c>
      <c r="P27" s="54" t="n">
        <f aca="false">AVERAGE(H27,K27,N27)</f>
        <v>19090.8933333333</v>
      </c>
      <c r="Q27" s="55" t="n">
        <f aca="false">F27*100/P27-100</f>
        <v>-0.203727152282752</v>
      </c>
      <c r="R27" s="54" t="n">
        <f aca="false">D27*F27</f>
        <v>38104</v>
      </c>
      <c r="S27" s="56"/>
      <c r="U27" s="57" t="n">
        <f aca="false">ROUND(H27*100/P27-100,0)</f>
        <v>4</v>
      </c>
      <c r="V27" s="57" t="n">
        <f aca="false">ROUND(K27*100/P27-100,0)</f>
        <v>1</v>
      </c>
      <c r="W27" s="57" t="n">
        <f aca="false">ROUND(N27*100/P27-100,0)</f>
        <v>-5</v>
      </c>
    </row>
    <row r="28" s="43" customFormat="true" ht="73.5" hidden="false" customHeight="true" outlineLevel="0" collapsed="false">
      <c r="A28" s="45" t="n">
        <v>17</v>
      </c>
      <c r="B28" s="46" t="s">
        <v>59</v>
      </c>
      <c r="C28" s="47" t="s">
        <v>25</v>
      </c>
      <c r="D28" s="48" t="n">
        <v>84</v>
      </c>
      <c r="E28" s="49" t="s">
        <v>26</v>
      </c>
      <c r="F28" s="60" t="n">
        <v>29.9</v>
      </c>
      <c r="G28" s="47" t="s">
        <v>39</v>
      </c>
      <c r="H28" s="52" t="n">
        <v>27.94</v>
      </c>
      <c r="I28" s="53" t="n">
        <f aca="false">D28*H28</f>
        <v>2346.96</v>
      </c>
      <c r="J28" s="47" t="s">
        <v>54</v>
      </c>
      <c r="K28" s="52" t="n">
        <v>29.88</v>
      </c>
      <c r="L28" s="53" t="n">
        <f aca="false">D28*K28</f>
        <v>2509.92</v>
      </c>
      <c r="M28" s="53" t="s">
        <v>41</v>
      </c>
      <c r="N28" s="52" t="n">
        <v>32.45</v>
      </c>
      <c r="O28" s="53" t="n">
        <f aca="false">D28*N28</f>
        <v>2725.8</v>
      </c>
      <c r="P28" s="54" t="n">
        <f aca="false">AVERAGE(H28,K28,N28)</f>
        <v>30.09</v>
      </c>
      <c r="Q28" s="55" t="n">
        <f aca="false">F28*100/P28-100</f>
        <v>-0.631439016284489</v>
      </c>
      <c r="R28" s="54" t="n">
        <f aca="false">D28*F28</f>
        <v>2511.6</v>
      </c>
      <c r="S28" s="56"/>
      <c r="U28" s="57" t="n">
        <f aca="false">ROUND(H28*100/P28-100,0)</f>
        <v>-7</v>
      </c>
      <c r="V28" s="57" t="n">
        <f aca="false">ROUND(K28*100/P28-100,0)</f>
        <v>-1</v>
      </c>
      <c r="W28" s="57" t="n">
        <f aca="false">ROUND(N28*100/P28-100,0)</f>
        <v>8</v>
      </c>
    </row>
    <row r="29" s="43" customFormat="true" ht="73.5" hidden="false" customHeight="true" outlineLevel="0" collapsed="false">
      <c r="A29" s="45" t="n">
        <v>18</v>
      </c>
      <c r="B29" s="46" t="s">
        <v>60</v>
      </c>
      <c r="C29" s="47" t="s">
        <v>25</v>
      </c>
      <c r="D29" s="48" t="n">
        <v>4</v>
      </c>
      <c r="E29" s="49" t="n">
        <v>442.16</v>
      </c>
      <c r="F29" s="60" t="n">
        <v>477.5</v>
      </c>
      <c r="G29" s="47" t="s">
        <v>27</v>
      </c>
      <c r="H29" s="52" t="n">
        <f aca="false">557.23/1.2</f>
        <v>464.358333333333</v>
      </c>
      <c r="I29" s="53" t="n">
        <f aca="false">D29*H29</f>
        <v>1857.43333333333</v>
      </c>
      <c r="J29" s="53" t="s">
        <v>28</v>
      </c>
      <c r="K29" s="52" t="n">
        <v>515.64</v>
      </c>
      <c r="L29" s="53" t="n">
        <f aca="false">D29*K29</f>
        <v>2062.56</v>
      </c>
      <c r="M29" s="47" t="s">
        <v>29</v>
      </c>
      <c r="N29" s="52" t="n">
        <v>458.56</v>
      </c>
      <c r="O29" s="53" t="n">
        <f aca="false">D29*N29</f>
        <v>1834.24</v>
      </c>
      <c r="P29" s="54" t="n">
        <f aca="false">AVERAGE(H29,K29,N29)</f>
        <v>479.519444444444</v>
      </c>
      <c r="Q29" s="55" t="n">
        <f aca="false">F29*100/P29-100</f>
        <v>-0.421139219241482</v>
      </c>
      <c r="R29" s="54" t="n">
        <f aca="false">D29*F29</f>
        <v>1910</v>
      </c>
      <c r="S29" s="56"/>
      <c r="U29" s="57" t="n">
        <f aca="false">ROUND(H29*100/P29-100,0)</f>
        <v>-3</v>
      </c>
      <c r="V29" s="57" t="n">
        <f aca="false">ROUND(K29*100/P29-100,0)</f>
        <v>8</v>
      </c>
      <c r="W29" s="57" t="n">
        <f aca="false">ROUND(N29*100/P29-100,0)</f>
        <v>-4</v>
      </c>
    </row>
    <row r="30" s="43" customFormat="true" ht="73.5" hidden="false" customHeight="true" outlineLevel="0" collapsed="false">
      <c r="A30" s="45" t="n">
        <v>19</v>
      </c>
      <c r="B30" s="46" t="s">
        <v>61</v>
      </c>
      <c r="C30" s="47" t="s">
        <v>45</v>
      </c>
      <c r="D30" s="48" t="n">
        <v>80</v>
      </c>
      <c r="E30" s="49" t="n">
        <v>131.77</v>
      </c>
      <c r="F30" s="60" t="n">
        <v>473.4</v>
      </c>
      <c r="G30" s="47" t="s">
        <v>62</v>
      </c>
      <c r="H30" s="52" t="n">
        <v>475</v>
      </c>
      <c r="I30" s="53" t="n">
        <f aca="false">D30*H30</f>
        <v>38000</v>
      </c>
      <c r="J30" s="47" t="s">
        <v>46</v>
      </c>
      <c r="K30" s="52" t="n">
        <v>462.4</v>
      </c>
      <c r="L30" s="53" t="n">
        <f aca="false">D30*K30</f>
        <v>36992</v>
      </c>
      <c r="M30" s="47" t="s">
        <v>58</v>
      </c>
      <c r="N30" s="52" t="n">
        <v>496.84</v>
      </c>
      <c r="O30" s="53" t="n">
        <f aca="false">D30*N30</f>
        <v>39747.2</v>
      </c>
      <c r="P30" s="54" t="n">
        <f aca="false">AVERAGE(H30,K30,N30)</f>
        <v>478.08</v>
      </c>
      <c r="Q30" s="55" t="n">
        <f aca="false">F30*100/P30-100</f>
        <v>-0.978915662650593</v>
      </c>
      <c r="R30" s="54" t="n">
        <f aca="false">D30*F30</f>
        <v>37872</v>
      </c>
      <c r="S30" s="56"/>
      <c r="U30" s="57" t="n">
        <f aca="false">ROUND(H30*100/P30-100,0)</f>
        <v>-1</v>
      </c>
      <c r="V30" s="57" t="n">
        <f aca="false">ROUND(K30*100/P30-100,0)</f>
        <v>-3</v>
      </c>
      <c r="W30" s="57" t="n">
        <f aca="false">ROUND(N30*100/P30-100,0)</f>
        <v>4</v>
      </c>
    </row>
    <row r="31" s="43" customFormat="true" ht="73.5" hidden="false" customHeight="true" outlineLevel="0" collapsed="false">
      <c r="A31" s="45" t="n">
        <v>20</v>
      </c>
      <c r="B31" s="46" t="s">
        <v>63</v>
      </c>
      <c r="C31" s="47" t="s">
        <v>25</v>
      </c>
      <c r="D31" s="48" t="n">
        <v>6</v>
      </c>
      <c r="E31" s="49" t="n">
        <v>3302.31</v>
      </c>
      <c r="F31" s="60" t="n">
        <v>3952.3</v>
      </c>
      <c r="G31" s="47" t="s">
        <v>27</v>
      </c>
      <c r="H31" s="52" t="n">
        <f aca="false">4569.53/1.2</f>
        <v>3807.94166666667</v>
      </c>
      <c r="I31" s="53" t="n">
        <f aca="false">D31*H31</f>
        <v>22847.65</v>
      </c>
      <c r="J31" s="53" t="s">
        <v>28</v>
      </c>
      <c r="K31" s="52" t="n">
        <f aca="false">4747.69/1.2</f>
        <v>3956.40833333333</v>
      </c>
      <c r="L31" s="53" t="n">
        <f aca="false">D31*K31</f>
        <v>23738.45</v>
      </c>
      <c r="M31" s="47" t="s">
        <v>29</v>
      </c>
      <c r="N31" s="52" t="n">
        <v>4100.7</v>
      </c>
      <c r="O31" s="53" t="n">
        <f aca="false">D31*N31</f>
        <v>24604.2</v>
      </c>
      <c r="P31" s="54" t="n">
        <f aca="false">AVERAGE(H31,K31,N31)</f>
        <v>3955.01666666667</v>
      </c>
      <c r="Q31" s="55" t="n">
        <f aca="false">F31*100/P31-100</f>
        <v>-0.0686891332105546</v>
      </c>
      <c r="R31" s="54" t="n">
        <f aca="false">D31*F31</f>
        <v>23713.8</v>
      </c>
      <c r="S31" s="56"/>
      <c r="U31" s="57" t="n">
        <f aca="false">ROUND(H31*100/P31-100,0)</f>
        <v>-4</v>
      </c>
      <c r="V31" s="57" t="n">
        <f aca="false">ROUND(K31*100/P31-100,0)</f>
        <v>0</v>
      </c>
      <c r="W31" s="57" t="n">
        <f aca="false">ROUND(N31*100/P31-100,0)</f>
        <v>4</v>
      </c>
    </row>
    <row r="32" s="43" customFormat="true" ht="73.5" hidden="false" customHeight="true" outlineLevel="0" collapsed="false">
      <c r="A32" s="45" t="n">
        <v>21</v>
      </c>
      <c r="B32" s="46" t="s">
        <v>64</v>
      </c>
      <c r="C32" s="47" t="s">
        <v>65</v>
      </c>
      <c r="D32" s="48" t="n">
        <v>13</v>
      </c>
      <c r="E32" s="58" t="n">
        <v>21935.11</v>
      </c>
      <c r="F32" s="60" t="n">
        <v>4260.15</v>
      </c>
      <c r="G32" s="47" t="s">
        <v>66</v>
      </c>
      <c r="H32" s="52" t="n">
        <f aca="false">5072/1.2</f>
        <v>4226.66666666667</v>
      </c>
      <c r="I32" s="53" t="n">
        <f aca="false">D32*H32</f>
        <v>54946.6666666667</v>
      </c>
      <c r="J32" s="52" t="s">
        <v>67</v>
      </c>
      <c r="K32" s="52" t="n">
        <f aca="false">4988.64/1.2</f>
        <v>4157.2</v>
      </c>
      <c r="L32" s="53" t="n">
        <f aca="false">D32*K32</f>
        <v>54043.6</v>
      </c>
      <c r="M32" s="53" t="s">
        <v>68</v>
      </c>
      <c r="N32" s="52" t="n">
        <v>4402.7</v>
      </c>
      <c r="O32" s="53" t="n">
        <f aca="false">D32*N32</f>
        <v>57235.1</v>
      </c>
      <c r="P32" s="54" t="n">
        <f aca="false">AVERAGE(H32,K32,N32)</f>
        <v>4262.18888888889</v>
      </c>
      <c r="Q32" s="55" t="n">
        <f aca="false">F32*100/P32-100</f>
        <v>-0.0478366619134221</v>
      </c>
      <c r="R32" s="54" t="n">
        <f aca="false">D32*F32</f>
        <v>55381.95</v>
      </c>
      <c r="S32" s="59"/>
      <c r="U32" s="57" t="n">
        <f aca="false">ROUND(H32*100/P32-100,0)</f>
        <v>-1</v>
      </c>
      <c r="V32" s="57" t="n">
        <f aca="false">ROUND(K32*100/P32-100,0)</f>
        <v>-2</v>
      </c>
      <c r="W32" s="57" t="n">
        <f aca="false">ROUND(N32*100/P32-100,0)</f>
        <v>3</v>
      </c>
    </row>
    <row r="33" s="43" customFormat="true" ht="73.5" hidden="false" customHeight="true" outlineLevel="0" collapsed="false">
      <c r="A33" s="45" t="n">
        <v>22</v>
      </c>
      <c r="B33" s="46" t="s">
        <v>69</v>
      </c>
      <c r="C33" s="47" t="s">
        <v>65</v>
      </c>
      <c r="D33" s="48" t="n">
        <v>13</v>
      </c>
      <c r="E33" s="58"/>
      <c r="F33" s="50" t="n">
        <v>18550</v>
      </c>
      <c r="G33" s="47" t="s">
        <v>66</v>
      </c>
      <c r="H33" s="52" t="n">
        <f aca="false">22081.39/1.2</f>
        <v>18401.1583333333</v>
      </c>
      <c r="I33" s="53" t="n">
        <f aca="false">D33*H33</f>
        <v>239215.058333333</v>
      </c>
      <c r="J33" s="52" t="s">
        <v>67</v>
      </c>
      <c r="K33" s="52" t="n">
        <f aca="false">21966.86/1.2</f>
        <v>18305.7166666667</v>
      </c>
      <c r="L33" s="53" t="n">
        <f aca="false">D33*K33</f>
        <v>237974.316666667</v>
      </c>
      <c r="M33" s="53" t="s">
        <v>68</v>
      </c>
      <c r="N33" s="52" t="n">
        <v>19002.43</v>
      </c>
      <c r="O33" s="53" t="n">
        <f aca="false">D33*N33</f>
        <v>247031.59</v>
      </c>
      <c r="P33" s="54" t="n">
        <f aca="false">AVERAGE(H33,K33,N33)</f>
        <v>18569.7683333333</v>
      </c>
      <c r="Q33" s="55" t="n">
        <f aca="false">F33*100/P33-100</f>
        <v>-0.10645438854425</v>
      </c>
      <c r="R33" s="54" t="n">
        <f aca="false">D33*F33</f>
        <v>241150</v>
      </c>
      <c r="S33" s="59"/>
      <c r="U33" s="57" t="n">
        <f aca="false">ROUND(H33*100/P33-100,0)</f>
        <v>-1</v>
      </c>
      <c r="V33" s="57" t="n">
        <f aca="false">ROUND(K33*100/P33-100,0)</f>
        <v>-1</v>
      </c>
      <c r="W33" s="57" t="n">
        <f aca="false">ROUND(N33*100/P33-100,0)</f>
        <v>2</v>
      </c>
    </row>
    <row r="34" s="43" customFormat="true" ht="73.5" hidden="false" customHeight="true" outlineLevel="0" collapsed="false">
      <c r="A34" s="45" t="n">
        <v>23</v>
      </c>
      <c r="B34" s="46" t="s">
        <v>70</v>
      </c>
      <c r="C34" s="47" t="s">
        <v>25</v>
      </c>
      <c r="D34" s="48" t="n">
        <v>400</v>
      </c>
      <c r="E34" s="49" t="n">
        <v>30.48</v>
      </c>
      <c r="F34" s="60" t="n">
        <v>36.7</v>
      </c>
      <c r="G34" s="47" t="s">
        <v>39</v>
      </c>
      <c r="H34" s="52" t="n">
        <v>36.68</v>
      </c>
      <c r="I34" s="53" t="n">
        <f aca="false">D34*H34</f>
        <v>14672</v>
      </c>
      <c r="J34" s="47" t="s">
        <v>54</v>
      </c>
      <c r="K34" s="52" t="n">
        <v>34.28</v>
      </c>
      <c r="L34" s="53" t="n">
        <f aca="false">D34*K34</f>
        <v>13712</v>
      </c>
      <c r="M34" s="53" t="s">
        <v>41</v>
      </c>
      <c r="N34" s="52" t="n">
        <v>39.9</v>
      </c>
      <c r="O34" s="53" t="n">
        <f aca="false">D34*N34</f>
        <v>15960</v>
      </c>
      <c r="P34" s="54" t="n">
        <f aca="false">AVERAGE(H34,K34,N34)</f>
        <v>36.9533333333333</v>
      </c>
      <c r="Q34" s="55" t="n">
        <f aca="false">F34*100/P34-100</f>
        <v>-0.685549341511802</v>
      </c>
      <c r="R34" s="54" t="n">
        <f aca="false">D34*F34</f>
        <v>14680</v>
      </c>
      <c r="S34" s="61"/>
      <c r="U34" s="57" t="n">
        <f aca="false">ROUND(H34*100/P34-100,0)</f>
        <v>-1</v>
      </c>
      <c r="V34" s="57" t="n">
        <f aca="false">ROUND(K34*100/P34-100,0)</f>
        <v>-7</v>
      </c>
      <c r="W34" s="57" t="n">
        <f aca="false">ROUND(N34*100/P34-100,0)</f>
        <v>8</v>
      </c>
    </row>
    <row r="35" s="43" customFormat="true" ht="73.5" hidden="false" customHeight="true" outlineLevel="0" collapsed="false">
      <c r="A35" s="45" t="n">
        <v>24</v>
      </c>
      <c r="B35" s="46" t="s">
        <v>71</v>
      </c>
      <c r="C35" s="47" t="s">
        <v>25</v>
      </c>
      <c r="D35" s="48" t="n">
        <v>600</v>
      </c>
      <c r="E35" s="49" t="n">
        <v>42.74</v>
      </c>
      <c r="F35" s="60" t="n">
        <v>49.8</v>
      </c>
      <c r="G35" s="47" t="s">
        <v>39</v>
      </c>
      <c r="H35" s="52" t="n">
        <v>49.53</v>
      </c>
      <c r="I35" s="53" t="n">
        <f aca="false">D35*H35</f>
        <v>29718</v>
      </c>
      <c r="J35" s="47" t="s">
        <v>54</v>
      </c>
      <c r="K35" s="52" t="n">
        <v>54.48</v>
      </c>
      <c r="L35" s="53" t="n">
        <f aca="false">D35*K35</f>
        <v>32688</v>
      </c>
      <c r="M35" s="53" t="s">
        <v>41</v>
      </c>
      <c r="N35" s="52" t="n">
        <v>45.78</v>
      </c>
      <c r="O35" s="53" t="n">
        <f aca="false">D35*N35</f>
        <v>27468</v>
      </c>
      <c r="P35" s="54" t="n">
        <f aca="false">AVERAGE(H35,K35,N35)</f>
        <v>49.93</v>
      </c>
      <c r="Q35" s="55" t="n">
        <f aca="false">F35*100/P35-100</f>
        <v>-0.260364510314446</v>
      </c>
      <c r="R35" s="54" t="n">
        <f aca="false">D35*F35</f>
        <v>29880</v>
      </c>
      <c r="S35" s="56"/>
      <c r="U35" s="57" t="n">
        <f aca="false">ROUND(H35*100/P35-100,0)</f>
        <v>-1</v>
      </c>
      <c r="V35" s="57" t="n">
        <f aca="false">ROUND(K35*100/P35-100,0)</f>
        <v>9</v>
      </c>
      <c r="W35" s="57" t="n">
        <f aca="false">ROUND(N35*100/P35-100,0)</f>
        <v>-8</v>
      </c>
    </row>
    <row r="36" s="43" customFormat="true" ht="73.5" hidden="false" customHeight="true" outlineLevel="0" collapsed="false">
      <c r="A36" s="45" t="n">
        <v>25</v>
      </c>
      <c r="B36" s="46" t="s">
        <v>72</v>
      </c>
      <c r="C36" s="47" t="s">
        <v>25</v>
      </c>
      <c r="D36" s="48" t="n">
        <v>80</v>
      </c>
      <c r="E36" s="49" t="n">
        <v>95.03</v>
      </c>
      <c r="F36" s="60" t="n">
        <v>116.1</v>
      </c>
      <c r="G36" s="47" t="s">
        <v>39</v>
      </c>
      <c r="H36" s="52" t="n">
        <v>111.18</v>
      </c>
      <c r="I36" s="53" t="n">
        <f aca="false">D36*H36</f>
        <v>8894.4</v>
      </c>
      <c r="J36" s="47" t="s">
        <v>54</v>
      </c>
      <c r="K36" s="52" t="n">
        <v>115.97</v>
      </c>
      <c r="L36" s="53" t="n">
        <f aca="false">D36*K36</f>
        <v>9277.6</v>
      </c>
      <c r="M36" s="53" t="s">
        <v>41</v>
      </c>
      <c r="N36" s="52" t="n">
        <v>125.69</v>
      </c>
      <c r="O36" s="53" t="n">
        <f aca="false">D36*N36</f>
        <v>10055.2</v>
      </c>
      <c r="P36" s="54" t="n">
        <f aca="false">AVERAGE(H36,K36,N36)</f>
        <v>117.613333333333</v>
      </c>
      <c r="Q36" s="55" t="n">
        <f aca="false">F36*100/P36-100</f>
        <v>-1.28670218796056</v>
      </c>
      <c r="R36" s="54" t="n">
        <f aca="false">D36*F36</f>
        <v>9288</v>
      </c>
      <c r="S36" s="56"/>
      <c r="U36" s="57" t="n">
        <f aca="false">ROUND(H36*100/P36-100,0)</f>
        <v>-5</v>
      </c>
      <c r="V36" s="57" t="n">
        <f aca="false">ROUND(K36*100/P36-100,0)</f>
        <v>-1</v>
      </c>
      <c r="W36" s="57" t="n">
        <f aca="false">ROUND(N36*100/P36-100,0)</f>
        <v>7</v>
      </c>
    </row>
    <row r="37" s="43" customFormat="true" ht="73.5" hidden="false" customHeight="true" outlineLevel="0" collapsed="false">
      <c r="A37" s="45" t="n">
        <v>26</v>
      </c>
      <c r="B37" s="46" t="s">
        <v>73</v>
      </c>
      <c r="C37" s="47" t="s">
        <v>25</v>
      </c>
      <c r="D37" s="48" t="n">
        <v>40</v>
      </c>
      <c r="E37" s="49" t="n">
        <v>15.33</v>
      </c>
      <c r="F37" s="60" t="n">
        <v>19</v>
      </c>
      <c r="G37" s="47" t="s">
        <v>39</v>
      </c>
      <c r="H37" s="52" t="n">
        <v>18.24</v>
      </c>
      <c r="I37" s="53" t="n">
        <f aca="false">D37*H37</f>
        <v>729.6</v>
      </c>
      <c r="J37" s="47" t="s">
        <v>54</v>
      </c>
      <c r="K37" s="52" t="n">
        <v>17.48</v>
      </c>
      <c r="L37" s="53" t="n">
        <f aca="false">D37*K37</f>
        <v>699.2</v>
      </c>
      <c r="M37" s="53" t="s">
        <v>41</v>
      </c>
      <c r="N37" s="52" t="n">
        <v>21.47</v>
      </c>
      <c r="O37" s="53" t="n">
        <f aca="false">D37*N37</f>
        <v>858.8</v>
      </c>
      <c r="P37" s="54" t="n">
        <f aca="false">AVERAGE(H37,K37,N37)</f>
        <v>19.0633333333333</v>
      </c>
      <c r="Q37" s="55" t="n">
        <f aca="false">F37*100/P37-100</f>
        <v>-0.332225913621258</v>
      </c>
      <c r="R37" s="54" t="n">
        <f aca="false">D37*F37</f>
        <v>760</v>
      </c>
      <c r="S37" s="56"/>
      <c r="U37" s="57" t="n">
        <f aca="false">ROUND(H37*100/P37-100,0)</f>
        <v>-4</v>
      </c>
      <c r="V37" s="57" t="n">
        <f aca="false">ROUND(K37*100/P37-100,0)</f>
        <v>-8</v>
      </c>
      <c r="W37" s="57" t="n">
        <f aca="false">ROUND(N37*100/P37-100,0)</f>
        <v>13</v>
      </c>
    </row>
    <row r="38" s="43" customFormat="true" ht="73.5" hidden="false" customHeight="true" outlineLevel="0" collapsed="false">
      <c r="A38" s="45" t="n">
        <v>27</v>
      </c>
      <c r="B38" s="46" t="s">
        <v>74</v>
      </c>
      <c r="C38" s="47" t="s">
        <v>25</v>
      </c>
      <c r="D38" s="48" t="n">
        <v>20</v>
      </c>
      <c r="E38" s="49" t="n">
        <v>21.78</v>
      </c>
      <c r="F38" s="60" t="n">
        <v>27.3</v>
      </c>
      <c r="G38" s="47" t="s">
        <v>39</v>
      </c>
      <c r="H38" s="52" t="n">
        <v>26.95</v>
      </c>
      <c r="I38" s="53" t="n">
        <f aca="false">D38*H38</f>
        <v>539</v>
      </c>
      <c r="J38" s="47" t="s">
        <v>54</v>
      </c>
      <c r="K38" s="52" t="n">
        <v>24.38</v>
      </c>
      <c r="L38" s="53" t="n">
        <f aca="false">D38*K38</f>
        <v>487.6</v>
      </c>
      <c r="M38" s="53" t="s">
        <v>41</v>
      </c>
      <c r="N38" s="52" t="n">
        <v>31.4</v>
      </c>
      <c r="O38" s="53" t="n">
        <f aca="false">D38*N38</f>
        <v>628</v>
      </c>
      <c r="P38" s="54" t="n">
        <f aca="false">AVERAGE(H38,K38,N38)</f>
        <v>27.5766666666667</v>
      </c>
      <c r="Q38" s="55" t="n">
        <f aca="false">F38*100/P38-100</f>
        <v>-1.00326362867158</v>
      </c>
      <c r="R38" s="54" t="n">
        <f aca="false">D38*F38</f>
        <v>546</v>
      </c>
      <c r="S38" s="56"/>
      <c r="U38" s="57" t="n">
        <f aca="false">ROUND(H38*100/P38-100,0)</f>
        <v>-2</v>
      </c>
      <c r="V38" s="57" t="n">
        <f aca="false">ROUND(K38*100/P38-100,0)</f>
        <v>-12</v>
      </c>
      <c r="W38" s="57" t="n">
        <f aca="false">ROUND(N38*100/P38-100,0)</f>
        <v>14</v>
      </c>
    </row>
    <row r="39" s="43" customFormat="true" ht="73.5" hidden="false" customHeight="true" outlineLevel="0" collapsed="false">
      <c r="A39" s="45" t="n">
        <v>28</v>
      </c>
      <c r="B39" s="46" t="s">
        <v>75</v>
      </c>
      <c r="C39" s="47" t="s">
        <v>25</v>
      </c>
      <c r="D39" s="48" t="n">
        <v>240</v>
      </c>
      <c r="E39" s="49" t="n">
        <v>26.03</v>
      </c>
      <c r="F39" s="60" t="n">
        <v>34.3</v>
      </c>
      <c r="G39" s="47" t="s">
        <v>39</v>
      </c>
      <c r="H39" s="52" t="n">
        <v>33.17</v>
      </c>
      <c r="I39" s="53" t="n">
        <f aca="false">D39*H39</f>
        <v>7960.8</v>
      </c>
      <c r="J39" s="47" t="s">
        <v>54</v>
      </c>
      <c r="K39" s="52" t="n">
        <v>32.17</v>
      </c>
      <c r="L39" s="53" t="n">
        <f aca="false">D39*K39</f>
        <v>7720.8</v>
      </c>
      <c r="M39" s="53" t="s">
        <v>41</v>
      </c>
      <c r="N39" s="52" t="n">
        <v>38.74</v>
      </c>
      <c r="O39" s="53" t="n">
        <f aca="false">D39*N39</f>
        <v>9297.6</v>
      </c>
      <c r="P39" s="54" t="n">
        <f aca="false">AVERAGE(H39,K39,N39)</f>
        <v>34.6933333333333</v>
      </c>
      <c r="Q39" s="55" t="n">
        <f aca="false">F39*100/P39-100</f>
        <v>-1.13374327440432</v>
      </c>
      <c r="R39" s="54" t="n">
        <f aca="false">D39*F39</f>
        <v>8232</v>
      </c>
      <c r="S39" s="56"/>
      <c r="U39" s="57" t="n">
        <f aca="false">ROUND(H39*100/P39-100,0)</f>
        <v>-4</v>
      </c>
      <c r="V39" s="57" t="n">
        <f aca="false">ROUND(K39*100/P39-100,0)</f>
        <v>-7</v>
      </c>
      <c r="W39" s="57" t="n">
        <f aca="false">ROUND(N39*100/P39-100,0)</f>
        <v>12</v>
      </c>
    </row>
    <row r="40" s="43" customFormat="true" ht="73.5" hidden="false" customHeight="true" outlineLevel="0" collapsed="false">
      <c r="A40" s="45" t="n">
        <v>29</v>
      </c>
      <c r="B40" s="46" t="s">
        <v>76</v>
      </c>
      <c r="C40" s="47" t="s">
        <v>25</v>
      </c>
      <c r="D40" s="48" t="n">
        <v>264</v>
      </c>
      <c r="E40" s="49" t="n">
        <v>41.52</v>
      </c>
      <c r="F40" s="60" t="n">
        <v>52</v>
      </c>
      <c r="G40" s="47" t="s">
        <v>39</v>
      </c>
      <c r="H40" s="52" t="n">
        <v>49.76</v>
      </c>
      <c r="I40" s="53" t="n">
        <f aca="false">D40*H40</f>
        <v>13136.64</v>
      </c>
      <c r="J40" s="47" t="s">
        <v>54</v>
      </c>
      <c r="K40" s="52" t="n">
        <v>51.47</v>
      </c>
      <c r="L40" s="53" t="n">
        <f aca="false">D40*K40</f>
        <v>13588.08</v>
      </c>
      <c r="M40" s="53" t="s">
        <v>41</v>
      </c>
      <c r="N40" s="52" t="n">
        <v>55.16</v>
      </c>
      <c r="O40" s="53" t="n">
        <f aca="false">D40*N40</f>
        <v>14562.24</v>
      </c>
      <c r="P40" s="54" t="n">
        <f aca="false">AVERAGE(H40,K40,N40)</f>
        <v>52.13</v>
      </c>
      <c r="Q40" s="55" t="n">
        <f aca="false">F40*100/P40-100</f>
        <v>-0.249376558603487</v>
      </c>
      <c r="R40" s="54" t="n">
        <f aca="false">D40*F40</f>
        <v>13728</v>
      </c>
      <c r="S40" s="56"/>
      <c r="U40" s="57" t="n">
        <f aca="false">ROUND(H40*100/P40-100,0)</f>
        <v>-5</v>
      </c>
      <c r="V40" s="57" t="n">
        <f aca="false">ROUND(K40*100/P40-100,0)</f>
        <v>-1</v>
      </c>
      <c r="W40" s="57" t="n">
        <f aca="false">ROUND(N40*100/P40-100,0)</f>
        <v>6</v>
      </c>
    </row>
    <row r="41" s="43" customFormat="true" ht="73.5" hidden="false" customHeight="true" outlineLevel="0" collapsed="false">
      <c r="A41" s="45" t="n">
        <v>30</v>
      </c>
      <c r="B41" s="46" t="s">
        <v>77</v>
      </c>
      <c r="C41" s="47" t="s">
        <v>25</v>
      </c>
      <c r="D41" s="48" t="n">
        <v>1200</v>
      </c>
      <c r="E41" s="49" t="n">
        <v>80.27</v>
      </c>
      <c r="F41" s="60" t="n">
        <v>98.2</v>
      </c>
      <c r="G41" s="47" t="s">
        <v>39</v>
      </c>
      <c r="H41" s="52" t="n">
        <v>97.92</v>
      </c>
      <c r="I41" s="53" t="n">
        <f aca="false">D41*H41</f>
        <v>117504</v>
      </c>
      <c r="J41" s="47" t="s">
        <v>54</v>
      </c>
      <c r="K41" s="52" t="n">
        <v>92.97</v>
      </c>
      <c r="L41" s="53" t="n">
        <f aca="false">D41*K41</f>
        <v>111564</v>
      </c>
      <c r="M41" s="53" t="s">
        <v>41</v>
      </c>
      <c r="N41" s="52" t="n">
        <v>105.36</v>
      </c>
      <c r="O41" s="53" t="n">
        <f aca="false">D41*N41</f>
        <v>126432</v>
      </c>
      <c r="P41" s="54" t="n">
        <f aca="false">AVERAGE(H41,K41,N41)</f>
        <v>98.75</v>
      </c>
      <c r="Q41" s="55" t="n">
        <f aca="false">F41*100/P41-100</f>
        <v>-0.556962025316452</v>
      </c>
      <c r="R41" s="54" t="n">
        <f aca="false">D41*F41</f>
        <v>117840</v>
      </c>
      <c r="S41" s="56"/>
      <c r="U41" s="57" t="n">
        <f aca="false">ROUND(H41*100/P41-100,0)</f>
        <v>-1</v>
      </c>
      <c r="V41" s="57" t="n">
        <f aca="false">ROUND(K41*100/P41-100,0)</f>
        <v>-6</v>
      </c>
      <c r="W41" s="57" t="n">
        <f aca="false">ROUND(N41*100/P41-100,0)</f>
        <v>7</v>
      </c>
    </row>
    <row r="42" s="43" customFormat="true" ht="73.5" hidden="false" customHeight="true" outlineLevel="0" collapsed="false">
      <c r="A42" s="45" t="n">
        <v>31</v>
      </c>
      <c r="B42" s="46" t="s">
        <v>78</v>
      </c>
      <c r="C42" s="47" t="s">
        <v>25</v>
      </c>
      <c r="D42" s="48" t="n">
        <v>40</v>
      </c>
      <c r="E42" s="49" t="n">
        <v>3.91</v>
      </c>
      <c r="F42" s="60" t="n">
        <v>5.4</v>
      </c>
      <c r="G42" s="47" t="s">
        <v>39</v>
      </c>
      <c r="H42" s="52" t="n">
        <v>5.38</v>
      </c>
      <c r="I42" s="53" t="n">
        <f aca="false">D42*H42</f>
        <v>215.2</v>
      </c>
      <c r="J42" s="47" t="s">
        <v>54</v>
      </c>
      <c r="K42" s="52" t="n">
        <v>5.45</v>
      </c>
      <c r="L42" s="53" t="n">
        <f aca="false">D42*K42</f>
        <v>218</v>
      </c>
      <c r="M42" s="53" t="s">
        <v>41</v>
      </c>
      <c r="N42" s="52" t="n">
        <v>5.5</v>
      </c>
      <c r="O42" s="53" t="n">
        <f aca="false">D42*N42</f>
        <v>220</v>
      </c>
      <c r="P42" s="54" t="n">
        <f aca="false">AVERAGE(H42,K42,N42)</f>
        <v>5.44333333333333</v>
      </c>
      <c r="Q42" s="55" t="n">
        <f aca="false">F42*100/P42-100</f>
        <v>-0.796080832823009</v>
      </c>
      <c r="R42" s="54" t="n">
        <f aca="false">D42*F42</f>
        <v>216</v>
      </c>
      <c r="S42" s="56"/>
      <c r="U42" s="57" t="n">
        <f aca="false">ROUND(H42*100/P42-100,0)</f>
        <v>-1</v>
      </c>
      <c r="V42" s="57" t="n">
        <f aca="false">ROUND(K42*100/P42-100,0)</f>
        <v>0</v>
      </c>
      <c r="W42" s="57" t="n">
        <f aca="false">ROUND(N42*100/P42-100,0)</f>
        <v>1</v>
      </c>
    </row>
    <row r="43" s="43" customFormat="true" ht="73.5" hidden="false" customHeight="true" outlineLevel="0" collapsed="false">
      <c r="A43" s="45" t="n">
        <v>32</v>
      </c>
      <c r="B43" s="46" t="s">
        <v>79</v>
      </c>
      <c r="C43" s="47" t="s">
        <v>25</v>
      </c>
      <c r="D43" s="48" t="n">
        <v>30</v>
      </c>
      <c r="E43" s="49" t="n">
        <v>8.95</v>
      </c>
      <c r="F43" s="60" t="n">
        <v>11.82</v>
      </c>
      <c r="G43" s="47" t="s">
        <v>39</v>
      </c>
      <c r="H43" s="52" t="n">
        <v>11.56</v>
      </c>
      <c r="I43" s="53" t="n">
        <f aca="false">D43*H43</f>
        <v>346.8</v>
      </c>
      <c r="J43" s="47" t="s">
        <v>54</v>
      </c>
      <c r="K43" s="52" t="n">
        <v>11.47</v>
      </c>
      <c r="L43" s="53" t="n">
        <f aca="false">D43*K43</f>
        <v>344.1</v>
      </c>
      <c r="M43" s="53" t="s">
        <v>41</v>
      </c>
      <c r="N43" s="52" t="n">
        <v>12.68</v>
      </c>
      <c r="O43" s="53" t="n">
        <f aca="false">D43*N43</f>
        <v>380.4</v>
      </c>
      <c r="P43" s="54" t="n">
        <f aca="false">AVERAGE(H43,K43,N43)</f>
        <v>11.9033333333333</v>
      </c>
      <c r="Q43" s="55" t="n">
        <f aca="false">F43*100/P43-100</f>
        <v>-0.700084010081213</v>
      </c>
      <c r="R43" s="54" t="n">
        <f aca="false">D43*F43</f>
        <v>354.6</v>
      </c>
      <c r="S43" s="56"/>
      <c r="U43" s="57" t="n">
        <f aca="false">ROUND(H43*100/P43-100,0)</f>
        <v>-3</v>
      </c>
      <c r="V43" s="57" t="n">
        <f aca="false">ROUND(K43*100/P43-100,0)</f>
        <v>-4</v>
      </c>
      <c r="W43" s="57" t="n">
        <f aca="false">ROUND(N43*100/P43-100,0)</f>
        <v>7</v>
      </c>
    </row>
    <row r="44" s="43" customFormat="true" ht="73.5" hidden="false" customHeight="true" outlineLevel="0" collapsed="false">
      <c r="A44" s="45" t="n">
        <v>33</v>
      </c>
      <c r="B44" s="46" t="s">
        <v>80</v>
      </c>
      <c r="C44" s="47" t="s">
        <v>81</v>
      </c>
      <c r="D44" s="48" t="n">
        <v>560</v>
      </c>
      <c r="E44" s="49" t="n">
        <v>139.66</v>
      </c>
      <c r="F44" s="60" t="n">
        <v>169.2</v>
      </c>
      <c r="G44" s="47" t="s">
        <v>82</v>
      </c>
      <c r="H44" s="52" t="n">
        <v>166.13</v>
      </c>
      <c r="I44" s="53" t="n">
        <f aca="false">D44*H44</f>
        <v>93032.8</v>
      </c>
      <c r="J44" s="47" t="s">
        <v>46</v>
      </c>
      <c r="K44" s="52" t="n">
        <v>182.47</v>
      </c>
      <c r="L44" s="53" t="n">
        <f aca="false">D44*K44</f>
        <v>102183.2</v>
      </c>
      <c r="M44" s="47" t="s">
        <v>58</v>
      </c>
      <c r="N44" s="52" t="n">
        <v>163.57</v>
      </c>
      <c r="O44" s="53" t="n">
        <f aca="false">D44*N44</f>
        <v>91599.2</v>
      </c>
      <c r="P44" s="54" t="n">
        <f aca="false">AVERAGE(H44,K44,N44)</f>
        <v>170.723333333333</v>
      </c>
      <c r="Q44" s="55" t="n">
        <f aca="false">F44*100/P44-100</f>
        <v>-0.892281859538826</v>
      </c>
      <c r="R44" s="54" t="n">
        <f aca="false">D44*F44</f>
        <v>94752</v>
      </c>
      <c r="S44" s="56"/>
      <c r="U44" s="57" t="n">
        <f aca="false">ROUND(H44*100/P44-100,0)</f>
        <v>-3</v>
      </c>
      <c r="V44" s="57" t="n">
        <f aca="false">ROUND(K44*100/P44-100,0)</f>
        <v>7</v>
      </c>
      <c r="W44" s="57" t="n">
        <f aca="false">ROUND(N44*100/P44-100,0)</f>
        <v>-4</v>
      </c>
    </row>
    <row r="45" s="43" customFormat="true" ht="73.5" hidden="false" customHeight="true" outlineLevel="0" collapsed="false">
      <c r="A45" s="45" t="n">
        <v>34</v>
      </c>
      <c r="B45" s="46" t="s">
        <v>83</v>
      </c>
      <c r="C45" s="47" t="s">
        <v>25</v>
      </c>
      <c r="D45" s="48" t="n">
        <v>12</v>
      </c>
      <c r="E45" s="49" t="s">
        <v>26</v>
      </c>
      <c r="F45" s="60" t="n">
        <v>3339.3</v>
      </c>
      <c r="G45" s="47" t="s">
        <v>84</v>
      </c>
      <c r="H45" s="52" t="n">
        <f aca="false">3600/1.2</f>
        <v>3000</v>
      </c>
      <c r="I45" s="53" t="n">
        <f aca="false">D45*H45</f>
        <v>36000</v>
      </c>
      <c r="J45" s="53" t="s">
        <v>28</v>
      </c>
      <c r="K45" s="52" t="n">
        <f aca="false">4320/1.2</f>
        <v>3600</v>
      </c>
      <c r="L45" s="53" t="n">
        <f aca="false">D45*K45</f>
        <v>43200</v>
      </c>
      <c r="M45" s="47" t="s">
        <v>29</v>
      </c>
      <c r="N45" s="52" t="n">
        <v>3480</v>
      </c>
      <c r="O45" s="53" t="n">
        <f aca="false">D45*N45</f>
        <v>41760</v>
      </c>
      <c r="P45" s="54" t="n">
        <f aca="false">AVERAGE(H45,K45,N45)</f>
        <v>3360</v>
      </c>
      <c r="Q45" s="55" t="n">
        <f aca="false">F45*100/P45-100</f>
        <v>-0.616071428571431</v>
      </c>
      <c r="R45" s="54" t="n">
        <f aca="false">D45*F45</f>
        <v>40071.6</v>
      </c>
      <c r="S45" s="56"/>
      <c r="U45" s="57" t="n">
        <f aca="false">ROUND(H45*100/P45-100,0)</f>
        <v>-11</v>
      </c>
      <c r="V45" s="57" t="n">
        <f aca="false">ROUND(K45*100/P45-100,0)</f>
        <v>7</v>
      </c>
      <c r="W45" s="57" t="n">
        <f aca="false">ROUND(N45*100/P45-100,0)</f>
        <v>4</v>
      </c>
    </row>
    <row r="46" s="43" customFormat="true" ht="73.5" hidden="false" customHeight="true" outlineLevel="0" collapsed="false">
      <c r="A46" s="45" t="n">
        <v>35</v>
      </c>
      <c r="B46" s="46" t="s">
        <v>85</v>
      </c>
      <c r="C46" s="47" t="s">
        <v>25</v>
      </c>
      <c r="D46" s="48" t="n">
        <v>5</v>
      </c>
      <c r="E46" s="49" t="n">
        <v>3404.18</v>
      </c>
      <c r="F46" s="60" t="n">
        <v>3550.4</v>
      </c>
      <c r="G46" s="47" t="s">
        <v>27</v>
      </c>
      <c r="H46" s="52" t="n">
        <f aca="false">4107.16/1.2</f>
        <v>3422.63333333333</v>
      </c>
      <c r="I46" s="53" t="n">
        <f aca="false">D46*H46</f>
        <v>17113.1666666667</v>
      </c>
      <c r="J46" s="53" t="s">
        <v>28</v>
      </c>
      <c r="K46" s="52" t="n">
        <v>3502.11</v>
      </c>
      <c r="L46" s="53" t="n">
        <f aca="false">D46*K46</f>
        <v>17510.55</v>
      </c>
      <c r="M46" s="47" t="s">
        <v>29</v>
      </c>
      <c r="N46" s="52" t="n">
        <v>3779.24</v>
      </c>
      <c r="O46" s="53" t="n">
        <f aca="false">D46*N46</f>
        <v>18896.2</v>
      </c>
      <c r="P46" s="54" t="n">
        <f aca="false">AVERAGE(H46,K46,N46)</f>
        <v>3567.99444444444</v>
      </c>
      <c r="Q46" s="55" t="n">
        <f aca="false">F46*100/P46-100</f>
        <v>-0.493118605378996</v>
      </c>
      <c r="R46" s="54" t="n">
        <f aca="false">D46*F46</f>
        <v>17752</v>
      </c>
      <c r="S46" s="56"/>
      <c r="U46" s="57" t="n">
        <f aca="false">ROUND(H46*100/P46-100,0)</f>
        <v>-4</v>
      </c>
      <c r="V46" s="57" t="n">
        <f aca="false">ROUND(K46*100/P46-100,0)</f>
        <v>-2</v>
      </c>
      <c r="W46" s="57" t="n">
        <f aca="false">ROUND(N46*100/P46-100,0)</f>
        <v>6</v>
      </c>
    </row>
    <row r="47" s="43" customFormat="true" ht="73.5" hidden="false" customHeight="true" outlineLevel="0" collapsed="false">
      <c r="A47" s="45" t="n">
        <v>36</v>
      </c>
      <c r="B47" s="46" t="s">
        <v>86</v>
      </c>
      <c r="C47" s="47" t="s">
        <v>25</v>
      </c>
      <c r="D47" s="48" t="n">
        <v>13</v>
      </c>
      <c r="E47" s="49" t="n">
        <v>9824.1</v>
      </c>
      <c r="F47" s="60" t="n">
        <v>11152.87</v>
      </c>
      <c r="G47" s="47" t="s">
        <v>66</v>
      </c>
      <c r="H47" s="52" t="n">
        <f aca="false">12597.13/1.2</f>
        <v>10497.6083333333</v>
      </c>
      <c r="I47" s="53" t="n">
        <f aca="false">D47*H47</f>
        <v>136468.908333333</v>
      </c>
      <c r="J47" s="52" t="s">
        <v>67</v>
      </c>
      <c r="K47" s="52" t="n">
        <f aca="false">13529.76/1.2</f>
        <v>11274.8</v>
      </c>
      <c r="L47" s="53" t="n">
        <f aca="false">D47*K47</f>
        <v>146572.4</v>
      </c>
      <c r="M47" s="53" t="s">
        <v>68</v>
      </c>
      <c r="N47" s="52" t="n">
        <v>11847.32</v>
      </c>
      <c r="O47" s="53" t="n">
        <f aca="false">D47*N47</f>
        <v>154015.16</v>
      </c>
      <c r="P47" s="54" t="n">
        <f aca="false">AVERAGE(H47,K47,N47)</f>
        <v>11206.5761111111</v>
      </c>
      <c r="Q47" s="55" t="n">
        <f aca="false">F47*100/P47-100</f>
        <v>-0.479237463598381</v>
      </c>
      <c r="R47" s="54" t="n">
        <f aca="false">D47*F47</f>
        <v>144987.31</v>
      </c>
      <c r="S47" s="56"/>
      <c r="U47" s="57" t="n">
        <f aca="false">ROUND(H47*100/P47-100,0)</f>
        <v>-6</v>
      </c>
      <c r="V47" s="57" t="n">
        <f aca="false">ROUND(K47*100/P47-100,0)</f>
        <v>1</v>
      </c>
      <c r="W47" s="57" t="n">
        <f aca="false">ROUND(N47*100/P47-100,0)</f>
        <v>6</v>
      </c>
    </row>
    <row r="48" s="43" customFormat="true" ht="73.5" hidden="false" customHeight="true" outlineLevel="0" collapsed="false">
      <c r="A48" s="45" t="n">
        <v>37</v>
      </c>
      <c r="B48" s="46" t="s">
        <v>87</v>
      </c>
      <c r="C48" s="47" t="s">
        <v>25</v>
      </c>
      <c r="D48" s="48" t="n">
        <v>14</v>
      </c>
      <c r="E48" s="49" t="n">
        <v>91.41</v>
      </c>
      <c r="F48" s="60" t="n">
        <v>95</v>
      </c>
      <c r="G48" s="47" t="s">
        <v>27</v>
      </c>
      <c r="H48" s="52" t="n">
        <f aca="false">108.22/1.2</f>
        <v>90.1833333333333</v>
      </c>
      <c r="I48" s="53" t="n">
        <f aca="false">D48*H48</f>
        <v>1262.56666666667</v>
      </c>
      <c r="J48" s="53" t="s">
        <v>28</v>
      </c>
      <c r="K48" s="52" t="n">
        <v>92.03</v>
      </c>
      <c r="L48" s="53" t="n">
        <f aca="false">D48*K48</f>
        <v>1288.42</v>
      </c>
      <c r="M48" s="47" t="s">
        <v>29</v>
      </c>
      <c r="N48" s="52" t="n">
        <v>103.61</v>
      </c>
      <c r="O48" s="53" t="n">
        <f aca="false">D48*N48</f>
        <v>1450.54</v>
      </c>
      <c r="P48" s="54" t="n">
        <f aca="false">AVERAGE(H48,K48,N48)</f>
        <v>95.2744444444444</v>
      </c>
      <c r="Q48" s="55" t="n">
        <f aca="false">F48*100/P48-100</f>
        <v>-0.288056725016617</v>
      </c>
      <c r="R48" s="54" t="n">
        <f aca="false">D48*F48</f>
        <v>1330</v>
      </c>
      <c r="S48" s="56"/>
      <c r="U48" s="57" t="n">
        <f aca="false">ROUND(H48*100/P48-100,0)</f>
        <v>-5</v>
      </c>
      <c r="V48" s="57" t="n">
        <f aca="false">ROUND(K48*100/P48-100,0)</f>
        <v>-3</v>
      </c>
      <c r="W48" s="57" t="n">
        <f aca="false">ROUND(N48*100/P48-100,0)</f>
        <v>9</v>
      </c>
    </row>
    <row r="49" s="43" customFormat="true" ht="73.5" hidden="false" customHeight="true" outlineLevel="0" collapsed="false">
      <c r="A49" s="45" t="n">
        <v>38</v>
      </c>
      <c r="B49" s="46" t="s">
        <v>88</v>
      </c>
      <c r="C49" s="47" t="s">
        <v>25</v>
      </c>
      <c r="D49" s="48" t="n">
        <v>28</v>
      </c>
      <c r="E49" s="49" t="s">
        <v>26</v>
      </c>
      <c r="F49" s="60" t="n">
        <v>73.01</v>
      </c>
      <c r="G49" s="47" t="s">
        <v>39</v>
      </c>
      <c r="H49" s="52" t="n">
        <v>67.09</v>
      </c>
      <c r="I49" s="53" t="n">
        <f aca="false">D49*H49</f>
        <v>1878.52</v>
      </c>
      <c r="J49" s="53" t="s">
        <v>68</v>
      </c>
      <c r="K49" s="52" t="n">
        <v>83</v>
      </c>
      <c r="L49" s="53" t="n">
        <f aca="false">D49*K49</f>
        <v>2324</v>
      </c>
      <c r="M49" s="53" t="s">
        <v>41</v>
      </c>
      <c r="N49" s="52" t="n">
        <v>72.34</v>
      </c>
      <c r="O49" s="53" t="n">
        <f aca="false">D49*N49</f>
        <v>2025.52</v>
      </c>
      <c r="P49" s="54" t="n">
        <f aca="false">AVERAGE(H49,K49,N49)</f>
        <v>74.1433333333333</v>
      </c>
      <c r="Q49" s="55" t="n">
        <f aca="false">F49*100/P49-100</f>
        <v>-1.52857078631477</v>
      </c>
      <c r="R49" s="54" t="n">
        <f aca="false">D49*F49</f>
        <v>2044.28</v>
      </c>
      <c r="S49" s="56"/>
      <c r="U49" s="57" t="n">
        <f aca="false">ROUND(H49*100/P49-100,0)</f>
        <v>-10</v>
      </c>
      <c r="V49" s="57" t="n">
        <f aca="false">ROUND(K49*100/P49-100,0)</f>
        <v>12</v>
      </c>
      <c r="W49" s="57" t="n">
        <f aca="false">ROUND(N49*100/P49-100,0)</f>
        <v>-2</v>
      </c>
    </row>
    <row r="50" s="43" customFormat="true" ht="73.5" hidden="false" customHeight="true" outlineLevel="0" collapsed="false">
      <c r="A50" s="45" t="n">
        <v>39</v>
      </c>
      <c r="B50" s="46" t="s">
        <v>89</v>
      </c>
      <c r="C50" s="47" t="s">
        <v>81</v>
      </c>
      <c r="D50" s="48" t="n">
        <v>72</v>
      </c>
      <c r="E50" s="49" t="n">
        <v>2954.02</v>
      </c>
      <c r="F50" s="60" t="n">
        <v>3120.3</v>
      </c>
      <c r="G50" s="51" t="s">
        <v>90</v>
      </c>
      <c r="H50" s="52" t="n">
        <f aca="false">3609.86/1.2</f>
        <v>3008.21666666667</v>
      </c>
      <c r="I50" s="53" t="n">
        <f aca="false">D50*H50</f>
        <v>216591.6</v>
      </c>
      <c r="J50" s="47" t="s">
        <v>46</v>
      </c>
      <c r="K50" s="52" t="n">
        <v>3152.91</v>
      </c>
      <c r="L50" s="53" t="n">
        <f aca="false">D50*K50</f>
        <v>227009.52</v>
      </c>
      <c r="M50" s="47" t="s">
        <v>58</v>
      </c>
      <c r="N50" s="52" t="n">
        <v>3256.66</v>
      </c>
      <c r="O50" s="53" t="n">
        <f aca="false">D50*N50</f>
        <v>234479.52</v>
      </c>
      <c r="P50" s="54" t="n">
        <f aca="false">AVERAGE(H50,K50,N50)</f>
        <v>3139.26222222222</v>
      </c>
      <c r="Q50" s="55" t="n">
        <f aca="false">F50*100/P50-100</f>
        <v>-0.604034352020435</v>
      </c>
      <c r="R50" s="54" t="n">
        <f aca="false">D50*F50</f>
        <v>224661.6</v>
      </c>
      <c r="S50" s="56"/>
      <c r="U50" s="57" t="n">
        <f aca="false">ROUND(H50*100/P50-100,0)</f>
        <v>-4</v>
      </c>
      <c r="V50" s="57" t="n">
        <f aca="false">ROUND(K50*100/P50-100,0)</f>
        <v>0</v>
      </c>
      <c r="W50" s="57" t="n">
        <f aca="false">ROUND(N50*100/P50-100,0)</f>
        <v>4</v>
      </c>
    </row>
    <row r="51" s="43" customFormat="true" ht="73.5" hidden="false" customHeight="true" outlineLevel="0" collapsed="false">
      <c r="A51" s="45" t="n">
        <v>40</v>
      </c>
      <c r="B51" s="46" t="s">
        <v>91</v>
      </c>
      <c r="C51" s="47" t="s">
        <v>25</v>
      </c>
      <c r="D51" s="48" t="n">
        <v>2</v>
      </c>
      <c r="E51" s="49" t="s">
        <v>26</v>
      </c>
      <c r="F51" s="60" t="n">
        <v>198500</v>
      </c>
      <c r="G51" s="47" t="s">
        <v>27</v>
      </c>
      <c r="H51" s="52" t="n">
        <f aca="false">234758.4/1.2</f>
        <v>195632</v>
      </c>
      <c r="I51" s="53" t="n">
        <f aca="false">D51*H51</f>
        <v>391264</v>
      </c>
      <c r="J51" s="53" t="s">
        <v>28</v>
      </c>
      <c r="K51" s="52" t="n">
        <v>199452.67</v>
      </c>
      <c r="L51" s="53" t="n">
        <f aca="false">D51*K51</f>
        <v>398905.34</v>
      </c>
      <c r="M51" s="47" t="s">
        <v>29</v>
      </c>
      <c r="N51" s="52" t="n">
        <v>201347.8</v>
      </c>
      <c r="O51" s="53" t="n">
        <f aca="false">D51*N51</f>
        <v>402695.6</v>
      </c>
      <c r="P51" s="54" t="n">
        <f aca="false">AVERAGE(H51,K51,N51)</f>
        <v>198810.823333333</v>
      </c>
      <c r="Q51" s="55" t="n">
        <f aca="false">F51*100/P51-100</f>
        <v>-0.156341253520282</v>
      </c>
      <c r="R51" s="54" t="n">
        <f aca="false">D51*F51</f>
        <v>397000</v>
      </c>
      <c r="S51" s="56"/>
      <c r="U51" s="57" t="n">
        <f aca="false">ROUND(H51*100/P51-100,0)</f>
        <v>-2</v>
      </c>
      <c r="V51" s="57" t="n">
        <f aca="false">ROUND(K51*100/P51-100,0)</f>
        <v>0</v>
      </c>
      <c r="W51" s="57" t="n">
        <f aca="false">ROUND(N51*100/P51-100,0)</f>
        <v>1</v>
      </c>
    </row>
    <row r="52" s="43" customFormat="true" ht="73.5" hidden="false" customHeight="true" outlineLevel="0" collapsed="false">
      <c r="A52" s="45" t="n">
        <v>41</v>
      </c>
      <c r="B52" s="46" t="s">
        <v>92</v>
      </c>
      <c r="C52" s="47" t="s">
        <v>25</v>
      </c>
      <c r="D52" s="48" t="n">
        <v>2</v>
      </c>
      <c r="E52" s="49" t="s">
        <v>26</v>
      </c>
      <c r="F52" s="60" t="n">
        <v>5754.2</v>
      </c>
      <c r="G52" s="47" t="s">
        <v>27</v>
      </c>
      <c r="H52" s="52" t="n">
        <f aca="false">6701.48/1.2</f>
        <v>5584.56666666667</v>
      </c>
      <c r="I52" s="53" t="n">
        <f aca="false">D52*H52</f>
        <v>11169.1333333333</v>
      </c>
      <c r="J52" s="53" t="s">
        <v>28</v>
      </c>
      <c r="K52" s="52" t="n">
        <v>5784.3</v>
      </c>
      <c r="L52" s="53" t="n">
        <f aca="false">D52*K52</f>
        <v>11568.6</v>
      </c>
      <c r="M52" s="47" t="s">
        <v>29</v>
      </c>
      <c r="N52" s="52" t="n">
        <v>5944.87</v>
      </c>
      <c r="O52" s="53" t="n">
        <f aca="false">D52*N52</f>
        <v>11889.74</v>
      </c>
      <c r="P52" s="54" t="n">
        <f aca="false">AVERAGE(H52,K52,N52)</f>
        <v>5771.24555555556</v>
      </c>
      <c r="Q52" s="55" t="n">
        <f aca="false">F52*100/P52-100</f>
        <v>-0.29535315022504</v>
      </c>
      <c r="R52" s="54" t="n">
        <f aca="false">D52*F52</f>
        <v>11508.4</v>
      </c>
      <c r="S52" s="56"/>
      <c r="U52" s="57" t="n">
        <f aca="false">ROUND(H52*100/P52-100,0)</f>
        <v>-3</v>
      </c>
      <c r="V52" s="57" t="n">
        <f aca="false">ROUND(K52*100/P52-100,0)</f>
        <v>0</v>
      </c>
      <c r="W52" s="57" t="n">
        <f aca="false">ROUND(N52*100/P52-100,0)</f>
        <v>3</v>
      </c>
    </row>
    <row r="53" s="43" customFormat="true" ht="73.5" hidden="false" customHeight="true" outlineLevel="0" collapsed="false">
      <c r="A53" s="45" t="n">
        <v>42</v>
      </c>
      <c r="B53" s="46" t="s">
        <v>93</v>
      </c>
      <c r="C53" s="47" t="s">
        <v>25</v>
      </c>
      <c r="D53" s="48" t="n">
        <v>10</v>
      </c>
      <c r="E53" s="49" t="s">
        <v>26</v>
      </c>
      <c r="F53" s="60" t="n">
        <v>523.3</v>
      </c>
      <c r="G53" s="47" t="s">
        <v>27</v>
      </c>
      <c r="H53" s="52" t="n">
        <f aca="false">597.91/1.2</f>
        <v>498.258333333333</v>
      </c>
      <c r="I53" s="53" t="n">
        <f aca="false">D53*H53</f>
        <v>4982.58333333333</v>
      </c>
      <c r="J53" s="53" t="s">
        <v>28</v>
      </c>
      <c r="K53" s="52" t="n">
        <v>521.2</v>
      </c>
      <c r="L53" s="53" t="n">
        <f aca="false">D53*K53</f>
        <v>5212</v>
      </c>
      <c r="M53" s="47" t="s">
        <v>29</v>
      </c>
      <c r="N53" s="52" t="n">
        <v>554.34</v>
      </c>
      <c r="O53" s="53" t="n">
        <f aca="false">D53*N53</f>
        <v>5543.4</v>
      </c>
      <c r="P53" s="54" t="n">
        <f aca="false">AVERAGE(H53,K53,N53)</f>
        <v>524.599444444444</v>
      </c>
      <c r="Q53" s="55" t="n">
        <f aca="false">F53*100/P53-100</f>
        <v>-0.247702215129223</v>
      </c>
      <c r="R53" s="54" t="n">
        <f aca="false">D53*F53</f>
        <v>5233</v>
      </c>
      <c r="S53" s="56"/>
      <c r="U53" s="57" t="n">
        <f aca="false">ROUND(H53*100/P53-100,0)</f>
        <v>-5</v>
      </c>
      <c r="V53" s="57" t="n">
        <f aca="false">ROUND(K53*100/P53-100,0)</f>
        <v>-1</v>
      </c>
      <c r="W53" s="57" t="n">
        <f aca="false">ROUND(N53*100/P53-100,0)</f>
        <v>6</v>
      </c>
    </row>
    <row r="54" s="43" customFormat="true" ht="73.5" hidden="false" customHeight="true" outlineLevel="0" collapsed="false">
      <c r="A54" s="45" t="n">
        <v>43</v>
      </c>
      <c r="B54" s="46" t="s">
        <v>94</v>
      </c>
      <c r="C54" s="47" t="s">
        <v>25</v>
      </c>
      <c r="D54" s="48" t="s">
        <v>95</v>
      </c>
      <c r="E54" s="49" t="n">
        <v>326.49</v>
      </c>
      <c r="F54" s="60" t="n">
        <v>517.11</v>
      </c>
      <c r="G54" s="47" t="s">
        <v>27</v>
      </c>
      <c r="H54" s="52" t="n">
        <f aca="false">583.14/1.2</f>
        <v>485.95</v>
      </c>
      <c r="I54" s="53" t="n">
        <f aca="false">D54*H54</f>
        <v>23325.6</v>
      </c>
      <c r="J54" s="53" t="s">
        <v>28</v>
      </c>
      <c r="K54" s="52" t="n">
        <v>519.3</v>
      </c>
      <c r="L54" s="53" t="n">
        <f aca="false">D54*K54</f>
        <v>24926.4</v>
      </c>
      <c r="M54" s="47" t="s">
        <v>29</v>
      </c>
      <c r="N54" s="52" t="n">
        <v>550.4</v>
      </c>
      <c r="O54" s="53" t="n">
        <f aca="false">D54*N54</f>
        <v>26419.2</v>
      </c>
      <c r="P54" s="54" t="n">
        <f aca="false">AVERAGE(H54,K54,N54)</f>
        <v>518.55</v>
      </c>
      <c r="Q54" s="55" t="n">
        <f aca="false">F54*100/P54-100</f>
        <v>-0.277697425513438</v>
      </c>
      <c r="R54" s="54" t="n">
        <f aca="false">D54*F54</f>
        <v>24821.28</v>
      </c>
      <c r="S54" s="56"/>
      <c r="U54" s="57" t="n">
        <f aca="false">ROUND(H54*100/P54-100,0)</f>
        <v>-6</v>
      </c>
      <c r="V54" s="57" t="n">
        <f aca="false">ROUND(K54*100/P54-100,0)</f>
        <v>0</v>
      </c>
      <c r="W54" s="57" t="n">
        <f aca="false">ROUND(N54*100/P54-100,0)</f>
        <v>6</v>
      </c>
    </row>
    <row r="55" s="43" customFormat="true" ht="73.5" hidden="false" customHeight="true" outlineLevel="0" collapsed="false">
      <c r="A55" s="45" t="n">
        <v>44</v>
      </c>
      <c r="B55" s="46" t="s">
        <v>96</v>
      </c>
      <c r="C55" s="47" t="s">
        <v>25</v>
      </c>
      <c r="D55" s="48" t="s">
        <v>97</v>
      </c>
      <c r="E55" s="49" t="n">
        <v>3549.95</v>
      </c>
      <c r="F55" s="60" t="n">
        <v>5116.7</v>
      </c>
      <c r="G55" s="47" t="s">
        <v>27</v>
      </c>
      <c r="H55" s="52" t="n">
        <f aca="false">5997.8/1.2</f>
        <v>4998.16666666667</v>
      </c>
      <c r="I55" s="53" t="n">
        <f aca="false">D55*H55</f>
        <v>4998.16666666667</v>
      </c>
      <c r="J55" s="53" t="s">
        <v>28</v>
      </c>
      <c r="K55" s="52" t="n">
        <v>5100.67</v>
      </c>
      <c r="L55" s="53" t="n">
        <f aca="false">D55*K55</f>
        <v>5100.67</v>
      </c>
      <c r="M55" s="47" t="s">
        <v>29</v>
      </c>
      <c r="N55" s="52" t="n">
        <v>5427.9</v>
      </c>
      <c r="O55" s="53" t="n">
        <f aca="false">D55*N55</f>
        <v>5427.9</v>
      </c>
      <c r="P55" s="54" t="n">
        <f aca="false">AVERAGE(H55,K55,N55)</f>
        <v>5175.57888888889</v>
      </c>
      <c r="Q55" s="55" t="n">
        <f aca="false">F55*100/P55-100</f>
        <v>-1.13762904890297</v>
      </c>
      <c r="R55" s="54" t="n">
        <f aca="false">D55*F55</f>
        <v>5116.7</v>
      </c>
      <c r="S55" s="56"/>
      <c r="U55" s="57" t="n">
        <f aca="false">ROUND(H55*100/P55-100,0)</f>
        <v>-3</v>
      </c>
      <c r="V55" s="57" t="n">
        <f aca="false">ROUND(K55*100/P55-100,0)</f>
        <v>-1</v>
      </c>
      <c r="W55" s="57" t="n">
        <f aca="false">ROUND(N55*100/P55-100,0)</f>
        <v>5</v>
      </c>
    </row>
    <row r="56" s="43" customFormat="true" ht="73.5" hidden="false" customHeight="true" outlineLevel="0" collapsed="false">
      <c r="A56" s="45" t="n">
        <v>45</v>
      </c>
      <c r="B56" s="46" t="s">
        <v>98</v>
      </c>
      <c r="C56" s="47" t="s">
        <v>25</v>
      </c>
      <c r="D56" s="48" t="n">
        <v>1</v>
      </c>
      <c r="E56" s="49" t="n">
        <v>3529.22</v>
      </c>
      <c r="F56" s="60" t="n">
        <v>5200.4</v>
      </c>
      <c r="G56" s="47" t="s">
        <v>27</v>
      </c>
      <c r="H56" s="52" t="n">
        <f aca="false">6038.66/1.2</f>
        <v>5032.21666666667</v>
      </c>
      <c r="I56" s="53" t="n">
        <f aca="false">D56*H56</f>
        <v>5032.21666666667</v>
      </c>
      <c r="J56" s="53" t="s">
        <v>28</v>
      </c>
      <c r="K56" s="52" t="n">
        <v>5201.7</v>
      </c>
      <c r="L56" s="53" t="n">
        <f aca="false">D56*K56</f>
        <v>5201.7</v>
      </c>
      <c r="M56" s="47" t="s">
        <v>29</v>
      </c>
      <c r="N56" s="52" t="n">
        <v>5504.9</v>
      </c>
      <c r="O56" s="53" t="n">
        <f aca="false">D56*N56</f>
        <v>5504.9</v>
      </c>
      <c r="P56" s="54" t="n">
        <f aca="false">AVERAGE(H56,K56,N56)</f>
        <v>5246.27222222222</v>
      </c>
      <c r="Q56" s="55" t="n">
        <f aca="false">F56*100/P56-100</f>
        <v>-0.874377468022274</v>
      </c>
      <c r="R56" s="54" t="n">
        <f aca="false">D56*F56</f>
        <v>5200.4</v>
      </c>
      <c r="S56" s="56"/>
      <c r="U56" s="57" t="n">
        <f aca="false">ROUND(H56*100/P56-100,0)</f>
        <v>-4</v>
      </c>
      <c r="V56" s="57" t="n">
        <f aca="false">ROUND(K56*100/P56-100,0)</f>
        <v>-1</v>
      </c>
      <c r="W56" s="57" t="n">
        <f aca="false">ROUND(N56*100/P56-100,0)</f>
        <v>5</v>
      </c>
    </row>
    <row r="57" s="43" customFormat="true" ht="73.5" hidden="false" customHeight="true" outlineLevel="0" collapsed="false">
      <c r="A57" s="45" t="n">
        <v>46</v>
      </c>
      <c r="B57" s="46" t="s">
        <v>99</v>
      </c>
      <c r="C57" s="47" t="s">
        <v>25</v>
      </c>
      <c r="D57" s="48" t="n">
        <v>3</v>
      </c>
      <c r="E57" s="49" t="n">
        <v>1333.57</v>
      </c>
      <c r="F57" s="60" t="n">
        <v>1796.4</v>
      </c>
      <c r="G57" s="47" t="s">
        <v>27</v>
      </c>
      <c r="H57" s="52" t="n">
        <f aca="false">2109.78/1.2</f>
        <v>1758.15</v>
      </c>
      <c r="I57" s="53" t="n">
        <f aca="false">D57*H57</f>
        <v>5274.45</v>
      </c>
      <c r="J57" s="53" t="s">
        <v>28</v>
      </c>
      <c r="K57" s="52" t="n">
        <v>1801.3</v>
      </c>
      <c r="L57" s="53" t="n">
        <f aca="false">D57*K57</f>
        <v>5403.9</v>
      </c>
      <c r="M57" s="47" t="s">
        <v>29</v>
      </c>
      <c r="N57" s="52" t="n">
        <v>1956.8</v>
      </c>
      <c r="O57" s="53" t="n">
        <f aca="false">D57*N57</f>
        <v>5870.4</v>
      </c>
      <c r="P57" s="54" t="n">
        <f aca="false">AVERAGE(H57,K57,N57)</f>
        <v>1838.75</v>
      </c>
      <c r="Q57" s="55" t="n">
        <f aca="false">F57*100/P57-100</f>
        <v>-2.30319510537049</v>
      </c>
      <c r="R57" s="54" t="n">
        <f aca="false">D57*F57</f>
        <v>5389.2</v>
      </c>
      <c r="S57" s="56"/>
      <c r="U57" s="57" t="n">
        <f aca="false">ROUND(H57*100/P57-100,0)</f>
        <v>-4</v>
      </c>
      <c r="V57" s="57" t="n">
        <f aca="false">ROUND(K57*100/P57-100,0)</f>
        <v>-2</v>
      </c>
      <c r="W57" s="57" t="n">
        <f aca="false">ROUND(N57*100/P57-100,0)</f>
        <v>6</v>
      </c>
    </row>
    <row r="58" s="43" customFormat="true" ht="73.5" hidden="false" customHeight="true" outlineLevel="0" collapsed="false">
      <c r="A58" s="45" t="n">
        <v>47</v>
      </c>
      <c r="B58" s="46" t="s">
        <v>100</v>
      </c>
      <c r="C58" s="47" t="s">
        <v>25</v>
      </c>
      <c r="D58" s="48" t="n">
        <v>11</v>
      </c>
      <c r="E58" s="49" t="n">
        <v>5041.48</v>
      </c>
      <c r="F58" s="60" t="n">
        <v>7180.45</v>
      </c>
      <c r="G58" s="47" t="s">
        <v>27</v>
      </c>
      <c r="H58" s="52" t="n">
        <f aca="false">8361.03/1.2</f>
        <v>6967.525</v>
      </c>
      <c r="I58" s="53" t="n">
        <f aca="false">D58*H58</f>
        <v>76642.775</v>
      </c>
      <c r="J58" s="53" t="s">
        <v>28</v>
      </c>
      <c r="K58" s="52" t="n">
        <v>7201.4</v>
      </c>
      <c r="L58" s="53" t="n">
        <f aca="false">D58*K58</f>
        <v>79215.4</v>
      </c>
      <c r="M58" s="47" t="s">
        <v>29</v>
      </c>
      <c r="N58" s="52" t="n">
        <v>7422.6</v>
      </c>
      <c r="O58" s="53" t="n">
        <f aca="false">D58*N58</f>
        <v>81648.6</v>
      </c>
      <c r="P58" s="54" t="n">
        <f aca="false">AVERAGE(H58,K58,N58)</f>
        <v>7197.175</v>
      </c>
      <c r="Q58" s="55" t="n">
        <f aca="false">F58*100/P58-100</f>
        <v>-0.232382844657806</v>
      </c>
      <c r="R58" s="54" t="n">
        <f aca="false">D58*F58</f>
        <v>78984.95</v>
      </c>
      <c r="S58" s="56"/>
      <c r="U58" s="57" t="n">
        <f aca="false">ROUND(H58*100/P58-100,0)</f>
        <v>-3</v>
      </c>
      <c r="V58" s="57" t="n">
        <f aca="false">ROUND(K58*100/P58-100,0)</f>
        <v>0</v>
      </c>
      <c r="W58" s="57" t="n">
        <f aca="false">ROUND(N58*100/P58-100,0)</f>
        <v>3</v>
      </c>
    </row>
    <row r="59" s="43" customFormat="true" ht="73.5" hidden="false" customHeight="true" outlineLevel="0" collapsed="false">
      <c r="A59" s="45" t="n">
        <v>48</v>
      </c>
      <c r="B59" s="46" t="s">
        <v>101</v>
      </c>
      <c r="C59" s="47" t="s">
        <v>25</v>
      </c>
      <c r="D59" s="48" t="n">
        <v>6</v>
      </c>
      <c r="E59" s="49" t="n">
        <v>121.23</v>
      </c>
      <c r="F59" s="60" t="n">
        <v>138.5</v>
      </c>
      <c r="G59" s="47" t="s">
        <v>27</v>
      </c>
      <c r="H59" s="52" t="n">
        <f aca="false">159.22/1.2</f>
        <v>132.683333333333</v>
      </c>
      <c r="I59" s="53" t="n">
        <f aca="false">D59*H59</f>
        <v>796.1</v>
      </c>
      <c r="J59" s="53" t="s">
        <v>28</v>
      </c>
      <c r="K59" s="52" t="n">
        <v>139.87</v>
      </c>
      <c r="L59" s="53" t="n">
        <f aca="false">D59*K59</f>
        <v>839.22</v>
      </c>
      <c r="M59" s="47" t="s">
        <v>29</v>
      </c>
      <c r="N59" s="52" t="n">
        <v>145.24</v>
      </c>
      <c r="O59" s="53" t="n">
        <f aca="false">D59*N59</f>
        <v>871.44</v>
      </c>
      <c r="P59" s="54" t="n">
        <f aca="false">AVERAGE(H59,K59,N59)</f>
        <v>139.264444444444</v>
      </c>
      <c r="Q59" s="55" t="n">
        <f aca="false">F59*100/P59-100</f>
        <v>-0.548915731861058</v>
      </c>
      <c r="R59" s="54" t="n">
        <f aca="false">D59*F59</f>
        <v>831</v>
      </c>
      <c r="S59" s="56"/>
      <c r="U59" s="57" t="n">
        <f aca="false">ROUND(H59*100/P59-100,0)</f>
        <v>-5</v>
      </c>
      <c r="V59" s="57" t="n">
        <f aca="false">ROUND(K59*100/P59-100,0)</f>
        <v>0</v>
      </c>
      <c r="W59" s="57" t="n">
        <f aca="false">ROUND(N59*100/P59-100,0)</f>
        <v>4</v>
      </c>
    </row>
    <row r="60" s="43" customFormat="true" ht="73.5" hidden="false" customHeight="true" outlineLevel="0" collapsed="false">
      <c r="A60" s="45" t="n">
        <v>49</v>
      </c>
      <c r="B60" s="46" t="s">
        <v>102</v>
      </c>
      <c r="C60" s="47" t="s">
        <v>25</v>
      </c>
      <c r="D60" s="48" t="s">
        <v>103</v>
      </c>
      <c r="E60" s="49" t="n">
        <v>103.67</v>
      </c>
      <c r="F60" s="60" t="n">
        <v>118.5</v>
      </c>
      <c r="G60" s="47" t="s">
        <v>27</v>
      </c>
      <c r="H60" s="52" t="n">
        <f aca="false">137.81/1.2</f>
        <v>114.841666666667</v>
      </c>
      <c r="I60" s="53" t="n">
        <f aca="false">D60*H60</f>
        <v>2871.04166666667</v>
      </c>
      <c r="J60" s="53" t="s">
        <v>28</v>
      </c>
      <c r="K60" s="52" t="n">
        <v>121.47</v>
      </c>
      <c r="L60" s="53" t="n">
        <f aca="false">D60*K60</f>
        <v>3036.75</v>
      </c>
      <c r="M60" s="47" t="s">
        <v>29</v>
      </c>
      <c r="N60" s="52" t="n">
        <v>119.8</v>
      </c>
      <c r="O60" s="53" t="n">
        <f aca="false">D60*N60</f>
        <v>2995</v>
      </c>
      <c r="P60" s="54" t="n">
        <f aca="false">AVERAGE(H60,K60,N60)</f>
        <v>118.703888888889</v>
      </c>
      <c r="Q60" s="55" t="n">
        <f aca="false">F60*100/P60-100</f>
        <v>-0.171762602554452</v>
      </c>
      <c r="R60" s="54" t="n">
        <f aca="false">D60*F60</f>
        <v>2962.5</v>
      </c>
      <c r="S60" s="56"/>
      <c r="U60" s="57" t="n">
        <f aca="false">ROUND(H60*100/P60-100,0)</f>
        <v>-3</v>
      </c>
      <c r="V60" s="57" t="n">
        <f aca="false">ROUND(K60*100/P60-100,0)</f>
        <v>2</v>
      </c>
      <c r="W60" s="57" t="n">
        <f aca="false">ROUND(N60*100/P60-100,0)</f>
        <v>1</v>
      </c>
    </row>
    <row r="61" s="43" customFormat="true" ht="73.5" hidden="false" customHeight="true" outlineLevel="0" collapsed="false">
      <c r="A61" s="45" t="n">
        <v>50</v>
      </c>
      <c r="B61" s="46" t="s">
        <v>104</v>
      </c>
      <c r="C61" s="47" t="s">
        <v>25</v>
      </c>
      <c r="D61" s="48" t="s">
        <v>105</v>
      </c>
      <c r="E61" s="49" t="n">
        <v>149.52</v>
      </c>
      <c r="F61" s="60" t="n">
        <v>174.59</v>
      </c>
      <c r="G61" s="47" t="s">
        <v>27</v>
      </c>
      <c r="H61" s="52" t="n">
        <f aca="false">203.54/1.2</f>
        <v>169.616666666667</v>
      </c>
      <c r="I61" s="53" t="n">
        <f aca="false">D61*H61</f>
        <v>1356.93333333333</v>
      </c>
      <c r="J61" s="53" t="s">
        <v>28</v>
      </c>
      <c r="K61" s="52" t="n">
        <v>175.54</v>
      </c>
      <c r="L61" s="53" t="n">
        <f aca="false">D61*K61</f>
        <v>1404.32</v>
      </c>
      <c r="M61" s="47" t="s">
        <v>29</v>
      </c>
      <c r="N61" s="52" t="n">
        <v>181.7</v>
      </c>
      <c r="O61" s="53" t="n">
        <f aca="false">D61*N61</f>
        <v>1453.6</v>
      </c>
      <c r="P61" s="54" t="n">
        <f aca="false">AVERAGE(H61,K61,N61)</f>
        <v>175.618888888889</v>
      </c>
      <c r="Q61" s="55" t="n">
        <f aca="false">F61*100/P61-100</f>
        <v>-0.585864593153119</v>
      </c>
      <c r="R61" s="54" t="n">
        <f aca="false">D61*F61</f>
        <v>1396.72</v>
      </c>
      <c r="S61" s="56"/>
      <c r="U61" s="57" t="n">
        <f aca="false">ROUND(H61*100/P61-100,0)</f>
        <v>-3</v>
      </c>
      <c r="V61" s="57" t="n">
        <f aca="false">ROUND(K61*100/P61-100,0)</f>
        <v>-0</v>
      </c>
      <c r="W61" s="57" t="n">
        <f aca="false">ROUND(N61*100/P61-100,0)</f>
        <v>3</v>
      </c>
    </row>
    <row r="62" s="43" customFormat="true" ht="73.5" hidden="false" customHeight="true" outlineLevel="0" collapsed="false">
      <c r="A62" s="45" t="n">
        <v>51</v>
      </c>
      <c r="B62" s="46" t="s">
        <v>106</v>
      </c>
      <c r="C62" s="47" t="s">
        <v>25</v>
      </c>
      <c r="D62" s="48" t="n">
        <v>1</v>
      </c>
      <c r="E62" s="49" t="n">
        <v>756.08</v>
      </c>
      <c r="F62" s="60" t="n">
        <v>800.12</v>
      </c>
      <c r="G62" s="47" t="s">
        <v>27</v>
      </c>
      <c r="H62" s="52" t="n">
        <f aca="false">945.37/1.2</f>
        <v>787.808333333333</v>
      </c>
      <c r="I62" s="53" t="n">
        <f aca="false">D62*H62</f>
        <v>787.808333333333</v>
      </c>
      <c r="J62" s="53" t="s">
        <v>28</v>
      </c>
      <c r="K62" s="52" t="n">
        <v>799.9</v>
      </c>
      <c r="L62" s="53" t="n">
        <f aca="false">D62*K62</f>
        <v>799.9</v>
      </c>
      <c r="M62" s="47" t="s">
        <v>29</v>
      </c>
      <c r="N62" s="52" t="n">
        <v>820.4</v>
      </c>
      <c r="O62" s="53" t="n">
        <f aca="false">D62*N62</f>
        <v>820.4</v>
      </c>
      <c r="P62" s="54" t="n">
        <f aca="false">AVERAGE(H62,K62,N62)</f>
        <v>802.702777777778</v>
      </c>
      <c r="Q62" s="55" t="n">
        <f aca="false">F62*100/P62-100</f>
        <v>-0.321760164444441</v>
      </c>
      <c r="R62" s="54" t="n">
        <f aca="false">D62*F62</f>
        <v>800.12</v>
      </c>
      <c r="S62" s="56"/>
      <c r="U62" s="57" t="n">
        <f aca="false">ROUND(H62*100/P62-100,0)</f>
        <v>-2</v>
      </c>
      <c r="V62" s="57" t="n">
        <f aca="false">ROUND(K62*100/P62-100,0)</f>
        <v>-0</v>
      </c>
      <c r="W62" s="57" t="n">
        <f aca="false">ROUND(N62*100/P62-100,0)</f>
        <v>2</v>
      </c>
    </row>
    <row r="63" s="43" customFormat="true" ht="73.5" hidden="false" customHeight="true" outlineLevel="0" collapsed="false">
      <c r="A63" s="45" t="n">
        <v>52</v>
      </c>
      <c r="B63" s="46" t="s">
        <v>107</v>
      </c>
      <c r="C63" s="47" t="s">
        <v>45</v>
      </c>
      <c r="D63" s="48" t="n">
        <v>30.2</v>
      </c>
      <c r="E63" s="49" t="n">
        <v>5937.5</v>
      </c>
      <c r="F63" s="60" t="n">
        <v>12456.8</v>
      </c>
      <c r="G63" s="47" t="s">
        <v>39</v>
      </c>
      <c r="H63" s="52" t="n">
        <f aca="false">5074.31*1000/400</f>
        <v>12685.775</v>
      </c>
      <c r="I63" s="53" t="n">
        <f aca="false">D63*H63</f>
        <v>383110.405</v>
      </c>
      <c r="J63" s="47" t="s">
        <v>40</v>
      </c>
      <c r="K63" s="52" t="n">
        <f aca="false">5560*1000/400/1.2</f>
        <v>11583.3333333333</v>
      </c>
      <c r="L63" s="53" t="n">
        <f aca="false">D63*K63</f>
        <v>349816.666666667</v>
      </c>
      <c r="M63" s="47" t="s">
        <v>108</v>
      </c>
      <c r="N63" s="52" t="n">
        <f aca="false">5299.17*1000/400</f>
        <v>13247.925</v>
      </c>
      <c r="O63" s="53" t="n">
        <f aca="false">D63*N63</f>
        <v>400087.335</v>
      </c>
      <c r="P63" s="54" t="n">
        <f aca="false">AVERAGE(H63,K63,N63)</f>
        <v>12505.6777777778</v>
      </c>
      <c r="Q63" s="55" t="n">
        <f aca="false">F63*100/P63-100</f>
        <v>-0.390844691877732</v>
      </c>
      <c r="R63" s="54" t="n">
        <f aca="false">D63*F63</f>
        <v>376195.36</v>
      </c>
      <c r="S63" s="56"/>
      <c r="U63" s="57" t="n">
        <f aca="false">ROUND(H63*100/P63-100,0)</f>
        <v>1</v>
      </c>
      <c r="V63" s="57" t="n">
        <f aca="false">ROUND(K63*100/P63-100,0)</f>
        <v>-7</v>
      </c>
      <c r="W63" s="57" t="n">
        <f aca="false">ROUND(N63*100/P63-100,0)</f>
        <v>6</v>
      </c>
    </row>
    <row r="64" s="43" customFormat="true" ht="73.5" hidden="false" customHeight="true" outlineLevel="0" collapsed="false">
      <c r="A64" s="45" t="n">
        <v>53</v>
      </c>
      <c r="B64" s="46" t="s">
        <v>109</v>
      </c>
      <c r="C64" s="47" t="s">
        <v>25</v>
      </c>
      <c r="D64" s="48" t="n">
        <v>40</v>
      </c>
      <c r="E64" s="49" t="n">
        <v>3.54</v>
      </c>
      <c r="F64" s="60" t="n">
        <v>5.11</v>
      </c>
      <c r="G64" s="47" t="s">
        <v>39</v>
      </c>
      <c r="H64" s="52" t="n">
        <v>4.83</v>
      </c>
      <c r="I64" s="53" t="n">
        <f aca="false">D64*H64</f>
        <v>193.2</v>
      </c>
      <c r="J64" s="47" t="s">
        <v>54</v>
      </c>
      <c r="K64" s="52" t="n">
        <v>5.12</v>
      </c>
      <c r="L64" s="53" t="n">
        <f aca="false">D64*K64</f>
        <v>204.8</v>
      </c>
      <c r="M64" s="53" t="s">
        <v>41</v>
      </c>
      <c r="N64" s="52" t="n">
        <v>5.8</v>
      </c>
      <c r="O64" s="53" t="n">
        <f aca="false">D64*N64</f>
        <v>232</v>
      </c>
      <c r="P64" s="54" t="n">
        <f aca="false">AVERAGE(H64,K64,N64)</f>
        <v>5.25</v>
      </c>
      <c r="Q64" s="55" t="n">
        <f aca="false">F64*100/P64-100</f>
        <v>-2.66666666666666</v>
      </c>
      <c r="R64" s="54" t="n">
        <f aca="false">D64*F64</f>
        <v>204.4</v>
      </c>
      <c r="S64" s="56"/>
      <c r="U64" s="57" t="n">
        <f aca="false">ROUND(H64*100/P64-100,0)</f>
        <v>-8</v>
      </c>
      <c r="V64" s="57" t="n">
        <f aca="false">ROUND(K64*100/P64-100,0)</f>
        <v>-2</v>
      </c>
      <c r="W64" s="57" t="n">
        <f aca="false">ROUND(N64*100/P64-100,0)</f>
        <v>10</v>
      </c>
    </row>
    <row r="65" s="43" customFormat="true" ht="73.5" hidden="false" customHeight="true" outlineLevel="0" collapsed="false">
      <c r="A65" s="45" t="n">
        <v>54</v>
      </c>
      <c r="B65" s="46" t="s">
        <v>110</v>
      </c>
      <c r="C65" s="47" t="s">
        <v>25</v>
      </c>
      <c r="D65" s="48" t="n">
        <v>20</v>
      </c>
      <c r="E65" s="49" t="n">
        <v>5.16</v>
      </c>
      <c r="F65" s="60" t="n">
        <v>7.08</v>
      </c>
      <c r="G65" s="47" t="s">
        <v>39</v>
      </c>
      <c r="H65" s="52" t="n">
        <v>6.95</v>
      </c>
      <c r="I65" s="53" t="n">
        <f aca="false">D65*H65</f>
        <v>139</v>
      </c>
      <c r="J65" s="47" t="s">
        <v>54</v>
      </c>
      <c r="K65" s="52" t="n">
        <v>7.32</v>
      </c>
      <c r="L65" s="53" t="n">
        <f aca="false">D65*K65</f>
        <v>146.4</v>
      </c>
      <c r="M65" s="53" t="s">
        <v>41</v>
      </c>
      <c r="N65" s="52" t="n">
        <v>7.13</v>
      </c>
      <c r="O65" s="53" t="n">
        <f aca="false">D65*N65</f>
        <v>142.6</v>
      </c>
      <c r="P65" s="54" t="n">
        <f aca="false">AVERAGE(H65,K65,N65)</f>
        <v>7.13333333333333</v>
      </c>
      <c r="Q65" s="55" t="n">
        <f aca="false">F65*100/P65-100</f>
        <v>-0.747663551401857</v>
      </c>
      <c r="R65" s="54" t="n">
        <f aca="false">D65*F65</f>
        <v>141.6</v>
      </c>
      <c r="S65" s="56"/>
      <c r="U65" s="57" t="n">
        <f aca="false">ROUND(H65*100/P65-100,0)</f>
        <v>-3</v>
      </c>
      <c r="V65" s="57" t="n">
        <f aca="false">ROUND(K65*100/P65-100,0)</f>
        <v>3</v>
      </c>
      <c r="W65" s="57" t="n">
        <f aca="false">ROUND(N65*100/P65-100,0)</f>
        <v>-0</v>
      </c>
    </row>
    <row r="66" s="43" customFormat="true" ht="73.5" hidden="false" customHeight="true" outlineLevel="0" collapsed="false">
      <c r="A66" s="45" t="n">
        <v>55</v>
      </c>
      <c r="B66" s="46" t="s">
        <v>111</v>
      </c>
      <c r="C66" s="47" t="s">
        <v>25</v>
      </c>
      <c r="D66" s="48" t="n">
        <v>480</v>
      </c>
      <c r="E66" s="49" t="n">
        <v>12.38</v>
      </c>
      <c r="F66" s="60" t="n">
        <v>18.6</v>
      </c>
      <c r="G66" s="47" t="s">
        <v>39</v>
      </c>
      <c r="H66" s="52" t="n">
        <v>18.07</v>
      </c>
      <c r="I66" s="53" t="n">
        <f aca="false">D66*H66</f>
        <v>8673.6</v>
      </c>
      <c r="J66" s="47" t="s">
        <v>54</v>
      </c>
      <c r="K66" s="52" t="n">
        <v>17.59</v>
      </c>
      <c r="L66" s="53" t="n">
        <f aca="false">D66*K66</f>
        <v>8443.2</v>
      </c>
      <c r="M66" s="53" t="s">
        <v>41</v>
      </c>
      <c r="N66" s="52" t="n">
        <v>21.07</v>
      </c>
      <c r="O66" s="53" t="n">
        <f aca="false">D66*N66</f>
        <v>10113.6</v>
      </c>
      <c r="P66" s="54" t="n">
        <f aca="false">AVERAGE(H66,K66,N66)</f>
        <v>18.91</v>
      </c>
      <c r="Q66" s="55" t="n">
        <f aca="false">F66*100/P66-100</f>
        <v>-1.63934426229507</v>
      </c>
      <c r="R66" s="54" t="n">
        <f aca="false">D66*F66</f>
        <v>8928</v>
      </c>
      <c r="S66" s="56"/>
      <c r="U66" s="57" t="n">
        <f aca="false">ROUND(H66*100/P66-100,0)</f>
        <v>-4</v>
      </c>
      <c r="V66" s="57" t="n">
        <f aca="false">ROUND(K66*100/P66-100,0)</f>
        <v>-7</v>
      </c>
      <c r="W66" s="57" t="n">
        <f aca="false">ROUND(N66*100/P66-100,0)</f>
        <v>11</v>
      </c>
    </row>
    <row r="67" s="43" customFormat="true" ht="73.5" hidden="false" customHeight="true" outlineLevel="0" collapsed="false">
      <c r="A67" s="45" t="n">
        <v>56</v>
      </c>
      <c r="B67" s="46" t="s">
        <v>112</v>
      </c>
      <c r="C67" s="47" t="s">
        <v>25</v>
      </c>
      <c r="D67" s="48" t="n">
        <v>1200</v>
      </c>
      <c r="E67" s="49" t="n">
        <v>25.04</v>
      </c>
      <c r="F67" s="60" t="n">
        <v>33.56</v>
      </c>
      <c r="G67" s="47" t="s">
        <v>39</v>
      </c>
      <c r="H67" s="52" t="n">
        <v>33.19</v>
      </c>
      <c r="I67" s="53" t="n">
        <f aca="false">D67*H67</f>
        <v>39828</v>
      </c>
      <c r="J67" s="47" t="s">
        <v>54</v>
      </c>
      <c r="K67" s="52" t="n">
        <v>36.54</v>
      </c>
      <c r="L67" s="53" t="n">
        <f aca="false">D67*K67</f>
        <v>43848</v>
      </c>
      <c r="M67" s="53" t="s">
        <v>41</v>
      </c>
      <c r="N67" s="52" t="n">
        <v>31.47</v>
      </c>
      <c r="O67" s="53" t="n">
        <f aca="false">D67*N67</f>
        <v>37764</v>
      </c>
      <c r="P67" s="54" t="n">
        <f aca="false">AVERAGE(H67,K67,N67)</f>
        <v>33.7333333333333</v>
      </c>
      <c r="Q67" s="55" t="n">
        <f aca="false">F67*100/P67-100</f>
        <v>-0.513833992094845</v>
      </c>
      <c r="R67" s="54" t="n">
        <f aca="false">D67*F67</f>
        <v>40272</v>
      </c>
      <c r="S67" s="56"/>
      <c r="U67" s="57" t="n">
        <f aca="false">ROUND(H67*100/P67-100,0)</f>
        <v>-2</v>
      </c>
      <c r="V67" s="57" t="n">
        <f aca="false">ROUND(K67*100/P67-100,0)</f>
        <v>8</v>
      </c>
      <c r="W67" s="57" t="n">
        <f aca="false">ROUND(N67*100/P67-100,0)</f>
        <v>-7</v>
      </c>
    </row>
    <row r="68" s="43" customFormat="true" ht="73.5" hidden="false" customHeight="true" outlineLevel="0" collapsed="false">
      <c r="A68" s="45" t="n">
        <v>57</v>
      </c>
      <c r="B68" s="46" t="s">
        <v>113</v>
      </c>
      <c r="C68" s="47" t="s">
        <v>25</v>
      </c>
      <c r="D68" s="48" t="n">
        <v>40</v>
      </c>
      <c r="E68" s="49" t="n">
        <v>0.98</v>
      </c>
      <c r="F68" s="60" t="n">
        <v>1.5</v>
      </c>
      <c r="G68" s="47" t="s">
        <v>39</v>
      </c>
      <c r="H68" s="52" t="n">
        <v>1.47</v>
      </c>
      <c r="I68" s="53" t="n">
        <f aca="false">D68*H68</f>
        <v>58.8</v>
      </c>
      <c r="J68" s="47" t="s">
        <v>54</v>
      </c>
      <c r="K68" s="52" t="n">
        <v>1.4</v>
      </c>
      <c r="L68" s="53" t="n">
        <f aca="false">D68*K68</f>
        <v>56</v>
      </c>
      <c r="M68" s="53" t="s">
        <v>41</v>
      </c>
      <c r="N68" s="52" t="n">
        <v>1.65</v>
      </c>
      <c r="O68" s="53" t="n">
        <f aca="false">D68*N68</f>
        <v>66</v>
      </c>
      <c r="P68" s="54" t="n">
        <f aca="false">AVERAGE(H68,K68,N68)</f>
        <v>1.50666666666667</v>
      </c>
      <c r="Q68" s="55" t="n">
        <f aca="false">F68*100/P68-100</f>
        <v>-0.442477876106196</v>
      </c>
      <c r="R68" s="54" t="n">
        <f aca="false">D68*F68</f>
        <v>60</v>
      </c>
      <c r="S68" s="56"/>
      <c r="U68" s="57" t="n">
        <f aca="false">ROUND(H68*100/P68-100,0)</f>
        <v>-2</v>
      </c>
      <c r="V68" s="57" t="n">
        <f aca="false">ROUND(K68*100/P68-100,0)</f>
        <v>-7</v>
      </c>
      <c r="W68" s="57" t="n">
        <f aca="false">ROUND(N68*100/P68-100,0)</f>
        <v>10</v>
      </c>
    </row>
    <row r="69" s="43" customFormat="true" ht="73.5" hidden="false" customHeight="true" outlineLevel="0" collapsed="false">
      <c r="A69" s="45" t="n">
        <v>58</v>
      </c>
      <c r="B69" s="46" t="s">
        <v>114</v>
      </c>
      <c r="C69" s="47" t="s">
        <v>25</v>
      </c>
      <c r="D69" s="48" t="n">
        <v>30</v>
      </c>
      <c r="E69" s="49" t="n">
        <v>2.05</v>
      </c>
      <c r="F69" s="60" t="n">
        <v>2.99</v>
      </c>
      <c r="G69" s="47" t="s">
        <v>39</v>
      </c>
      <c r="H69" s="52" t="n">
        <v>2.92</v>
      </c>
      <c r="I69" s="53" t="n">
        <f aca="false">D69*H69</f>
        <v>87.6</v>
      </c>
      <c r="J69" s="47" t="s">
        <v>54</v>
      </c>
      <c r="K69" s="52" t="n">
        <v>3.1</v>
      </c>
      <c r="L69" s="53" t="n">
        <f aca="false">D69*K69</f>
        <v>93</v>
      </c>
      <c r="M69" s="53" t="s">
        <v>41</v>
      </c>
      <c r="N69" s="52" t="n">
        <v>2.98</v>
      </c>
      <c r="O69" s="53" t="n">
        <f aca="false">D69*N69</f>
        <v>89.4</v>
      </c>
      <c r="P69" s="54" t="n">
        <f aca="false">AVERAGE(H69,K69,N69)</f>
        <v>3</v>
      </c>
      <c r="Q69" s="55" t="n">
        <f aca="false">F69*100/P69-100</f>
        <v>-0.333333333333329</v>
      </c>
      <c r="R69" s="54" t="n">
        <f aca="false">D69*F69</f>
        <v>89.7</v>
      </c>
      <c r="S69" s="56"/>
      <c r="U69" s="57" t="n">
        <f aca="false">ROUND(H69*100/P69-100,0)</f>
        <v>-3</v>
      </c>
      <c r="V69" s="57" t="n">
        <f aca="false">ROUND(K69*100/P69-100,0)</f>
        <v>3</v>
      </c>
      <c r="W69" s="57" t="n">
        <f aca="false">ROUND(N69*100/P69-100,0)</f>
        <v>-1</v>
      </c>
    </row>
    <row r="70" s="43" customFormat="true" ht="73.5" hidden="true" customHeight="true" outlineLevel="0" collapsed="false">
      <c r="A70" s="45" t="n">
        <v>62</v>
      </c>
      <c r="B70" s="46" t="s">
        <v>115</v>
      </c>
      <c r="C70" s="47" t="s">
        <v>25</v>
      </c>
      <c r="D70" s="48" t="n">
        <v>6</v>
      </c>
      <c r="E70" s="49" t="n">
        <v>208.33</v>
      </c>
      <c r="F70" s="50" t="n">
        <v>208.68</v>
      </c>
      <c r="G70" s="47" t="s">
        <v>39</v>
      </c>
      <c r="H70" s="52" t="n">
        <v>205.33</v>
      </c>
      <c r="I70" s="53" t="n">
        <f aca="false">D70*H70</f>
        <v>1231.98</v>
      </c>
      <c r="J70" s="47" t="s">
        <v>46</v>
      </c>
      <c r="K70" s="52" t="n">
        <v>211.47</v>
      </c>
      <c r="L70" s="53" t="n">
        <f aca="false">D70*K70</f>
        <v>1268.82</v>
      </c>
      <c r="M70" s="53" t="s">
        <v>41</v>
      </c>
      <c r="N70" s="52" t="n">
        <v>210.15</v>
      </c>
      <c r="O70" s="53" t="n">
        <f aca="false">D70*N70</f>
        <v>1260.9</v>
      </c>
      <c r="P70" s="54" t="n">
        <f aca="false">AVERAGE(H70,K70,N70)</f>
        <v>208.983333333333</v>
      </c>
      <c r="Q70" s="55" t="n">
        <f aca="false">F70*100/P70-100</f>
        <v>-0.145147140920329</v>
      </c>
      <c r="R70" s="54" t="n">
        <f aca="false">D70*F70</f>
        <v>1252.08</v>
      </c>
      <c r="S70" s="62" t="s">
        <v>116</v>
      </c>
      <c r="U70" s="57" t="n">
        <f aca="false">ROUND(H70*100/P70-100,0)</f>
        <v>-2</v>
      </c>
      <c r="V70" s="57" t="n">
        <f aca="false">ROUND(K70*100/P70-100,0)</f>
        <v>1</v>
      </c>
      <c r="W70" s="57" t="n">
        <f aca="false">ROUND(N70*100/P70-100,0)</f>
        <v>1</v>
      </c>
      <c r="Y70" s="43" t="n">
        <v>60</v>
      </c>
    </row>
    <row r="71" s="43" customFormat="true" ht="73.5" hidden="false" customHeight="true" outlineLevel="0" collapsed="false">
      <c r="A71" s="45" t="n">
        <v>64</v>
      </c>
      <c r="B71" s="46" t="s">
        <v>117</v>
      </c>
      <c r="C71" s="47" t="s">
        <v>118</v>
      </c>
      <c r="D71" s="48" t="n">
        <v>135</v>
      </c>
      <c r="E71" s="49" t="s">
        <v>26</v>
      </c>
      <c r="F71" s="60" t="n">
        <v>203.5</v>
      </c>
      <c r="G71" s="47" t="s">
        <v>56</v>
      </c>
      <c r="H71" s="52" t="n">
        <v>197.36</v>
      </c>
      <c r="I71" s="53" t="n">
        <f aca="false">D71*H71</f>
        <v>26643.6</v>
      </c>
      <c r="J71" s="47" t="s">
        <v>57</v>
      </c>
      <c r="K71" s="52" t="n">
        <v>220.92</v>
      </c>
      <c r="L71" s="53" t="n">
        <f aca="false">D71*K71</f>
        <v>29824.2</v>
      </c>
      <c r="M71" s="47" t="s">
        <v>119</v>
      </c>
      <c r="N71" s="52" t="n">
        <v>193.78</v>
      </c>
      <c r="O71" s="53" t="n">
        <f aca="false">D71*N71</f>
        <v>26160.3</v>
      </c>
      <c r="P71" s="54" t="n">
        <f aca="false">AVERAGE(H71,K71,N71)</f>
        <v>204.02</v>
      </c>
      <c r="Q71" s="55" t="n">
        <f aca="false">F71*100/P71-100</f>
        <v>-0.254876972845793</v>
      </c>
      <c r="R71" s="54" t="n">
        <f aca="false">D71*F71</f>
        <v>27472.5</v>
      </c>
      <c r="S71" s="62"/>
      <c r="U71" s="57" t="n">
        <f aca="false">ROUND(H71*100/P71-100,0)</f>
        <v>-3</v>
      </c>
      <c r="V71" s="57" t="n">
        <f aca="false">ROUND(K71*100/P71-100,0)</f>
        <v>8</v>
      </c>
      <c r="W71" s="57" t="n">
        <f aca="false">ROUND(N71*100/P71-100,0)</f>
        <v>-5</v>
      </c>
    </row>
    <row r="72" s="43" customFormat="true" ht="73.5" hidden="true" customHeight="true" outlineLevel="0" collapsed="false">
      <c r="A72" s="45" t="n">
        <v>65</v>
      </c>
      <c r="B72" s="46" t="s">
        <v>120</v>
      </c>
      <c r="C72" s="47" t="s">
        <v>25</v>
      </c>
      <c r="D72" s="48" t="n">
        <v>6</v>
      </c>
      <c r="E72" s="49" t="n">
        <v>158357</v>
      </c>
      <c r="F72" s="50" t="n">
        <v>175500</v>
      </c>
      <c r="G72" s="47" t="s">
        <v>56</v>
      </c>
      <c r="H72" s="52" t="n">
        <v>167514.67</v>
      </c>
      <c r="I72" s="53" t="n">
        <f aca="false">D72*H72</f>
        <v>1005088.02</v>
      </c>
      <c r="J72" s="47" t="s">
        <v>57</v>
      </c>
      <c r="K72" s="52" t="n">
        <v>184511.4</v>
      </c>
      <c r="L72" s="53" t="n">
        <f aca="false">D72*K72</f>
        <v>1107068.4</v>
      </c>
      <c r="M72" s="47" t="s">
        <v>119</v>
      </c>
      <c r="N72" s="52" t="n">
        <v>175488.6</v>
      </c>
      <c r="O72" s="53" t="n">
        <f aca="false">D72*N72</f>
        <v>1052931.6</v>
      </c>
      <c r="P72" s="54" t="n">
        <f aca="false">AVERAGE(H72,K72,N72)</f>
        <v>175838.223333333</v>
      </c>
      <c r="Q72" s="55" t="n">
        <f aca="false">F72*100/P72-100</f>
        <v>-0.192349153057691</v>
      </c>
      <c r="R72" s="54" t="n">
        <f aca="false">D72*F72</f>
        <v>1053000</v>
      </c>
      <c r="S72" s="62" t="s">
        <v>116</v>
      </c>
      <c r="U72" s="57" t="n">
        <f aca="false">ROUND(H72*100/P72-100,0)</f>
        <v>-5</v>
      </c>
      <c r="V72" s="57" t="n">
        <f aca="false">ROUND(K72*100/P72-100,0)</f>
        <v>5</v>
      </c>
      <c r="W72" s="57" t="n">
        <f aca="false">ROUND(N72*100/P72-100,0)</f>
        <v>-0</v>
      </c>
      <c r="Y72" s="43" t="n">
        <v>63</v>
      </c>
    </row>
    <row r="73" s="43" customFormat="true" ht="73.5" hidden="false" customHeight="true" outlineLevel="0" collapsed="false">
      <c r="A73" s="45" t="n">
        <v>66</v>
      </c>
      <c r="B73" s="46" t="s">
        <v>121</v>
      </c>
      <c r="C73" s="47" t="s">
        <v>25</v>
      </c>
      <c r="D73" s="48" t="n">
        <v>2</v>
      </c>
      <c r="E73" s="49" t="s">
        <v>26</v>
      </c>
      <c r="F73" s="60" t="n">
        <v>219</v>
      </c>
      <c r="G73" s="47" t="s">
        <v>27</v>
      </c>
      <c r="H73" s="52" t="n">
        <f aca="false">261.07/1.2</f>
        <v>217.558333333333</v>
      </c>
      <c r="I73" s="53" t="n">
        <f aca="false">D73*H73</f>
        <v>435.116666666667</v>
      </c>
      <c r="J73" s="53" t="s">
        <v>28</v>
      </c>
      <c r="K73" s="52" t="n">
        <v>221.09</v>
      </c>
      <c r="L73" s="53" t="n">
        <f aca="false">D73*K73</f>
        <v>442.18</v>
      </c>
      <c r="M73" s="47" t="s">
        <v>29</v>
      </c>
      <c r="N73" s="52" t="n">
        <v>220.74</v>
      </c>
      <c r="O73" s="53" t="n">
        <f aca="false">D73*N73</f>
        <v>441.48</v>
      </c>
      <c r="P73" s="54" t="n">
        <f aca="false">AVERAGE(H73,K73,N73)</f>
        <v>219.796111111111</v>
      </c>
      <c r="Q73" s="55" t="n">
        <f aca="false">F73*100/P73-100</f>
        <v>-0.362204366167632</v>
      </c>
      <c r="R73" s="54" t="n">
        <f aca="false">D73*F73</f>
        <v>438</v>
      </c>
      <c r="S73" s="62"/>
      <c r="U73" s="57" t="n">
        <f aca="false">ROUND(H73*100/P73-100,0)</f>
        <v>-1</v>
      </c>
      <c r="V73" s="57" t="n">
        <f aca="false">ROUND(K73*100/P73-100,0)</f>
        <v>1</v>
      </c>
      <c r="W73" s="57" t="n">
        <f aca="false">ROUND(N73*100/P73-100,0)</f>
        <v>0</v>
      </c>
    </row>
    <row r="74" s="43" customFormat="true" ht="73.5" hidden="false" customHeight="true" outlineLevel="0" collapsed="false">
      <c r="A74" s="45" t="n">
        <v>67</v>
      </c>
      <c r="B74" s="46" t="s">
        <v>122</v>
      </c>
      <c r="C74" s="47" t="s">
        <v>25</v>
      </c>
      <c r="D74" s="48" t="n">
        <v>12</v>
      </c>
      <c r="E74" s="49" t="n">
        <v>9377.67</v>
      </c>
      <c r="F74" s="60" t="n">
        <v>14005.5</v>
      </c>
      <c r="G74" s="52" t="s">
        <v>67</v>
      </c>
      <c r="H74" s="52" t="n">
        <f aca="false">16424.57/1.2</f>
        <v>13687.1416666667</v>
      </c>
      <c r="I74" s="53" t="n">
        <f aca="false">D74*H74</f>
        <v>164245.7</v>
      </c>
      <c r="J74" s="47" t="s">
        <v>46</v>
      </c>
      <c r="K74" s="52" t="n">
        <v>13897.5</v>
      </c>
      <c r="L74" s="53" t="n">
        <f aca="false">D74*K74</f>
        <v>166770</v>
      </c>
      <c r="M74" s="47" t="s">
        <v>119</v>
      </c>
      <c r="N74" s="52" t="n">
        <v>14510.42</v>
      </c>
      <c r="O74" s="53" t="n">
        <f aca="false">D74*N74</f>
        <v>174125.04</v>
      </c>
      <c r="P74" s="54" t="n">
        <f aca="false">AVERAGE(H74,K74,N74)</f>
        <v>14031.6872222222</v>
      </c>
      <c r="Q74" s="55" t="n">
        <f aca="false">F74*100/P74-100</f>
        <v>-0.186629175860972</v>
      </c>
      <c r="R74" s="54" t="n">
        <f aca="false">D74*F74</f>
        <v>168066</v>
      </c>
      <c r="S74" s="63"/>
      <c r="U74" s="57" t="n">
        <f aca="false">ROUND(H74*100/P74-100,0)</f>
        <v>-2</v>
      </c>
      <c r="V74" s="57" t="n">
        <f aca="false">ROUND(K74*100/P74-100,0)</f>
        <v>-1</v>
      </c>
      <c r="W74" s="57" t="n">
        <f aca="false">ROUND(N74*100/P74-100,0)</f>
        <v>3</v>
      </c>
    </row>
    <row r="75" s="43" customFormat="true" ht="73.5" hidden="false" customHeight="true" outlineLevel="0" collapsed="false">
      <c r="A75" s="45" t="n">
        <v>68</v>
      </c>
      <c r="B75" s="46" t="s">
        <v>123</v>
      </c>
      <c r="C75" s="47" t="s">
        <v>25</v>
      </c>
      <c r="D75" s="48" t="n">
        <v>10</v>
      </c>
      <c r="E75" s="49" t="n">
        <v>1536.24</v>
      </c>
      <c r="F75" s="60" t="n">
        <v>1705.6</v>
      </c>
      <c r="G75" s="47" t="s">
        <v>27</v>
      </c>
      <c r="H75" s="52" t="n">
        <f aca="false">2031.58/1.2</f>
        <v>1692.98333333333</v>
      </c>
      <c r="I75" s="53" t="n">
        <f aca="false">D75*H75</f>
        <v>16929.8333333333</v>
      </c>
      <c r="J75" s="53" t="s">
        <v>28</v>
      </c>
      <c r="K75" s="52" t="n">
        <v>1709.88</v>
      </c>
      <c r="L75" s="53" t="n">
        <f aca="false">D75*K75</f>
        <v>17098.8</v>
      </c>
      <c r="M75" s="47" t="s">
        <v>29</v>
      </c>
      <c r="N75" s="52" t="n">
        <v>1726.06</v>
      </c>
      <c r="O75" s="53" t="n">
        <f aca="false">D75*N75</f>
        <v>17260.6</v>
      </c>
      <c r="P75" s="54" t="n">
        <f aca="false">AVERAGE(H75,K75,N75)</f>
        <v>1709.64111111111</v>
      </c>
      <c r="Q75" s="55" t="n">
        <f aca="false">F75*100/P75-100</f>
        <v>-0.236371896115941</v>
      </c>
      <c r="R75" s="54" t="n">
        <f aca="false">D75*F75</f>
        <v>17056</v>
      </c>
      <c r="S75" s="63"/>
      <c r="U75" s="57" t="n">
        <f aca="false">ROUND(H75*100/P75-100,0)</f>
        <v>-1</v>
      </c>
      <c r="V75" s="57" t="n">
        <f aca="false">ROUND(K75*100/P75-100,0)</f>
        <v>0</v>
      </c>
      <c r="W75" s="57" t="n">
        <f aca="false">ROUND(N75*100/P75-100,0)</f>
        <v>1</v>
      </c>
    </row>
    <row r="76" s="43" customFormat="true" ht="73.5" hidden="false" customHeight="true" outlineLevel="0" collapsed="false">
      <c r="A76" s="45" t="n">
        <v>69</v>
      </c>
      <c r="B76" s="46" t="s">
        <v>124</v>
      </c>
      <c r="C76" s="47" t="s">
        <v>25</v>
      </c>
      <c r="D76" s="48" t="n">
        <v>3</v>
      </c>
      <c r="E76" s="49" t="n">
        <v>1937.79</v>
      </c>
      <c r="F76" s="60" t="n">
        <v>2340</v>
      </c>
      <c r="G76" s="47" t="s">
        <v>27</v>
      </c>
      <c r="H76" s="52" t="n">
        <f aca="false">2816.81/1.2</f>
        <v>2347.34166666667</v>
      </c>
      <c r="I76" s="53" t="n">
        <f aca="false">D76*H76</f>
        <v>7042.025</v>
      </c>
      <c r="J76" s="53" t="s">
        <v>28</v>
      </c>
      <c r="K76" s="52" t="n">
        <v>2317.52</v>
      </c>
      <c r="L76" s="53" t="n">
        <f aca="false">D76*K76</f>
        <v>6952.56</v>
      </c>
      <c r="M76" s="47" t="s">
        <v>29</v>
      </c>
      <c r="N76" s="52" t="n">
        <v>2358.33</v>
      </c>
      <c r="O76" s="53" t="n">
        <f aca="false">D76*N76</f>
        <v>7074.99</v>
      </c>
      <c r="P76" s="54" t="n">
        <f aca="false">AVERAGE(H76,K76,N76)</f>
        <v>2341.06388888889</v>
      </c>
      <c r="Q76" s="55" t="n">
        <f aca="false">F76*100/P76-100</f>
        <v>-0.0454446755570501</v>
      </c>
      <c r="R76" s="54" t="n">
        <f aca="false">D76*F76</f>
        <v>7020</v>
      </c>
      <c r="S76" s="56"/>
      <c r="U76" s="57" t="n">
        <f aca="false">ROUND(H76*100/P76-100,0)</f>
        <v>0</v>
      </c>
      <c r="V76" s="57" t="n">
        <f aca="false">ROUND(K76*100/P76-100,0)</f>
        <v>-1</v>
      </c>
      <c r="W76" s="57" t="n">
        <f aca="false">ROUND(N76*100/P76-100,0)</f>
        <v>1</v>
      </c>
    </row>
    <row r="77" s="43" customFormat="true" ht="73.5" hidden="false" customHeight="true" outlineLevel="0" collapsed="false">
      <c r="A77" s="45" t="n">
        <v>70</v>
      </c>
      <c r="B77" s="46" t="s">
        <v>125</v>
      </c>
      <c r="C77" s="47" t="s">
        <v>25</v>
      </c>
      <c r="D77" s="48" t="n">
        <v>15</v>
      </c>
      <c r="E77" s="49" t="n">
        <v>5173.82</v>
      </c>
      <c r="F77" s="60" t="n">
        <v>5605.6</v>
      </c>
      <c r="G77" s="47" t="s">
        <v>27</v>
      </c>
      <c r="H77" s="52" t="n">
        <f aca="false">6814.33/1.2</f>
        <v>5678.60833333333</v>
      </c>
      <c r="I77" s="53" t="n">
        <f aca="false">D77*H77</f>
        <v>85179.125</v>
      </c>
      <c r="J77" s="53" t="s">
        <v>28</v>
      </c>
      <c r="K77" s="52" t="n">
        <v>5594.41</v>
      </c>
      <c r="L77" s="53" t="n">
        <f aca="false">D77*K77</f>
        <v>83916.15</v>
      </c>
      <c r="M77" s="47" t="s">
        <v>29</v>
      </c>
      <c r="N77" s="52" t="n">
        <v>5611.85</v>
      </c>
      <c r="O77" s="53" t="n">
        <f aca="false">D77*N77</f>
        <v>84177.75</v>
      </c>
      <c r="P77" s="54" t="n">
        <f aca="false">AVERAGE(H77,K77,N77)</f>
        <v>5628.28944444444</v>
      </c>
      <c r="Q77" s="55" t="n">
        <f aca="false">F77*100/P77-100</f>
        <v>-0.403132153532724</v>
      </c>
      <c r="R77" s="54" t="n">
        <f aca="false">D77*F77</f>
        <v>84084</v>
      </c>
      <c r="S77" s="56"/>
      <c r="U77" s="57" t="n">
        <f aca="false">ROUND(H77*100/P77-100,0)</f>
        <v>1</v>
      </c>
      <c r="V77" s="57" t="n">
        <f aca="false">ROUND(K77*100/P77-100,0)</f>
        <v>-1</v>
      </c>
      <c r="W77" s="57" t="n">
        <f aca="false">ROUND(N77*100/P77-100,0)</f>
        <v>-0</v>
      </c>
    </row>
    <row r="78" s="43" customFormat="true" ht="73.5" hidden="false" customHeight="true" outlineLevel="0" collapsed="false">
      <c r="A78" s="45" t="n">
        <v>71</v>
      </c>
      <c r="B78" s="46" t="s">
        <v>126</v>
      </c>
      <c r="C78" s="47" t="s">
        <v>25</v>
      </c>
      <c r="D78" s="48" t="n">
        <v>14</v>
      </c>
      <c r="E78" s="49" t="n">
        <v>2701.29</v>
      </c>
      <c r="F78" s="60" t="n">
        <v>3200.5</v>
      </c>
      <c r="G78" s="47" t="s">
        <v>27</v>
      </c>
      <c r="H78" s="52" t="n">
        <f aca="false">3807.04/1.2</f>
        <v>3172.53333333333</v>
      </c>
      <c r="I78" s="53" t="n">
        <f aca="false">D78*H78</f>
        <v>44415.4666666667</v>
      </c>
      <c r="J78" s="53" t="s">
        <v>28</v>
      </c>
      <c r="K78" s="52" t="n">
        <v>3199.28</v>
      </c>
      <c r="L78" s="53" t="n">
        <f aca="false">D78*K78</f>
        <v>44789.92</v>
      </c>
      <c r="M78" s="47" t="s">
        <v>29</v>
      </c>
      <c r="N78" s="52" t="n">
        <v>3253.76</v>
      </c>
      <c r="O78" s="53" t="n">
        <f aca="false">D78*N78</f>
        <v>45552.64</v>
      </c>
      <c r="P78" s="54" t="n">
        <f aca="false">AVERAGE(H78,K78,N78)</f>
        <v>3208.52444444444</v>
      </c>
      <c r="Q78" s="55" t="n">
        <f aca="false">F78*100/P78-100</f>
        <v>-0.250097656520552</v>
      </c>
      <c r="R78" s="54" t="n">
        <f aca="false">D78*F78</f>
        <v>44807</v>
      </c>
      <c r="S78" s="56"/>
      <c r="U78" s="57" t="n">
        <f aca="false">ROUND(H78*100/P78-100,0)</f>
        <v>-1</v>
      </c>
      <c r="V78" s="57" t="n">
        <f aca="false">ROUND(K78*100/P78-100,0)</f>
        <v>-0</v>
      </c>
      <c r="W78" s="57" t="n">
        <f aca="false">ROUND(N78*100/P78-100,0)</f>
        <v>1</v>
      </c>
    </row>
    <row r="79" s="43" customFormat="true" ht="73.5" hidden="false" customHeight="true" outlineLevel="0" collapsed="false">
      <c r="A79" s="45" t="n">
        <v>72</v>
      </c>
      <c r="B79" s="46" t="s">
        <v>127</v>
      </c>
      <c r="C79" s="47" t="s">
        <v>25</v>
      </c>
      <c r="D79" s="48" t="n">
        <v>10</v>
      </c>
      <c r="E79" s="49" t="n">
        <v>4624.53</v>
      </c>
      <c r="F79" s="60" t="n">
        <v>5345.3</v>
      </c>
      <c r="G79" s="47" t="s">
        <v>27</v>
      </c>
      <c r="H79" s="52" t="n">
        <f aca="false">6364.89/1.2</f>
        <v>5304.075</v>
      </c>
      <c r="I79" s="53" t="n">
        <f aca="false">D79*H79</f>
        <v>53040.75</v>
      </c>
      <c r="J79" s="53" t="s">
        <v>28</v>
      </c>
      <c r="K79" s="52" t="n">
        <v>5388.67</v>
      </c>
      <c r="L79" s="53" t="n">
        <f aca="false">D79*K79</f>
        <v>53886.7</v>
      </c>
      <c r="M79" s="47" t="s">
        <v>29</v>
      </c>
      <c r="N79" s="52" t="n">
        <v>5357.13</v>
      </c>
      <c r="O79" s="53" t="n">
        <f aca="false">D79*N79</f>
        <v>53571.3</v>
      </c>
      <c r="P79" s="54" t="n">
        <f aca="false">AVERAGE(H79,K79,N79)</f>
        <v>5349.95833333333</v>
      </c>
      <c r="Q79" s="55" t="n">
        <f aca="false">F79*100/P79-100</f>
        <v>-0.0870723292237443</v>
      </c>
      <c r="R79" s="54" t="n">
        <f aca="false">D79*F79</f>
        <v>53453</v>
      </c>
      <c r="S79" s="56"/>
      <c r="U79" s="57" t="n">
        <f aca="false">ROUND(H79*100/P79-100,0)</f>
        <v>-1</v>
      </c>
      <c r="V79" s="57" t="n">
        <f aca="false">ROUND(K79*100/P79-100,0)</f>
        <v>1</v>
      </c>
      <c r="W79" s="57" t="n">
        <f aca="false">ROUND(N79*100/P79-100,0)</f>
        <v>0</v>
      </c>
    </row>
    <row r="80" s="43" customFormat="true" ht="73.5" hidden="false" customHeight="true" outlineLevel="0" collapsed="false">
      <c r="A80" s="45" t="n">
        <v>74</v>
      </c>
      <c r="B80" s="46" t="s">
        <v>128</v>
      </c>
      <c r="C80" s="47" t="s">
        <v>25</v>
      </c>
      <c r="D80" s="48" t="n">
        <v>76</v>
      </c>
      <c r="E80" s="49" t="n">
        <v>5161.74</v>
      </c>
      <c r="F80" s="60" t="n">
        <v>5560.15</v>
      </c>
      <c r="G80" s="47" t="s">
        <v>27</v>
      </c>
      <c r="H80" s="52" t="n">
        <f aca="false">6612.37/1.2</f>
        <v>5510.30833333333</v>
      </c>
      <c r="I80" s="53" t="n">
        <f aca="false">D80*H80</f>
        <v>418783.433333333</v>
      </c>
      <c r="J80" s="53" t="s">
        <v>28</v>
      </c>
      <c r="K80" s="52" t="n">
        <v>5580.04</v>
      </c>
      <c r="L80" s="53" t="n">
        <f aca="false">D80*K80</f>
        <v>424083.04</v>
      </c>
      <c r="M80" s="47" t="s">
        <v>29</v>
      </c>
      <c r="N80" s="52" t="n">
        <v>5607.97</v>
      </c>
      <c r="O80" s="53" t="n">
        <f aca="false">D80*N80</f>
        <v>426205.72</v>
      </c>
      <c r="P80" s="54" t="n">
        <f aca="false">AVERAGE(H80,K80,N80)</f>
        <v>5566.10611111111</v>
      </c>
      <c r="Q80" s="55" t="n">
        <f aca="false">F80*100/P80-100</f>
        <v>-0.107006783417617</v>
      </c>
      <c r="R80" s="54" t="n">
        <f aca="false">D80*F80</f>
        <v>422571.4</v>
      </c>
      <c r="S80" s="56"/>
      <c r="U80" s="57" t="n">
        <f aca="false">ROUND(H80*100/P80-100,0)</f>
        <v>-1</v>
      </c>
      <c r="V80" s="57" t="n">
        <f aca="false">ROUND(K80*100/P80-100,0)</f>
        <v>0</v>
      </c>
      <c r="W80" s="57" t="n">
        <f aca="false">ROUND(N80*100/P80-100,0)</f>
        <v>1</v>
      </c>
    </row>
    <row r="81" s="43" customFormat="true" ht="73.5" hidden="false" customHeight="true" outlineLevel="0" collapsed="false">
      <c r="A81" s="45" t="n">
        <v>75</v>
      </c>
      <c r="B81" s="46" t="s">
        <v>129</v>
      </c>
      <c r="C81" s="47" t="s">
        <v>25</v>
      </c>
      <c r="D81" s="48" t="n">
        <v>5</v>
      </c>
      <c r="E81" s="49" t="n">
        <v>316.82</v>
      </c>
      <c r="F81" s="60" t="n">
        <v>543.5</v>
      </c>
      <c r="G81" s="47" t="s">
        <v>27</v>
      </c>
      <c r="H81" s="52" t="n">
        <f aca="false">638.2/1.2</f>
        <v>531.833333333333</v>
      </c>
      <c r="I81" s="53" t="n">
        <f aca="false">D81*H81</f>
        <v>2659.16666666667</v>
      </c>
      <c r="J81" s="53" t="s">
        <v>28</v>
      </c>
      <c r="K81" s="52" t="n">
        <f aca="false">671.58/1.2</f>
        <v>559.65</v>
      </c>
      <c r="L81" s="53" t="n">
        <f aca="false">D81*K81</f>
        <v>2798.25</v>
      </c>
      <c r="M81" s="47" t="s">
        <v>29</v>
      </c>
      <c r="N81" s="52" t="n">
        <v>541.09</v>
      </c>
      <c r="O81" s="53" t="n">
        <f aca="false">D81*N81</f>
        <v>2705.45</v>
      </c>
      <c r="P81" s="54" t="n">
        <f aca="false">AVERAGE(H81,K81,N81)</f>
        <v>544.191111111111</v>
      </c>
      <c r="Q81" s="55" t="n">
        <f aca="false">F81*100/P81-100</f>
        <v>-0.126997868395904</v>
      </c>
      <c r="R81" s="54" t="n">
        <f aca="false">D81*F81</f>
        <v>2717.5</v>
      </c>
      <c r="S81" s="56"/>
      <c r="U81" s="57" t="n">
        <f aca="false">ROUND(H81*100/P81-100,0)</f>
        <v>-2</v>
      </c>
      <c r="V81" s="57" t="n">
        <f aca="false">ROUND(K81*100/P81-100,0)</f>
        <v>3</v>
      </c>
      <c r="W81" s="57" t="n">
        <f aca="false">ROUND(N81*100/P81-100,0)</f>
        <v>-1</v>
      </c>
    </row>
    <row r="82" s="43" customFormat="true" ht="73.5" hidden="false" customHeight="true" outlineLevel="0" collapsed="false">
      <c r="A82" s="45" t="n">
        <v>77</v>
      </c>
      <c r="B82" s="46" t="s">
        <v>130</v>
      </c>
      <c r="C82" s="47" t="s">
        <v>25</v>
      </c>
      <c r="D82" s="48" t="s">
        <v>131</v>
      </c>
      <c r="E82" s="49" t="s">
        <v>26</v>
      </c>
      <c r="F82" s="60" t="n">
        <v>0.94</v>
      </c>
      <c r="G82" s="47" t="s">
        <v>39</v>
      </c>
      <c r="H82" s="52" t="n">
        <f aca="false">88.7/100</f>
        <v>0.887</v>
      </c>
      <c r="I82" s="53" t="n">
        <f aca="false">D82*H82</f>
        <v>7096</v>
      </c>
      <c r="J82" s="47" t="s">
        <v>54</v>
      </c>
      <c r="K82" s="52" t="n">
        <v>0.94</v>
      </c>
      <c r="L82" s="53" t="n">
        <f aca="false">D82*K82</f>
        <v>7520</v>
      </c>
      <c r="M82" s="53" t="s">
        <v>41</v>
      </c>
      <c r="N82" s="52" t="n">
        <v>1.02</v>
      </c>
      <c r="O82" s="53" t="n">
        <f aca="false">D82*N82</f>
        <v>8160</v>
      </c>
      <c r="P82" s="54" t="n">
        <f aca="false">AVERAGE(H82,K82,N82)</f>
        <v>0.949</v>
      </c>
      <c r="Q82" s="55" t="n">
        <f aca="false">F82*100/P82-100</f>
        <v>-0.948366701791358</v>
      </c>
      <c r="R82" s="54" t="n">
        <f aca="false">D82*F82</f>
        <v>7520</v>
      </c>
      <c r="S82" s="56"/>
      <c r="U82" s="57" t="n">
        <f aca="false">ROUND(H82*100/P82-100,0)</f>
        <v>-7</v>
      </c>
      <c r="V82" s="57" t="n">
        <f aca="false">ROUND(K82*100/P82-100,0)</f>
        <v>-1</v>
      </c>
      <c r="W82" s="57" t="n">
        <f aca="false">ROUND(N82*100/P82-100,0)</f>
        <v>7</v>
      </c>
    </row>
    <row r="83" s="43" customFormat="true" ht="73.5" hidden="false" customHeight="true" outlineLevel="0" collapsed="false">
      <c r="A83" s="45" t="n">
        <v>78</v>
      </c>
      <c r="B83" s="46" t="s">
        <v>132</v>
      </c>
      <c r="C83" s="47" t="s">
        <v>25</v>
      </c>
      <c r="D83" s="48" t="n">
        <v>17</v>
      </c>
      <c r="E83" s="49" t="n">
        <v>506.55</v>
      </c>
      <c r="F83" s="60" t="n">
        <v>542.5</v>
      </c>
      <c r="G83" s="47" t="s">
        <v>27</v>
      </c>
      <c r="H83" s="52" t="n">
        <f aca="false">609.85/1.2</f>
        <v>508.208333333333</v>
      </c>
      <c r="I83" s="53" t="n">
        <f aca="false">D83*H83</f>
        <v>8639.54166666667</v>
      </c>
      <c r="J83" s="53" t="s">
        <v>28</v>
      </c>
      <c r="K83" s="52" t="n">
        <v>553.87</v>
      </c>
      <c r="L83" s="53" t="n">
        <f aca="false">D83*K83</f>
        <v>9415.79</v>
      </c>
      <c r="M83" s="47" t="s">
        <v>29</v>
      </c>
      <c r="N83" s="52" t="n">
        <v>567.42</v>
      </c>
      <c r="O83" s="53" t="n">
        <f aca="false">D83*N83</f>
        <v>9646.14</v>
      </c>
      <c r="P83" s="54" t="n">
        <f aca="false">AVERAGE(H83,K83,N83)</f>
        <v>543.166111111111</v>
      </c>
      <c r="Q83" s="55" t="n">
        <f aca="false">F83*100/P83-100</f>
        <v>-0.122634880469349</v>
      </c>
      <c r="R83" s="54" t="n">
        <f aca="false">D83*F83</f>
        <v>9222.5</v>
      </c>
      <c r="S83" s="63"/>
      <c r="U83" s="57" t="n">
        <f aca="false">ROUND(H83*100/P83-100,0)</f>
        <v>-6</v>
      </c>
      <c r="V83" s="57" t="n">
        <f aca="false">ROUND(K83*100/P83-100,0)</f>
        <v>2</v>
      </c>
      <c r="W83" s="57" t="n">
        <f aca="false">ROUND(N83*100/P83-100,0)</f>
        <v>4</v>
      </c>
    </row>
    <row r="84" s="43" customFormat="true" ht="73.5" hidden="true" customHeight="true" outlineLevel="0" collapsed="false">
      <c r="A84" s="45" t="n">
        <v>79</v>
      </c>
      <c r="B84" s="46" t="s">
        <v>133</v>
      </c>
      <c r="C84" s="47" t="s">
        <v>25</v>
      </c>
      <c r="D84" s="48" t="n">
        <v>10</v>
      </c>
      <c r="E84" s="49" t="n">
        <v>74.18</v>
      </c>
      <c r="F84" s="50" t="n">
        <v>37.5</v>
      </c>
      <c r="G84" s="47" t="s">
        <v>39</v>
      </c>
      <c r="H84" s="52" t="n">
        <v>33.14</v>
      </c>
      <c r="I84" s="53" t="n">
        <f aca="false">D84*H84</f>
        <v>331.4</v>
      </c>
      <c r="J84" s="47" t="s">
        <v>54</v>
      </c>
      <c r="K84" s="52" t="n">
        <v>39.51</v>
      </c>
      <c r="L84" s="53" t="n">
        <f aca="false">D84*K84</f>
        <v>395.1</v>
      </c>
      <c r="M84" s="47" t="s">
        <v>29</v>
      </c>
      <c r="N84" s="52" t="n">
        <v>40.06</v>
      </c>
      <c r="O84" s="53" t="n">
        <f aca="false">D84*N84</f>
        <v>400.6</v>
      </c>
      <c r="P84" s="54" t="n">
        <f aca="false">AVERAGE(H84,K84,N84)</f>
        <v>37.57</v>
      </c>
      <c r="Q84" s="55" t="n">
        <f aca="false">F84*100/P84-100</f>
        <v>-0.18631887143998</v>
      </c>
      <c r="R84" s="54" t="n">
        <f aca="false">D84*F84</f>
        <v>375</v>
      </c>
      <c r="S84" s="62" t="s">
        <v>116</v>
      </c>
      <c r="U84" s="57" t="n">
        <f aca="false">ROUND(H84*100/P84-100,0)</f>
        <v>-12</v>
      </c>
      <c r="V84" s="57" t="n">
        <f aca="false">ROUND(K84*100/P84-100,0)</f>
        <v>5</v>
      </c>
      <c r="W84" s="57" t="n">
        <f aca="false">ROUND(N84*100/P84-100,0)</f>
        <v>7</v>
      </c>
      <c r="Y84" s="43" t="n">
        <v>76</v>
      </c>
    </row>
    <row r="85" s="43" customFormat="true" ht="73.5" hidden="false" customHeight="true" outlineLevel="0" collapsed="false">
      <c r="A85" s="45" t="n">
        <v>80</v>
      </c>
      <c r="B85" s="46" t="s">
        <v>134</v>
      </c>
      <c r="C85" s="47" t="s">
        <v>25</v>
      </c>
      <c r="D85" s="48" t="n">
        <v>100</v>
      </c>
      <c r="E85" s="49" t="n">
        <v>85.13</v>
      </c>
      <c r="F85" s="60" t="n">
        <v>139</v>
      </c>
      <c r="G85" s="47" t="s">
        <v>27</v>
      </c>
      <c r="H85" s="52" t="n">
        <f aca="false">159.86/1.2</f>
        <v>133.216666666667</v>
      </c>
      <c r="I85" s="53" t="n">
        <f aca="false">D85*H85</f>
        <v>13321.6666666667</v>
      </c>
      <c r="J85" s="53" t="s">
        <v>28</v>
      </c>
      <c r="K85" s="52" t="n">
        <v>140.09</v>
      </c>
      <c r="L85" s="53" t="n">
        <f aca="false">D85*K85</f>
        <v>14009</v>
      </c>
      <c r="M85" s="47" t="s">
        <v>29</v>
      </c>
      <c r="N85" s="52" t="n">
        <v>145.05</v>
      </c>
      <c r="O85" s="53" t="n">
        <f aca="false">D85*N85</f>
        <v>14505</v>
      </c>
      <c r="P85" s="54" t="n">
        <f aca="false">AVERAGE(H85,K85,N85)</f>
        <v>139.452222222222</v>
      </c>
      <c r="Q85" s="55" t="n">
        <f aca="false">F85*100/P85-100</f>
        <v>-0.324284701251713</v>
      </c>
      <c r="R85" s="54" t="n">
        <f aca="false">D85*F85</f>
        <v>13900</v>
      </c>
      <c r="S85" s="63"/>
      <c r="U85" s="57" t="n">
        <f aca="false">ROUND(H85*100/P85-100,0)</f>
        <v>-4</v>
      </c>
      <c r="V85" s="57" t="n">
        <f aca="false">ROUND(K85*100/P85-100,0)</f>
        <v>0</v>
      </c>
      <c r="W85" s="57" t="n">
        <f aca="false">ROUND(N85*100/P85-100,0)</f>
        <v>4</v>
      </c>
    </row>
    <row r="86" s="43" customFormat="true" ht="73.5" hidden="false" customHeight="true" outlineLevel="0" collapsed="false">
      <c r="A86" s="45" t="n">
        <v>81</v>
      </c>
      <c r="B86" s="46" t="s">
        <v>135</v>
      </c>
      <c r="C86" s="47" t="s">
        <v>25</v>
      </c>
      <c r="D86" s="48" t="n">
        <v>10</v>
      </c>
      <c r="E86" s="49" t="n">
        <v>2783.91</v>
      </c>
      <c r="F86" s="60" t="n">
        <v>2928.4</v>
      </c>
      <c r="G86" s="47" t="s">
        <v>27</v>
      </c>
      <c r="H86" s="52" t="n">
        <f aca="false">3373.67/1.2</f>
        <v>2811.39166666667</v>
      </c>
      <c r="I86" s="53" t="n">
        <f aca="false">D86*H86</f>
        <v>28113.9166666667</v>
      </c>
      <c r="J86" s="53" t="s">
        <v>28</v>
      </c>
      <c r="K86" s="52" t="n">
        <f aca="false">3608.66/1.2</f>
        <v>3007.21666666667</v>
      </c>
      <c r="L86" s="53" t="n">
        <f aca="false">D86*K86</f>
        <v>30072.1666666667</v>
      </c>
      <c r="M86" s="47" t="s">
        <v>29</v>
      </c>
      <c r="N86" s="52" t="n">
        <v>2973.43</v>
      </c>
      <c r="O86" s="53" t="n">
        <f aca="false">D86*N86</f>
        <v>29734.3</v>
      </c>
      <c r="P86" s="54" t="n">
        <f aca="false">AVERAGE(H86,K86,N86)</f>
        <v>2930.67944444444</v>
      </c>
      <c r="Q86" s="55" t="n">
        <f aca="false">F86*100/P86-100</f>
        <v>-0.0777787024358929</v>
      </c>
      <c r="R86" s="54" t="n">
        <f aca="false">D86*F86</f>
        <v>29284</v>
      </c>
      <c r="S86" s="63"/>
      <c r="U86" s="57" t="n">
        <f aca="false">ROUND(H86*100/P86-100,0)</f>
        <v>-4</v>
      </c>
      <c r="V86" s="57" t="n">
        <f aca="false">ROUND(K86*100/P86-100,0)</f>
        <v>3</v>
      </c>
      <c r="W86" s="57" t="n">
        <f aca="false">ROUND(N86*100/P86-100,0)</f>
        <v>1</v>
      </c>
    </row>
    <row r="87" s="43" customFormat="true" ht="73.5" hidden="false" customHeight="true" outlineLevel="0" collapsed="false">
      <c r="A87" s="45" t="n">
        <v>82</v>
      </c>
      <c r="B87" s="46" t="s">
        <v>136</v>
      </c>
      <c r="C87" s="47" t="s">
        <v>25</v>
      </c>
      <c r="D87" s="48" t="n">
        <v>31</v>
      </c>
      <c r="E87" s="49" t="n">
        <v>9908.74</v>
      </c>
      <c r="F87" s="60" t="n">
        <v>10103.6</v>
      </c>
      <c r="G87" s="47" t="s">
        <v>27</v>
      </c>
      <c r="H87" s="52" t="n">
        <f aca="false">12295.88/1.2</f>
        <v>10246.5666666667</v>
      </c>
      <c r="I87" s="53" t="n">
        <f aca="false">D87*H87</f>
        <v>317643.566666667</v>
      </c>
      <c r="J87" s="53" t="s">
        <v>28</v>
      </c>
      <c r="K87" s="52" t="n">
        <f aca="false">11961.83/1.2</f>
        <v>9968.19166666667</v>
      </c>
      <c r="L87" s="53" t="n">
        <f aca="false">D87*K87</f>
        <v>309013.941666667</v>
      </c>
      <c r="M87" s="47" t="s">
        <v>29</v>
      </c>
      <c r="N87" s="52" t="n">
        <v>10105.82</v>
      </c>
      <c r="O87" s="53" t="n">
        <f aca="false">D87*N87</f>
        <v>313280.42</v>
      </c>
      <c r="P87" s="54" t="n">
        <f aca="false">AVERAGE(H87,K87,N87)</f>
        <v>10106.8594444444</v>
      </c>
      <c r="Q87" s="55" t="n">
        <f aca="false">F87*100/P87-100</f>
        <v>-0.032249824610318</v>
      </c>
      <c r="R87" s="54" t="n">
        <f aca="false">D87*F87</f>
        <v>313211.6</v>
      </c>
      <c r="S87" s="63"/>
      <c r="U87" s="57" t="n">
        <f aca="false">ROUND(H87*100/P87-100,0)</f>
        <v>1</v>
      </c>
      <c r="V87" s="57" t="n">
        <f aca="false">ROUND(K87*100/P87-100,0)</f>
        <v>-1</v>
      </c>
      <c r="W87" s="57" t="n">
        <f aca="false">ROUND(N87*100/P87-100,0)</f>
        <v>-0</v>
      </c>
    </row>
    <row r="88" s="43" customFormat="true" ht="73.5" hidden="false" customHeight="true" outlineLevel="0" collapsed="false">
      <c r="A88" s="45" t="n">
        <v>83</v>
      </c>
      <c r="B88" s="46" t="s">
        <v>137</v>
      </c>
      <c r="C88" s="47" t="s">
        <v>25</v>
      </c>
      <c r="D88" s="48" t="n">
        <v>48</v>
      </c>
      <c r="E88" s="49" t="n">
        <v>1270.67</v>
      </c>
      <c r="F88" s="60" t="n">
        <v>1361.15</v>
      </c>
      <c r="G88" s="47" t="s">
        <v>27</v>
      </c>
      <c r="H88" s="52" t="n">
        <f aca="false">1705.33/1.2</f>
        <v>1421.10833333333</v>
      </c>
      <c r="I88" s="53" t="n">
        <f aca="false">D88*H88</f>
        <v>68213.2</v>
      </c>
      <c r="J88" s="53" t="s">
        <v>28</v>
      </c>
      <c r="K88" s="52" t="n">
        <f aca="false">1553.32/1.2</f>
        <v>1294.43333333333</v>
      </c>
      <c r="L88" s="53" t="n">
        <f aca="false">D88*K88</f>
        <v>62132.8</v>
      </c>
      <c r="M88" s="47" t="s">
        <v>29</v>
      </c>
      <c r="N88" s="52" t="n">
        <v>1382.77</v>
      </c>
      <c r="O88" s="53" t="n">
        <f aca="false">D88*N88</f>
        <v>66372.96</v>
      </c>
      <c r="P88" s="54" t="n">
        <f aca="false">AVERAGE(H88,K88,N88)</f>
        <v>1366.10388888889</v>
      </c>
      <c r="Q88" s="55" t="n">
        <f aca="false">F88*100/P88-100</f>
        <v>-0.362629001291992</v>
      </c>
      <c r="R88" s="54" t="n">
        <f aca="false">D88*F88</f>
        <v>65335.2</v>
      </c>
      <c r="S88" s="63"/>
      <c r="U88" s="57" t="n">
        <f aca="false">ROUND(H88*100/P88-100,0)</f>
        <v>4</v>
      </c>
      <c r="V88" s="57" t="n">
        <f aca="false">ROUND(K88*100/P88-100,0)</f>
        <v>-5</v>
      </c>
      <c r="W88" s="57" t="n">
        <f aca="false">ROUND(N88*100/P88-100,0)</f>
        <v>1</v>
      </c>
    </row>
    <row r="89" s="43" customFormat="true" ht="73.5" hidden="false" customHeight="true" outlineLevel="0" collapsed="false">
      <c r="A89" s="45" t="n">
        <v>84</v>
      </c>
      <c r="B89" s="46" t="s">
        <v>138</v>
      </c>
      <c r="C89" s="47" t="s">
        <v>25</v>
      </c>
      <c r="D89" s="48" t="n">
        <v>75</v>
      </c>
      <c r="E89" s="49" t="n">
        <v>118.26</v>
      </c>
      <c r="F89" s="60" t="n">
        <v>163.1</v>
      </c>
      <c r="G89" s="47" t="s">
        <v>27</v>
      </c>
      <c r="H89" s="52" t="n">
        <f aca="false">194.31/1.2</f>
        <v>161.925</v>
      </c>
      <c r="I89" s="53" t="n">
        <f aca="false">D89*H89</f>
        <v>12144.375</v>
      </c>
      <c r="J89" s="53" t="s">
        <v>28</v>
      </c>
      <c r="K89" s="52" t="n">
        <v>159.03</v>
      </c>
      <c r="L89" s="53" t="n">
        <f aca="false">D89*K89</f>
        <v>11927.25</v>
      </c>
      <c r="M89" s="47" t="s">
        <v>29</v>
      </c>
      <c r="N89" s="52" t="n">
        <v>168.77</v>
      </c>
      <c r="O89" s="53" t="n">
        <f aca="false">D89*N89</f>
        <v>12657.75</v>
      </c>
      <c r="P89" s="54" t="n">
        <f aca="false">AVERAGE(H89,K89,N89)</f>
        <v>163.241666666667</v>
      </c>
      <c r="Q89" s="55" t="n">
        <f aca="false">F89*100/P89-100</f>
        <v>-0.0867833988462934</v>
      </c>
      <c r="R89" s="54" t="n">
        <f aca="false">D89*F89</f>
        <v>12232.5</v>
      </c>
      <c r="S89" s="63"/>
      <c r="U89" s="57" t="n">
        <f aca="false">ROUND(H89*100/P89-100,0)</f>
        <v>-1</v>
      </c>
      <c r="V89" s="57" t="n">
        <f aca="false">ROUND(K89*100/P89-100,0)</f>
        <v>-3</v>
      </c>
      <c r="W89" s="57" t="n">
        <f aca="false">ROUND(N89*100/P89-100,0)</f>
        <v>3</v>
      </c>
    </row>
    <row r="90" s="43" customFormat="true" ht="73.5" hidden="false" customHeight="true" outlineLevel="0" collapsed="false">
      <c r="A90" s="45" t="n">
        <v>85</v>
      </c>
      <c r="B90" s="46" t="s">
        <v>139</v>
      </c>
      <c r="C90" s="47" t="s">
        <v>25</v>
      </c>
      <c r="D90" s="48" t="n">
        <v>75</v>
      </c>
      <c r="E90" s="49" t="n">
        <v>108.73</v>
      </c>
      <c r="F90" s="60" t="n">
        <v>134.2</v>
      </c>
      <c r="G90" s="47" t="s">
        <v>27</v>
      </c>
      <c r="H90" s="52" t="n">
        <f aca="false">157.25/1.2</f>
        <v>131.041666666667</v>
      </c>
      <c r="I90" s="53" t="n">
        <f aca="false">D90*H90</f>
        <v>9828.125</v>
      </c>
      <c r="J90" s="53" t="s">
        <v>28</v>
      </c>
      <c r="K90" s="52" t="n">
        <v>138.74</v>
      </c>
      <c r="L90" s="53" t="n">
        <f aca="false">D90*K90</f>
        <v>10405.5</v>
      </c>
      <c r="M90" s="47" t="s">
        <v>29</v>
      </c>
      <c r="N90" s="52" t="n">
        <v>135.51</v>
      </c>
      <c r="O90" s="53" t="n">
        <f aca="false">D90*N90</f>
        <v>10163.25</v>
      </c>
      <c r="P90" s="54" t="n">
        <f aca="false">AVERAGE(H90,K90,N90)</f>
        <v>135.097222222222</v>
      </c>
      <c r="Q90" s="55" t="n">
        <f aca="false">F90*100/P90-100</f>
        <v>-0.664130770021615</v>
      </c>
      <c r="R90" s="54" t="n">
        <f aca="false">D90*F90</f>
        <v>10065</v>
      </c>
      <c r="S90" s="56"/>
      <c r="U90" s="57" t="n">
        <f aca="false">ROUND(H90*100/P90-100,0)</f>
        <v>-3</v>
      </c>
      <c r="V90" s="57" t="n">
        <f aca="false">ROUND(K90*100/P90-100,0)</f>
        <v>3</v>
      </c>
      <c r="W90" s="57" t="n">
        <f aca="false">ROUND(N90*100/P90-100,0)</f>
        <v>0</v>
      </c>
    </row>
    <row r="91" s="43" customFormat="true" ht="73.5" hidden="false" customHeight="true" outlineLevel="0" collapsed="false">
      <c r="A91" s="45" t="n">
        <v>86</v>
      </c>
      <c r="B91" s="46" t="s">
        <v>140</v>
      </c>
      <c r="C91" s="47" t="s">
        <v>25</v>
      </c>
      <c r="D91" s="48" t="s">
        <v>141</v>
      </c>
      <c r="E91" s="49" t="s">
        <v>142</v>
      </c>
      <c r="F91" s="60" t="n">
        <v>1361.34</v>
      </c>
      <c r="G91" s="47" t="s">
        <v>27</v>
      </c>
      <c r="H91" s="52" t="n">
        <f aca="false">1705.33/1.2</f>
        <v>1421.10833333333</v>
      </c>
      <c r="I91" s="53" t="n">
        <f aca="false">D91*H91</f>
        <v>29843.275</v>
      </c>
      <c r="J91" s="53" t="s">
        <v>28</v>
      </c>
      <c r="K91" s="52" t="n">
        <f aca="false">1553.32/1.2</f>
        <v>1294.43333333333</v>
      </c>
      <c r="L91" s="53" t="n">
        <f aca="false">D91*K91</f>
        <v>27183.1</v>
      </c>
      <c r="M91" s="47" t="s">
        <v>29</v>
      </c>
      <c r="N91" s="52" t="n">
        <v>1382.77</v>
      </c>
      <c r="O91" s="53" t="n">
        <f aca="false">D91*N91</f>
        <v>29038.17</v>
      </c>
      <c r="P91" s="54" t="n">
        <f aca="false">AVERAGE(H91,K91,N91)</f>
        <v>1366.10388888889</v>
      </c>
      <c r="Q91" s="55" t="n">
        <f aca="false">F91*100/P91-100</f>
        <v>-0.348720835043039</v>
      </c>
      <c r="R91" s="54" t="n">
        <f aca="false">D91*F91</f>
        <v>28588.14</v>
      </c>
      <c r="S91" s="56"/>
      <c r="U91" s="57" t="n">
        <f aca="false">ROUND(H91*100/P91-100,0)</f>
        <v>4</v>
      </c>
      <c r="V91" s="57" t="n">
        <f aca="false">ROUND(K91*100/P91-100,0)</f>
        <v>-5</v>
      </c>
      <c r="W91" s="57" t="n">
        <f aca="false">ROUND(N91*100/P91-100,0)</f>
        <v>1</v>
      </c>
    </row>
    <row r="92" s="43" customFormat="true" ht="73.5" hidden="false" customHeight="true" outlineLevel="0" collapsed="false">
      <c r="A92" s="45" t="n">
        <v>87</v>
      </c>
      <c r="B92" s="46" t="s">
        <v>143</v>
      </c>
      <c r="C92" s="47" t="s">
        <v>25</v>
      </c>
      <c r="D92" s="48" t="n">
        <v>274</v>
      </c>
      <c r="E92" s="49" t="n">
        <v>1481.84</v>
      </c>
      <c r="F92" s="60" t="n">
        <v>1765.2</v>
      </c>
      <c r="G92" s="47" t="s">
        <v>27</v>
      </c>
      <c r="H92" s="52" t="n">
        <f aca="false">2103.82/1.2</f>
        <v>1753.18333333333</v>
      </c>
      <c r="I92" s="53" t="n">
        <f aca="false">D92*H92</f>
        <v>480372.233333333</v>
      </c>
      <c r="J92" s="53" t="s">
        <v>28</v>
      </c>
      <c r="K92" s="52" t="n">
        <v>1799.62</v>
      </c>
      <c r="L92" s="53" t="n">
        <f aca="false">D92*K92</f>
        <v>493095.88</v>
      </c>
      <c r="M92" s="47" t="s">
        <v>29</v>
      </c>
      <c r="N92" s="52" t="n">
        <v>1751.94</v>
      </c>
      <c r="O92" s="53" t="n">
        <f aca="false">D92*N92</f>
        <v>480031.56</v>
      </c>
      <c r="P92" s="54" t="n">
        <f aca="false">AVERAGE(H92,K92,N92)</f>
        <v>1768.24777777778</v>
      </c>
      <c r="Q92" s="55" t="n">
        <f aca="false">F92*100/P92-100</f>
        <v>-0.172361465179279</v>
      </c>
      <c r="R92" s="54" t="n">
        <f aca="false">D92*F92</f>
        <v>483664.8</v>
      </c>
      <c r="S92" s="56"/>
      <c r="U92" s="57" t="n">
        <f aca="false">ROUND(H92*100/P92-100,0)</f>
        <v>-1</v>
      </c>
      <c r="V92" s="57" t="n">
        <f aca="false">ROUND(K92*100/P92-100,0)</f>
        <v>2</v>
      </c>
      <c r="W92" s="57" t="n">
        <f aca="false">ROUND(N92*100/P92-100,0)</f>
        <v>-1</v>
      </c>
    </row>
    <row r="93" s="43" customFormat="true" ht="73.5" hidden="false" customHeight="true" outlineLevel="0" collapsed="false">
      <c r="A93" s="45" t="n">
        <v>88</v>
      </c>
      <c r="B93" s="46" t="s">
        <v>144</v>
      </c>
      <c r="C93" s="47" t="s">
        <v>25</v>
      </c>
      <c r="D93" s="48" t="n">
        <v>50</v>
      </c>
      <c r="E93" s="49" t="n">
        <v>839.17</v>
      </c>
      <c r="F93" s="60" t="n">
        <v>832</v>
      </c>
      <c r="G93" s="47" t="s">
        <v>27</v>
      </c>
      <c r="H93" s="52" t="n">
        <f aca="false">983.07/1.2</f>
        <v>819.225</v>
      </c>
      <c r="I93" s="53" t="n">
        <f aca="false">D93*H93</f>
        <v>40961.25</v>
      </c>
      <c r="J93" s="53" t="s">
        <v>28</v>
      </c>
      <c r="K93" s="52" t="n">
        <v>825.76</v>
      </c>
      <c r="L93" s="53" t="n">
        <f aca="false">D93*K93</f>
        <v>41288</v>
      </c>
      <c r="M93" s="47" t="s">
        <v>29</v>
      </c>
      <c r="N93" s="52" t="n">
        <v>857.11</v>
      </c>
      <c r="O93" s="53" t="n">
        <f aca="false">D93*N93</f>
        <v>42855.5</v>
      </c>
      <c r="P93" s="54" t="n">
        <f aca="false">AVERAGE(H93,K93,N93)</f>
        <v>834.031666666667</v>
      </c>
      <c r="Q93" s="55" t="n">
        <f aca="false">F93*100/P93-100</f>
        <v>-0.243595866663739</v>
      </c>
      <c r="R93" s="54" t="n">
        <f aca="false">D93*F93</f>
        <v>41600</v>
      </c>
      <c r="S93" s="56"/>
      <c r="U93" s="57" t="n">
        <f aca="false">ROUND(H93*100/P93-100,0)</f>
        <v>-2</v>
      </c>
      <c r="V93" s="57" t="n">
        <f aca="false">ROUND(K93*100/P93-100,0)</f>
        <v>-1</v>
      </c>
      <c r="W93" s="57" t="n">
        <f aca="false">ROUND(N93*100/P93-100,0)</f>
        <v>3</v>
      </c>
    </row>
    <row r="94" s="43" customFormat="true" ht="73.5" hidden="false" customHeight="true" outlineLevel="0" collapsed="false">
      <c r="A94" s="45" t="n">
        <v>89</v>
      </c>
      <c r="B94" s="46" t="s">
        <v>145</v>
      </c>
      <c r="C94" s="47" t="s">
        <v>25</v>
      </c>
      <c r="D94" s="48" t="n">
        <v>459</v>
      </c>
      <c r="E94" s="49" t="n">
        <v>1644.39</v>
      </c>
      <c r="F94" s="60" t="n">
        <v>1660.5</v>
      </c>
      <c r="G94" s="47" t="s">
        <v>27</v>
      </c>
      <c r="H94" s="52" t="n">
        <f aca="false">1972.84/1.2</f>
        <v>1644.03333333333</v>
      </c>
      <c r="I94" s="53" t="n">
        <f aca="false">D94*H94</f>
        <v>754611.3</v>
      </c>
      <c r="J94" s="53" t="s">
        <v>28</v>
      </c>
      <c r="K94" s="52" t="n">
        <v>1689.93</v>
      </c>
      <c r="L94" s="53" t="n">
        <f aca="false">D94*K94</f>
        <v>775677.87</v>
      </c>
      <c r="M94" s="47" t="s">
        <v>29</v>
      </c>
      <c r="N94" s="52" t="n">
        <v>1650.69</v>
      </c>
      <c r="O94" s="53" t="n">
        <f aca="false">D94*N94</f>
        <v>757666.71</v>
      </c>
      <c r="P94" s="54" t="n">
        <f aca="false">AVERAGE(H94,K94,N94)</f>
        <v>1661.55111111111</v>
      </c>
      <c r="Q94" s="55" t="n">
        <f aca="false">F94*100/P94-100</f>
        <v>-0.0632608352570117</v>
      </c>
      <c r="R94" s="54" t="n">
        <f aca="false">D94*F94</f>
        <v>762169.5</v>
      </c>
      <c r="S94" s="56"/>
      <c r="U94" s="57" t="n">
        <f aca="false">ROUND(H94*100/P94-100,0)</f>
        <v>-1</v>
      </c>
      <c r="V94" s="57" t="n">
        <f aca="false">ROUND(K94*100/P94-100,0)</f>
        <v>2</v>
      </c>
      <c r="W94" s="57" t="n">
        <f aca="false">ROUND(N94*100/P94-100,0)</f>
        <v>-1</v>
      </c>
    </row>
    <row r="95" s="43" customFormat="true" ht="73.5" hidden="false" customHeight="true" outlineLevel="0" collapsed="false">
      <c r="A95" s="45" t="n">
        <v>90</v>
      </c>
      <c r="B95" s="46" t="s">
        <v>146</v>
      </c>
      <c r="C95" s="47" t="s">
        <v>147</v>
      </c>
      <c r="D95" s="48" t="n">
        <v>50</v>
      </c>
      <c r="E95" s="49" t="n">
        <v>109.43</v>
      </c>
      <c r="F95" s="60" t="n">
        <v>130.9</v>
      </c>
      <c r="G95" s="51" t="s">
        <v>90</v>
      </c>
      <c r="H95" s="52" t="n">
        <f aca="false">148.16/1.2</f>
        <v>123.466666666667</v>
      </c>
      <c r="I95" s="53" t="n">
        <f aca="false">H95*D95</f>
        <v>6173.33333333333</v>
      </c>
      <c r="J95" s="51" t="s">
        <v>148</v>
      </c>
      <c r="K95" s="52" t="n">
        <f aca="false">151.19/1.2</f>
        <v>125.991666666667</v>
      </c>
      <c r="L95" s="53" t="n">
        <f aca="false">D95*K95</f>
        <v>6299.58333333333</v>
      </c>
      <c r="M95" s="51" t="s">
        <v>149</v>
      </c>
      <c r="N95" s="52" t="n">
        <f aca="false">173.44/1.2</f>
        <v>144.533333333333</v>
      </c>
      <c r="O95" s="53" t="n">
        <f aca="false">D95*N95</f>
        <v>7226.66666666667</v>
      </c>
      <c r="P95" s="54" t="n">
        <f aca="false">AVERAGE(H95,K95,N95)</f>
        <v>131.330555555556</v>
      </c>
      <c r="Q95" s="55" t="n">
        <f aca="false">F95*100/P95-100</f>
        <v>-0.327841113390718</v>
      </c>
      <c r="R95" s="54" t="n">
        <f aca="false">D95*F95</f>
        <v>6545</v>
      </c>
      <c r="S95" s="56"/>
      <c r="U95" s="57" t="n">
        <f aca="false">ROUND(H95*100/P95-100,0)</f>
        <v>-6</v>
      </c>
      <c r="V95" s="57" t="n">
        <f aca="false">ROUND(K95*100/P95-100,0)</f>
        <v>-4</v>
      </c>
      <c r="W95" s="57" t="n">
        <f aca="false">ROUND(N95*100/P95-100,0)</f>
        <v>10</v>
      </c>
    </row>
    <row r="96" s="43" customFormat="true" ht="73.5" hidden="false" customHeight="true" outlineLevel="0" collapsed="false">
      <c r="A96" s="45" t="n">
        <v>91</v>
      </c>
      <c r="B96" s="46" t="s">
        <v>150</v>
      </c>
      <c r="C96" s="47" t="s">
        <v>147</v>
      </c>
      <c r="D96" s="48" t="n">
        <v>20</v>
      </c>
      <c r="E96" s="49" t="n">
        <v>242.15</v>
      </c>
      <c r="F96" s="60" t="n">
        <v>256.7</v>
      </c>
      <c r="G96" s="51" t="s">
        <v>90</v>
      </c>
      <c r="H96" s="52" t="n">
        <f aca="false">327.19/1.2</f>
        <v>272.658333333333</v>
      </c>
      <c r="I96" s="53" t="n">
        <f aca="false">H96*D96</f>
        <v>5453.16666666667</v>
      </c>
      <c r="J96" s="51" t="s">
        <v>148</v>
      </c>
      <c r="K96" s="52" t="n">
        <f aca="false">297.67/1.2</f>
        <v>248.058333333333</v>
      </c>
      <c r="L96" s="53" t="n">
        <f aca="false">D96*K96</f>
        <v>4961.16666666667</v>
      </c>
      <c r="M96" s="51" t="s">
        <v>149</v>
      </c>
      <c r="N96" s="52" t="n">
        <f aca="false">305.74/1.2</f>
        <v>254.783333333333</v>
      </c>
      <c r="O96" s="53" t="n">
        <f aca="false">D96*N96</f>
        <v>5095.66666666667</v>
      </c>
      <c r="P96" s="54" t="n">
        <f aca="false">AVERAGE(H96,K96,N96)</f>
        <v>258.5</v>
      </c>
      <c r="Q96" s="55" t="n">
        <f aca="false">F96*100/P96-100</f>
        <v>-0.696324951644129</v>
      </c>
      <c r="R96" s="54" t="n">
        <f aca="false">D96*F96</f>
        <v>5134</v>
      </c>
      <c r="S96" s="56"/>
      <c r="U96" s="57" t="n">
        <f aca="false">ROUND(H96*100/P96-100,0)</f>
        <v>5</v>
      </c>
      <c r="V96" s="57" t="n">
        <f aca="false">ROUND(K96*100/P96-100,0)</f>
        <v>-4</v>
      </c>
      <c r="W96" s="57" t="n">
        <f aca="false">ROUND(N96*100/P96-100,0)</f>
        <v>-1</v>
      </c>
    </row>
    <row r="97" s="43" customFormat="true" ht="73.5" hidden="false" customHeight="true" outlineLevel="0" collapsed="false">
      <c r="A97" s="45" t="n">
        <v>92</v>
      </c>
      <c r="B97" s="46" t="s">
        <v>151</v>
      </c>
      <c r="C97" s="47" t="s">
        <v>147</v>
      </c>
      <c r="D97" s="48" t="n">
        <v>50</v>
      </c>
      <c r="E97" s="49" t="n">
        <v>3006.84</v>
      </c>
      <c r="F97" s="60" t="n">
        <v>3181.4</v>
      </c>
      <c r="G97" s="51" t="s">
        <v>90</v>
      </c>
      <c r="H97" s="52" t="n">
        <f aca="false">3780.88/1.2</f>
        <v>3150.73333333333</v>
      </c>
      <c r="I97" s="53" t="n">
        <f aca="false">H97*D97</f>
        <v>157536.666666667</v>
      </c>
      <c r="J97" s="51" t="s">
        <v>148</v>
      </c>
      <c r="K97" s="52" t="n">
        <f aca="false">3719.2/1.2</f>
        <v>3099.33333333333</v>
      </c>
      <c r="L97" s="53" t="n">
        <f aca="false">D97*K97</f>
        <v>154966.666666667</v>
      </c>
      <c r="M97" s="51" t="s">
        <v>149</v>
      </c>
      <c r="N97" s="52" t="n">
        <f aca="false">3960.29/1.2</f>
        <v>3300.24166666667</v>
      </c>
      <c r="O97" s="53" t="n">
        <f aca="false">D97*N97</f>
        <v>165012.083333333</v>
      </c>
      <c r="P97" s="54" t="n">
        <f aca="false">AVERAGE(H97,K97,N97)</f>
        <v>3183.43611111111</v>
      </c>
      <c r="Q97" s="55" t="n">
        <f aca="false">F97*100/P97-100</f>
        <v>-0.0639595405733076</v>
      </c>
      <c r="R97" s="54" t="n">
        <f aca="false">D97*F97</f>
        <v>159070</v>
      </c>
      <c r="S97" s="56"/>
      <c r="U97" s="57" t="n">
        <f aca="false">ROUND(H97*100/P97-100,0)</f>
        <v>-1</v>
      </c>
      <c r="V97" s="57" t="n">
        <f aca="false">ROUND(K97*100/P97-100,0)</f>
        <v>-3</v>
      </c>
      <c r="W97" s="57" t="n">
        <f aca="false">ROUND(N97*100/P97-100,0)</f>
        <v>4</v>
      </c>
    </row>
    <row r="98" s="43" customFormat="true" ht="73.5" hidden="false" customHeight="true" outlineLevel="0" collapsed="false">
      <c r="A98" s="45" t="n">
        <v>93</v>
      </c>
      <c r="B98" s="46" t="s">
        <v>152</v>
      </c>
      <c r="C98" s="47" t="s">
        <v>147</v>
      </c>
      <c r="D98" s="48" t="n">
        <v>20</v>
      </c>
      <c r="E98" s="49" t="n">
        <v>317.14</v>
      </c>
      <c r="F98" s="60" t="n">
        <v>348.66</v>
      </c>
      <c r="G98" s="51" t="s">
        <v>90</v>
      </c>
      <c r="H98" s="52" t="n">
        <f aca="false">424.93/1.2</f>
        <v>354.108333333333</v>
      </c>
      <c r="I98" s="53" t="n">
        <f aca="false">H98*D98</f>
        <v>7082.16666666667</v>
      </c>
      <c r="J98" s="51" t="s">
        <v>148</v>
      </c>
      <c r="K98" s="52" t="n">
        <f aca="false">387.54/1.2</f>
        <v>322.95</v>
      </c>
      <c r="L98" s="53" t="n">
        <f aca="false">D98*K98</f>
        <v>6459</v>
      </c>
      <c r="M98" s="51" t="s">
        <v>149</v>
      </c>
      <c r="N98" s="52" t="n">
        <f aca="false">450.43/1.2</f>
        <v>375.358333333333</v>
      </c>
      <c r="O98" s="53" t="n">
        <f aca="false">D98*N98</f>
        <v>7507.16666666667</v>
      </c>
      <c r="P98" s="54" t="n">
        <f aca="false">AVERAGE(H98,K98,N98)</f>
        <v>350.805555555556</v>
      </c>
      <c r="Q98" s="55" t="n">
        <f aca="false">F98*100/P98-100</f>
        <v>-0.611608203341532</v>
      </c>
      <c r="R98" s="54" t="n">
        <f aca="false">D98*F98</f>
        <v>6973.2</v>
      </c>
      <c r="S98" s="56"/>
      <c r="U98" s="57" t="n">
        <f aca="false">ROUND(H98*100/P98-100,0)</f>
        <v>1</v>
      </c>
      <c r="V98" s="57" t="n">
        <f aca="false">ROUND(K98*100/P98-100,0)</f>
        <v>-8</v>
      </c>
      <c r="W98" s="57" t="n">
        <f aca="false">ROUND(N98*100/P98-100,0)</f>
        <v>7</v>
      </c>
    </row>
    <row r="99" s="43" customFormat="true" ht="92.25" hidden="false" customHeight="true" outlineLevel="0" collapsed="false">
      <c r="A99" s="45" t="n">
        <v>94</v>
      </c>
      <c r="B99" s="46" t="s">
        <v>153</v>
      </c>
      <c r="C99" s="47" t="s">
        <v>154</v>
      </c>
      <c r="D99" s="48" t="n">
        <v>0.5</v>
      </c>
      <c r="E99" s="49" t="s">
        <v>26</v>
      </c>
      <c r="F99" s="60" t="n">
        <f aca="false">253.56*1000</f>
        <v>253560</v>
      </c>
      <c r="G99" s="51" t="s">
        <v>90</v>
      </c>
      <c r="H99" s="52" t="n">
        <f aca="false">327.58/1.2*1000</f>
        <v>272983.333333333</v>
      </c>
      <c r="I99" s="53" t="n">
        <f aca="false">H99*D99</f>
        <v>136491.666666667</v>
      </c>
      <c r="J99" s="51" t="s">
        <v>148</v>
      </c>
      <c r="K99" s="52" t="n">
        <f aca="false">286.76/1.2*1000</f>
        <v>238966.666666667</v>
      </c>
      <c r="L99" s="53" t="n">
        <f aca="false">D99*K99</f>
        <v>119483.333333333</v>
      </c>
      <c r="M99" s="51" t="s">
        <v>149</v>
      </c>
      <c r="N99" s="52" t="n">
        <f aca="false">300.53/1.2*1000</f>
        <v>250441.666666667</v>
      </c>
      <c r="O99" s="53" t="n">
        <f aca="false">D99*N99</f>
        <v>125220.833333333</v>
      </c>
      <c r="P99" s="54" t="n">
        <f aca="false">AVERAGE(H99,K99,N99)</f>
        <v>254130.555555556</v>
      </c>
      <c r="Q99" s="55" t="n">
        <f aca="false">F99*100/P99-100</f>
        <v>-0.224512772306468</v>
      </c>
      <c r="R99" s="54" t="n">
        <f aca="false">D99*F99</f>
        <v>126780</v>
      </c>
      <c r="S99" s="56"/>
      <c r="U99" s="57" t="n">
        <f aca="false">ROUND(H99*100/P99-100,0)</f>
        <v>7</v>
      </c>
      <c r="V99" s="57" t="n">
        <f aca="false">ROUND(K99*100/P99-100,0)</f>
        <v>-6</v>
      </c>
      <c r="W99" s="57" t="n">
        <f aca="false">ROUND(N99*100/P99-100,0)</f>
        <v>-1</v>
      </c>
    </row>
    <row r="100" s="43" customFormat="true" ht="73.5" hidden="false" customHeight="true" outlineLevel="0" collapsed="false">
      <c r="A100" s="45" t="n">
        <v>95</v>
      </c>
      <c r="B100" s="46" t="s">
        <v>155</v>
      </c>
      <c r="C100" s="47" t="s">
        <v>25</v>
      </c>
      <c r="D100" s="48" t="n">
        <v>4</v>
      </c>
      <c r="E100" s="49" t="s">
        <v>26</v>
      </c>
      <c r="F100" s="60" t="n">
        <v>122.9</v>
      </c>
      <c r="G100" s="47" t="s">
        <v>27</v>
      </c>
      <c r="H100" s="52" t="n">
        <f aca="false">142.75/1.2</f>
        <v>118.958333333333</v>
      </c>
      <c r="I100" s="53" t="n">
        <f aca="false">D100*H100</f>
        <v>475.833333333333</v>
      </c>
      <c r="J100" s="53" t="s">
        <v>28</v>
      </c>
      <c r="K100" s="52" t="n">
        <v>122.36</v>
      </c>
      <c r="L100" s="53" t="n">
        <f aca="false">D100*K100</f>
        <v>489.44</v>
      </c>
      <c r="M100" s="47" t="s">
        <v>29</v>
      </c>
      <c r="N100" s="52" t="n">
        <v>129.47</v>
      </c>
      <c r="O100" s="53" t="n">
        <f aca="false">D100*N100</f>
        <v>517.88</v>
      </c>
      <c r="P100" s="54" t="n">
        <f aca="false">AVERAGE(H100,K100,N100)</f>
        <v>123.596111111111</v>
      </c>
      <c r="Q100" s="55" t="n">
        <f aca="false">F100*100/P100-100</f>
        <v>-0.563214412535459</v>
      </c>
      <c r="R100" s="54" t="n">
        <f aca="false">D100*F100</f>
        <v>491.6</v>
      </c>
      <c r="S100" s="56"/>
      <c r="U100" s="57" t="n">
        <f aca="false">ROUND(H100*100/P100-100,0)</f>
        <v>-4</v>
      </c>
      <c r="V100" s="57" t="n">
        <f aca="false">ROUND(K100*100/P100-100,0)</f>
        <v>-1</v>
      </c>
      <c r="W100" s="57" t="n">
        <f aca="false">ROUND(N100*100/P100-100,0)</f>
        <v>5</v>
      </c>
    </row>
    <row r="101" s="43" customFormat="true" ht="73.5" hidden="false" customHeight="true" outlineLevel="0" collapsed="false">
      <c r="A101" s="45" t="n">
        <v>96</v>
      </c>
      <c r="B101" s="46" t="s">
        <v>156</v>
      </c>
      <c r="C101" s="47" t="s">
        <v>25</v>
      </c>
      <c r="D101" s="48" t="s">
        <v>157</v>
      </c>
      <c r="E101" s="49" t="s">
        <v>26</v>
      </c>
      <c r="F101" s="60" t="n">
        <v>296587.13</v>
      </c>
      <c r="G101" s="47" t="s">
        <v>56</v>
      </c>
      <c r="H101" s="52" t="n">
        <v>291473.5</v>
      </c>
      <c r="I101" s="53" t="n">
        <f aca="false">D101*H101</f>
        <v>1457367.5</v>
      </c>
      <c r="J101" s="47" t="s">
        <v>57</v>
      </c>
      <c r="K101" s="52" t="n">
        <v>301685</v>
      </c>
      <c r="L101" s="53" t="n">
        <f aca="false">D101*K101</f>
        <v>1508425</v>
      </c>
      <c r="M101" s="47" t="s">
        <v>119</v>
      </c>
      <c r="N101" s="52" t="n">
        <v>298069</v>
      </c>
      <c r="O101" s="53" t="n">
        <f aca="false">D101*N101</f>
        <v>1490345</v>
      </c>
      <c r="P101" s="54" t="n">
        <f aca="false">AVERAGE(H101,K101,N101)</f>
        <v>297075.833333333</v>
      </c>
      <c r="Q101" s="55" t="n">
        <f aca="false">F101*100/P101-100</f>
        <v>-0.164504573748005</v>
      </c>
      <c r="R101" s="54" t="n">
        <f aca="false">D101*F101</f>
        <v>1482935.65</v>
      </c>
      <c r="S101" s="56"/>
      <c r="U101" s="57" t="n">
        <f aca="false">ROUND(H101*100/P101-100,0)</f>
        <v>-2</v>
      </c>
      <c r="V101" s="57" t="n">
        <f aca="false">ROUND(K101*100/P101-100,0)</f>
        <v>2</v>
      </c>
      <c r="W101" s="57" t="n">
        <f aca="false">ROUND(N101*100/P101-100,0)</f>
        <v>0</v>
      </c>
    </row>
    <row r="102" s="43" customFormat="true" ht="73.5" hidden="false" customHeight="true" outlineLevel="0" collapsed="false">
      <c r="A102" s="45" t="n">
        <v>97</v>
      </c>
      <c r="B102" s="46" t="s">
        <v>158</v>
      </c>
      <c r="C102" s="47" t="s">
        <v>25</v>
      </c>
      <c r="D102" s="48" t="n">
        <v>39</v>
      </c>
      <c r="E102" s="49" t="s">
        <v>26</v>
      </c>
      <c r="F102" s="60" t="n">
        <v>104.2</v>
      </c>
      <c r="G102" s="47" t="s">
        <v>27</v>
      </c>
      <c r="H102" s="52" t="n">
        <f aca="false">120.19/1.2</f>
        <v>100.158333333333</v>
      </c>
      <c r="I102" s="53" t="n">
        <f aca="false">D102*H102</f>
        <v>3906.175</v>
      </c>
      <c r="J102" s="53" t="s">
        <v>28</v>
      </c>
      <c r="K102" s="52" t="n">
        <v>97.82</v>
      </c>
      <c r="L102" s="53" t="n">
        <f aca="false">D102*K102</f>
        <v>3814.98</v>
      </c>
      <c r="M102" s="47" t="s">
        <v>29</v>
      </c>
      <c r="N102" s="52" t="n">
        <v>115.39</v>
      </c>
      <c r="O102" s="53" t="n">
        <f aca="false">D102*N102</f>
        <v>4500.21</v>
      </c>
      <c r="P102" s="54" t="n">
        <f aca="false">AVERAGE(H102,K102,N102)</f>
        <v>104.456111111111</v>
      </c>
      <c r="Q102" s="55" t="n">
        <f aca="false">F102*100/P102-100</f>
        <v>-0.245185378229024</v>
      </c>
      <c r="R102" s="54" t="n">
        <f aca="false">D102*F102</f>
        <v>4063.8</v>
      </c>
      <c r="S102" s="56"/>
      <c r="U102" s="57" t="n">
        <f aca="false">ROUND(H102*100/P102-100,0)</f>
        <v>-4</v>
      </c>
      <c r="V102" s="57" t="n">
        <f aca="false">ROUND(K102*100/P102-100,0)</f>
        <v>-6</v>
      </c>
      <c r="W102" s="57" t="n">
        <f aca="false">ROUND(N102*100/P102-100,0)</f>
        <v>10</v>
      </c>
    </row>
    <row r="103" s="43" customFormat="true" ht="73.5" hidden="false" customHeight="true" outlineLevel="0" collapsed="false">
      <c r="A103" s="45" t="n">
        <v>98</v>
      </c>
      <c r="B103" s="46" t="s">
        <v>159</v>
      </c>
      <c r="C103" s="47" t="s">
        <v>25</v>
      </c>
      <c r="D103" s="48" t="n">
        <v>65</v>
      </c>
      <c r="E103" s="49" t="s">
        <v>26</v>
      </c>
      <c r="F103" s="60" t="n">
        <v>125.1</v>
      </c>
      <c r="G103" s="47" t="s">
        <v>27</v>
      </c>
      <c r="H103" s="52" t="n">
        <f aca="false">143.32/1.2</f>
        <v>119.433333333333</v>
      </c>
      <c r="I103" s="53" t="n">
        <f aca="false">D103*H103</f>
        <v>7763.16666666667</v>
      </c>
      <c r="J103" s="53" t="s">
        <v>28</v>
      </c>
      <c r="K103" s="52" t="n">
        <v>130.07</v>
      </c>
      <c r="L103" s="53" t="n">
        <f aca="false">D103*K103</f>
        <v>8454.55</v>
      </c>
      <c r="M103" s="47" t="s">
        <v>29</v>
      </c>
      <c r="N103" s="52" t="n">
        <v>127.08</v>
      </c>
      <c r="O103" s="53" t="n">
        <f aca="false">D103*N103</f>
        <v>8260.2</v>
      </c>
      <c r="P103" s="54" t="n">
        <f aca="false">AVERAGE(H103,K103,N103)</f>
        <v>125.527777777778</v>
      </c>
      <c r="Q103" s="55" t="n">
        <f aca="false">F103*100/P103-100</f>
        <v>-0.340783359150251</v>
      </c>
      <c r="R103" s="54" t="n">
        <f aca="false">D103*F103</f>
        <v>8131.5</v>
      </c>
      <c r="S103" s="56"/>
      <c r="U103" s="57" t="n">
        <f aca="false">ROUND(H103*100/P103-100,0)</f>
        <v>-5</v>
      </c>
      <c r="V103" s="57" t="n">
        <f aca="false">ROUND(K103*100/P103-100,0)</f>
        <v>4</v>
      </c>
      <c r="W103" s="57" t="n">
        <f aca="false">ROUND(N103*100/P103-100,0)</f>
        <v>1</v>
      </c>
    </row>
    <row r="104" s="43" customFormat="true" ht="73.5" hidden="false" customHeight="true" outlineLevel="0" collapsed="false">
      <c r="A104" s="45" t="n">
        <v>99</v>
      </c>
      <c r="B104" s="46" t="s">
        <v>160</v>
      </c>
      <c r="C104" s="47" t="s">
        <v>25</v>
      </c>
      <c r="D104" s="48" t="n">
        <v>8</v>
      </c>
      <c r="E104" s="49" t="s">
        <v>26</v>
      </c>
      <c r="F104" s="60" t="n">
        <v>19.5</v>
      </c>
      <c r="G104" s="47" t="s">
        <v>27</v>
      </c>
      <c r="H104" s="52" t="n">
        <f aca="false">1097.79/50/1.2</f>
        <v>18.2965</v>
      </c>
      <c r="I104" s="53" t="n">
        <f aca="false">D104*H104</f>
        <v>146.372</v>
      </c>
      <c r="J104" s="53" t="s">
        <v>28</v>
      </c>
      <c r="K104" s="52" t="n">
        <v>20.51</v>
      </c>
      <c r="L104" s="53" t="n">
        <f aca="false">D104*K104</f>
        <v>164.08</v>
      </c>
      <c r="M104" s="47" t="s">
        <v>29</v>
      </c>
      <c r="N104" s="52" t="n">
        <v>21.22</v>
      </c>
      <c r="O104" s="53" t="n">
        <f aca="false">D104*N104</f>
        <v>169.76</v>
      </c>
      <c r="P104" s="54" t="n">
        <f aca="false">AVERAGE(H104,K104,N104)</f>
        <v>20.0088333333333</v>
      </c>
      <c r="Q104" s="55" t="n">
        <f aca="false">F104*100/P104-100</f>
        <v>-2.54304348912562</v>
      </c>
      <c r="R104" s="54" t="n">
        <f aca="false">D104*F104</f>
        <v>156</v>
      </c>
      <c r="S104" s="56"/>
      <c r="U104" s="57" t="n">
        <f aca="false">ROUND(H104*100/P104-100,0)</f>
        <v>-9</v>
      </c>
      <c r="V104" s="57" t="n">
        <f aca="false">ROUND(K104*100/P104-100,0)</f>
        <v>3</v>
      </c>
      <c r="W104" s="57" t="n">
        <f aca="false">ROUND(N104*100/P104-100,0)</f>
        <v>6</v>
      </c>
    </row>
    <row r="105" s="43" customFormat="true" ht="73.5" hidden="false" customHeight="true" outlineLevel="0" collapsed="false">
      <c r="A105" s="45" t="n">
        <v>100</v>
      </c>
      <c r="B105" s="46" t="s">
        <v>161</v>
      </c>
      <c r="C105" s="47" t="s">
        <v>25</v>
      </c>
      <c r="D105" s="48" t="n">
        <v>1190</v>
      </c>
      <c r="E105" s="49" t="n">
        <v>51.92</v>
      </c>
      <c r="F105" s="60" t="n">
        <v>57.5</v>
      </c>
      <c r="G105" s="47" t="s">
        <v>27</v>
      </c>
      <c r="H105" s="52" t="n">
        <f aca="false">3253.27/1.2/50</f>
        <v>54.2211666666667</v>
      </c>
      <c r="I105" s="53" t="n">
        <f aca="false">D105*H105</f>
        <v>64523.1883333333</v>
      </c>
      <c r="J105" s="53" t="s">
        <v>28</v>
      </c>
      <c r="K105" s="52" t="n">
        <v>59.4</v>
      </c>
      <c r="L105" s="53" t="n">
        <f aca="false">D105*K105</f>
        <v>70686</v>
      </c>
      <c r="M105" s="47" t="s">
        <v>29</v>
      </c>
      <c r="N105" s="52" t="n">
        <v>60.13</v>
      </c>
      <c r="O105" s="53" t="n">
        <f aca="false">D105*N105</f>
        <v>71554.7</v>
      </c>
      <c r="P105" s="54" t="n">
        <f aca="false">AVERAGE(H105,K105,N105)</f>
        <v>57.9170555555556</v>
      </c>
      <c r="Q105" s="55" t="n">
        <f aca="false">F105*100/P105-100</f>
        <v>-0.7200910881174</v>
      </c>
      <c r="R105" s="54" t="n">
        <f aca="false">D105*F105</f>
        <v>68425</v>
      </c>
      <c r="S105" s="56"/>
      <c r="U105" s="57" t="n">
        <f aca="false">ROUND(H105*100/P105-100,0)</f>
        <v>-6</v>
      </c>
      <c r="V105" s="57" t="n">
        <f aca="false">ROUND(K105*100/P105-100,0)</f>
        <v>3</v>
      </c>
      <c r="W105" s="57" t="n">
        <f aca="false">ROUND(N105*100/P105-100,0)</f>
        <v>4</v>
      </c>
    </row>
    <row r="106" s="43" customFormat="true" ht="73.5" hidden="false" customHeight="true" outlineLevel="0" collapsed="false">
      <c r="A106" s="45" t="n">
        <v>101</v>
      </c>
      <c r="B106" s="46" t="s">
        <v>162</v>
      </c>
      <c r="C106" s="47" t="s">
        <v>25</v>
      </c>
      <c r="D106" s="48" t="n">
        <v>3</v>
      </c>
      <c r="E106" s="49" t="n">
        <v>442.83</v>
      </c>
      <c r="F106" s="60" t="n">
        <v>444.12</v>
      </c>
      <c r="G106" s="47" t="s">
        <v>27</v>
      </c>
      <c r="H106" s="52" t="n">
        <f aca="false">528.04/1.2</f>
        <v>440.033333333333</v>
      </c>
      <c r="I106" s="53" t="n">
        <f aca="false">D106*H106</f>
        <v>1320.1</v>
      </c>
      <c r="J106" s="53" t="s">
        <v>28</v>
      </c>
      <c r="K106" s="52" t="n">
        <v>451.75</v>
      </c>
      <c r="L106" s="53" t="n">
        <f aca="false">D106*K106</f>
        <v>1355.25</v>
      </c>
      <c r="M106" s="47" t="s">
        <v>29</v>
      </c>
      <c r="N106" s="52" t="n">
        <v>442.56</v>
      </c>
      <c r="O106" s="53" t="n">
        <f aca="false">D106*N106</f>
        <v>1327.68</v>
      </c>
      <c r="P106" s="54" t="n">
        <f aca="false">AVERAGE(H106,K106,N106)</f>
        <v>444.781111111111</v>
      </c>
      <c r="Q106" s="55" t="n">
        <f aca="false">F106*100/P106-100</f>
        <v>-0.148637407164074</v>
      </c>
      <c r="R106" s="54" t="n">
        <f aca="false">D106*F106</f>
        <v>1332.36</v>
      </c>
      <c r="S106" s="56"/>
      <c r="U106" s="57" t="n">
        <f aca="false">ROUND(H106*100/P106-100,0)</f>
        <v>-1</v>
      </c>
      <c r="V106" s="57" t="n">
        <f aca="false">ROUND(K106*100/P106-100,0)</f>
        <v>2</v>
      </c>
      <c r="W106" s="57" t="n">
        <f aca="false">ROUND(N106*100/P106-100,0)</f>
        <v>-0</v>
      </c>
    </row>
    <row r="107" s="43" customFormat="true" ht="73.5" hidden="false" customHeight="true" outlineLevel="0" collapsed="false">
      <c r="A107" s="45" t="n">
        <v>102</v>
      </c>
      <c r="B107" s="46" t="s">
        <v>163</v>
      </c>
      <c r="C107" s="47" t="s">
        <v>25</v>
      </c>
      <c r="D107" s="48" t="n">
        <v>200</v>
      </c>
      <c r="E107" s="49" t="n">
        <v>2104.17</v>
      </c>
      <c r="F107" s="60" t="n">
        <v>2749.4</v>
      </c>
      <c r="G107" s="47" t="s">
        <v>56</v>
      </c>
      <c r="H107" s="52" t="n">
        <v>2816.22</v>
      </c>
      <c r="I107" s="53" t="n">
        <f aca="false">D107*H107</f>
        <v>563244</v>
      </c>
      <c r="J107" s="47" t="s">
        <v>57</v>
      </c>
      <c r="K107" s="52" t="n">
        <v>2697.03</v>
      </c>
      <c r="L107" s="53" t="n">
        <f aca="false">D107*K107</f>
        <v>539406</v>
      </c>
      <c r="M107" s="47" t="s">
        <v>119</v>
      </c>
      <c r="N107" s="52" t="n">
        <v>2755.11</v>
      </c>
      <c r="O107" s="53" t="n">
        <f aca="false">D107*N107</f>
        <v>551022</v>
      </c>
      <c r="P107" s="54" t="n">
        <f aca="false">AVERAGE(H107,K107,N107)</f>
        <v>2756.12</v>
      </c>
      <c r="Q107" s="55" t="n">
        <f aca="false">F107*100/P107-100</f>
        <v>-0.243821023758045</v>
      </c>
      <c r="R107" s="54" t="n">
        <f aca="false">D107*F107</f>
        <v>549880</v>
      </c>
      <c r="S107" s="56"/>
      <c r="U107" s="57" t="n">
        <f aca="false">ROUND(H107*100/P107-100,0)</f>
        <v>2</v>
      </c>
      <c r="V107" s="57" t="n">
        <f aca="false">ROUND(K107*100/P107-100,0)</f>
        <v>-2</v>
      </c>
      <c r="W107" s="57" t="n">
        <f aca="false">ROUND(N107*100/P107-100,0)</f>
        <v>-0</v>
      </c>
    </row>
    <row r="108" s="43" customFormat="true" ht="73.5" hidden="false" customHeight="true" outlineLevel="0" collapsed="false">
      <c r="A108" s="45" t="n">
        <v>103</v>
      </c>
      <c r="B108" s="46" t="s">
        <v>164</v>
      </c>
      <c r="C108" s="47" t="s">
        <v>25</v>
      </c>
      <c r="D108" s="48" t="n">
        <v>5</v>
      </c>
      <c r="E108" s="49" t="s">
        <v>26</v>
      </c>
      <c r="F108" s="60" t="n">
        <v>455.3</v>
      </c>
      <c r="G108" s="47" t="s">
        <v>27</v>
      </c>
      <c r="H108" s="52" t="n">
        <f aca="false">531.76/1.2</f>
        <v>443.133333333333</v>
      </c>
      <c r="I108" s="53" t="n">
        <f aca="false">D108*H108</f>
        <v>2215.66666666667</v>
      </c>
      <c r="J108" s="53" t="s">
        <v>28</v>
      </c>
      <c r="K108" s="52" t="n">
        <v>458.14</v>
      </c>
      <c r="L108" s="53" t="n">
        <f aca="false">D108*K108</f>
        <v>2290.7</v>
      </c>
      <c r="M108" s="47" t="s">
        <v>29</v>
      </c>
      <c r="N108" s="52" t="n">
        <v>465.87</v>
      </c>
      <c r="O108" s="53" t="n">
        <f aca="false">D108*N108</f>
        <v>2329.35</v>
      </c>
      <c r="P108" s="54" t="n">
        <f aca="false">AVERAGE(H108,K108,N108)</f>
        <v>455.714444444445</v>
      </c>
      <c r="Q108" s="55" t="n">
        <f aca="false">F108*100/P108-100</f>
        <v>-0.0909438903016877</v>
      </c>
      <c r="R108" s="54" t="n">
        <f aca="false">D108*F108</f>
        <v>2276.5</v>
      </c>
      <c r="S108" s="56"/>
      <c r="U108" s="57" t="n">
        <f aca="false">ROUND(H108*100/P108-100,0)</f>
        <v>-3</v>
      </c>
      <c r="V108" s="57" t="n">
        <f aca="false">ROUND(K108*100/P108-100,0)</f>
        <v>1</v>
      </c>
      <c r="W108" s="57" t="n">
        <f aca="false">ROUND(N108*100/P108-100,0)</f>
        <v>2</v>
      </c>
    </row>
    <row r="109" s="43" customFormat="true" ht="73.5" hidden="false" customHeight="true" outlineLevel="0" collapsed="false">
      <c r="A109" s="45" t="n">
        <v>104</v>
      </c>
      <c r="B109" s="46" t="s">
        <v>165</v>
      </c>
      <c r="C109" s="47" t="s">
        <v>25</v>
      </c>
      <c r="D109" s="48" t="n">
        <v>2</v>
      </c>
      <c r="E109" s="49" t="n">
        <v>585.34</v>
      </c>
      <c r="F109" s="60" t="n">
        <v>578.5</v>
      </c>
      <c r="G109" s="47" t="s">
        <v>27</v>
      </c>
      <c r="H109" s="52" t="n">
        <f aca="false">704.39/1.2</f>
        <v>586.991666666667</v>
      </c>
      <c r="I109" s="53" t="n">
        <f aca="false">D109*H109</f>
        <v>1173.98333333333</v>
      </c>
      <c r="J109" s="53" t="s">
        <v>28</v>
      </c>
      <c r="K109" s="52" t="n">
        <v>579.83</v>
      </c>
      <c r="L109" s="53" t="n">
        <f aca="false">D109*K109</f>
        <v>1159.66</v>
      </c>
      <c r="M109" s="47" t="s">
        <v>29</v>
      </c>
      <c r="N109" s="52" t="n">
        <v>572.21</v>
      </c>
      <c r="O109" s="53" t="n">
        <f aca="false">D109*N109</f>
        <v>1144.42</v>
      </c>
      <c r="P109" s="54" t="n">
        <f aca="false">AVERAGE(H109,K109,N109)</f>
        <v>579.677222222222</v>
      </c>
      <c r="Q109" s="55" t="n">
        <f aca="false">F109*100/P109-100</f>
        <v>-0.203082366719414</v>
      </c>
      <c r="R109" s="54" t="n">
        <f aca="false">D109*F109</f>
        <v>1157</v>
      </c>
      <c r="S109" s="56"/>
      <c r="U109" s="57" t="n">
        <f aca="false">ROUND(H109*100/P109-100,0)</f>
        <v>1</v>
      </c>
      <c r="V109" s="57" t="n">
        <f aca="false">ROUND(K109*100/P109-100,0)</f>
        <v>0</v>
      </c>
      <c r="W109" s="57" t="n">
        <f aca="false">ROUND(N109*100/P109-100,0)</f>
        <v>-1</v>
      </c>
    </row>
    <row r="110" s="43" customFormat="true" ht="73.5" hidden="false" customHeight="true" outlineLevel="0" collapsed="false">
      <c r="A110" s="45" t="n">
        <v>105</v>
      </c>
      <c r="B110" s="46" t="s">
        <v>166</v>
      </c>
      <c r="C110" s="47" t="s">
        <v>25</v>
      </c>
      <c r="D110" s="48" t="n">
        <v>2</v>
      </c>
      <c r="E110" s="49" t="n">
        <v>585.34</v>
      </c>
      <c r="F110" s="60" t="n">
        <v>586.44</v>
      </c>
      <c r="G110" s="47" t="s">
        <v>27</v>
      </c>
      <c r="H110" s="52" t="n">
        <f aca="false">704.39/1.2</f>
        <v>586.991666666667</v>
      </c>
      <c r="I110" s="53" t="n">
        <f aca="false">D110*H110</f>
        <v>1173.98333333333</v>
      </c>
      <c r="J110" s="53" t="s">
        <v>28</v>
      </c>
      <c r="K110" s="52" t="n">
        <v>579.83</v>
      </c>
      <c r="L110" s="53" t="n">
        <f aca="false">D110*K110</f>
        <v>1159.66</v>
      </c>
      <c r="M110" s="47" t="s">
        <v>29</v>
      </c>
      <c r="N110" s="52" t="n">
        <v>594.08</v>
      </c>
      <c r="O110" s="53" t="n">
        <f aca="false">D110*N110</f>
        <v>1188.16</v>
      </c>
      <c r="P110" s="54" t="n">
        <f aca="false">AVERAGE(H110,K110,N110)</f>
        <v>586.967222222222</v>
      </c>
      <c r="Q110" s="55" t="n">
        <f aca="false">F110*100/P110-100</f>
        <v>-0.0898214077825514</v>
      </c>
      <c r="R110" s="54" t="n">
        <f aca="false">D110*F110</f>
        <v>1172.88</v>
      </c>
      <c r="S110" s="56"/>
      <c r="U110" s="57" t="n">
        <f aca="false">ROUND(H110*100/P110-100,0)</f>
        <v>0</v>
      </c>
      <c r="V110" s="57" t="n">
        <f aca="false">ROUND(K110*100/P110-100,0)</f>
        <v>-1</v>
      </c>
      <c r="W110" s="57" t="n">
        <f aca="false">ROUND(N110*100/P110-100,0)</f>
        <v>1</v>
      </c>
    </row>
    <row r="111" s="43" customFormat="true" ht="73.5" hidden="false" customHeight="true" outlineLevel="0" collapsed="false">
      <c r="A111" s="45" t="n">
        <v>106</v>
      </c>
      <c r="B111" s="46" t="s">
        <v>167</v>
      </c>
      <c r="C111" s="47" t="s">
        <v>25</v>
      </c>
      <c r="D111" s="48" t="n">
        <v>4</v>
      </c>
      <c r="E111" s="49" t="n">
        <v>100102.2</v>
      </c>
      <c r="F111" s="60" t="n">
        <v>105450</v>
      </c>
      <c r="G111" s="47" t="s">
        <v>66</v>
      </c>
      <c r="H111" s="52" t="n">
        <f aca="false">122928.34/1.2</f>
        <v>102440.283333333</v>
      </c>
      <c r="I111" s="53" t="n">
        <f aca="false">D111*H111</f>
        <v>409761.133333333</v>
      </c>
      <c r="J111" s="52" t="s">
        <v>67</v>
      </c>
      <c r="K111" s="52" t="n">
        <f aca="false">126572.83/1.2</f>
        <v>105477.358333333</v>
      </c>
      <c r="L111" s="53" t="n">
        <f aca="false">D111*K111</f>
        <v>421909.433333333</v>
      </c>
      <c r="M111" s="53" t="s">
        <v>68</v>
      </c>
      <c r="N111" s="52" t="n">
        <v>108459.11</v>
      </c>
      <c r="O111" s="53" t="n">
        <f aca="false">D111*N111</f>
        <v>433836.44</v>
      </c>
      <c r="P111" s="54" t="n">
        <f aca="false">AVERAGE(H111,K111,N111)</f>
        <v>105458.917222222</v>
      </c>
      <c r="Q111" s="55" t="n">
        <f aca="false">F111*100/P111-100</f>
        <v>-0.00845563604967481</v>
      </c>
      <c r="R111" s="54" t="n">
        <f aca="false">D111*F111</f>
        <v>421800</v>
      </c>
      <c r="S111" s="56"/>
      <c r="U111" s="57" t="n">
        <f aca="false">ROUND(H111*100/P111-100,0)</f>
        <v>-3</v>
      </c>
      <c r="V111" s="57" t="n">
        <f aca="false">ROUND(K111*100/P111-100,0)</f>
        <v>0</v>
      </c>
      <c r="W111" s="57" t="n">
        <f aca="false">ROUND(N111*100/P111-100,0)</f>
        <v>3</v>
      </c>
    </row>
    <row r="112" s="43" customFormat="true" ht="73.5" hidden="false" customHeight="true" outlineLevel="0" collapsed="false">
      <c r="A112" s="45" t="n">
        <v>107</v>
      </c>
      <c r="B112" s="46" t="s">
        <v>168</v>
      </c>
      <c r="C112" s="47" t="s">
        <v>25</v>
      </c>
      <c r="D112" s="48" t="n">
        <v>9</v>
      </c>
      <c r="E112" s="49" t="n">
        <v>109113.68</v>
      </c>
      <c r="F112" s="60" t="n">
        <v>115250.4</v>
      </c>
      <c r="G112" s="47" t="s">
        <v>66</v>
      </c>
      <c r="H112" s="52" t="n">
        <f aca="false">134032.46/1.2</f>
        <v>111693.716666667</v>
      </c>
      <c r="I112" s="53" t="n">
        <f aca="false">D112*H112</f>
        <v>1005243.45</v>
      </c>
      <c r="J112" s="52" t="s">
        <v>67</v>
      </c>
      <c r="K112" s="52" t="n">
        <f aca="false">142081.19/1.2</f>
        <v>118400.991666667</v>
      </c>
      <c r="L112" s="53" t="n">
        <f aca="false">D112*K112</f>
        <v>1065608.925</v>
      </c>
      <c r="M112" s="53" t="s">
        <v>68</v>
      </c>
      <c r="N112" s="52" t="n">
        <v>115771.47</v>
      </c>
      <c r="O112" s="53" t="n">
        <f aca="false">D112*N112</f>
        <v>1041943.23</v>
      </c>
      <c r="P112" s="54" t="n">
        <f aca="false">AVERAGE(H112,K112,N112)</f>
        <v>115288.726111111</v>
      </c>
      <c r="Q112" s="55" t="n">
        <f aca="false">F112*100/P112-100</f>
        <v>-0.0332435897280874</v>
      </c>
      <c r="R112" s="54" t="n">
        <f aca="false">D112*F112</f>
        <v>1037253.6</v>
      </c>
      <c r="S112" s="56"/>
      <c r="U112" s="57" t="n">
        <f aca="false">ROUND(H112*100/P112-100,0)</f>
        <v>-3</v>
      </c>
      <c r="V112" s="57" t="n">
        <f aca="false">ROUND(K112*100/P112-100,0)</f>
        <v>3</v>
      </c>
      <c r="W112" s="57" t="n">
        <f aca="false">ROUND(N112*100/P112-100,0)</f>
        <v>0</v>
      </c>
    </row>
    <row r="113" s="43" customFormat="true" ht="73.5" hidden="false" customHeight="true" outlineLevel="0" collapsed="false">
      <c r="A113" s="45" t="n">
        <v>108</v>
      </c>
      <c r="B113" s="46" t="s">
        <v>169</v>
      </c>
      <c r="C113" s="47" t="s">
        <v>25</v>
      </c>
      <c r="D113" s="48" t="n">
        <v>4</v>
      </c>
      <c r="E113" s="49" t="n">
        <v>98486.85</v>
      </c>
      <c r="F113" s="60" t="n">
        <v>105203.9</v>
      </c>
      <c r="G113" s="47" t="s">
        <v>66</v>
      </c>
      <c r="H113" s="52" t="n">
        <f aca="false">121610.29/1.2</f>
        <v>101341.908333333</v>
      </c>
      <c r="I113" s="53" t="n">
        <f aca="false">D113*H113</f>
        <v>405367.633333333</v>
      </c>
      <c r="J113" s="52" t="s">
        <v>67</v>
      </c>
      <c r="K113" s="52" t="n">
        <f aca="false">125484.62/1.2</f>
        <v>104570.516666667</v>
      </c>
      <c r="L113" s="53" t="n">
        <f aca="false">D113*K113</f>
        <v>418282.066666667</v>
      </c>
      <c r="M113" s="53" t="s">
        <v>68</v>
      </c>
      <c r="N113" s="52" t="n">
        <v>109702.63</v>
      </c>
      <c r="O113" s="53" t="n">
        <f aca="false">D113*N113</f>
        <v>438810.52</v>
      </c>
      <c r="P113" s="54" t="n">
        <f aca="false">AVERAGE(H113,K113,N113)</f>
        <v>105205.018333333</v>
      </c>
      <c r="Q113" s="55" t="n">
        <f aca="false">F113*100/P113-100</f>
        <v>-0.00106300379111701</v>
      </c>
      <c r="R113" s="54" t="n">
        <f aca="false">D113*F113</f>
        <v>420815.6</v>
      </c>
      <c r="S113" s="56"/>
      <c r="U113" s="57" t="n">
        <f aca="false">ROUND(H113*100/P113-100,0)</f>
        <v>-4</v>
      </c>
      <c r="V113" s="57" t="n">
        <f aca="false">ROUND(K113*100/P113-100,0)</f>
        <v>-1</v>
      </c>
      <c r="W113" s="57" t="n">
        <f aca="false">ROUND(N113*100/P113-100,0)</f>
        <v>4</v>
      </c>
    </row>
    <row r="114" s="43" customFormat="true" ht="73.5" hidden="false" customHeight="true" outlineLevel="0" collapsed="false">
      <c r="A114" s="45" t="n">
        <v>109</v>
      </c>
      <c r="B114" s="46" t="s">
        <v>170</v>
      </c>
      <c r="C114" s="47" t="s">
        <v>25</v>
      </c>
      <c r="D114" s="48" t="n">
        <v>96</v>
      </c>
      <c r="E114" s="49" t="n">
        <v>17634.18</v>
      </c>
      <c r="F114" s="60" t="n">
        <v>23801.47</v>
      </c>
      <c r="G114" s="47" t="s">
        <v>56</v>
      </c>
      <c r="H114" s="52" t="n">
        <v>23917.54</v>
      </c>
      <c r="I114" s="53" t="n">
        <f aca="false">D114*H114</f>
        <v>2296083.84</v>
      </c>
      <c r="J114" s="47" t="s">
        <v>57</v>
      </c>
      <c r="K114" s="52" t="n">
        <v>24571.36</v>
      </c>
      <c r="L114" s="53" t="n">
        <f aca="false">D114*K114</f>
        <v>2358850.56</v>
      </c>
      <c r="M114" s="47" t="s">
        <v>119</v>
      </c>
      <c r="N114" s="52" t="n">
        <v>22927.08</v>
      </c>
      <c r="O114" s="53" t="n">
        <f aca="false">D114*N114</f>
        <v>2200999.68</v>
      </c>
      <c r="P114" s="54" t="n">
        <f aca="false">AVERAGE(H114,K114,N114)</f>
        <v>23805.3266666667</v>
      </c>
      <c r="Q114" s="55" t="n">
        <f aca="false">F114*100/P114-100</f>
        <v>-0.0162008558868934</v>
      </c>
      <c r="R114" s="54" t="n">
        <f aca="false">D114*F114</f>
        <v>2284941.12</v>
      </c>
      <c r="S114" s="56"/>
      <c r="U114" s="57" t="n">
        <f aca="false">ROUND(H114*100/P114-100,0)</f>
        <v>0</v>
      </c>
      <c r="V114" s="57" t="n">
        <f aca="false">ROUND(K114*100/P114-100,0)</f>
        <v>3</v>
      </c>
      <c r="W114" s="57" t="n">
        <f aca="false">ROUND(N114*100/P114-100,0)</f>
        <v>-4</v>
      </c>
    </row>
    <row r="115" s="43" customFormat="true" ht="73.5" hidden="false" customHeight="true" outlineLevel="0" collapsed="false">
      <c r="A115" s="45" t="n">
        <v>110</v>
      </c>
      <c r="B115" s="46" t="s">
        <v>171</v>
      </c>
      <c r="C115" s="47" t="s">
        <v>25</v>
      </c>
      <c r="D115" s="48" t="n">
        <v>2</v>
      </c>
      <c r="E115" s="49" t="s">
        <v>26</v>
      </c>
      <c r="F115" s="60" t="n">
        <v>26380.87</v>
      </c>
      <c r="G115" s="47" t="s">
        <v>27</v>
      </c>
      <c r="H115" s="52" t="n">
        <f aca="false">29485.22/1.2</f>
        <v>24571.0166666667</v>
      </c>
      <c r="I115" s="53" t="n">
        <f aca="false">D115*H115</f>
        <v>49142.0333333333</v>
      </c>
      <c r="J115" s="53" t="s">
        <v>28</v>
      </c>
      <c r="K115" s="52" t="n">
        <f aca="false">33229.52/1.2</f>
        <v>27691.2666666667</v>
      </c>
      <c r="L115" s="53" t="n">
        <f aca="false">D115*K115</f>
        <v>55382.5333333333</v>
      </c>
      <c r="M115" s="47" t="s">
        <v>29</v>
      </c>
      <c r="N115" s="66" t="n">
        <v>26942.36</v>
      </c>
      <c r="O115" s="53" t="n">
        <f aca="false">D115*N115</f>
        <v>53884.72</v>
      </c>
      <c r="P115" s="54" t="n">
        <f aca="false">AVERAGE(H115,K115,N115)</f>
        <v>26401.5477777778</v>
      </c>
      <c r="Q115" s="55" t="n">
        <f aca="false">F115*100/P115-100</f>
        <v>-0.0783203240651886</v>
      </c>
      <c r="R115" s="54" t="n">
        <f aca="false">D115*F115</f>
        <v>52761.74</v>
      </c>
      <c r="S115" s="47"/>
      <c r="U115" s="57" t="n">
        <f aca="false">ROUND(H115*100/P115-100,0)</f>
        <v>-7</v>
      </c>
      <c r="V115" s="57" t="n">
        <f aca="false">ROUND(K115*100/P115-100,0)</f>
        <v>5</v>
      </c>
      <c r="W115" s="57" t="n">
        <f aca="false">ROUND(N115*100/P115-100,0)</f>
        <v>2</v>
      </c>
    </row>
    <row r="116" s="43" customFormat="true" ht="73.5" hidden="false" customHeight="true" outlineLevel="0" collapsed="false">
      <c r="A116" s="45" t="n">
        <v>111</v>
      </c>
      <c r="B116" s="46" t="s">
        <v>172</v>
      </c>
      <c r="C116" s="47" t="s">
        <v>25</v>
      </c>
      <c r="D116" s="48" t="n">
        <v>105</v>
      </c>
      <c r="E116" s="49" t="s">
        <v>26</v>
      </c>
      <c r="F116" s="60" t="n">
        <v>16</v>
      </c>
      <c r="G116" s="47" t="s">
        <v>27</v>
      </c>
      <c r="H116" s="52" t="n">
        <f aca="false">15.68/1.2</f>
        <v>13.0666666666667</v>
      </c>
      <c r="I116" s="53" t="n">
        <f aca="false">D116*H116</f>
        <v>1372</v>
      </c>
      <c r="J116" s="53" t="s">
        <v>28</v>
      </c>
      <c r="K116" s="52" t="n">
        <f aca="false">23.17/1.2</f>
        <v>19.3083333333333</v>
      </c>
      <c r="L116" s="53" t="n">
        <f aca="false">D116*K116</f>
        <v>2027.375</v>
      </c>
      <c r="M116" s="47" t="s">
        <v>29</v>
      </c>
      <c r="N116" s="52" t="n">
        <v>15.88</v>
      </c>
      <c r="O116" s="53" t="n">
        <f aca="false">D116*N116</f>
        <v>1667.4</v>
      </c>
      <c r="P116" s="54" t="n">
        <f aca="false">AVERAGE(H116,K116,N116)</f>
        <v>16.085</v>
      </c>
      <c r="Q116" s="55" t="n">
        <f aca="false">F116*100/P116-100</f>
        <v>-0.528442648430215</v>
      </c>
      <c r="R116" s="54" t="n">
        <f aca="false">D116*F116</f>
        <v>1680</v>
      </c>
      <c r="S116" s="56"/>
      <c r="U116" s="57" t="n">
        <f aca="false">ROUND(H116*100/P116-100,0)</f>
        <v>-19</v>
      </c>
      <c r="V116" s="57" t="n">
        <f aca="false">ROUND(K116*100/P116-100,0)</f>
        <v>20</v>
      </c>
      <c r="W116" s="57" t="n">
        <f aca="false">ROUND(N116*100/P116-100,0)</f>
        <v>-1</v>
      </c>
    </row>
    <row r="117" s="43" customFormat="true" ht="73.5" hidden="false" customHeight="true" outlineLevel="0" collapsed="false">
      <c r="A117" s="45" t="n">
        <v>112</v>
      </c>
      <c r="B117" s="46" t="s">
        <v>173</v>
      </c>
      <c r="C117" s="47" t="s">
        <v>25</v>
      </c>
      <c r="D117" s="48" t="n">
        <v>4</v>
      </c>
      <c r="E117" s="49" t="s">
        <v>26</v>
      </c>
      <c r="F117" s="60" t="n">
        <v>10739.64</v>
      </c>
      <c r="G117" s="52" t="s">
        <v>67</v>
      </c>
      <c r="H117" s="52" t="n">
        <f aca="false">12321.9/1.2</f>
        <v>10268.25</v>
      </c>
      <c r="I117" s="53" t="n">
        <f aca="false">D117*H117</f>
        <v>41073</v>
      </c>
      <c r="J117" s="47" t="s">
        <v>46</v>
      </c>
      <c r="K117" s="52" t="n">
        <v>11095.36</v>
      </c>
      <c r="L117" s="53" t="n">
        <f aca="false">D117*K117</f>
        <v>44381.44</v>
      </c>
      <c r="M117" s="53" t="s">
        <v>68</v>
      </c>
      <c r="N117" s="52" t="n">
        <v>10873.97</v>
      </c>
      <c r="O117" s="53" t="n">
        <f aca="false">D117*N117</f>
        <v>43495.88</v>
      </c>
      <c r="P117" s="54" t="n">
        <f aca="false">AVERAGE(H117,K117,N117)</f>
        <v>10745.86</v>
      </c>
      <c r="Q117" s="55" t="n">
        <f aca="false">F117*100/P117-100</f>
        <v>-0.0578827567081675</v>
      </c>
      <c r="R117" s="54" t="n">
        <f aca="false">D117*F117</f>
        <v>42958.56</v>
      </c>
      <c r="S117" s="56"/>
      <c r="U117" s="57" t="n">
        <f aca="false">ROUND(H117*100/P117-100,0)</f>
        <v>-4</v>
      </c>
      <c r="V117" s="57" t="n">
        <f aca="false">ROUND(K117*100/P117-100,0)</f>
        <v>3</v>
      </c>
      <c r="W117" s="57" t="n">
        <f aca="false">ROUND(N117*100/P117-100,0)</f>
        <v>1</v>
      </c>
    </row>
    <row r="118" s="43" customFormat="true" ht="73.5" hidden="false" customHeight="true" outlineLevel="0" collapsed="false">
      <c r="A118" s="45" t="n">
        <v>113</v>
      </c>
      <c r="B118" s="46" t="s">
        <v>174</v>
      </c>
      <c r="C118" s="47" t="s">
        <v>25</v>
      </c>
      <c r="D118" s="48" t="n">
        <v>15</v>
      </c>
      <c r="E118" s="49" t="s">
        <v>26</v>
      </c>
      <c r="F118" s="60" t="n">
        <v>11759.65</v>
      </c>
      <c r="G118" s="52" t="s">
        <v>67</v>
      </c>
      <c r="H118" s="52" t="n">
        <f aca="false">13514.04/1.2</f>
        <v>11261.7</v>
      </c>
      <c r="I118" s="53" t="n">
        <f aca="false">D118*H118</f>
        <v>168925.5</v>
      </c>
      <c r="J118" s="47" t="s">
        <v>46</v>
      </c>
      <c r="K118" s="52" t="n">
        <v>11983.18</v>
      </c>
      <c r="L118" s="53" t="n">
        <f aca="false">D118*K118</f>
        <v>179747.7</v>
      </c>
      <c r="M118" s="53" t="s">
        <v>68</v>
      </c>
      <c r="N118" s="52" t="n">
        <v>12054.31</v>
      </c>
      <c r="O118" s="53" t="n">
        <f aca="false">D118*N118</f>
        <v>180814.65</v>
      </c>
      <c r="P118" s="54" t="n">
        <f aca="false">AVERAGE(H118,K118,N118)</f>
        <v>11766.3966666667</v>
      </c>
      <c r="Q118" s="55" t="n">
        <f aca="false">F118*100/P118-100</f>
        <v>-0.0573384261791858</v>
      </c>
      <c r="R118" s="54" t="n">
        <f aca="false">D118*F118</f>
        <v>176394.75</v>
      </c>
      <c r="S118" s="56"/>
      <c r="U118" s="57" t="n">
        <f aca="false">ROUND(H118*100/P118-100,0)</f>
        <v>-4</v>
      </c>
      <c r="V118" s="57" t="n">
        <f aca="false">ROUND(K118*100/P118-100,0)</f>
        <v>2</v>
      </c>
      <c r="W118" s="57" t="n">
        <f aca="false">ROUND(N118*100/P118-100,0)</f>
        <v>2</v>
      </c>
    </row>
    <row r="119" s="43" customFormat="true" ht="73.5" hidden="false" customHeight="true" outlineLevel="0" collapsed="false">
      <c r="A119" s="45" t="n">
        <v>114</v>
      </c>
      <c r="B119" s="46" t="s">
        <v>175</v>
      </c>
      <c r="C119" s="47" t="s">
        <v>25</v>
      </c>
      <c r="D119" s="48" t="n">
        <v>9</v>
      </c>
      <c r="E119" s="49" t="n">
        <v>799.46</v>
      </c>
      <c r="F119" s="60" t="n">
        <v>853.15</v>
      </c>
      <c r="G119" s="47" t="s">
        <v>27</v>
      </c>
      <c r="H119" s="52" t="n">
        <f aca="false">961.27/1.2</f>
        <v>801.058333333333</v>
      </c>
      <c r="I119" s="53" t="n">
        <f aca="false">D119*H119</f>
        <v>7209.525</v>
      </c>
      <c r="J119" s="53" t="s">
        <v>28</v>
      </c>
      <c r="K119" s="52" t="n">
        <f aca="false">1027.26/1.2</f>
        <v>856.05</v>
      </c>
      <c r="L119" s="53" t="n">
        <f aca="false">D119*K119</f>
        <v>7704.45</v>
      </c>
      <c r="M119" s="47" t="s">
        <v>29</v>
      </c>
      <c r="N119" s="52" t="n">
        <v>911.61</v>
      </c>
      <c r="O119" s="53" t="n">
        <f aca="false">D119*N119</f>
        <v>8204.49</v>
      </c>
      <c r="P119" s="54" t="n">
        <f aca="false">AVERAGE(H119,K119,N119)</f>
        <v>856.239444444444</v>
      </c>
      <c r="Q119" s="55" t="n">
        <f aca="false">F119*100/P119-100</f>
        <v>-0.360815478017244</v>
      </c>
      <c r="R119" s="54" t="n">
        <f aca="false">D119*F119</f>
        <v>7678.35</v>
      </c>
      <c r="S119" s="56"/>
      <c r="U119" s="57" t="n">
        <f aca="false">ROUND(H119*100/P119-100,0)</f>
        <v>-6</v>
      </c>
      <c r="V119" s="57" t="n">
        <f aca="false">ROUND(K119*100/P119-100,0)</f>
        <v>-0</v>
      </c>
      <c r="W119" s="57" t="n">
        <f aca="false">ROUND(N119*100/P119-100,0)</f>
        <v>6</v>
      </c>
    </row>
    <row r="120" s="43" customFormat="true" ht="73.5" hidden="false" customHeight="true" outlineLevel="0" collapsed="false">
      <c r="A120" s="45" t="n">
        <v>115</v>
      </c>
      <c r="B120" s="46" t="s">
        <v>176</v>
      </c>
      <c r="C120" s="47" t="s">
        <v>25</v>
      </c>
      <c r="D120" s="48" t="n">
        <v>6</v>
      </c>
      <c r="E120" s="49" t="n">
        <v>1026.37</v>
      </c>
      <c r="F120" s="60" t="n">
        <v>1193.4</v>
      </c>
      <c r="G120" s="47" t="s">
        <v>27</v>
      </c>
      <c r="H120" s="52" t="n">
        <f aca="false">1229.06/1.2</f>
        <v>1024.21666666667</v>
      </c>
      <c r="I120" s="53" t="n">
        <f aca="false">D120*H120</f>
        <v>6145.3</v>
      </c>
      <c r="J120" s="53" t="s">
        <v>28</v>
      </c>
      <c r="K120" s="52" t="n">
        <f aca="false">1512.89/1.2</f>
        <v>1260.74166666667</v>
      </c>
      <c r="L120" s="53" t="n">
        <f aca="false">D120*K120</f>
        <v>7564.45</v>
      </c>
      <c r="M120" s="47" t="s">
        <v>29</v>
      </c>
      <c r="N120" s="52" t="n">
        <v>1302.32</v>
      </c>
      <c r="O120" s="53" t="n">
        <f aca="false">D120*N120</f>
        <v>7813.92</v>
      </c>
      <c r="P120" s="54" t="n">
        <f aca="false">AVERAGE(H120,K120,N120)</f>
        <v>1195.75944444444</v>
      </c>
      <c r="Q120" s="55" t="n">
        <f aca="false">F120*100/P120-100</f>
        <v>-0.197317650753803</v>
      </c>
      <c r="R120" s="54" t="n">
        <f aca="false">D120*F120</f>
        <v>7160.4</v>
      </c>
      <c r="S120" s="56"/>
      <c r="U120" s="57" t="n">
        <f aca="false">ROUND(H120*100/P120-100,0)</f>
        <v>-14</v>
      </c>
      <c r="V120" s="57" t="n">
        <f aca="false">ROUND(K120*100/P120-100,0)</f>
        <v>5</v>
      </c>
      <c r="W120" s="57" t="n">
        <f aca="false">ROUND(N120*100/P120-100,0)</f>
        <v>9</v>
      </c>
    </row>
    <row r="121" s="43" customFormat="true" ht="73.5" hidden="false" customHeight="true" outlineLevel="0" collapsed="false">
      <c r="A121" s="45" t="n">
        <v>116</v>
      </c>
      <c r="B121" s="46" t="s">
        <v>177</v>
      </c>
      <c r="C121" s="47" t="s">
        <v>25</v>
      </c>
      <c r="D121" s="48" t="n">
        <v>1</v>
      </c>
      <c r="E121" s="49" t="n">
        <v>1059.85</v>
      </c>
      <c r="F121" s="60" t="n">
        <v>1120.3</v>
      </c>
      <c r="G121" s="47" t="s">
        <v>27</v>
      </c>
      <c r="H121" s="52" t="n">
        <f aca="false">1283.51/1.2</f>
        <v>1069.59166666667</v>
      </c>
      <c r="I121" s="53" t="n">
        <f aca="false">D121*H121</f>
        <v>1069.59166666667</v>
      </c>
      <c r="J121" s="53" t="s">
        <v>28</v>
      </c>
      <c r="K121" s="52" t="n">
        <f aca="false">1330.68/1.2</f>
        <v>1108.9</v>
      </c>
      <c r="L121" s="53" t="n">
        <f aca="false">D121*K121</f>
        <v>1108.9</v>
      </c>
      <c r="M121" s="47" t="s">
        <v>29</v>
      </c>
      <c r="N121" s="52" t="n">
        <v>1187.84</v>
      </c>
      <c r="O121" s="53" t="n">
        <f aca="false">D121*N121</f>
        <v>1187.84</v>
      </c>
      <c r="P121" s="54" t="n">
        <f aca="false">AVERAGE(H121,K121,N121)</f>
        <v>1122.11055555556</v>
      </c>
      <c r="Q121" s="55" t="n">
        <f aca="false">F121*100/P121-100</f>
        <v>-0.161352689054723</v>
      </c>
      <c r="R121" s="54" t="n">
        <f aca="false">D121*F121</f>
        <v>1120.3</v>
      </c>
      <c r="S121" s="56"/>
      <c r="U121" s="57" t="n">
        <f aca="false">ROUND(H121*100/P121-100,0)</f>
        <v>-5</v>
      </c>
      <c r="V121" s="57" t="n">
        <f aca="false">ROUND(K121*100/P121-100,0)</f>
        <v>-1</v>
      </c>
      <c r="W121" s="57" t="n">
        <f aca="false">ROUND(N121*100/P121-100,0)</f>
        <v>6</v>
      </c>
    </row>
    <row r="122" s="43" customFormat="true" ht="73.5" hidden="false" customHeight="true" outlineLevel="0" collapsed="false">
      <c r="A122" s="45" t="n">
        <v>117</v>
      </c>
      <c r="B122" s="46" t="s">
        <v>178</v>
      </c>
      <c r="C122" s="47" t="s">
        <v>25</v>
      </c>
      <c r="D122" s="48" t="n">
        <v>1</v>
      </c>
      <c r="E122" s="49" t="n">
        <v>3234.77</v>
      </c>
      <c r="F122" s="60" t="n">
        <v>3390.15</v>
      </c>
      <c r="G122" s="47" t="s">
        <v>27</v>
      </c>
      <c r="H122" s="52" t="n">
        <f aca="false">3848.77/1.2</f>
        <v>3207.30833333333</v>
      </c>
      <c r="I122" s="53" t="n">
        <f aca="false">D122*H122</f>
        <v>3207.30833333333</v>
      </c>
      <c r="J122" s="53" t="s">
        <v>28</v>
      </c>
      <c r="K122" s="52" t="n">
        <f aca="false">4213.88/1.2</f>
        <v>3511.56666666667</v>
      </c>
      <c r="L122" s="53" t="n">
        <f aca="false">D122*K122</f>
        <v>3511.56666666667</v>
      </c>
      <c r="M122" s="47" t="s">
        <v>29</v>
      </c>
      <c r="N122" s="52" t="n">
        <v>3461.03</v>
      </c>
      <c r="O122" s="53" t="n">
        <f aca="false">D122*N122</f>
        <v>3461.03</v>
      </c>
      <c r="P122" s="54" t="n">
        <f aca="false">AVERAGE(H122,K122,N122)</f>
        <v>3393.30166666667</v>
      </c>
      <c r="Q122" s="55" t="n">
        <f aca="false">F122*100/P122-100</f>
        <v>-0.092879059283959</v>
      </c>
      <c r="R122" s="54" t="n">
        <f aca="false">D122*F122</f>
        <v>3390.15</v>
      </c>
      <c r="S122" s="56"/>
      <c r="U122" s="57" t="n">
        <f aca="false">ROUND(H122*100/P122-100,0)</f>
        <v>-5</v>
      </c>
      <c r="V122" s="57" t="n">
        <f aca="false">ROUND(K122*100/P122-100,0)</f>
        <v>3</v>
      </c>
      <c r="W122" s="57" t="n">
        <f aca="false">ROUND(N122*100/P122-100,0)</f>
        <v>2</v>
      </c>
    </row>
    <row r="123" s="43" customFormat="true" ht="73.5" hidden="false" customHeight="true" outlineLevel="0" collapsed="false">
      <c r="A123" s="45" t="n">
        <v>118</v>
      </c>
      <c r="B123" s="46" t="s">
        <v>179</v>
      </c>
      <c r="C123" s="47" t="s">
        <v>25</v>
      </c>
      <c r="D123" s="48" t="n">
        <v>3</v>
      </c>
      <c r="E123" s="49" t="n">
        <v>2771.28</v>
      </c>
      <c r="F123" s="60" t="n">
        <v>2777.4</v>
      </c>
      <c r="G123" s="47" t="s">
        <v>27</v>
      </c>
      <c r="H123" s="52" t="n">
        <f aca="false">3306.94/1.2</f>
        <v>2755.78333333333</v>
      </c>
      <c r="I123" s="53" t="n">
        <f aca="false">D123*H123</f>
        <v>8267.35</v>
      </c>
      <c r="J123" s="53" t="s">
        <v>28</v>
      </c>
      <c r="K123" s="52" t="n">
        <f aca="false">3452.2/1.2</f>
        <v>2876.83333333333</v>
      </c>
      <c r="L123" s="53" t="n">
        <f aca="false">D123*K123</f>
        <v>8630.5</v>
      </c>
      <c r="M123" s="47" t="s">
        <v>29</v>
      </c>
      <c r="N123" s="52" t="n">
        <v>2703.98</v>
      </c>
      <c r="O123" s="53" t="n">
        <f aca="false">D123*N123</f>
        <v>8111.94</v>
      </c>
      <c r="P123" s="54" t="n">
        <f aca="false">AVERAGE(H123,K123,N123)</f>
        <v>2778.86555555556</v>
      </c>
      <c r="Q123" s="55" t="n">
        <f aca="false">F123*100/P123-100</f>
        <v>-0.0527393472716113</v>
      </c>
      <c r="R123" s="54" t="n">
        <f aca="false">D123*F123</f>
        <v>8332.2</v>
      </c>
      <c r="S123" s="56"/>
      <c r="U123" s="57" t="n">
        <f aca="false">ROUND(H123*100/P123-100,0)</f>
        <v>-1</v>
      </c>
      <c r="V123" s="57" t="n">
        <f aca="false">ROUND(K123*100/P123-100,0)</f>
        <v>4</v>
      </c>
      <c r="W123" s="57" t="n">
        <f aca="false">ROUND(N123*100/P123-100,0)</f>
        <v>-3</v>
      </c>
    </row>
    <row r="124" s="43" customFormat="true" ht="73.5" hidden="false" customHeight="true" outlineLevel="0" collapsed="false">
      <c r="A124" s="45" t="n">
        <v>119</v>
      </c>
      <c r="B124" s="46" t="s">
        <v>180</v>
      </c>
      <c r="C124" s="47" t="s">
        <v>25</v>
      </c>
      <c r="D124" s="48" t="s">
        <v>181</v>
      </c>
      <c r="E124" s="49" t="n">
        <v>5096.31</v>
      </c>
      <c r="F124" s="60" t="n">
        <v>5200</v>
      </c>
      <c r="G124" s="47" t="s">
        <v>27</v>
      </c>
      <c r="H124" s="52" t="n">
        <f aca="false">6026.51/1.2</f>
        <v>5022.09166666667</v>
      </c>
      <c r="I124" s="53" t="n">
        <f aca="false">D124*H124</f>
        <v>140618.566666667</v>
      </c>
      <c r="J124" s="53" t="s">
        <v>28</v>
      </c>
      <c r="K124" s="52" t="n">
        <f aca="false">6712.45/1.2</f>
        <v>5593.70833333333</v>
      </c>
      <c r="L124" s="53" t="n">
        <f aca="false">D124*K124</f>
        <v>156623.833333333</v>
      </c>
      <c r="M124" s="47" t="s">
        <v>29</v>
      </c>
      <c r="N124" s="52" t="n">
        <v>5007.33</v>
      </c>
      <c r="O124" s="53" t="n">
        <f aca="false">D124*N124</f>
        <v>140205.24</v>
      </c>
      <c r="P124" s="54" t="n">
        <f aca="false">AVERAGE(H124,K124,N124)</f>
        <v>5207.71</v>
      </c>
      <c r="Q124" s="55" t="n">
        <f aca="false">F124*100/P124-100</f>
        <v>-0.148049718590315</v>
      </c>
      <c r="R124" s="54" t="n">
        <f aca="false">D124*F124</f>
        <v>145600</v>
      </c>
      <c r="S124" s="56"/>
      <c r="U124" s="57" t="n">
        <f aca="false">ROUND(H124*100/P124-100,0)</f>
        <v>-4</v>
      </c>
      <c r="V124" s="57" t="n">
        <f aca="false">ROUND(K124*100/P124-100,0)</f>
        <v>7</v>
      </c>
      <c r="W124" s="57" t="n">
        <f aca="false">ROUND(N124*100/P124-100,0)</f>
        <v>-4</v>
      </c>
    </row>
    <row r="125" s="43" customFormat="true" ht="73.5" hidden="false" customHeight="true" outlineLevel="0" collapsed="false">
      <c r="A125" s="45" t="n">
        <v>120</v>
      </c>
      <c r="B125" s="46" t="s">
        <v>182</v>
      </c>
      <c r="C125" s="47" t="s">
        <v>25</v>
      </c>
      <c r="D125" s="48" t="n">
        <v>1</v>
      </c>
      <c r="E125" s="49" t="n">
        <v>3295.17</v>
      </c>
      <c r="F125" s="60" t="n">
        <v>3320.5</v>
      </c>
      <c r="G125" s="47" t="s">
        <v>27</v>
      </c>
      <c r="H125" s="52" t="n">
        <f aca="false">3946.52/1.2</f>
        <v>3288.76666666667</v>
      </c>
      <c r="I125" s="53" t="n">
        <f aca="false">D125*H125</f>
        <v>3288.76666666667</v>
      </c>
      <c r="J125" s="53" t="s">
        <v>28</v>
      </c>
      <c r="K125" s="52" t="n">
        <f aca="false">3861.14/1.2</f>
        <v>3217.61666666667</v>
      </c>
      <c r="L125" s="53" t="n">
        <f aca="false">D125*K125</f>
        <v>3217.61666666667</v>
      </c>
      <c r="M125" s="47" t="s">
        <v>29</v>
      </c>
      <c r="N125" s="52" t="n">
        <v>3471.09</v>
      </c>
      <c r="O125" s="53" t="n">
        <f aca="false">D125*N125</f>
        <v>3471.09</v>
      </c>
      <c r="P125" s="54" t="n">
        <f aca="false">AVERAGE(H125,K125,N125)</f>
        <v>3325.82444444444</v>
      </c>
      <c r="Q125" s="55" t="n">
        <f aca="false">F125*100/P125-100</f>
        <v>-0.160093971686891</v>
      </c>
      <c r="R125" s="54" t="n">
        <f aca="false">D125*F125</f>
        <v>3320.5</v>
      </c>
      <c r="S125" s="56"/>
      <c r="U125" s="57" t="n">
        <f aca="false">ROUND(H125*100/P125-100,0)</f>
        <v>-1</v>
      </c>
      <c r="V125" s="57" t="n">
        <f aca="false">ROUND(K125*100/P125-100,0)</f>
        <v>-3</v>
      </c>
      <c r="W125" s="57" t="n">
        <f aca="false">ROUND(N125*100/P125-100,0)</f>
        <v>4</v>
      </c>
    </row>
    <row r="126" s="43" customFormat="true" ht="73.5" hidden="false" customHeight="true" outlineLevel="0" collapsed="false">
      <c r="A126" s="45" t="n">
        <v>121</v>
      </c>
      <c r="B126" s="46" t="s">
        <v>183</v>
      </c>
      <c r="C126" s="47" t="s">
        <v>25</v>
      </c>
      <c r="D126" s="48" t="n">
        <v>60</v>
      </c>
      <c r="E126" s="49" t="s">
        <v>26</v>
      </c>
      <c r="F126" s="60" t="n">
        <v>13200.55</v>
      </c>
      <c r="G126" s="47" t="s">
        <v>27</v>
      </c>
      <c r="H126" s="52" t="n">
        <f aca="false">15720.65/1.2</f>
        <v>13100.5416666667</v>
      </c>
      <c r="I126" s="53" t="n">
        <f aca="false">D126*H126</f>
        <v>786032.5</v>
      </c>
      <c r="J126" s="53" t="s">
        <v>28</v>
      </c>
      <c r="K126" s="52" t="n">
        <f aca="false">16167.67/1.2</f>
        <v>13473.0583333333</v>
      </c>
      <c r="L126" s="53" t="n">
        <f aca="false">D126*K126</f>
        <v>808383.5</v>
      </c>
      <c r="M126" s="47" t="s">
        <v>29</v>
      </c>
      <c r="N126" s="52" t="n">
        <v>13042.21</v>
      </c>
      <c r="O126" s="53" t="n">
        <f aca="false">D126*N126</f>
        <v>782532.6</v>
      </c>
      <c r="P126" s="54" t="n">
        <f aca="false">AVERAGE(H126,K126,N126)</f>
        <v>13205.27</v>
      </c>
      <c r="Q126" s="55" t="n">
        <f aca="false">F126*100/P126-100</f>
        <v>-0.0357433055136198</v>
      </c>
      <c r="R126" s="54" t="n">
        <f aca="false">D126*F126</f>
        <v>792033</v>
      </c>
      <c r="S126" s="56"/>
      <c r="U126" s="57" t="n">
        <f aca="false">ROUND(H126*100/P126-100,0)</f>
        <v>-1</v>
      </c>
      <c r="V126" s="57" t="n">
        <f aca="false">ROUND(K126*100/P126-100,0)</f>
        <v>2</v>
      </c>
      <c r="W126" s="57" t="n">
        <f aca="false">ROUND(N126*100/P126-100,0)</f>
        <v>-1</v>
      </c>
    </row>
    <row r="127" s="43" customFormat="true" ht="73.5" hidden="false" customHeight="true" outlineLevel="0" collapsed="false">
      <c r="A127" s="45" t="n">
        <v>122</v>
      </c>
      <c r="B127" s="46" t="s">
        <v>184</v>
      </c>
      <c r="C127" s="47" t="s">
        <v>25</v>
      </c>
      <c r="D127" s="48" t="n">
        <v>5</v>
      </c>
      <c r="E127" s="49" t="n">
        <v>1769.59</v>
      </c>
      <c r="F127" s="60" t="n">
        <v>1825</v>
      </c>
      <c r="G127" s="47" t="s">
        <v>27</v>
      </c>
      <c r="H127" s="52" t="n">
        <f aca="false">2172.67/1.2</f>
        <v>1810.55833333333</v>
      </c>
      <c r="I127" s="53" t="n">
        <f aca="false">D127*H127</f>
        <v>9052.79166666667</v>
      </c>
      <c r="J127" s="53" t="s">
        <v>28</v>
      </c>
      <c r="K127" s="52" t="n">
        <f aca="false">2232.5/1.2</f>
        <v>1860.41666666667</v>
      </c>
      <c r="L127" s="53" t="n">
        <f aca="false">D127*K127</f>
        <v>9302.08333333333</v>
      </c>
      <c r="M127" s="47" t="s">
        <v>29</v>
      </c>
      <c r="N127" s="52" t="n">
        <v>1807.53</v>
      </c>
      <c r="O127" s="53" t="n">
        <f aca="false">D127*N127</f>
        <v>9037.65</v>
      </c>
      <c r="P127" s="54" t="n">
        <f aca="false">AVERAGE(H127,K127,N127)</f>
        <v>1826.16833333333</v>
      </c>
      <c r="Q127" s="55" t="n">
        <f aca="false">F127*100/P127-100</f>
        <v>-0.0639773076779164</v>
      </c>
      <c r="R127" s="54" t="n">
        <f aca="false">D127*F127</f>
        <v>9125</v>
      </c>
      <c r="S127" s="56"/>
      <c r="U127" s="57" t="n">
        <f aca="false">ROUND(H127*100/P127-100,0)</f>
        <v>-1</v>
      </c>
      <c r="V127" s="57" t="n">
        <f aca="false">ROUND(K127*100/P127-100,0)</f>
        <v>2</v>
      </c>
      <c r="W127" s="57" t="n">
        <f aca="false">ROUND(N127*100/P127-100,0)</f>
        <v>-1</v>
      </c>
    </row>
    <row r="128" s="43" customFormat="true" ht="73.5" hidden="false" customHeight="true" outlineLevel="0" collapsed="false">
      <c r="A128" s="45" t="n">
        <v>123</v>
      </c>
      <c r="B128" s="46" t="s">
        <v>185</v>
      </c>
      <c r="C128" s="47" t="s">
        <v>25</v>
      </c>
      <c r="D128" s="48" t="n">
        <v>4</v>
      </c>
      <c r="E128" s="49" t="n">
        <v>62.24</v>
      </c>
      <c r="F128" s="60" t="n">
        <v>65.3</v>
      </c>
      <c r="G128" s="47" t="s">
        <v>27</v>
      </c>
      <c r="H128" s="52" t="n">
        <f aca="false">76.58/1.2</f>
        <v>63.8166666666667</v>
      </c>
      <c r="I128" s="53" t="n">
        <f aca="false">D128*H128</f>
        <v>255.266666666667</v>
      </c>
      <c r="J128" s="53" t="s">
        <v>28</v>
      </c>
      <c r="K128" s="52" t="n">
        <f aca="false">75.56/1.2</f>
        <v>62.9666666666667</v>
      </c>
      <c r="L128" s="53" t="n">
        <f aca="false">D128*K128</f>
        <v>251.866666666667</v>
      </c>
      <c r="M128" s="47" t="s">
        <v>29</v>
      </c>
      <c r="N128" s="52" t="n">
        <v>70.62</v>
      </c>
      <c r="O128" s="53" t="n">
        <f aca="false">D128*N128</f>
        <v>282.48</v>
      </c>
      <c r="P128" s="54" t="n">
        <f aca="false">AVERAGE(H128,K128,N128)</f>
        <v>65.8011111111111</v>
      </c>
      <c r="Q128" s="55" t="n">
        <f aca="false">F128*100/P128-100</f>
        <v>-0.761554178416446</v>
      </c>
      <c r="R128" s="54" t="n">
        <f aca="false">D128*F128</f>
        <v>261.2</v>
      </c>
      <c r="S128" s="56"/>
      <c r="U128" s="57" t="n">
        <f aca="false">ROUND(H128*100/P128-100,0)</f>
        <v>-3</v>
      </c>
      <c r="V128" s="57" t="n">
        <f aca="false">ROUND(K128*100/P128-100,0)</f>
        <v>-4</v>
      </c>
      <c r="W128" s="57" t="n">
        <f aca="false">ROUND(N128*100/P128-100,0)</f>
        <v>7</v>
      </c>
    </row>
    <row r="129" s="43" customFormat="true" ht="73.5" hidden="false" customHeight="true" outlineLevel="0" collapsed="false">
      <c r="A129" s="45" t="n">
        <v>124</v>
      </c>
      <c r="B129" s="46" t="s">
        <v>186</v>
      </c>
      <c r="C129" s="47" t="s">
        <v>25</v>
      </c>
      <c r="D129" s="48" t="n">
        <v>2</v>
      </c>
      <c r="E129" s="49" t="s">
        <v>26</v>
      </c>
      <c r="F129" s="60" t="n">
        <v>65.01</v>
      </c>
      <c r="G129" s="47" t="s">
        <v>27</v>
      </c>
      <c r="H129" s="52" t="n">
        <f aca="false">74.03/1.2</f>
        <v>61.6916666666667</v>
      </c>
      <c r="I129" s="53" t="n">
        <f aca="false">D129*H129</f>
        <v>123.383333333333</v>
      </c>
      <c r="J129" s="53" t="s">
        <v>28</v>
      </c>
      <c r="K129" s="52" t="n">
        <f aca="false">76.66/1.2</f>
        <v>63.8833333333333</v>
      </c>
      <c r="L129" s="53" t="n">
        <f aca="false">D129*K129</f>
        <v>127.766666666667</v>
      </c>
      <c r="M129" s="47" t="s">
        <v>29</v>
      </c>
      <c r="N129" s="52" t="n">
        <v>69.74</v>
      </c>
      <c r="O129" s="53" t="n">
        <f aca="false">D129*N129</f>
        <v>139.48</v>
      </c>
      <c r="P129" s="54" t="n">
        <f aca="false">AVERAGE(H129,K129,N129)</f>
        <v>65.105</v>
      </c>
      <c r="Q129" s="55" t="n">
        <f aca="false">F129*100/P129-100</f>
        <v>-0.1459181322479</v>
      </c>
      <c r="R129" s="54" t="n">
        <f aca="false">D129*F129</f>
        <v>130.02</v>
      </c>
      <c r="S129" s="56"/>
      <c r="U129" s="57" t="n">
        <f aca="false">ROUND(H129*100/P129-100,0)</f>
        <v>-5</v>
      </c>
      <c r="V129" s="57" t="n">
        <f aca="false">ROUND(K129*100/P129-100,0)</f>
        <v>-2</v>
      </c>
      <c r="W129" s="57" t="n">
        <f aca="false">ROUND(N129*100/P129-100,0)</f>
        <v>7</v>
      </c>
    </row>
    <row r="130" s="43" customFormat="true" ht="73.5" hidden="false" customHeight="true" outlineLevel="0" collapsed="false">
      <c r="A130" s="45" t="n">
        <v>125</v>
      </c>
      <c r="B130" s="46" t="s">
        <v>187</v>
      </c>
      <c r="C130" s="47" t="s">
        <v>25</v>
      </c>
      <c r="D130" s="48" t="n">
        <v>4</v>
      </c>
      <c r="E130" s="49" t="s">
        <v>26</v>
      </c>
      <c r="F130" s="60" t="n">
        <v>133.1</v>
      </c>
      <c r="G130" s="47" t="s">
        <v>27</v>
      </c>
      <c r="H130" s="52" t="n">
        <f aca="false">149.48/1.2</f>
        <v>124.566666666667</v>
      </c>
      <c r="I130" s="53" t="n">
        <f aca="false">D130*H130</f>
        <v>498.266666666667</v>
      </c>
      <c r="J130" s="53" t="s">
        <v>28</v>
      </c>
      <c r="K130" s="52" t="n">
        <f aca="false">167.56/1.2</f>
        <v>139.633333333333</v>
      </c>
      <c r="L130" s="53" t="n">
        <f aca="false">D130*K130</f>
        <v>558.533333333333</v>
      </c>
      <c r="M130" s="47" t="s">
        <v>29</v>
      </c>
      <c r="N130" s="52" t="n">
        <v>136.08</v>
      </c>
      <c r="O130" s="53" t="n">
        <f aca="false">D130*N130</f>
        <v>544.32</v>
      </c>
      <c r="P130" s="54" t="n">
        <f aca="false">AVERAGE(H130,K130,N130)</f>
        <v>133.426666666667</v>
      </c>
      <c r="Q130" s="55" t="n">
        <f aca="false">F130*100/P130-100</f>
        <v>-0.244828619966029</v>
      </c>
      <c r="R130" s="54" t="n">
        <f aca="false">D130*F130</f>
        <v>532.4</v>
      </c>
      <c r="S130" s="56"/>
      <c r="U130" s="57" t="n">
        <f aca="false">ROUND(H130*100/P130-100,0)</f>
        <v>-7</v>
      </c>
      <c r="V130" s="57" t="n">
        <f aca="false">ROUND(K130*100/P130-100,0)</f>
        <v>5</v>
      </c>
      <c r="W130" s="57" t="n">
        <f aca="false">ROUND(N130*100/P130-100,0)</f>
        <v>2</v>
      </c>
    </row>
    <row r="131" s="43" customFormat="true" ht="73.5" hidden="false" customHeight="true" outlineLevel="0" collapsed="false">
      <c r="A131" s="45" t="n">
        <v>126</v>
      </c>
      <c r="B131" s="46" t="s">
        <v>188</v>
      </c>
      <c r="C131" s="47" t="s">
        <v>53</v>
      </c>
      <c r="D131" s="48" t="n">
        <v>58.65</v>
      </c>
      <c r="E131" s="49" t="n">
        <v>917.04</v>
      </c>
      <c r="F131" s="60" t="n">
        <v>1090.4</v>
      </c>
      <c r="G131" s="51" t="s">
        <v>90</v>
      </c>
      <c r="H131" s="52" t="n">
        <f aca="false">1238.89/1.2</f>
        <v>1032.40833333333</v>
      </c>
      <c r="I131" s="53" t="n">
        <f aca="false">D131*H131</f>
        <v>60550.74875</v>
      </c>
      <c r="J131" s="51" t="s">
        <v>189</v>
      </c>
      <c r="K131" s="52" t="n">
        <f aca="false">1320.83/1.2</f>
        <v>1100.69166666667</v>
      </c>
      <c r="L131" s="53" t="n">
        <f aca="false">D131*K131</f>
        <v>64555.56625</v>
      </c>
      <c r="M131" s="51" t="s">
        <v>149</v>
      </c>
      <c r="N131" s="52" t="n">
        <f aca="false">1385.5/1.2</f>
        <v>1154.58333333333</v>
      </c>
      <c r="O131" s="53" t="n">
        <f aca="false">D131*N131</f>
        <v>67716.3125</v>
      </c>
      <c r="P131" s="54" t="n">
        <f aca="false">AVERAGE(H131,K131,N131)</f>
        <v>1095.89444444444</v>
      </c>
      <c r="Q131" s="55" t="n">
        <f aca="false">F131*100/P131-100</f>
        <v>-0.501366210249344</v>
      </c>
      <c r="R131" s="54" t="n">
        <f aca="false">D131*F131</f>
        <v>63951.96</v>
      </c>
      <c r="S131" s="67"/>
      <c r="T131" s="68"/>
      <c r="U131" s="57" t="n">
        <f aca="false">ROUND(H131*100/P131-100,0)</f>
        <v>-6</v>
      </c>
      <c r="V131" s="57" t="n">
        <f aca="false">ROUND(K131*100/P131-100,0)</f>
        <v>0</v>
      </c>
      <c r="W131" s="57" t="n">
        <f aca="false">ROUND(N131*100/P131-100,0)</f>
        <v>5</v>
      </c>
    </row>
    <row r="132" s="43" customFormat="true" ht="73.5" hidden="false" customHeight="true" outlineLevel="0" collapsed="false">
      <c r="A132" s="45" t="n">
        <v>127</v>
      </c>
      <c r="B132" s="46" t="s">
        <v>190</v>
      </c>
      <c r="C132" s="47" t="s">
        <v>53</v>
      </c>
      <c r="D132" s="48" t="s">
        <v>191</v>
      </c>
      <c r="E132" s="49" t="n">
        <v>1562.5</v>
      </c>
      <c r="F132" s="60" t="n">
        <v>2710.82</v>
      </c>
      <c r="G132" s="51" t="s">
        <v>90</v>
      </c>
      <c r="H132" s="52" t="n">
        <f aca="false">3111.11/1.2</f>
        <v>2592.59166666667</v>
      </c>
      <c r="I132" s="53" t="n">
        <f aca="false">D132*H132</f>
        <v>2851.85083333333</v>
      </c>
      <c r="J132" s="51" t="s">
        <v>189</v>
      </c>
      <c r="K132" s="52" t="n">
        <f aca="false">3185.77/1.2</f>
        <v>2654.80833333333</v>
      </c>
      <c r="L132" s="53" t="n">
        <f aca="false">D132*K132</f>
        <v>2920.28916666667</v>
      </c>
      <c r="M132" s="51" t="s">
        <v>149</v>
      </c>
      <c r="N132" s="52" t="n">
        <f aca="false">3480.8/1.2</f>
        <v>2900.66666666667</v>
      </c>
      <c r="O132" s="53" t="n">
        <f aca="false">D132*N132</f>
        <v>3190.73333333333</v>
      </c>
      <c r="P132" s="54" t="n">
        <f aca="false">AVERAGE(H132,K132,N132)</f>
        <v>2716.02222222222</v>
      </c>
      <c r="Q132" s="55" t="n">
        <f aca="false">F132*100/P132-100</f>
        <v>-0.191538279019156</v>
      </c>
      <c r="R132" s="54" t="n">
        <f aca="false">D132*F132</f>
        <v>2981.902</v>
      </c>
      <c r="S132" s="67"/>
      <c r="U132" s="57" t="n">
        <f aca="false">ROUND(H132*100/P132-100,0)</f>
        <v>-5</v>
      </c>
      <c r="V132" s="57" t="n">
        <f aca="false">ROUND(K132*100/P132-100,0)</f>
        <v>-2</v>
      </c>
      <c r="W132" s="57" t="n">
        <f aca="false">ROUND(N132*100/P132-100,0)</f>
        <v>7</v>
      </c>
    </row>
    <row r="133" s="43" customFormat="true" ht="73.5" hidden="false" customHeight="true" outlineLevel="0" collapsed="false">
      <c r="A133" s="45" t="n">
        <v>128</v>
      </c>
      <c r="B133" s="46" t="s">
        <v>192</v>
      </c>
      <c r="C133" s="47" t="s">
        <v>53</v>
      </c>
      <c r="D133" s="48" t="s">
        <v>193</v>
      </c>
      <c r="E133" s="49" t="n">
        <v>1779.17</v>
      </c>
      <c r="F133" s="60" t="n">
        <v>2701.65</v>
      </c>
      <c r="G133" s="51" t="s">
        <v>90</v>
      </c>
      <c r="H133" s="52" t="n">
        <f aca="false">3166.67/1.2</f>
        <v>2638.89166666667</v>
      </c>
      <c r="I133" s="53" t="n">
        <f aca="false">D133*H133</f>
        <v>8180.56416666667</v>
      </c>
      <c r="J133" s="51" t="s">
        <v>189</v>
      </c>
      <c r="K133" s="52" t="n">
        <f aca="false">3135.29/1.2</f>
        <v>2612.74166666667</v>
      </c>
      <c r="L133" s="53" t="n">
        <f aca="false">D133*K133</f>
        <v>8099.49916666667</v>
      </c>
      <c r="M133" s="51" t="s">
        <v>149</v>
      </c>
      <c r="N133" s="52" t="n">
        <f aca="false">3514.09/1.2</f>
        <v>2928.40833333333</v>
      </c>
      <c r="O133" s="53" t="n">
        <f aca="false">D133*N133</f>
        <v>9078.06583333333</v>
      </c>
      <c r="P133" s="54" t="n">
        <f aca="false">AVERAGE(H133,K133,N133)</f>
        <v>2726.68055555556</v>
      </c>
      <c r="Q133" s="55" t="n">
        <f aca="false">F133*100/P133-100</f>
        <v>-0.917986359075215</v>
      </c>
      <c r="R133" s="54" t="n">
        <f aca="false">D133*F133</f>
        <v>8375.115</v>
      </c>
      <c r="S133" s="67"/>
      <c r="U133" s="57" t="n">
        <f aca="false">ROUND(H133*100/P133-100,0)</f>
        <v>-3</v>
      </c>
      <c r="V133" s="57" t="n">
        <f aca="false">ROUND(K133*100/P133-100,0)</f>
        <v>-4</v>
      </c>
      <c r="W133" s="57" t="n">
        <f aca="false">ROUND(N133*100/P133-100,0)</f>
        <v>7</v>
      </c>
    </row>
    <row r="134" s="43" customFormat="true" ht="73.5" hidden="false" customHeight="true" outlineLevel="0" collapsed="false">
      <c r="A134" s="45" t="n">
        <v>129</v>
      </c>
      <c r="B134" s="46" t="s">
        <v>194</v>
      </c>
      <c r="C134" s="47" t="s">
        <v>53</v>
      </c>
      <c r="D134" s="48" t="n">
        <v>10</v>
      </c>
      <c r="E134" s="49" t="n">
        <v>1270.37</v>
      </c>
      <c r="F134" s="60" t="n">
        <v>1478.6</v>
      </c>
      <c r="G134" s="51" t="s">
        <v>90</v>
      </c>
      <c r="H134" s="52" t="n">
        <f aca="false">1725.55/1.2</f>
        <v>1437.95833333333</v>
      </c>
      <c r="I134" s="53" t="n">
        <f aca="false">D134*H134</f>
        <v>14379.5833333333</v>
      </c>
      <c r="J134" s="51" t="s">
        <v>189</v>
      </c>
      <c r="K134" s="52" t="n">
        <f aca="false">1741.12/1.2</f>
        <v>1450.93333333333</v>
      </c>
      <c r="L134" s="53" t="n">
        <f aca="false">D134*K134</f>
        <v>14509.3333333333</v>
      </c>
      <c r="M134" s="51" t="s">
        <v>149</v>
      </c>
      <c r="N134" s="52" t="n">
        <f aca="false">1865.66/1.2</f>
        <v>1554.71666666667</v>
      </c>
      <c r="O134" s="53" t="n">
        <f aca="false">D134*N134</f>
        <v>15547.1666666667</v>
      </c>
      <c r="P134" s="54" t="n">
        <f aca="false">AVERAGE(H134,K134,N134)</f>
        <v>1481.20277777778</v>
      </c>
      <c r="Q134" s="55" t="n">
        <f aca="false">F134*100/P134-100</f>
        <v>-0.175720557429869</v>
      </c>
      <c r="R134" s="54" t="n">
        <f aca="false">D134*F134</f>
        <v>14786</v>
      </c>
      <c r="S134" s="67"/>
      <c r="U134" s="57" t="n">
        <f aca="false">ROUND(H134*100/P134-100,0)</f>
        <v>-3</v>
      </c>
      <c r="V134" s="57" t="n">
        <f aca="false">ROUND(K134*100/P134-100,0)</f>
        <v>-2</v>
      </c>
      <c r="W134" s="57" t="n">
        <f aca="false">ROUND(N134*100/P134-100,0)</f>
        <v>5</v>
      </c>
    </row>
    <row r="135" s="43" customFormat="true" ht="73.5" hidden="false" customHeight="true" outlineLevel="0" collapsed="false">
      <c r="A135" s="45" t="n">
        <v>130</v>
      </c>
      <c r="B135" s="46" t="s">
        <v>195</v>
      </c>
      <c r="C135" s="47" t="s">
        <v>53</v>
      </c>
      <c r="D135" s="48" t="n">
        <v>15</v>
      </c>
      <c r="E135" s="49" t="n">
        <v>1323.15</v>
      </c>
      <c r="F135" s="60" t="n">
        <v>1369.87</v>
      </c>
      <c r="G135" s="51" t="s">
        <v>90</v>
      </c>
      <c r="H135" s="52" t="n">
        <f aca="false">1505.56/1.2</f>
        <v>1254.63333333333</v>
      </c>
      <c r="I135" s="53" t="n">
        <f aca="false">D135*H135</f>
        <v>18819.5</v>
      </c>
      <c r="J135" s="51" t="s">
        <v>189</v>
      </c>
      <c r="K135" s="52" t="n">
        <f aca="false">1637.46/1.2</f>
        <v>1364.55</v>
      </c>
      <c r="L135" s="53" t="n">
        <f aca="false">D135*K135</f>
        <v>20468.25</v>
      </c>
      <c r="M135" s="51" t="s">
        <v>149</v>
      </c>
      <c r="N135" s="52" t="n">
        <f aca="false">1805.2/1.2</f>
        <v>1504.33333333333</v>
      </c>
      <c r="O135" s="53" t="n">
        <f aca="false">D135*N135</f>
        <v>22565</v>
      </c>
      <c r="P135" s="54" t="n">
        <f aca="false">AVERAGE(H135,K135,N135)</f>
        <v>1374.50555555556</v>
      </c>
      <c r="Q135" s="55" t="n">
        <f aca="false">F135*100/P135-100</f>
        <v>-0.337252587799256</v>
      </c>
      <c r="R135" s="54" t="n">
        <f aca="false">D135*F135</f>
        <v>20548.05</v>
      </c>
      <c r="S135" s="67"/>
      <c r="U135" s="57" t="n">
        <f aca="false">ROUND(H135*100/P135-100,0)</f>
        <v>-9</v>
      </c>
      <c r="V135" s="57" t="n">
        <f aca="false">ROUND(K135*100/P135-100,0)</f>
        <v>-1</v>
      </c>
      <c r="W135" s="57" t="n">
        <f aca="false">ROUND(N135*100/P135-100,0)</f>
        <v>9</v>
      </c>
    </row>
    <row r="136" s="43" customFormat="true" ht="73.5" hidden="false" customHeight="true" outlineLevel="0" collapsed="false">
      <c r="A136" s="45" t="n">
        <v>131</v>
      </c>
      <c r="B136" s="46" t="s">
        <v>196</v>
      </c>
      <c r="C136" s="47" t="s">
        <v>53</v>
      </c>
      <c r="D136" s="48" t="s">
        <v>191</v>
      </c>
      <c r="E136" s="49" t="n">
        <v>1349.17</v>
      </c>
      <c r="F136" s="60" t="n">
        <v>1878.3</v>
      </c>
      <c r="G136" s="51" t="s">
        <v>90</v>
      </c>
      <c r="H136" s="52" t="n">
        <f aca="false">2222.22/1.2</f>
        <v>1851.85</v>
      </c>
      <c r="I136" s="53" t="n">
        <f aca="false">D136*H136</f>
        <v>2037.035</v>
      </c>
      <c r="J136" s="51" t="s">
        <v>189</v>
      </c>
      <c r="K136" s="52" t="n">
        <f aca="false">2269.73/1.2</f>
        <v>1891.44166666667</v>
      </c>
      <c r="L136" s="53" t="n">
        <f aca="false">D136*K136</f>
        <v>2080.58583333333</v>
      </c>
      <c r="M136" s="51" t="s">
        <v>149</v>
      </c>
      <c r="N136" s="52" t="n">
        <f aca="false">2294.14/1.2</f>
        <v>1911.78333333333</v>
      </c>
      <c r="O136" s="53" t="n">
        <f aca="false">D136*N136</f>
        <v>2102.96166666667</v>
      </c>
      <c r="P136" s="54" t="n">
        <f aca="false">AVERAGE(H136,K136,N136)</f>
        <v>1885.025</v>
      </c>
      <c r="Q136" s="55" t="n">
        <f aca="false">F136*100/P136-100</f>
        <v>-0.35675919417514</v>
      </c>
      <c r="R136" s="54" t="n">
        <f aca="false">D136*F136</f>
        <v>2066.13</v>
      </c>
      <c r="S136" s="67"/>
      <c r="U136" s="57" t="n">
        <f aca="false">ROUND(H136*100/P136-100,0)</f>
        <v>-2</v>
      </c>
      <c r="V136" s="57" t="n">
        <f aca="false">ROUND(K136*100/P136-100,0)</f>
        <v>0</v>
      </c>
      <c r="W136" s="57" t="n">
        <f aca="false">ROUND(N136*100/P136-100,0)</f>
        <v>1</v>
      </c>
    </row>
    <row r="137" s="43" customFormat="true" ht="73.5" hidden="false" customHeight="true" outlineLevel="0" collapsed="false">
      <c r="A137" s="45" t="n">
        <v>132</v>
      </c>
      <c r="B137" s="46" t="s">
        <v>197</v>
      </c>
      <c r="C137" s="47" t="s">
        <v>45</v>
      </c>
      <c r="D137" s="48" t="n">
        <v>450</v>
      </c>
      <c r="E137" s="49" t="s">
        <v>26</v>
      </c>
      <c r="F137" s="60" t="n">
        <v>452.31</v>
      </c>
      <c r="G137" s="47" t="s">
        <v>198</v>
      </c>
      <c r="H137" s="52" t="n">
        <f aca="false">12465/1.2/25</f>
        <v>415.5</v>
      </c>
      <c r="I137" s="53" t="n">
        <f aca="false">D137*H137</f>
        <v>186975</v>
      </c>
      <c r="J137" s="51" t="s">
        <v>189</v>
      </c>
      <c r="K137" s="52" t="n">
        <f aca="false">526.16/1.2</f>
        <v>438.466666666667</v>
      </c>
      <c r="L137" s="53" t="n">
        <f aca="false">D137*K137</f>
        <v>197310</v>
      </c>
      <c r="M137" s="53" t="s">
        <v>41</v>
      </c>
      <c r="N137" s="52" t="n">
        <v>509.48</v>
      </c>
      <c r="O137" s="53" t="n">
        <f aca="false">D137*N137</f>
        <v>229266</v>
      </c>
      <c r="P137" s="54" t="n">
        <f aca="false">AVERAGE(H137,K137,N137)</f>
        <v>454.482222222222</v>
      </c>
      <c r="Q137" s="55" t="n">
        <f aca="false">F137*100/P137-100</f>
        <v>-0.477955377792554</v>
      </c>
      <c r="R137" s="54" t="n">
        <f aca="false">D137*F137</f>
        <v>203539.5</v>
      </c>
      <c r="S137" s="56"/>
      <c r="U137" s="57" t="n">
        <f aca="false">ROUND(H137*100/P137-100,0)</f>
        <v>-9</v>
      </c>
      <c r="V137" s="57" t="n">
        <f aca="false">ROUND(K137*100/P137-100,0)</f>
        <v>-4</v>
      </c>
      <c r="W137" s="57" t="n">
        <f aca="false">ROUND(N137*100/P137-100,0)</f>
        <v>12</v>
      </c>
    </row>
    <row r="138" s="43" customFormat="true" ht="73.5" hidden="false" customHeight="true" outlineLevel="0" collapsed="false">
      <c r="A138" s="45" t="n">
        <v>133</v>
      </c>
      <c r="B138" s="46" t="s">
        <v>199</v>
      </c>
      <c r="C138" s="47" t="s">
        <v>25</v>
      </c>
      <c r="D138" s="48" t="n">
        <v>2</v>
      </c>
      <c r="E138" s="49" t="s">
        <v>26</v>
      </c>
      <c r="F138" s="60" t="n">
        <v>789.34</v>
      </c>
      <c r="G138" s="47" t="s">
        <v>27</v>
      </c>
      <c r="H138" s="52" t="n">
        <f aca="false">898.07/1.2</f>
        <v>748.391666666667</v>
      </c>
      <c r="I138" s="53" t="n">
        <f aca="false">D138*H138</f>
        <v>1496.78333333333</v>
      </c>
      <c r="J138" s="53" t="s">
        <v>28</v>
      </c>
      <c r="K138" s="52" t="n">
        <f aca="false">987.35/1.2</f>
        <v>822.791666666667</v>
      </c>
      <c r="L138" s="53" t="n">
        <f aca="false">D138*K138</f>
        <v>1645.58333333333</v>
      </c>
      <c r="M138" s="47" t="s">
        <v>29</v>
      </c>
      <c r="N138" s="52" t="n">
        <v>801.16</v>
      </c>
      <c r="O138" s="53" t="n">
        <f aca="false">D138*N138</f>
        <v>1602.32</v>
      </c>
      <c r="P138" s="54" t="n">
        <f aca="false">AVERAGE(H138,K138,N138)</f>
        <v>790.781111111111</v>
      </c>
      <c r="Q138" s="55" t="n">
        <f aca="false">F138*100/P138-100</f>
        <v>-0.182238939557649</v>
      </c>
      <c r="R138" s="54" t="n">
        <f aca="false">D138*F138</f>
        <v>1578.68</v>
      </c>
      <c r="S138" s="56"/>
      <c r="U138" s="57" t="n">
        <f aca="false">ROUND(H138*100/P138-100,0)</f>
        <v>-5</v>
      </c>
      <c r="V138" s="57" t="n">
        <f aca="false">ROUND(K138*100/P138-100,0)</f>
        <v>4</v>
      </c>
      <c r="W138" s="57" t="n">
        <f aca="false">ROUND(N138*100/P138-100,0)</f>
        <v>1</v>
      </c>
    </row>
    <row r="139" s="43" customFormat="true" ht="73.5" hidden="false" customHeight="true" outlineLevel="0" collapsed="false">
      <c r="A139" s="45" t="n">
        <v>134</v>
      </c>
      <c r="B139" s="46" t="s">
        <v>200</v>
      </c>
      <c r="C139" s="47" t="s">
        <v>25</v>
      </c>
      <c r="D139" s="48" t="n">
        <v>36</v>
      </c>
      <c r="E139" s="49" t="s">
        <v>26</v>
      </c>
      <c r="F139" s="60" t="n">
        <v>329.75</v>
      </c>
      <c r="G139" s="47" t="s">
        <v>27</v>
      </c>
      <c r="H139" s="52" t="n">
        <f aca="false">356.62/1.2</f>
        <v>297.183333333333</v>
      </c>
      <c r="I139" s="53" t="n">
        <f aca="false">D139*H139</f>
        <v>10698.6</v>
      </c>
      <c r="J139" s="53" t="s">
        <v>28</v>
      </c>
      <c r="K139" s="52" t="n">
        <f aca="false">442.12/1.2</f>
        <v>368.433333333333</v>
      </c>
      <c r="L139" s="53" t="n">
        <f aca="false">D139*K139</f>
        <v>13263.6</v>
      </c>
      <c r="M139" s="47" t="s">
        <v>29</v>
      </c>
      <c r="N139" s="52" t="n">
        <v>335.45</v>
      </c>
      <c r="O139" s="53" t="n">
        <f aca="false">D139*N139</f>
        <v>12076.2</v>
      </c>
      <c r="P139" s="54" t="n">
        <f aca="false">AVERAGE(H139,K139,N139)</f>
        <v>333.688888888889</v>
      </c>
      <c r="Q139" s="55" t="n">
        <f aca="false">F139*100/P139-100</f>
        <v>-1.18040756526371</v>
      </c>
      <c r="R139" s="54" t="n">
        <f aca="false">D139*F139</f>
        <v>11871</v>
      </c>
      <c r="S139" s="56"/>
      <c r="U139" s="57" t="n">
        <f aca="false">ROUND(H139*100/P139-100,0)</f>
        <v>-11</v>
      </c>
      <c r="V139" s="57" t="n">
        <f aca="false">ROUND(K139*100/P139-100,0)</f>
        <v>10</v>
      </c>
      <c r="W139" s="57" t="n">
        <f aca="false">ROUND(N139*100/P139-100,0)</f>
        <v>1</v>
      </c>
    </row>
    <row r="140" s="43" customFormat="true" ht="99.75" hidden="false" customHeight="true" outlineLevel="0" collapsed="false">
      <c r="A140" s="45" t="n">
        <v>135</v>
      </c>
      <c r="B140" s="46" t="s">
        <v>201</v>
      </c>
      <c r="C140" s="47" t="s">
        <v>45</v>
      </c>
      <c r="D140" s="48" t="n">
        <v>140</v>
      </c>
      <c r="E140" s="49" t="n">
        <v>387.5</v>
      </c>
      <c r="F140" s="60" t="n">
        <v>429.98</v>
      </c>
      <c r="G140" s="47" t="s">
        <v>202</v>
      </c>
      <c r="H140" s="52" t="n">
        <f aca="false">10220/25</f>
        <v>408.8</v>
      </c>
      <c r="I140" s="53" t="n">
        <f aca="false">D140*H140</f>
        <v>57232</v>
      </c>
      <c r="J140" s="47" t="s">
        <v>46</v>
      </c>
      <c r="K140" s="52" t="n">
        <v>456.73</v>
      </c>
      <c r="L140" s="53" t="n">
        <f aca="false">D140*K140</f>
        <v>63942.2</v>
      </c>
      <c r="M140" s="47" t="s">
        <v>57</v>
      </c>
      <c r="N140" s="52" t="n">
        <v>428.41</v>
      </c>
      <c r="O140" s="53" t="n">
        <f aca="false">D140*N140</f>
        <v>59977.4</v>
      </c>
      <c r="P140" s="54" t="n">
        <f aca="false">AVERAGE(H140,K140,N140)</f>
        <v>431.313333333333</v>
      </c>
      <c r="Q140" s="55" t="n">
        <f aca="false">F140*100/P140-100</f>
        <v>-0.309133344668226</v>
      </c>
      <c r="R140" s="54" t="n">
        <f aca="false">D140*F140</f>
        <v>60197.2</v>
      </c>
      <c r="S140" s="56"/>
      <c r="U140" s="57" t="n">
        <f aca="false">ROUND(H140*100/P140-100,0)</f>
        <v>-5</v>
      </c>
      <c r="V140" s="57" t="n">
        <f aca="false">ROUND(K140*100/P140-100,0)</f>
        <v>6</v>
      </c>
      <c r="W140" s="57" t="n">
        <f aca="false">ROUND(N140*100/P140-100,0)</f>
        <v>-1</v>
      </c>
    </row>
    <row r="141" s="43" customFormat="true" ht="95.25" hidden="false" customHeight="true" outlineLevel="0" collapsed="false">
      <c r="A141" s="45" t="n">
        <v>136</v>
      </c>
      <c r="B141" s="46" t="s">
        <v>203</v>
      </c>
      <c r="C141" s="47" t="s">
        <v>45</v>
      </c>
      <c r="D141" s="48" t="n">
        <v>12</v>
      </c>
      <c r="E141" s="49" t="n">
        <v>808.33</v>
      </c>
      <c r="F141" s="60" t="n">
        <v>905.66</v>
      </c>
      <c r="G141" s="47" t="s">
        <v>202</v>
      </c>
      <c r="H141" s="52" t="n">
        <f aca="false">21931.67/25</f>
        <v>877.2668</v>
      </c>
      <c r="I141" s="53" t="n">
        <f aca="false">D141*H141</f>
        <v>10527.2016</v>
      </c>
      <c r="J141" s="47" t="s">
        <v>46</v>
      </c>
      <c r="K141" s="52" t="n">
        <v>954.02</v>
      </c>
      <c r="L141" s="53" t="n">
        <f aca="false">D141*K141</f>
        <v>11448.24</v>
      </c>
      <c r="M141" s="47" t="s">
        <v>57</v>
      </c>
      <c r="N141" s="52" t="n">
        <v>893.4</v>
      </c>
      <c r="O141" s="53" t="n">
        <f aca="false">D141*N141</f>
        <v>10720.8</v>
      </c>
      <c r="P141" s="54" t="n">
        <f aca="false">AVERAGE(H141,K141,N141)</f>
        <v>908.228933333333</v>
      </c>
      <c r="Q141" s="55" t="n">
        <f aca="false">F141*100/P141-100</f>
        <v>-0.282850858307825</v>
      </c>
      <c r="R141" s="54" t="n">
        <f aca="false">D141*F141</f>
        <v>10867.92</v>
      </c>
      <c r="S141" s="56"/>
      <c r="U141" s="57" t="n">
        <f aca="false">ROUND(H141*100/P141-100,0)</f>
        <v>-3</v>
      </c>
      <c r="V141" s="57" t="n">
        <f aca="false">ROUND(K141*100/P141-100,0)</f>
        <v>5</v>
      </c>
      <c r="W141" s="57" t="n">
        <f aca="false">ROUND(N141*100/P141-100,0)</f>
        <v>-2</v>
      </c>
    </row>
    <row r="142" s="43" customFormat="true" ht="73.5" hidden="false" customHeight="true" outlineLevel="0" collapsed="false">
      <c r="A142" s="45" t="n">
        <v>137</v>
      </c>
      <c r="B142" s="46" t="s">
        <v>204</v>
      </c>
      <c r="C142" s="47" t="s">
        <v>25</v>
      </c>
      <c r="D142" s="48" t="n">
        <v>12</v>
      </c>
      <c r="E142" s="49" t="s">
        <v>26</v>
      </c>
      <c r="F142" s="60" t="n">
        <v>653.71</v>
      </c>
      <c r="G142" s="47" t="s">
        <v>27</v>
      </c>
      <c r="H142" s="52" t="n">
        <f aca="false">723.24/1.2</f>
        <v>602.7</v>
      </c>
      <c r="I142" s="53" t="n">
        <f aca="false">D142*H142</f>
        <v>7232.4</v>
      </c>
      <c r="J142" s="53" t="s">
        <v>28</v>
      </c>
      <c r="K142" s="52" t="n">
        <f aca="false">857.27/1.2</f>
        <v>714.391666666667</v>
      </c>
      <c r="L142" s="53" t="n">
        <f aca="false">D142*K142</f>
        <v>8572.7</v>
      </c>
      <c r="M142" s="47" t="s">
        <v>29</v>
      </c>
      <c r="N142" s="52" t="n">
        <v>652.02</v>
      </c>
      <c r="O142" s="53" t="n">
        <f aca="false">D142*N142</f>
        <v>7824.24</v>
      </c>
      <c r="P142" s="54" t="n">
        <f aca="false">AVERAGE(H142,K142,N142)</f>
        <v>656.370555555556</v>
      </c>
      <c r="Q142" s="55" t="n">
        <f aca="false">F142*100/P142-100</f>
        <v>-0.405343526310944</v>
      </c>
      <c r="R142" s="54" t="n">
        <f aca="false">D142*F142</f>
        <v>7844.52</v>
      </c>
      <c r="S142" s="56"/>
      <c r="U142" s="57" t="n">
        <f aca="false">ROUND(H142*100/P142-100,0)</f>
        <v>-8</v>
      </c>
      <c r="V142" s="57" t="n">
        <f aca="false">ROUND(K142*100/P142-100,0)</f>
        <v>9</v>
      </c>
      <c r="W142" s="57" t="n">
        <f aca="false">ROUND(N142*100/P142-100,0)</f>
        <v>-1</v>
      </c>
    </row>
    <row r="143" s="43" customFormat="true" ht="73.5" hidden="false" customHeight="true" outlineLevel="0" collapsed="false">
      <c r="A143" s="45" t="n">
        <v>138</v>
      </c>
      <c r="B143" s="46" t="s">
        <v>205</v>
      </c>
      <c r="C143" s="47" t="s">
        <v>25</v>
      </c>
      <c r="D143" s="48" t="n">
        <v>35</v>
      </c>
      <c r="E143" s="49" t="s">
        <v>26</v>
      </c>
      <c r="F143" s="60" t="n">
        <v>113.54</v>
      </c>
      <c r="G143" s="47" t="s">
        <v>27</v>
      </c>
      <c r="H143" s="52" t="n">
        <f aca="false">118.77/1.2</f>
        <v>98.975</v>
      </c>
      <c r="I143" s="53" t="n">
        <f aca="false">D143*H143</f>
        <v>3464.125</v>
      </c>
      <c r="J143" s="53" t="s">
        <v>28</v>
      </c>
      <c r="K143" s="52" t="n">
        <f aca="false">135.22/1.2</f>
        <v>112.683333333333</v>
      </c>
      <c r="L143" s="53" t="n">
        <f aca="false">D143*K143</f>
        <v>3943.91666666667</v>
      </c>
      <c r="M143" s="47" t="s">
        <v>29</v>
      </c>
      <c r="N143" s="52" t="n">
        <v>135.37</v>
      </c>
      <c r="O143" s="53" t="n">
        <f aca="false">D143*N143</f>
        <v>4737.95</v>
      </c>
      <c r="P143" s="54" t="n">
        <f aca="false">AVERAGE(H143,K143,N143)</f>
        <v>115.676111111111</v>
      </c>
      <c r="Q143" s="55" t="n">
        <f aca="false">F143*100/P143-100</f>
        <v>-1.84663115883909</v>
      </c>
      <c r="R143" s="54" t="n">
        <f aca="false">D143*F143</f>
        <v>3973.9</v>
      </c>
      <c r="S143" s="56"/>
      <c r="U143" s="57" t="n">
        <f aca="false">ROUND(H143*100/P143-100,0)</f>
        <v>-14</v>
      </c>
      <c r="V143" s="57" t="n">
        <f aca="false">ROUND(K143*100/P143-100,0)</f>
        <v>-3</v>
      </c>
      <c r="W143" s="57" t="n">
        <f aca="false">ROUND(N143*100/P143-100,0)</f>
        <v>17</v>
      </c>
    </row>
    <row r="144" s="43" customFormat="true" ht="73.5" hidden="false" customHeight="true" outlineLevel="0" collapsed="false">
      <c r="A144" s="45" t="n">
        <v>139</v>
      </c>
      <c r="B144" s="46" t="s">
        <v>206</v>
      </c>
      <c r="C144" s="47" t="s">
        <v>25</v>
      </c>
      <c r="D144" s="48" t="n">
        <v>20</v>
      </c>
      <c r="E144" s="49" t="n">
        <v>221.17</v>
      </c>
      <c r="F144" s="60" t="n">
        <v>242.64</v>
      </c>
      <c r="G144" s="47" t="s">
        <v>27</v>
      </c>
      <c r="H144" s="52" t="n">
        <f aca="false">283.32/1.2</f>
        <v>236.1</v>
      </c>
      <c r="I144" s="53" t="n">
        <f aca="false">D144*H144</f>
        <v>4722</v>
      </c>
      <c r="J144" s="53" t="s">
        <v>28</v>
      </c>
      <c r="K144" s="52" t="n">
        <f aca="false">320.12/1.2</f>
        <v>266.766666666667</v>
      </c>
      <c r="L144" s="53" t="n">
        <f aca="false">D144*K144</f>
        <v>5335.33333333333</v>
      </c>
      <c r="M144" s="47" t="s">
        <v>29</v>
      </c>
      <c r="N144" s="52" t="n">
        <v>231.89</v>
      </c>
      <c r="O144" s="53" t="n">
        <f aca="false">D144*N144</f>
        <v>4637.8</v>
      </c>
      <c r="P144" s="54" t="n">
        <f aca="false">AVERAGE(H144,K144,N144)</f>
        <v>244.918888888889</v>
      </c>
      <c r="Q144" s="55" t="n">
        <f aca="false">F144*100/P144-100</f>
        <v>-0.930466775848686</v>
      </c>
      <c r="R144" s="54" t="n">
        <f aca="false">D144*F144</f>
        <v>4852.8</v>
      </c>
      <c r="S144" s="56"/>
      <c r="U144" s="57" t="n">
        <f aca="false">ROUND(H144*100/P144-100,0)</f>
        <v>-4</v>
      </c>
      <c r="V144" s="57" t="n">
        <f aca="false">ROUND(K144*100/P144-100,0)</f>
        <v>9</v>
      </c>
      <c r="W144" s="57" t="n">
        <f aca="false">ROUND(N144*100/P144-100,0)</f>
        <v>-5</v>
      </c>
    </row>
    <row r="145" s="43" customFormat="true" ht="73.5" hidden="false" customHeight="true" outlineLevel="0" collapsed="false">
      <c r="A145" s="45" t="n">
        <v>140</v>
      </c>
      <c r="B145" s="46" t="s">
        <v>207</v>
      </c>
      <c r="C145" s="47" t="s">
        <v>25</v>
      </c>
      <c r="D145" s="48" t="n">
        <v>356</v>
      </c>
      <c r="E145" s="49" t="n">
        <v>148.41</v>
      </c>
      <c r="F145" s="60" t="n">
        <v>228.33</v>
      </c>
      <c r="G145" s="47" t="s">
        <v>27</v>
      </c>
      <c r="H145" s="52" t="n">
        <f aca="false">219.61/1.2</f>
        <v>183.008333333333</v>
      </c>
      <c r="I145" s="53" t="n">
        <f aca="false">D145*H145</f>
        <v>65150.9666666667</v>
      </c>
      <c r="J145" s="53" t="s">
        <v>28</v>
      </c>
      <c r="K145" s="52" t="n">
        <f aca="false">287.78/1.2</f>
        <v>239.816666666667</v>
      </c>
      <c r="L145" s="53" t="n">
        <f aca="false">D145*K145</f>
        <v>85374.7333333333</v>
      </c>
      <c r="M145" s="47" t="s">
        <v>29</v>
      </c>
      <c r="N145" s="52" t="n">
        <v>266.51</v>
      </c>
      <c r="O145" s="53" t="n">
        <f aca="false">D145*N145</f>
        <v>94877.56</v>
      </c>
      <c r="P145" s="54" t="n">
        <f aca="false">AVERAGE(H145,K145,N145)</f>
        <v>229.778333333333</v>
      </c>
      <c r="Q145" s="55" t="n">
        <f aca="false">F145*100/P145-100</f>
        <v>-0.630317624957385</v>
      </c>
      <c r="R145" s="54" t="n">
        <f aca="false">D145*F145</f>
        <v>81285.48</v>
      </c>
      <c r="S145" s="56"/>
      <c r="U145" s="57" t="n">
        <f aca="false">ROUND(H145*100/P145-100,0)</f>
        <v>-20</v>
      </c>
      <c r="V145" s="57" t="n">
        <f aca="false">ROUND(K145*100/P145-100,0)</f>
        <v>4</v>
      </c>
      <c r="W145" s="57" t="n">
        <f aca="false">ROUND(N145*100/P145-100,0)</f>
        <v>16</v>
      </c>
    </row>
    <row r="146" s="43" customFormat="true" ht="73.5" hidden="false" customHeight="true" outlineLevel="0" collapsed="false">
      <c r="A146" s="45" t="n">
        <v>141</v>
      </c>
      <c r="B146" s="46" t="s">
        <v>208</v>
      </c>
      <c r="C146" s="47" t="s">
        <v>25</v>
      </c>
      <c r="D146" s="48" t="s">
        <v>209</v>
      </c>
      <c r="E146" s="49" t="n">
        <v>201.62</v>
      </c>
      <c r="F146" s="60" t="n">
        <v>233.64</v>
      </c>
      <c r="G146" s="47" t="s">
        <v>27</v>
      </c>
      <c r="H146" s="52" t="n">
        <f aca="false">276.58/1.2</f>
        <v>230.483333333333</v>
      </c>
      <c r="I146" s="53" t="n">
        <f aca="false">D146*H146</f>
        <v>61769.5333333333</v>
      </c>
      <c r="J146" s="53" t="s">
        <v>28</v>
      </c>
      <c r="K146" s="52" t="n">
        <f aca="false">267.66/1.2</f>
        <v>223.05</v>
      </c>
      <c r="L146" s="53" t="n">
        <f aca="false">D146*K146</f>
        <v>59777.4</v>
      </c>
      <c r="M146" s="47" t="s">
        <v>29</v>
      </c>
      <c r="N146" s="52" t="n">
        <v>248.97</v>
      </c>
      <c r="O146" s="53" t="n">
        <f aca="false">D146*N146</f>
        <v>66723.96</v>
      </c>
      <c r="P146" s="54" t="n">
        <f aca="false">AVERAGE(H146,K146,N146)</f>
        <v>234.167777777778</v>
      </c>
      <c r="Q146" s="55" t="n">
        <f aca="false">F146*100/P146-100</f>
        <v>-0.225384458436736</v>
      </c>
      <c r="R146" s="54" t="n">
        <f aca="false">D146*F146</f>
        <v>62615.52</v>
      </c>
      <c r="S146" s="56"/>
      <c r="U146" s="57" t="n">
        <f aca="false">ROUND(H146*100/P146-100,0)</f>
        <v>-2</v>
      </c>
      <c r="V146" s="57" t="n">
        <f aca="false">ROUND(K146*100/P146-100,0)</f>
        <v>-5</v>
      </c>
      <c r="W146" s="57" t="n">
        <f aca="false">ROUND(N146*100/P146-100,0)</f>
        <v>6</v>
      </c>
    </row>
    <row r="147" s="43" customFormat="true" ht="73.5" hidden="false" customHeight="true" outlineLevel="0" collapsed="false">
      <c r="A147" s="45" t="n">
        <v>142</v>
      </c>
      <c r="B147" s="46" t="s">
        <v>210</v>
      </c>
      <c r="C147" s="47" t="s">
        <v>25</v>
      </c>
      <c r="D147" s="48" t="n">
        <v>200</v>
      </c>
      <c r="E147" s="49" t="n">
        <v>250.93</v>
      </c>
      <c r="F147" s="60" t="n">
        <v>325.78</v>
      </c>
      <c r="G147" s="47" t="s">
        <v>27</v>
      </c>
      <c r="H147" s="52" t="n">
        <f aca="false">364.29/1.2</f>
        <v>303.575</v>
      </c>
      <c r="I147" s="53" t="n">
        <f aca="false">D147*H147</f>
        <v>60715</v>
      </c>
      <c r="J147" s="53" t="s">
        <v>28</v>
      </c>
      <c r="K147" s="52" t="n">
        <f aca="false">361.37/1.2</f>
        <v>301.141666666667</v>
      </c>
      <c r="L147" s="53" t="n">
        <f aca="false">D147*K147</f>
        <v>60228.3333333333</v>
      </c>
      <c r="M147" s="47" t="s">
        <v>29</v>
      </c>
      <c r="N147" s="52" t="n">
        <v>374.02</v>
      </c>
      <c r="O147" s="53" t="n">
        <f aca="false">D147*N147</f>
        <v>74804</v>
      </c>
      <c r="P147" s="54" t="n">
        <f aca="false">AVERAGE(H147,K147,N147)</f>
        <v>326.245555555556</v>
      </c>
      <c r="Q147" s="55" t="n">
        <f aca="false">F147*100/P147-100</f>
        <v>-0.142700964849254</v>
      </c>
      <c r="R147" s="54" t="n">
        <f aca="false">D147*F147</f>
        <v>65156</v>
      </c>
      <c r="S147" s="56"/>
      <c r="U147" s="57" t="n">
        <f aca="false">ROUND(H147*100/P147-100,0)</f>
        <v>-7</v>
      </c>
      <c r="V147" s="57" t="n">
        <f aca="false">ROUND(K147*100/P147-100,0)</f>
        <v>-8</v>
      </c>
      <c r="W147" s="57" t="n">
        <f aca="false">ROUND(N147*100/P147-100,0)</f>
        <v>15</v>
      </c>
    </row>
    <row r="148" s="43" customFormat="true" ht="73.5" hidden="false" customHeight="true" outlineLevel="0" collapsed="false">
      <c r="A148" s="45" t="n">
        <v>143</v>
      </c>
      <c r="B148" s="46" t="s">
        <v>211</v>
      </c>
      <c r="C148" s="47" t="s">
        <v>25</v>
      </c>
      <c r="D148" s="48" t="n">
        <v>40</v>
      </c>
      <c r="E148" s="49" t="n">
        <v>814.79</v>
      </c>
      <c r="F148" s="50" t="n">
        <v>1233.75</v>
      </c>
      <c r="G148" s="47" t="s">
        <v>27</v>
      </c>
      <c r="H148" s="52" t="n">
        <f aca="false">1201.84/1.2</f>
        <v>1001.53333333333</v>
      </c>
      <c r="I148" s="53" t="n">
        <f aca="false">D148*H148</f>
        <v>40061.3333333333</v>
      </c>
      <c r="J148" s="53" t="s">
        <v>28</v>
      </c>
      <c r="K148" s="52" t="n">
        <f aca="false">1674.32/1.2</f>
        <v>1395.26666666667</v>
      </c>
      <c r="L148" s="53" t="n">
        <f aca="false">D148*K148</f>
        <v>55810.6666666667</v>
      </c>
      <c r="M148" s="47" t="s">
        <v>29</v>
      </c>
      <c r="N148" s="52" t="n">
        <v>1306.33</v>
      </c>
      <c r="O148" s="53" t="n">
        <f aca="false">D148*N148</f>
        <v>52253.2</v>
      </c>
      <c r="P148" s="54" t="n">
        <f aca="false">AVERAGE(H148,K148,N148)</f>
        <v>1234.37666666667</v>
      </c>
      <c r="Q148" s="55" t="n">
        <f aca="false">F148*100/P148-100</f>
        <v>-0.0507678639421272</v>
      </c>
      <c r="R148" s="54" t="n">
        <f aca="false">D148*F148</f>
        <v>49350</v>
      </c>
      <c r="S148" s="56"/>
      <c r="U148" s="57" t="n">
        <f aca="false">ROUND(H148*100/P148-100,0)</f>
        <v>-19</v>
      </c>
      <c r="V148" s="57" t="n">
        <f aca="false">ROUND(K148*100/P148-100,0)</f>
        <v>13</v>
      </c>
      <c r="W148" s="57" t="n">
        <f aca="false">ROUND(N148*100/P148-100,0)</f>
        <v>6</v>
      </c>
    </row>
    <row r="149" s="43" customFormat="true" ht="73.5" hidden="false" customHeight="true" outlineLevel="0" collapsed="false">
      <c r="A149" s="45" t="n">
        <v>144</v>
      </c>
      <c r="B149" s="46" t="s">
        <v>212</v>
      </c>
      <c r="C149" s="47" t="s">
        <v>25</v>
      </c>
      <c r="D149" s="48" t="n">
        <v>30</v>
      </c>
      <c r="E149" s="49" t="n">
        <v>883.22</v>
      </c>
      <c r="F149" s="50" t="n">
        <v>1098.76</v>
      </c>
      <c r="G149" s="47" t="s">
        <v>27</v>
      </c>
      <c r="H149" s="52" t="n">
        <f aca="false">1199.31/1.2</f>
        <v>999.425</v>
      </c>
      <c r="I149" s="53" t="n">
        <f aca="false">D149*H149</f>
        <v>29982.75</v>
      </c>
      <c r="J149" s="53" t="s">
        <v>28</v>
      </c>
      <c r="K149" s="52" t="n">
        <f aca="false">1269.16/1.2</f>
        <v>1057.63333333333</v>
      </c>
      <c r="L149" s="53" t="n">
        <f aca="false">D149*K149</f>
        <v>31729</v>
      </c>
      <c r="M149" s="47" t="s">
        <v>29</v>
      </c>
      <c r="N149" s="52" t="n">
        <v>1244.25</v>
      </c>
      <c r="O149" s="53" t="n">
        <f aca="false">D149*N149</f>
        <v>37327.5</v>
      </c>
      <c r="P149" s="54" t="n">
        <f aca="false">AVERAGE(H149,K149,N149)</f>
        <v>1100.43611111111</v>
      </c>
      <c r="Q149" s="55" t="n">
        <f aca="false">F149*100/P149-100</f>
        <v>-0.152313350515072</v>
      </c>
      <c r="R149" s="54" t="n">
        <f aca="false">D149*F149</f>
        <v>32962.8</v>
      </c>
      <c r="S149" s="56"/>
      <c r="U149" s="57" t="n">
        <f aca="false">ROUND(H149*100/P149-100,0)</f>
        <v>-9</v>
      </c>
      <c r="V149" s="57" t="n">
        <f aca="false">ROUND(K149*100/P149-100,0)</f>
        <v>-4</v>
      </c>
      <c r="W149" s="57" t="n">
        <f aca="false">ROUND(N149*100/P149-100,0)</f>
        <v>13</v>
      </c>
    </row>
    <row r="150" s="43" customFormat="true" ht="73.5" hidden="false" customHeight="true" outlineLevel="0" collapsed="false">
      <c r="A150" s="45" t="n">
        <v>145</v>
      </c>
      <c r="B150" s="46" t="s">
        <v>213</v>
      </c>
      <c r="C150" s="47" t="s">
        <v>25</v>
      </c>
      <c r="D150" s="48" t="n">
        <v>118</v>
      </c>
      <c r="E150" s="49" t="n">
        <v>924.46</v>
      </c>
      <c r="F150" s="50" t="n">
        <v>951.47</v>
      </c>
      <c r="G150" s="47" t="s">
        <v>27</v>
      </c>
      <c r="H150" s="52" t="n">
        <f aca="false">1115.69/1.2</f>
        <v>929.741666666667</v>
      </c>
      <c r="I150" s="53" t="n">
        <f aca="false">D150*H150</f>
        <v>109709.516666667</v>
      </c>
      <c r="J150" s="53" t="s">
        <v>28</v>
      </c>
      <c r="K150" s="52" t="n">
        <f aca="false">1208.38/1.2</f>
        <v>1006.98333333333</v>
      </c>
      <c r="L150" s="53" t="n">
        <f aca="false">D150*K150</f>
        <v>118824.033333333</v>
      </c>
      <c r="M150" s="47" t="s">
        <v>29</v>
      </c>
      <c r="N150" s="52" t="n">
        <v>921.17</v>
      </c>
      <c r="O150" s="53" t="n">
        <f aca="false">D150*N150</f>
        <v>108698.06</v>
      </c>
      <c r="P150" s="54" t="n">
        <f aca="false">AVERAGE(H150,K150,N150)</f>
        <v>952.631666666667</v>
      </c>
      <c r="Q150" s="55" t="n">
        <f aca="false">F150*100/P150-100</f>
        <v>-0.121942898531969</v>
      </c>
      <c r="R150" s="54" t="n">
        <f aca="false">D150*F150</f>
        <v>112273.46</v>
      </c>
      <c r="S150" s="56"/>
      <c r="U150" s="57" t="n">
        <f aca="false">ROUND(H150*100/P150-100,0)</f>
        <v>-2</v>
      </c>
      <c r="V150" s="57" t="n">
        <f aca="false">ROUND(K150*100/P150-100,0)</f>
        <v>6</v>
      </c>
      <c r="W150" s="57" t="n">
        <f aca="false">ROUND(N150*100/P150-100,0)</f>
        <v>-3</v>
      </c>
    </row>
    <row r="151" s="43" customFormat="true" ht="73.5" hidden="false" customHeight="true" outlineLevel="0" collapsed="false">
      <c r="A151" s="45" t="n">
        <v>146</v>
      </c>
      <c r="B151" s="46" t="s">
        <v>214</v>
      </c>
      <c r="C151" s="47" t="s">
        <v>25</v>
      </c>
      <c r="D151" s="48" t="n">
        <v>425</v>
      </c>
      <c r="E151" s="49" t="n">
        <v>1151.7</v>
      </c>
      <c r="F151" s="50" t="n">
        <v>1254.32</v>
      </c>
      <c r="G151" s="47" t="s">
        <v>27</v>
      </c>
      <c r="H151" s="52" t="n">
        <f aca="false">1382.75/1.2</f>
        <v>1152.29166666667</v>
      </c>
      <c r="I151" s="53" t="n">
        <f aca="false">D151*H151</f>
        <v>489723.958333333</v>
      </c>
      <c r="J151" s="53" t="s">
        <v>28</v>
      </c>
      <c r="K151" s="52" t="n">
        <f aca="false">1595.17/1.2</f>
        <v>1329.30833333333</v>
      </c>
      <c r="L151" s="53" t="n">
        <f aca="false">D151*K151</f>
        <v>564956.041666667</v>
      </c>
      <c r="M151" s="47" t="s">
        <v>29</v>
      </c>
      <c r="N151" s="52" t="n">
        <v>1288.63</v>
      </c>
      <c r="O151" s="53" t="n">
        <f aca="false">D151*N151</f>
        <v>547667.75</v>
      </c>
      <c r="P151" s="54" t="n">
        <f aca="false">AVERAGE(H151,K151,N151)</f>
        <v>1256.74333333333</v>
      </c>
      <c r="Q151" s="55" t="n">
        <f aca="false">F151*100/P151-100</f>
        <v>-0.192826432339686</v>
      </c>
      <c r="R151" s="54" t="n">
        <f aca="false">D151*F151</f>
        <v>533086</v>
      </c>
      <c r="S151" s="56"/>
      <c r="U151" s="57" t="n">
        <f aca="false">ROUND(H151*100/P151-100,0)</f>
        <v>-8</v>
      </c>
      <c r="V151" s="57" t="n">
        <f aca="false">ROUND(K151*100/P151-100,0)</f>
        <v>6</v>
      </c>
      <c r="W151" s="57" t="n">
        <f aca="false">ROUND(N151*100/P151-100,0)</f>
        <v>3</v>
      </c>
    </row>
    <row r="152" s="43" customFormat="true" ht="73.5" hidden="false" customHeight="true" outlineLevel="0" collapsed="false">
      <c r="A152" s="45" t="n">
        <v>147</v>
      </c>
      <c r="B152" s="46" t="s">
        <v>215</v>
      </c>
      <c r="C152" s="47" t="s">
        <v>25</v>
      </c>
      <c r="D152" s="48" t="n">
        <v>20</v>
      </c>
      <c r="E152" s="49" t="n">
        <v>1503.52</v>
      </c>
      <c r="F152" s="50" t="n">
        <v>1529.66</v>
      </c>
      <c r="G152" s="47" t="s">
        <v>27</v>
      </c>
      <c r="H152" s="52" t="n">
        <f aca="false">1801.3/1.2</f>
        <v>1501.08333333333</v>
      </c>
      <c r="I152" s="53" t="n">
        <f aca="false">D152*H152</f>
        <v>30021.6666666667</v>
      </c>
      <c r="J152" s="53" t="s">
        <v>28</v>
      </c>
      <c r="K152" s="52" t="n">
        <f aca="false">1933.26/1.2</f>
        <v>1611.05</v>
      </c>
      <c r="L152" s="53" t="n">
        <f aca="false">D152*K152</f>
        <v>32221</v>
      </c>
      <c r="M152" s="47" t="s">
        <v>29</v>
      </c>
      <c r="N152" s="52" t="n">
        <v>1482.09</v>
      </c>
      <c r="O152" s="53" t="n">
        <f aca="false">D152*N152</f>
        <v>29641.8</v>
      </c>
      <c r="P152" s="54" t="n">
        <f aca="false">AVERAGE(H152,K152,N152)</f>
        <v>1531.40777777778</v>
      </c>
      <c r="Q152" s="55" t="n">
        <f aca="false">F152*100/P152-100</f>
        <v>-0.114128829900153</v>
      </c>
      <c r="R152" s="54" t="n">
        <f aca="false">D152*F152</f>
        <v>30593.2</v>
      </c>
      <c r="S152" s="56"/>
      <c r="U152" s="57" t="n">
        <f aca="false">ROUND(H152*100/P152-100,0)</f>
        <v>-2</v>
      </c>
      <c r="V152" s="57" t="n">
        <f aca="false">ROUND(K152*100/P152-100,0)</f>
        <v>5</v>
      </c>
      <c r="W152" s="57" t="n">
        <f aca="false">ROUND(N152*100/P152-100,0)</f>
        <v>-3</v>
      </c>
    </row>
    <row r="153" s="43" customFormat="true" ht="73.5" hidden="false" customHeight="true" outlineLevel="0" collapsed="false">
      <c r="A153" s="45" t="n">
        <v>148</v>
      </c>
      <c r="B153" s="46" t="s">
        <v>216</v>
      </c>
      <c r="C153" s="47" t="s">
        <v>25</v>
      </c>
      <c r="D153" s="48" t="n">
        <v>250</v>
      </c>
      <c r="E153" s="49" t="n">
        <v>422.19</v>
      </c>
      <c r="F153" s="50" t="n">
        <v>469.64</v>
      </c>
      <c r="G153" s="47" t="s">
        <v>27</v>
      </c>
      <c r="H153" s="52" t="n">
        <f aca="false">508.15/1.2</f>
        <v>423.458333333333</v>
      </c>
      <c r="I153" s="53" t="n">
        <f aca="false">D153*H153</f>
        <v>105864.583333333</v>
      </c>
      <c r="J153" s="53" t="s">
        <v>28</v>
      </c>
      <c r="K153" s="52" t="n">
        <f aca="false">585.8/1.2</f>
        <v>488.166666666667</v>
      </c>
      <c r="L153" s="53" t="n">
        <f aca="false">D153*K153</f>
        <v>122041.666666667</v>
      </c>
      <c r="M153" s="47" t="s">
        <v>29</v>
      </c>
      <c r="N153" s="52" t="n">
        <v>501.33</v>
      </c>
      <c r="O153" s="53" t="n">
        <f aca="false">D153*N153</f>
        <v>125332.5</v>
      </c>
      <c r="P153" s="54" t="n">
        <f aca="false">AVERAGE(H153,K153,N153)</f>
        <v>470.985</v>
      </c>
      <c r="Q153" s="55" t="n">
        <f aca="false">F153*100/P153-100</f>
        <v>-0.285571727337384</v>
      </c>
      <c r="R153" s="54" t="n">
        <f aca="false">D153*F153</f>
        <v>117410</v>
      </c>
      <c r="S153" s="56"/>
      <c r="U153" s="57" t="n">
        <f aca="false">ROUND(H153*100/P153-100,0)</f>
        <v>-10</v>
      </c>
      <c r="V153" s="57" t="n">
        <f aca="false">ROUND(K153*100/P153-100,0)</f>
        <v>4</v>
      </c>
      <c r="W153" s="57" t="n">
        <f aca="false">ROUND(N153*100/P153-100,0)</f>
        <v>6</v>
      </c>
    </row>
    <row r="154" s="43" customFormat="true" ht="73.5" hidden="false" customHeight="true" outlineLevel="0" collapsed="false">
      <c r="A154" s="45" t="n">
        <v>149</v>
      </c>
      <c r="B154" s="46" t="s">
        <v>217</v>
      </c>
      <c r="C154" s="47" t="s">
        <v>25</v>
      </c>
      <c r="D154" s="48" t="n">
        <v>15</v>
      </c>
      <c r="E154" s="49" t="n">
        <v>1835.44</v>
      </c>
      <c r="F154" s="50" t="n">
        <v>1847.48</v>
      </c>
      <c r="G154" s="47" t="s">
        <v>27</v>
      </c>
      <c r="H154" s="52" t="n">
        <f aca="false">2200.3/1.2</f>
        <v>1833.58333333333</v>
      </c>
      <c r="I154" s="53" t="n">
        <f aca="false">D154*H154</f>
        <v>27503.75</v>
      </c>
      <c r="J154" s="53" t="s">
        <v>28</v>
      </c>
      <c r="K154" s="52" t="n">
        <f aca="false">2162.38/1.2</f>
        <v>1801.98333333333</v>
      </c>
      <c r="L154" s="53" t="n">
        <f aca="false">D154*K154</f>
        <v>27029.75</v>
      </c>
      <c r="M154" s="47" t="s">
        <v>29</v>
      </c>
      <c r="N154" s="52" t="n">
        <v>1912.41</v>
      </c>
      <c r="O154" s="53" t="n">
        <f aca="false">D154*N154</f>
        <v>28686.15</v>
      </c>
      <c r="P154" s="54" t="n">
        <f aca="false">AVERAGE(H154,K154,N154)</f>
        <v>1849.32555555556</v>
      </c>
      <c r="Q154" s="55" t="n">
        <f aca="false">F154*100/P154-100</f>
        <v>-0.099796141896789</v>
      </c>
      <c r="R154" s="54" t="n">
        <f aca="false">D154*F154</f>
        <v>27712.2</v>
      </c>
      <c r="S154" s="56"/>
      <c r="U154" s="57" t="n">
        <f aca="false">ROUND(H154*100/P154-100,0)</f>
        <v>-1</v>
      </c>
      <c r="V154" s="57" t="n">
        <f aca="false">ROUND(K154*100/P154-100,0)</f>
        <v>-3</v>
      </c>
      <c r="W154" s="57" t="n">
        <f aca="false">ROUND(N154*100/P154-100,0)</f>
        <v>3</v>
      </c>
    </row>
    <row r="155" s="43" customFormat="true" ht="73.5" hidden="false" customHeight="true" outlineLevel="0" collapsed="false">
      <c r="A155" s="45" t="n">
        <v>150</v>
      </c>
      <c r="B155" s="46" t="s">
        <v>218</v>
      </c>
      <c r="C155" s="47" t="s">
        <v>25</v>
      </c>
      <c r="D155" s="48" t="n">
        <v>14</v>
      </c>
      <c r="E155" s="49" t="n">
        <v>118.92</v>
      </c>
      <c r="F155" s="50" t="n">
        <v>130.55</v>
      </c>
      <c r="G155" s="47" t="s">
        <v>27</v>
      </c>
      <c r="H155" s="52" t="n">
        <f aca="false">149.23/1.2</f>
        <v>124.358333333333</v>
      </c>
      <c r="I155" s="53" t="n">
        <f aca="false">D155*H155</f>
        <v>1741.01666666667</v>
      </c>
      <c r="J155" s="53" t="s">
        <v>28</v>
      </c>
      <c r="K155" s="52" t="n">
        <f aca="false">144.07/1.2</f>
        <v>120.058333333333</v>
      </c>
      <c r="L155" s="53" t="n">
        <f aca="false">D155*K155</f>
        <v>1680.81666666667</v>
      </c>
      <c r="M155" s="47" t="s">
        <v>29</v>
      </c>
      <c r="N155" s="52" t="n">
        <v>151.36</v>
      </c>
      <c r="O155" s="53" t="n">
        <f aca="false">D155*N155</f>
        <v>2119.04</v>
      </c>
      <c r="P155" s="54" t="n">
        <f aca="false">AVERAGE(H155,K155,N155)</f>
        <v>131.925555555556</v>
      </c>
      <c r="Q155" s="55" t="n">
        <f aca="false">F155*100/P155-100</f>
        <v>-1.04267558303084</v>
      </c>
      <c r="R155" s="54" t="n">
        <f aca="false">D155*F155</f>
        <v>1827.7</v>
      </c>
      <c r="S155" s="56"/>
      <c r="U155" s="57" t="n">
        <f aca="false">ROUND(H155*100/P155-100,0)</f>
        <v>-6</v>
      </c>
      <c r="V155" s="57" t="n">
        <f aca="false">ROUND(K155*100/P155-100,0)</f>
        <v>-9</v>
      </c>
      <c r="W155" s="57" t="n">
        <f aca="false">ROUND(N155*100/P155-100,0)</f>
        <v>15</v>
      </c>
    </row>
    <row r="156" s="43" customFormat="true" ht="73.5" hidden="false" customHeight="true" outlineLevel="0" collapsed="false">
      <c r="A156" s="45" t="n">
        <v>151</v>
      </c>
      <c r="B156" s="46" t="s">
        <v>219</v>
      </c>
      <c r="C156" s="47" t="s">
        <v>25</v>
      </c>
      <c r="D156" s="48" t="s">
        <v>220</v>
      </c>
      <c r="E156" s="49" t="n">
        <v>274.17</v>
      </c>
      <c r="F156" s="50" t="n">
        <v>275.68</v>
      </c>
      <c r="G156" s="47" t="s">
        <v>27</v>
      </c>
      <c r="H156" s="52" t="n">
        <f aca="false">326.58/1.2</f>
        <v>272.15</v>
      </c>
      <c r="I156" s="53" t="n">
        <f aca="false">D156*H156</f>
        <v>339643.2</v>
      </c>
      <c r="J156" s="53" t="s">
        <v>28</v>
      </c>
      <c r="K156" s="52" t="n">
        <f aca="false">350.12/1.2</f>
        <v>291.766666666667</v>
      </c>
      <c r="L156" s="53" t="n">
        <f aca="false">D156*K156</f>
        <v>364124.8</v>
      </c>
      <c r="M156" s="47" t="s">
        <v>29</v>
      </c>
      <c r="N156" s="52" t="n">
        <v>265.09</v>
      </c>
      <c r="O156" s="53" t="n">
        <f aca="false">D156*N156</f>
        <v>330832.32</v>
      </c>
      <c r="P156" s="54" t="n">
        <f aca="false">AVERAGE(H156,K156,N156)</f>
        <v>276.335555555556</v>
      </c>
      <c r="Q156" s="55" t="n">
        <f aca="false">F156*100/P156-100</f>
        <v>-0.237231707022872</v>
      </c>
      <c r="R156" s="54" t="n">
        <f aca="false">D156*F156</f>
        <v>344048.64</v>
      </c>
      <c r="S156" s="56"/>
      <c r="U156" s="57" t="n">
        <f aca="false">ROUND(H156*100/P156-100,0)</f>
        <v>-2</v>
      </c>
      <c r="V156" s="57" t="n">
        <f aca="false">ROUND(K156*100/P156-100,0)</f>
        <v>6</v>
      </c>
      <c r="W156" s="57" t="n">
        <f aca="false">ROUND(N156*100/P156-100,0)</f>
        <v>-4</v>
      </c>
    </row>
    <row r="157" s="43" customFormat="true" ht="73.5" hidden="false" customHeight="true" outlineLevel="0" collapsed="false">
      <c r="A157" s="45" t="n">
        <v>152</v>
      </c>
      <c r="B157" s="46" t="s">
        <v>221</v>
      </c>
      <c r="C157" s="47" t="s">
        <v>25</v>
      </c>
      <c r="D157" s="48" t="n">
        <v>20</v>
      </c>
      <c r="E157" s="49" t="n">
        <v>255.69</v>
      </c>
      <c r="F157" s="50" t="n">
        <v>264.47</v>
      </c>
      <c r="G157" s="47" t="s">
        <v>27</v>
      </c>
      <c r="H157" s="52" t="n">
        <f aca="false">307.21/1.2</f>
        <v>256.008333333333</v>
      </c>
      <c r="I157" s="53" t="n">
        <f aca="false">D157*H157</f>
        <v>5120.16666666667</v>
      </c>
      <c r="J157" s="53" t="s">
        <v>28</v>
      </c>
      <c r="K157" s="52" t="n">
        <f aca="false">304.61/1.2</f>
        <v>253.841666666667</v>
      </c>
      <c r="L157" s="53" t="n">
        <f aca="false">D157*K157</f>
        <v>5076.83333333333</v>
      </c>
      <c r="M157" s="47" t="s">
        <v>29</v>
      </c>
      <c r="N157" s="52" t="n">
        <v>287.67</v>
      </c>
      <c r="O157" s="53" t="n">
        <f aca="false">D157*N157</f>
        <v>5753.4</v>
      </c>
      <c r="P157" s="54" t="n">
        <f aca="false">AVERAGE(H157,K157,N157)</f>
        <v>265.84</v>
      </c>
      <c r="Q157" s="55" t="n">
        <f aca="false">F157*100/P157-100</f>
        <v>-0.515347577490203</v>
      </c>
      <c r="R157" s="54" t="n">
        <f aca="false">D157*F157</f>
        <v>5289.4</v>
      </c>
      <c r="S157" s="56"/>
      <c r="U157" s="57" t="n">
        <f aca="false">ROUND(H157*100/P157-100,0)</f>
        <v>-4</v>
      </c>
      <c r="V157" s="57" t="n">
        <f aca="false">ROUND(K157*100/P157-100,0)</f>
        <v>-5</v>
      </c>
      <c r="W157" s="57" t="n">
        <f aca="false">ROUND(N157*100/P157-100,0)</f>
        <v>8</v>
      </c>
    </row>
    <row r="158" s="43" customFormat="true" ht="73.5" hidden="false" customHeight="true" outlineLevel="0" collapsed="false">
      <c r="A158" s="45" t="n">
        <v>153</v>
      </c>
      <c r="B158" s="46" t="s">
        <v>222</v>
      </c>
      <c r="C158" s="47" t="s">
        <v>25</v>
      </c>
      <c r="D158" s="48" t="n">
        <v>100</v>
      </c>
      <c r="E158" s="49" t="n">
        <v>389.92</v>
      </c>
      <c r="F158" s="50" t="n">
        <v>398.01</v>
      </c>
      <c r="G158" s="47" t="s">
        <v>27</v>
      </c>
      <c r="H158" s="52" t="n">
        <f aca="false">463.67/1.2</f>
        <v>386.391666666667</v>
      </c>
      <c r="I158" s="53" t="n">
        <f aca="false">D158*H158</f>
        <v>38639.1666666667</v>
      </c>
      <c r="J158" s="53" t="s">
        <v>28</v>
      </c>
      <c r="K158" s="52" t="n">
        <f aca="false">475.33/1.2</f>
        <v>396.108333333333</v>
      </c>
      <c r="L158" s="53" t="n">
        <f aca="false">D158*K158</f>
        <v>39610.8333333333</v>
      </c>
      <c r="M158" s="47" t="s">
        <v>29</v>
      </c>
      <c r="N158" s="52" t="n">
        <v>412.28</v>
      </c>
      <c r="O158" s="53" t="n">
        <f aca="false">D158*N158</f>
        <v>41228</v>
      </c>
      <c r="P158" s="54" t="n">
        <f aca="false">AVERAGE(H158,K158,N158)</f>
        <v>398.26</v>
      </c>
      <c r="Q158" s="55" t="n">
        <f aca="false">F158*100/P158-100</f>
        <v>-0.0627730628232825</v>
      </c>
      <c r="R158" s="54" t="n">
        <f aca="false">D158*F158</f>
        <v>39801</v>
      </c>
      <c r="S158" s="56"/>
      <c r="U158" s="57" t="n">
        <f aca="false">ROUND(H158*100/P158-100,0)</f>
        <v>-3</v>
      </c>
      <c r="V158" s="57" t="n">
        <f aca="false">ROUND(K158*100/P158-100,0)</f>
        <v>-1</v>
      </c>
      <c r="W158" s="57" t="n">
        <f aca="false">ROUND(N158*100/P158-100,0)</f>
        <v>4</v>
      </c>
    </row>
    <row r="159" s="43" customFormat="true" ht="73.5" hidden="false" customHeight="true" outlineLevel="0" collapsed="false">
      <c r="A159" s="45" t="n">
        <v>154</v>
      </c>
      <c r="B159" s="46" t="s">
        <v>223</v>
      </c>
      <c r="C159" s="47" t="s">
        <v>25</v>
      </c>
      <c r="D159" s="48" t="n">
        <v>35</v>
      </c>
      <c r="E159" s="49" t="n">
        <v>442.33</v>
      </c>
      <c r="F159" s="50" t="n">
        <v>560.24</v>
      </c>
      <c r="G159" s="47" t="s">
        <v>27</v>
      </c>
      <c r="H159" s="52" t="n">
        <f aca="false">628.4/1.2</f>
        <v>523.666666666667</v>
      </c>
      <c r="I159" s="53" t="n">
        <f aca="false">D159*H159</f>
        <v>18328.3333333333</v>
      </c>
      <c r="J159" s="53" t="s">
        <v>28</v>
      </c>
      <c r="K159" s="52" t="n">
        <f aca="false">707.8/1.2</f>
        <v>589.833333333333</v>
      </c>
      <c r="L159" s="53" t="n">
        <f aca="false">D159*K159</f>
        <v>20644.1666666667</v>
      </c>
      <c r="M159" s="47" t="s">
        <v>29</v>
      </c>
      <c r="N159" s="52" t="n">
        <v>574.41</v>
      </c>
      <c r="O159" s="53" t="n">
        <f aca="false">D159*N159</f>
        <v>20104.35</v>
      </c>
      <c r="P159" s="54" t="n">
        <f aca="false">AVERAGE(H159,K159,N159)</f>
        <v>562.636666666667</v>
      </c>
      <c r="Q159" s="55" t="n">
        <f aca="false">F159*100/P159-100</f>
        <v>-0.425970579000065</v>
      </c>
      <c r="R159" s="54" t="n">
        <f aca="false">D159*F159</f>
        <v>19608.4</v>
      </c>
      <c r="S159" s="56"/>
      <c r="U159" s="57" t="n">
        <f aca="false">ROUND(H159*100/P159-100,0)</f>
        <v>-7</v>
      </c>
      <c r="V159" s="57" t="n">
        <f aca="false">ROUND(K159*100/P159-100,0)</f>
        <v>5</v>
      </c>
      <c r="W159" s="57" t="n">
        <f aca="false">ROUND(N159*100/P159-100,0)</f>
        <v>2</v>
      </c>
    </row>
    <row r="160" s="43" customFormat="true" ht="73.5" hidden="false" customHeight="true" outlineLevel="0" collapsed="false">
      <c r="A160" s="45" t="n">
        <v>155</v>
      </c>
      <c r="B160" s="46" t="s">
        <v>224</v>
      </c>
      <c r="C160" s="47" t="s">
        <v>25</v>
      </c>
      <c r="D160" s="48" t="n">
        <v>20</v>
      </c>
      <c r="E160" s="49" t="n">
        <v>659.27</v>
      </c>
      <c r="F160" s="50" t="n">
        <v>662.34</v>
      </c>
      <c r="G160" s="47" t="s">
        <v>27</v>
      </c>
      <c r="H160" s="52" t="n">
        <f aca="false">786.17/1.2</f>
        <v>655.141666666667</v>
      </c>
      <c r="I160" s="53" t="n">
        <f aca="false">D160*H160</f>
        <v>13102.8333333333</v>
      </c>
      <c r="J160" s="53" t="s">
        <v>28</v>
      </c>
      <c r="K160" s="52" t="n">
        <f aca="false">780.48/1.2</f>
        <v>650.4</v>
      </c>
      <c r="L160" s="53" t="n">
        <f aca="false">D160*K160</f>
        <v>13008</v>
      </c>
      <c r="M160" s="47" t="s">
        <v>29</v>
      </c>
      <c r="N160" s="52" t="n">
        <v>688.63</v>
      </c>
      <c r="O160" s="53" t="n">
        <f aca="false">D160*N160</f>
        <v>13772.6</v>
      </c>
      <c r="P160" s="54" t="n">
        <f aca="false">AVERAGE(H160,K160,N160)</f>
        <v>664.723888888889</v>
      </c>
      <c r="Q160" s="55" t="n">
        <f aca="false">F160*100/P160-100</f>
        <v>-0.358628436368306</v>
      </c>
      <c r="R160" s="54" t="n">
        <f aca="false">D160*F160</f>
        <v>13246.8</v>
      </c>
      <c r="S160" s="56"/>
      <c r="U160" s="57" t="n">
        <f aca="false">ROUND(H160*100/P160-100,0)</f>
        <v>-1</v>
      </c>
      <c r="V160" s="57" t="n">
        <f aca="false">ROUND(K160*100/P160-100,0)</f>
        <v>-2</v>
      </c>
      <c r="W160" s="57" t="n">
        <f aca="false">ROUND(N160*100/P160-100,0)</f>
        <v>4</v>
      </c>
    </row>
    <row r="161" s="43" customFormat="true" ht="73.5" hidden="false" customHeight="true" outlineLevel="0" collapsed="false">
      <c r="A161" s="45" t="n">
        <v>156</v>
      </c>
      <c r="B161" s="46" t="s">
        <v>225</v>
      </c>
      <c r="C161" s="47" t="s">
        <v>25</v>
      </c>
      <c r="D161" s="48" t="n">
        <v>40</v>
      </c>
      <c r="E161" s="49" t="n">
        <v>204.48</v>
      </c>
      <c r="F161" s="50" t="n">
        <v>244.58</v>
      </c>
      <c r="G161" s="47" t="s">
        <v>27</v>
      </c>
      <c r="H161" s="52" t="n">
        <f aca="false">242.87/1.2</f>
        <v>202.391666666667</v>
      </c>
      <c r="I161" s="53" t="n">
        <f aca="false">D161*H161</f>
        <v>8095.66666666667</v>
      </c>
      <c r="J161" s="53" t="s">
        <v>28</v>
      </c>
      <c r="K161" s="52" t="n">
        <f aca="false">341.51/1.2</f>
        <v>284.591666666667</v>
      </c>
      <c r="L161" s="53" t="n">
        <f aca="false">D161*K161</f>
        <v>11383.6666666667</v>
      </c>
      <c r="M161" s="47" t="s">
        <v>29</v>
      </c>
      <c r="N161" s="52" t="n">
        <v>251.07</v>
      </c>
      <c r="O161" s="53" t="n">
        <f aca="false">D161*N161</f>
        <v>10042.8</v>
      </c>
      <c r="P161" s="54" t="n">
        <f aca="false">AVERAGE(H161,K161,N161)</f>
        <v>246.017777777778</v>
      </c>
      <c r="Q161" s="55" t="n">
        <f aca="false">F161*100/P161-100</f>
        <v>-0.584420276764107</v>
      </c>
      <c r="R161" s="54" t="n">
        <f aca="false">D161*F161</f>
        <v>9783.2</v>
      </c>
      <c r="S161" s="56"/>
      <c r="U161" s="57" t="n">
        <f aca="false">ROUND(H161*100/P161-100,0)</f>
        <v>-18</v>
      </c>
      <c r="V161" s="57" t="n">
        <f aca="false">ROUND(K161*100/P161-100,0)</f>
        <v>16</v>
      </c>
      <c r="W161" s="57" t="n">
        <f aca="false">ROUND(N161*100/P161-100,0)</f>
        <v>2</v>
      </c>
    </row>
    <row r="162" s="43" customFormat="true" ht="73.5" hidden="false" customHeight="true" outlineLevel="0" collapsed="false">
      <c r="A162" s="45" t="n">
        <v>157</v>
      </c>
      <c r="B162" s="46" t="s">
        <v>226</v>
      </c>
      <c r="C162" s="47" t="s">
        <v>25</v>
      </c>
      <c r="D162" s="48" t="n">
        <v>25</v>
      </c>
      <c r="E162" s="49" t="n">
        <v>185.82</v>
      </c>
      <c r="F162" s="50" t="n">
        <v>205.99</v>
      </c>
      <c r="G162" s="47" t="s">
        <v>27</v>
      </c>
      <c r="H162" s="52" t="n">
        <f aca="false">222.01/1.2</f>
        <v>185.008333333333</v>
      </c>
      <c r="I162" s="53" t="n">
        <f aca="false">D162*H162</f>
        <v>4625.20833333333</v>
      </c>
      <c r="J162" s="53" t="s">
        <v>28</v>
      </c>
      <c r="K162" s="52" t="n">
        <f aca="false">280.49/1.2</f>
        <v>233.741666666667</v>
      </c>
      <c r="L162" s="53" t="n">
        <f aca="false">D162*K162</f>
        <v>5843.54166666667</v>
      </c>
      <c r="M162" s="47" t="s">
        <v>29</v>
      </c>
      <c r="N162" s="52" t="n">
        <v>203.98</v>
      </c>
      <c r="O162" s="53" t="n">
        <f aca="false">D162*N162</f>
        <v>5099.5</v>
      </c>
      <c r="P162" s="54" t="n">
        <f aca="false">AVERAGE(H162,K162,N162)</f>
        <v>207.576666666667</v>
      </c>
      <c r="Q162" s="55" t="n">
        <f aca="false">F162*100/P162-100</f>
        <v>-0.764376214410746</v>
      </c>
      <c r="R162" s="54" t="n">
        <f aca="false">D162*F162</f>
        <v>5149.75</v>
      </c>
      <c r="S162" s="56"/>
      <c r="U162" s="57" t="n">
        <f aca="false">ROUND(H162*100/P162-100,0)</f>
        <v>-11</v>
      </c>
      <c r="V162" s="57" t="n">
        <f aca="false">ROUND(K162*100/P162-100,0)</f>
        <v>13</v>
      </c>
      <c r="W162" s="57" t="n">
        <f aca="false">ROUND(N162*100/P162-100,0)</f>
        <v>-2</v>
      </c>
    </row>
    <row r="163" s="43" customFormat="true" ht="73.5" hidden="false" customHeight="true" outlineLevel="0" collapsed="false">
      <c r="A163" s="45" t="n">
        <v>158</v>
      </c>
      <c r="B163" s="46" t="s">
        <v>227</v>
      </c>
      <c r="C163" s="47" t="s">
        <v>25</v>
      </c>
      <c r="D163" s="48" t="n">
        <v>60</v>
      </c>
      <c r="E163" s="49" t="n">
        <v>32.39</v>
      </c>
      <c r="F163" s="50" t="n">
        <v>48.03</v>
      </c>
      <c r="G163" s="47" t="s">
        <v>27</v>
      </c>
      <c r="H163" s="52" t="n">
        <f aca="false">48.91/1.2</f>
        <v>40.7583333333333</v>
      </c>
      <c r="I163" s="53" t="n">
        <f aca="false">D163*H163</f>
        <v>2445.5</v>
      </c>
      <c r="J163" s="53" t="s">
        <v>28</v>
      </c>
      <c r="K163" s="52" t="n">
        <f aca="false">69.67/1.2</f>
        <v>58.0583333333333</v>
      </c>
      <c r="L163" s="53" t="n">
        <f aca="false">D163*K163</f>
        <v>3483.5</v>
      </c>
      <c r="M163" s="47" t="s">
        <v>29</v>
      </c>
      <c r="N163" s="52" t="n">
        <v>49.5</v>
      </c>
      <c r="O163" s="53" t="n">
        <f aca="false">D163*N163</f>
        <v>2970</v>
      </c>
      <c r="P163" s="54" t="n">
        <f aca="false">AVERAGE(H163,K163,N163)</f>
        <v>49.4388888888889</v>
      </c>
      <c r="Q163" s="55" t="n">
        <f aca="false">F163*100/P163-100</f>
        <v>-2.8497583998202</v>
      </c>
      <c r="R163" s="54" t="n">
        <f aca="false">D163*F163</f>
        <v>2881.8</v>
      </c>
      <c r="S163" s="56"/>
      <c r="U163" s="57" t="n">
        <f aca="false">ROUND(H163*100/P163-100,0)</f>
        <v>-18</v>
      </c>
      <c r="V163" s="57" t="n">
        <f aca="false">ROUND(K163*100/P163-100,0)</f>
        <v>17</v>
      </c>
      <c r="W163" s="57" t="n">
        <f aca="false">ROUND(N163*100/P163-100,0)</f>
        <v>0</v>
      </c>
    </row>
    <row r="164" s="43" customFormat="true" ht="73.5" hidden="false" customHeight="true" outlineLevel="0" collapsed="false">
      <c r="A164" s="45" t="n">
        <v>159</v>
      </c>
      <c r="B164" s="46" t="s">
        <v>228</v>
      </c>
      <c r="C164" s="47" t="s">
        <v>25</v>
      </c>
      <c r="D164" s="48" t="n">
        <v>19</v>
      </c>
      <c r="E164" s="49" t="n">
        <v>237.08</v>
      </c>
      <c r="F164" s="50" t="n">
        <v>321.56</v>
      </c>
      <c r="G164" s="47" t="s">
        <v>27</v>
      </c>
      <c r="H164" s="52" t="n">
        <f aca="false">369.48/1.2</f>
        <v>307.9</v>
      </c>
      <c r="I164" s="53" t="n">
        <f aca="false">D164*H164</f>
        <v>5850.1</v>
      </c>
      <c r="J164" s="53" t="s">
        <v>28</v>
      </c>
      <c r="K164" s="52" t="n">
        <f aca="false">366.65/1.2</f>
        <v>305.541666666667</v>
      </c>
      <c r="L164" s="53" t="n">
        <f aca="false">D164*K164</f>
        <v>5805.29166666667</v>
      </c>
      <c r="M164" s="47" t="s">
        <v>29</v>
      </c>
      <c r="N164" s="52" t="n">
        <v>361.22</v>
      </c>
      <c r="O164" s="53" t="n">
        <f aca="false">D164*N164</f>
        <v>6863.18</v>
      </c>
      <c r="P164" s="54" t="n">
        <f aca="false">AVERAGE(H164,K164,N164)</f>
        <v>324.887222222222</v>
      </c>
      <c r="Q164" s="55" t="n">
        <f aca="false">F164*100/P164-100</f>
        <v>-1.02411606078691</v>
      </c>
      <c r="R164" s="54" t="n">
        <f aca="false">D164*F164</f>
        <v>6109.64</v>
      </c>
      <c r="S164" s="56"/>
      <c r="U164" s="57" t="n">
        <f aca="false">ROUND(H164*100/P164-100,0)</f>
        <v>-5</v>
      </c>
      <c r="V164" s="57" t="n">
        <f aca="false">ROUND(K164*100/P164-100,0)</f>
        <v>-6</v>
      </c>
      <c r="W164" s="57" t="n">
        <f aca="false">ROUND(N164*100/P164-100,0)</f>
        <v>11</v>
      </c>
    </row>
    <row r="165" s="43" customFormat="true" ht="73.5" hidden="false" customHeight="true" outlineLevel="0" collapsed="false">
      <c r="A165" s="45" t="n">
        <v>160</v>
      </c>
      <c r="B165" s="46" t="s">
        <v>229</v>
      </c>
      <c r="C165" s="47" t="s">
        <v>45</v>
      </c>
      <c r="D165" s="48" t="s">
        <v>230</v>
      </c>
      <c r="E165" s="49" t="n">
        <v>2603.12</v>
      </c>
      <c r="F165" s="50" t="n">
        <v>8050.5</v>
      </c>
      <c r="G165" s="47" t="s">
        <v>231</v>
      </c>
      <c r="H165" s="52" t="n">
        <f aca="false">9362.18/1.2</f>
        <v>7801.81666666667</v>
      </c>
      <c r="I165" s="53" t="n">
        <f aca="false">D165*H165</f>
        <v>429099.916666667</v>
      </c>
      <c r="J165" s="47" t="s">
        <v>46</v>
      </c>
      <c r="K165" s="52" t="n">
        <v>7956.2</v>
      </c>
      <c r="L165" s="53" t="n">
        <f aca="false">D165*K165</f>
        <v>437591</v>
      </c>
      <c r="M165" s="47" t="s">
        <v>58</v>
      </c>
      <c r="N165" s="52" t="n">
        <v>8400.3</v>
      </c>
      <c r="O165" s="53" t="n">
        <f aca="false">D165*N165</f>
        <v>462016.5</v>
      </c>
      <c r="P165" s="54" t="n">
        <f aca="false">AVERAGE(H165,K165,N165)</f>
        <v>8052.77222222222</v>
      </c>
      <c r="Q165" s="55" t="n">
        <f aca="false">F165*100/P165-100</f>
        <v>-0.0282166458893727</v>
      </c>
      <c r="R165" s="54" t="n">
        <f aca="false">D165*F165</f>
        <v>442777.5</v>
      </c>
      <c r="S165" s="56"/>
      <c r="U165" s="57" t="n">
        <f aca="false">ROUND(H165*100/P165-100,0)</f>
        <v>-3</v>
      </c>
      <c r="V165" s="57" t="n">
        <f aca="false">ROUND(K165*100/P165-100,0)</f>
        <v>-1</v>
      </c>
      <c r="W165" s="57" t="n">
        <f aca="false">ROUND(N165*100/P165-100,0)</f>
        <v>4</v>
      </c>
    </row>
    <row r="166" s="43" customFormat="true" ht="73.5" hidden="false" customHeight="true" outlineLevel="0" collapsed="false">
      <c r="A166" s="45" t="n">
        <v>161</v>
      </c>
      <c r="B166" s="46" t="s">
        <v>232</v>
      </c>
      <c r="C166" s="47" t="s">
        <v>25</v>
      </c>
      <c r="D166" s="48" t="s">
        <v>233</v>
      </c>
      <c r="E166" s="49" t="n">
        <v>85.37</v>
      </c>
      <c r="F166" s="50" t="n">
        <v>164.05</v>
      </c>
      <c r="G166" s="47" t="s">
        <v>39</v>
      </c>
      <c r="H166" s="52" t="n">
        <v>153.05</v>
      </c>
      <c r="I166" s="53" t="n">
        <f aca="false">D166*H166</f>
        <v>26324.6</v>
      </c>
      <c r="J166" s="53" t="s">
        <v>28</v>
      </c>
      <c r="K166" s="52" t="n">
        <v>159.37</v>
      </c>
      <c r="L166" s="53" t="n">
        <f aca="false">D166*K166</f>
        <v>27411.64</v>
      </c>
      <c r="M166" s="53" t="s">
        <v>46</v>
      </c>
      <c r="N166" s="52" t="n">
        <v>181.06</v>
      </c>
      <c r="O166" s="53" t="n">
        <f aca="false">D166*N166</f>
        <v>31142.32</v>
      </c>
      <c r="P166" s="54" t="n">
        <f aca="false">AVERAGE(H166,K166,N166)</f>
        <v>164.493333333333</v>
      </c>
      <c r="Q166" s="55" t="n">
        <f aca="false">F166*100/P166-100</f>
        <v>-0.269514468671474</v>
      </c>
      <c r="R166" s="54" t="n">
        <f aca="false">D166*F166</f>
        <v>28216.6</v>
      </c>
      <c r="S166" s="56"/>
      <c r="U166" s="57" t="n">
        <f aca="false">ROUND(H166*100/P166-100,0)</f>
        <v>-7</v>
      </c>
      <c r="V166" s="57" t="n">
        <f aca="false">ROUND(K166*100/P166-100,0)</f>
        <v>-3</v>
      </c>
      <c r="W166" s="57" t="n">
        <f aca="false">ROUND(N166*100/P166-100,0)</f>
        <v>10</v>
      </c>
    </row>
    <row r="167" s="43" customFormat="true" ht="73.5" hidden="false" customHeight="true" outlineLevel="0" collapsed="false">
      <c r="A167" s="45" t="n">
        <v>162</v>
      </c>
      <c r="B167" s="46" t="s">
        <v>234</v>
      </c>
      <c r="C167" s="47" t="s">
        <v>45</v>
      </c>
      <c r="D167" s="48" t="s">
        <v>235</v>
      </c>
      <c r="E167" s="49" t="n">
        <v>6333.33</v>
      </c>
      <c r="F167" s="50" t="n">
        <v>6388.4</v>
      </c>
      <c r="G167" s="47" t="s">
        <v>231</v>
      </c>
      <c r="H167" s="52" t="n">
        <f aca="false">7648.2/1.2</f>
        <v>6373.5</v>
      </c>
      <c r="I167" s="53" t="n">
        <f aca="false">D167*H167</f>
        <v>236456.85</v>
      </c>
      <c r="J167" s="47" t="s">
        <v>236</v>
      </c>
      <c r="K167" s="52" t="n">
        <f aca="false">7548/1.2</f>
        <v>6290</v>
      </c>
      <c r="L167" s="53" t="n">
        <f aca="false">D167*K167</f>
        <v>233359</v>
      </c>
      <c r="M167" s="47" t="s">
        <v>58</v>
      </c>
      <c r="N167" s="52" t="n">
        <v>6504.5</v>
      </c>
      <c r="O167" s="53" t="n">
        <f aca="false">D167*N167</f>
        <v>241316.95</v>
      </c>
      <c r="P167" s="54" t="n">
        <f aca="false">AVERAGE(H167,K167,N167)</f>
        <v>6389.33333333333</v>
      </c>
      <c r="Q167" s="55" t="n">
        <f aca="false">F167*100/P167-100</f>
        <v>-0.0146076794657688</v>
      </c>
      <c r="R167" s="54" t="n">
        <f aca="false">D167*F167</f>
        <v>237009.64</v>
      </c>
      <c r="S167" s="56"/>
      <c r="U167" s="57" t="n">
        <f aca="false">ROUND(H167*100/P167-100,0)</f>
        <v>-0</v>
      </c>
      <c r="V167" s="57" t="n">
        <f aca="false">ROUND(K167*100/P167-100,0)</f>
        <v>-2</v>
      </c>
      <c r="W167" s="57" t="n">
        <f aca="false">ROUND(N167*100/P167-100,0)</f>
        <v>2</v>
      </c>
    </row>
    <row r="168" s="43" customFormat="true" ht="73.5" hidden="false" customHeight="true" outlineLevel="0" collapsed="false">
      <c r="A168" s="45" t="n">
        <v>163</v>
      </c>
      <c r="B168" s="46" t="s">
        <v>237</v>
      </c>
      <c r="C168" s="47" t="s">
        <v>147</v>
      </c>
      <c r="D168" s="48" t="s">
        <v>238</v>
      </c>
      <c r="E168" s="49" t="n">
        <v>15.83</v>
      </c>
      <c r="F168" s="50" t="n">
        <v>14.72</v>
      </c>
      <c r="G168" s="47" t="s">
        <v>231</v>
      </c>
      <c r="H168" s="52" t="n">
        <f aca="false">18.73/1.2</f>
        <v>15.6083333333333</v>
      </c>
      <c r="I168" s="53" t="n">
        <f aca="false">D168*H168</f>
        <v>38240.4166666667</v>
      </c>
      <c r="J168" s="47" t="s">
        <v>236</v>
      </c>
      <c r="K168" s="52" t="n">
        <f aca="false">16.5/1.2</f>
        <v>13.75</v>
      </c>
      <c r="L168" s="53" t="n">
        <f aca="false">D168*K168</f>
        <v>33687.5</v>
      </c>
      <c r="M168" s="47" t="s">
        <v>58</v>
      </c>
      <c r="N168" s="52" t="n">
        <v>15.03</v>
      </c>
      <c r="O168" s="53" t="n">
        <f aca="false">D168*N168</f>
        <v>36823.5</v>
      </c>
      <c r="P168" s="54" t="n">
        <f aca="false">AVERAGE(H168,K168,N168)</f>
        <v>14.7961111111111</v>
      </c>
      <c r="Q168" s="55" t="n">
        <f aca="false">F168*100/P168-100</f>
        <v>-0.514399429279465</v>
      </c>
      <c r="R168" s="54" t="n">
        <f aca="false">D168*F168</f>
        <v>36064</v>
      </c>
      <c r="S168" s="56"/>
      <c r="U168" s="57" t="n">
        <f aca="false">ROUND(H168*100/P168-100,0)</f>
        <v>5</v>
      </c>
      <c r="V168" s="57" t="n">
        <f aca="false">ROUND(K168*100/P168-100,0)</f>
        <v>-7</v>
      </c>
      <c r="W168" s="57" t="n">
        <f aca="false">ROUND(N168*100/P168-100,0)</f>
        <v>2</v>
      </c>
    </row>
    <row r="169" s="43" customFormat="true" ht="73.5" hidden="false" customHeight="true" outlineLevel="0" collapsed="false">
      <c r="A169" s="45" t="n">
        <v>164</v>
      </c>
      <c r="B169" s="46" t="s">
        <v>239</v>
      </c>
      <c r="C169" s="47" t="s">
        <v>147</v>
      </c>
      <c r="D169" s="48" t="n">
        <v>65</v>
      </c>
      <c r="E169" s="49" t="n">
        <v>6.42</v>
      </c>
      <c r="F169" s="50" t="n">
        <v>6</v>
      </c>
      <c r="G169" s="47" t="s">
        <v>231</v>
      </c>
      <c r="H169" s="52" t="n">
        <f aca="false">7.12/1.2</f>
        <v>5.93333333333333</v>
      </c>
      <c r="I169" s="53" t="n">
        <f aca="false">D169*H169</f>
        <v>385.666666666667</v>
      </c>
      <c r="J169" s="47" t="s">
        <v>236</v>
      </c>
      <c r="K169" s="52" t="n">
        <f aca="false">6.91/1.2</f>
        <v>5.75833333333333</v>
      </c>
      <c r="L169" s="53" t="n">
        <f aca="false">D169*K169</f>
        <v>374.291666666667</v>
      </c>
      <c r="M169" s="47" t="s">
        <v>58</v>
      </c>
      <c r="N169" s="52" t="n">
        <v>6.37</v>
      </c>
      <c r="O169" s="53" t="n">
        <f aca="false">D169*N169</f>
        <v>414.05</v>
      </c>
      <c r="P169" s="54" t="n">
        <f aca="false">AVERAGE(H169,K169,N169)</f>
        <v>6.02055555555556</v>
      </c>
      <c r="Q169" s="55" t="n">
        <f aca="false">F169*100/P169-100</f>
        <v>-0.341422903017445</v>
      </c>
      <c r="R169" s="54" t="n">
        <f aca="false">D169*F169</f>
        <v>390</v>
      </c>
      <c r="S169" s="56"/>
      <c r="U169" s="57" t="n">
        <f aca="false">ROUND(H169*100/P169-100,0)</f>
        <v>-1</v>
      </c>
      <c r="V169" s="57" t="n">
        <f aca="false">ROUND(K169*100/P169-100,0)</f>
        <v>-4</v>
      </c>
      <c r="W169" s="57" t="n">
        <f aca="false">ROUND(N169*100/P169-100,0)</f>
        <v>6</v>
      </c>
    </row>
    <row r="170" s="43" customFormat="true" ht="73.5" hidden="false" customHeight="true" outlineLevel="0" collapsed="false">
      <c r="A170" s="45" t="n">
        <v>165</v>
      </c>
      <c r="B170" s="46" t="s">
        <v>240</v>
      </c>
      <c r="C170" s="47" t="s">
        <v>147</v>
      </c>
      <c r="D170" s="48" t="s">
        <v>241</v>
      </c>
      <c r="E170" s="49" t="n">
        <v>8.33</v>
      </c>
      <c r="F170" s="50" t="n">
        <v>7.6</v>
      </c>
      <c r="G170" s="47" t="s">
        <v>231</v>
      </c>
      <c r="H170" s="52" t="n">
        <f aca="false">8.7/1.2</f>
        <v>7.25</v>
      </c>
      <c r="I170" s="53" t="n">
        <f aca="false">D170*H170</f>
        <v>2900</v>
      </c>
      <c r="J170" s="47" t="s">
        <v>236</v>
      </c>
      <c r="K170" s="52" t="n">
        <f aca="false">9.03/1.2</f>
        <v>7.525</v>
      </c>
      <c r="L170" s="53" t="n">
        <f aca="false">D170*K170</f>
        <v>3010</v>
      </c>
      <c r="M170" s="47" t="s">
        <v>58</v>
      </c>
      <c r="N170" s="52" t="n">
        <v>8.12</v>
      </c>
      <c r="O170" s="53" t="n">
        <f aca="false">D170*N170</f>
        <v>3248</v>
      </c>
      <c r="P170" s="54" t="n">
        <f aca="false">AVERAGE(H170,K170,N170)</f>
        <v>7.63166666666667</v>
      </c>
      <c r="Q170" s="55" t="n">
        <f aca="false">F170*100/P170-100</f>
        <v>-0.414937759336098</v>
      </c>
      <c r="R170" s="54" t="n">
        <f aca="false">D170*F170</f>
        <v>3040</v>
      </c>
      <c r="S170" s="56"/>
      <c r="U170" s="57" t="n">
        <f aca="false">ROUND(H170*100/P170-100,0)</f>
        <v>-5</v>
      </c>
      <c r="V170" s="57" t="n">
        <f aca="false">ROUND(K170*100/P170-100,0)</f>
        <v>-1</v>
      </c>
      <c r="W170" s="57" t="n">
        <f aca="false">ROUND(N170*100/P170-100,0)</f>
        <v>6</v>
      </c>
    </row>
    <row r="171" s="43" customFormat="true" ht="73.5" hidden="false" customHeight="true" outlineLevel="0" collapsed="false">
      <c r="A171" s="45" t="n">
        <v>167</v>
      </c>
      <c r="B171" s="46" t="s">
        <v>242</v>
      </c>
      <c r="C171" s="47" t="s">
        <v>147</v>
      </c>
      <c r="D171" s="48" t="s">
        <v>243</v>
      </c>
      <c r="E171" s="49" t="n">
        <v>10.33</v>
      </c>
      <c r="F171" s="50" t="n">
        <v>9.52</v>
      </c>
      <c r="G171" s="47" t="s">
        <v>231</v>
      </c>
      <c r="H171" s="52" t="n">
        <f aca="false">11.28/1.2</f>
        <v>9.4</v>
      </c>
      <c r="I171" s="53" t="n">
        <f aca="false">D171*H171</f>
        <v>188</v>
      </c>
      <c r="J171" s="47" t="s">
        <v>236</v>
      </c>
      <c r="K171" s="52" t="n">
        <f aca="false">11.14/1.2</f>
        <v>9.28333333333334</v>
      </c>
      <c r="L171" s="53" t="n">
        <f aca="false">D171*K171</f>
        <v>185.666666666667</v>
      </c>
      <c r="M171" s="47" t="s">
        <v>58</v>
      </c>
      <c r="N171" s="52" t="n">
        <v>9.97</v>
      </c>
      <c r="O171" s="53" t="n">
        <f aca="false">D171*N171</f>
        <v>199.4</v>
      </c>
      <c r="P171" s="54" t="n">
        <f aca="false">AVERAGE(H171,K171,N171)</f>
        <v>9.55111111111111</v>
      </c>
      <c r="Q171" s="55" t="n">
        <f aca="false">F171*100/P171-100</f>
        <v>-0.32573289902281</v>
      </c>
      <c r="R171" s="54" t="n">
        <f aca="false">D171*F171</f>
        <v>190.4</v>
      </c>
      <c r="S171" s="56"/>
      <c r="U171" s="57" t="n">
        <f aca="false">ROUND(H171*100/P171-100,0)</f>
        <v>-2</v>
      </c>
      <c r="V171" s="57" t="n">
        <f aca="false">ROUND(K171*100/P171-100,0)</f>
        <v>-3</v>
      </c>
      <c r="W171" s="57" t="n">
        <f aca="false">ROUND(N171*100/P171-100,0)</f>
        <v>4</v>
      </c>
    </row>
    <row r="172" s="43" customFormat="true" ht="73.5" hidden="false" customHeight="true" outlineLevel="0" collapsed="false">
      <c r="A172" s="45" t="n">
        <v>168</v>
      </c>
      <c r="B172" s="46" t="s">
        <v>244</v>
      </c>
      <c r="C172" s="47" t="s">
        <v>147</v>
      </c>
      <c r="D172" s="48" t="s">
        <v>245</v>
      </c>
      <c r="E172" s="49" t="n">
        <v>4.67</v>
      </c>
      <c r="F172" s="50" t="n">
        <v>6.79</v>
      </c>
      <c r="G172" s="47" t="s">
        <v>231</v>
      </c>
      <c r="H172" s="52" t="n">
        <f aca="false">6.62/1.2</f>
        <v>5.51666666666667</v>
      </c>
      <c r="I172" s="53" t="n">
        <f aca="false">D172*H172</f>
        <v>3310</v>
      </c>
      <c r="J172" s="47" t="s">
        <v>236</v>
      </c>
      <c r="K172" s="52" t="n">
        <f aca="false">8.58/1.2</f>
        <v>7.15</v>
      </c>
      <c r="L172" s="53" t="n">
        <f aca="false">D172*K172</f>
        <v>4290</v>
      </c>
      <c r="M172" s="47" t="s">
        <v>58</v>
      </c>
      <c r="N172" s="52" t="n">
        <v>7.83</v>
      </c>
      <c r="O172" s="53" t="n">
        <f aca="false">D172*N172</f>
        <v>4698</v>
      </c>
      <c r="P172" s="54" t="n">
        <f aca="false">AVERAGE(H172,K172,N172)</f>
        <v>6.83222222222222</v>
      </c>
      <c r="Q172" s="55" t="n">
        <f aca="false">F172*100/P172-100</f>
        <v>-0.617986664498289</v>
      </c>
      <c r="R172" s="54" t="n">
        <f aca="false">D172*F172</f>
        <v>4074</v>
      </c>
      <c r="S172" s="56"/>
      <c r="U172" s="57" t="n">
        <f aca="false">ROUND(H172*100/P172-100,0)</f>
        <v>-19</v>
      </c>
      <c r="V172" s="57" t="n">
        <f aca="false">ROUND(K172*100/P172-100,0)</f>
        <v>5</v>
      </c>
      <c r="W172" s="57" t="n">
        <f aca="false">ROUND(N172*100/P172-100,0)</f>
        <v>15</v>
      </c>
    </row>
    <row r="173" s="43" customFormat="true" ht="73.5" hidden="false" customHeight="true" outlineLevel="0" collapsed="false">
      <c r="A173" s="45" t="n">
        <v>169</v>
      </c>
      <c r="B173" s="46" t="s">
        <v>246</v>
      </c>
      <c r="C173" s="47" t="s">
        <v>45</v>
      </c>
      <c r="D173" s="48" t="s">
        <v>247</v>
      </c>
      <c r="E173" s="49" t="n">
        <v>3225</v>
      </c>
      <c r="F173" s="50" t="n">
        <v>2210.44</v>
      </c>
      <c r="G173" s="51" t="s">
        <v>248</v>
      </c>
      <c r="H173" s="52" t="n">
        <f aca="false">8990/4</f>
        <v>2247.5</v>
      </c>
      <c r="I173" s="53" t="n">
        <f aca="false">D173*H173</f>
        <v>26970</v>
      </c>
      <c r="J173" s="47" t="s">
        <v>249</v>
      </c>
      <c r="K173" s="52" t="n">
        <f aca="false">10015/4</f>
        <v>2503.75</v>
      </c>
      <c r="L173" s="53" t="n">
        <f aca="false">D173*K173</f>
        <v>30045</v>
      </c>
      <c r="M173" s="47" t="s">
        <v>250</v>
      </c>
      <c r="N173" s="52" t="n">
        <v>1898.75</v>
      </c>
      <c r="O173" s="53" t="n">
        <f aca="false">D173*N173</f>
        <v>22785</v>
      </c>
      <c r="P173" s="54" t="n">
        <f aca="false">AVERAGE(H173,K173,N173)</f>
        <v>2216.66666666667</v>
      </c>
      <c r="Q173" s="55" t="n">
        <f aca="false">F173*100/P173-100</f>
        <v>-0.280902255639091</v>
      </c>
      <c r="R173" s="54" t="n">
        <f aca="false">D173*F173</f>
        <v>26525.28</v>
      </c>
      <c r="S173" s="56"/>
      <c r="U173" s="57" t="n">
        <f aca="false">ROUND(H173*100/P173-100,0)</f>
        <v>1</v>
      </c>
      <c r="V173" s="57" t="n">
        <f aca="false">ROUND(K173*100/P173-100,0)</f>
        <v>13</v>
      </c>
      <c r="W173" s="57" t="n">
        <f aca="false">ROUND(N173*100/P173-100,0)</f>
        <v>-14</v>
      </c>
    </row>
    <row r="174" s="43" customFormat="true" ht="73.5" hidden="true" customHeight="true" outlineLevel="0" collapsed="false">
      <c r="A174" s="45" t="n">
        <v>170</v>
      </c>
      <c r="B174" s="46" t="s">
        <v>251</v>
      </c>
      <c r="C174" s="47" t="s">
        <v>147</v>
      </c>
      <c r="D174" s="48" t="n">
        <v>60</v>
      </c>
      <c r="E174" s="49" t="n">
        <v>369.24</v>
      </c>
      <c r="F174" s="50" t="n">
        <v>480.56</v>
      </c>
      <c r="G174" s="47" t="s">
        <v>27</v>
      </c>
      <c r="H174" s="52" t="n">
        <f aca="false">542.05/1.2</f>
        <v>451.708333333333</v>
      </c>
      <c r="I174" s="53" t="n">
        <f aca="false">D174*H174</f>
        <v>27102.5</v>
      </c>
      <c r="J174" s="53" t="s">
        <v>28</v>
      </c>
      <c r="K174" s="52" t="n">
        <f aca="false">586.87/1.2</f>
        <v>489.058333333333</v>
      </c>
      <c r="L174" s="53" t="n">
        <f aca="false">D174*K174</f>
        <v>29343.5</v>
      </c>
      <c r="M174" s="53" t="s">
        <v>29</v>
      </c>
      <c r="N174" s="52" t="n">
        <v>506.22</v>
      </c>
      <c r="O174" s="53" t="n">
        <f aca="false">D174*N174</f>
        <v>30373.2</v>
      </c>
      <c r="P174" s="54" t="n">
        <f aca="false">AVERAGE(H174,K174,N174)</f>
        <v>482.328888888889</v>
      </c>
      <c r="Q174" s="55" t="n">
        <f aca="false">F174*100/P174-100</f>
        <v>-0.366739154472754</v>
      </c>
      <c r="R174" s="54" t="n">
        <f aca="false">D174*F174</f>
        <v>28833.6</v>
      </c>
      <c r="S174" s="62" t="s">
        <v>116</v>
      </c>
      <c r="U174" s="57" t="n">
        <f aca="false">ROUND(H174*100/P174-100,0)</f>
        <v>-6</v>
      </c>
      <c r="V174" s="57" t="n">
        <f aca="false">ROUND(K174*100/P174-100,0)</f>
        <v>1</v>
      </c>
      <c r="W174" s="57" t="n">
        <f aca="false">ROUND(N174*100/P174-100,0)</f>
        <v>5</v>
      </c>
      <c r="Y174" s="43" t="n">
        <v>166</v>
      </c>
    </row>
    <row r="175" s="43" customFormat="true" ht="73.5" hidden="false" customHeight="true" outlineLevel="0" collapsed="false">
      <c r="A175" s="45" t="n">
        <v>171</v>
      </c>
      <c r="B175" s="46" t="s">
        <v>252</v>
      </c>
      <c r="C175" s="47" t="s">
        <v>45</v>
      </c>
      <c r="D175" s="48" t="n">
        <v>180</v>
      </c>
      <c r="E175" s="49" t="n">
        <v>457.81</v>
      </c>
      <c r="F175" s="50" t="n">
        <v>383.82</v>
      </c>
      <c r="G175" s="47" t="s">
        <v>253</v>
      </c>
      <c r="H175" s="52" t="n">
        <v>385.11</v>
      </c>
      <c r="I175" s="53" t="n">
        <f aca="false">D175*H175</f>
        <v>69319.8</v>
      </c>
      <c r="J175" s="47" t="s">
        <v>254</v>
      </c>
      <c r="K175" s="52" t="n">
        <f aca="false">462/1.2</f>
        <v>385</v>
      </c>
      <c r="L175" s="53" t="n">
        <f aca="false">D175*K175</f>
        <v>69300</v>
      </c>
      <c r="M175" s="47" t="s">
        <v>255</v>
      </c>
      <c r="N175" s="52" t="n">
        <f aca="false">462.13/1.2</f>
        <v>385.108333333333</v>
      </c>
      <c r="O175" s="53" t="n">
        <f aca="false">D175*N175</f>
        <v>69319.5</v>
      </c>
      <c r="P175" s="54" t="n">
        <f aca="false">AVERAGE(H175,K175,N175)</f>
        <v>385.072777777778</v>
      </c>
      <c r="Q175" s="55" t="n">
        <f aca="false">F175*100/P175-100</f>
        <v>-0.325335326222586</v>
      </c>
      <c r="R175" s="54" t="n">
        <f aca="false">D175*F175</f>
        <v>69087.6</v>
      </c>
      <c r="S175" s="56"/>
      <c r="U175" s="57" t="n">
        <f aca="false">ROUND(H175*100/P175-100,0)</f>
        <v>0</v>
      </c>
      <c r="V175" s="57" t="n">
        <f aca="false">ROUND(K175*100/P175-100,0)</f>
        <v>-0</v>
      </c>
      <c r="W175" s="57" t="n">
        <f aca="false">ROUND(N175*100/P175-100,0)</f>
        <v>0</v>
      </c>
    </row>
    <row r="176" s="43" customFormat="true" ht="73.5" hidden="false" customHeight="true" outlineLevel="0" collapsed="false">
      <c r="A176" s="45" t="n">
        <v>172</v>
      </c>
      <c r="B176" s="46" t="s">
        <v>256</v>
      </c>
      <c r="C176" s="47" t="s">
        <v>25</v>
      </c>
      <c r="D176" s="48" t="n">
        <v>1580</v>
      </c>
      <c r="E176" s="49" t="n">
        <v>94.72</v>
      </c>
      <c r="F176" s="50" t="n">
        <v>254.67</v>
      </c>
      <c r="G176" s="47" t="s">
        <v>27</v>
      </c>
      <c r="H176" s="52" t="n">
        <f aca="false">246.91/1.2</f>
        <v>205.758333333333</v>
      </c>
      <c r="I176" s="53" t="n">
        <f aca="false">D176*H176</f>
        <v>325098.166666667</v>
      </c>
      <c r="J176" s="53" t="s">
        <v>28</v>
      </c>
      <c r="K176" s="52" t="n">
        <f aca="false">350.39/1.2</f>
        <v>291.991666666667</v>
      </c>
      <c r="L176" s="53" t="n">
        <f aca="false">D176*K176</f>
        <v>461346.833333333</v>
      </c>
      <c r="M176" s="53" t="s">
        <v>29</v>
      </c>
      <c r="N176" s="52" t="n">
        <v>268.85</v>
      </c>
      <c r="O176" s="53" t="n">
        <f aca="false">D176*N176</f>
        <v>424783</v>
      </c>
      <c r="P176" s="54" t="n">
        <f aca="false">AVERAGE(H176,K176,N176)</f>
        <v>255.533333333333</v>
      </c>
      <c r="Q176" s="55" t="n">
        <f aca="false">F176*100/P176-100</f>
        <v>-0.33785546569267</v>
      </c>
      <c r="R176" s="54" t="n">
        <f aca="false">D176*F176</f>
        <v>402378.6</v>
      </c>
      <c r="S176" s="56"/>
      <c r="U176" s="57" t="n">
        <f aca="false">ROUND(H176*100/P176-100,0)</f>
        <v>-19</v>
      </c>
      <c r="V176" s="57" t="n">
        <f aca="false">ROUND(K176*100/P176-100,0)</f>
        <v>14</v>
      </c>
      <c r="W176" s="57" t="n">
        <f aca="false">ROUND(N176*100/P176-100,0)</f>
        <v>5</v>
      </c>
    </row>
    <row r="177" s="43" customFormat="true" ht="73.5" hidden="false" customHeight="true" outlineLevel="0" collapsed="false">
      <c r="A177" s="45" t="n">
        <v>173</v>
      </c>
      <c r="B177" s="46" t="s">
        <v>257</v>
      </c>
      <c r="C177" s="47" t="s">
        <v>45</v>
      </c>
      <c r="D177" s="48" t="n">
        <v>13</v>
      </c>
      <c r="E177" s="49" t="n">
        <v>97.04</v>
      </c>
      <c r="F177" s="50" t="n">
        <v>98.56</v>
      </c>
      <c r="G177" s="47" t="s">
        <v>258</v>
      </c>
      <c r="H177" s="52" t="n">
        <v>98.67</v>
      </c>
      <c r="I177" s="53" t="n">
        <f aca="false">D177*H177</f>
        <v>1282.71</v>
      </c>
      <c r="J177" s="47" t="s">
        <v>259</v>
      </c>
      <c r="K177" s="52" t="n">
        <f aca="false">117.62/1.2</f>
        <v>98.0166666666667</v>
      </c>
      <c r="L177" s="53" t="n">
        <f aca="false">D177*K177</f>
        <v>1274.21666666667</v>
      </c>
      <c r="M177" s="53" t="s">
        <v>68</v>
      </c>
      <c r="N177" s="52" t="n">
        <v>100.23</v>
      </c>
      <c r="O177" s="53" t="n">
        <f aca="false">D177*N177</f>
        <v>1302.99</v>
      </c>
      <c r="P177" s="54" t="n">
        <f aca="false">AVERAGE(H177,K177,N177)</f>
        <v>98.9722222222222</v>
      </c>
      <c r="Q177" s="55" t="n">
        <f aca="false">F177*100/P177-100</f>
        <v>-0.416502946954822</v>
      </c>
      <c r="R177" s="54" t="n">
        <f aca="false">D177*F177</f>
        <v>1281.28</v>
      </c>
      <c r="S177" s="56"/>
      <c r="U177" s="57" t="n">
        <f aca="false">ROUND(H177*100/P177-100,0)</f>
        <v>-0</v>
      </c>
      <c r="V177" s="57" t="n">
        <f aca="false">ROUND(K177*100/P177-100,0)</f>
        <v>-1</v>
      </c>
      <c r="W177" s="57" t="n">
        <f aca="false">ROUND(N177*100/P177-100,0)</f>
        <v>1</v>
      </c>
    </row>
    <row r="178" s="43" customFormat="true" ht="73.5" hidden="false" customHeight="true" outlineLevel="0" collapsed="false">
      <c r="A178" s="45" t="n">
        <v>174</v>
      </c>
      <c r="B178" s="46" t="s">
        <v>260</v>
      </c>
      <c r="C178" s="47" t="s">
        <v>45</v>
      </c>
      <c r="D178" s="48" t="n">
        <v>3</v>
      </c>
      <c r="E178" s="49" t="n">
        <v>124.67</v>
      </c>
      <c r="F178" s="50" t="n">
        <v>395.42</v>
      </c>
      <c r="G178" s="47" t="s">
        <v>261</v>
      </c>
      <c r="H178" s="52" t="n">
        <f aca="false">460/1.2</f>
        <v>383.333333333333</v>
      </c>
      <c r="I178" s="53" t="n">
        <f aca="false">D178*H178</f>
        <v>1150</v>
      </c>
      <c r="J178" s="47" t="s">
        <v>46</v>
      </c>
      <c r="K178" s="52" t="n">
        <v>426.92</v>
      </c>
      <c r="L178" s="53" t="n">
        <f aca="false">D178*K178</f>
        <v>1280.76</v>
      </c>
      <c r="M178" s="47" t="s">
        <v>57</v>
      </c>
      <c r="N178" s="52" t="n">
        <v>378.8</v>
      </c>
      <c r="O178" s="53" t="n">
        <f aca="false">D178*N178</f>
        <v>1136.4</v>
      </c>
      <c r="P178" s="54" t="n">
        <f aca="false">AVERAGE(H178,K178,N178)</f>
        <v>396.351111111111</v>
      </c>
      <c r="Q178" s="55" t="n">
        <f aca="false">F178*100/P178-100</f>
        <v>-0.234920777313036</v>
      </c>
      <c r="R178" s="54" t="n">
        <f aca="false">D178*F178</f>
        <v>1186.26</v>
      </c>
      <c r="S178" s="56"/>
      <c r="U178" s="57" t="n">
        <f aca="false">ROUND(H178*100/P178-100,0)</f>
        <v>-3</v>
      </c>
      <c r="V178" s="57" t="n">
        <f aca="false">ROUND(K178*100/P178-100,0)</f>
        <v>8</v>
      </c>
      <c r="W178" s="57" t="n">
        <f aca="false">ROUND(N178*100/P178-100,0)</f>
        <v>-4</v>
      </c>
    </row>
    <row r="179" s="43" customFormat="true" ht="73.5" hidden="false" customHeight="true" outlineLevel="0" collapsed="false">
      <c r="A179" s="45" t="n">
        <v>175</v>
      </c>
      <c r="B179" s="46" t="s">
        <v>262</v>
      </c>
      <c r="C179" s="47" t="s">
        <v>45</v>
      </c>
      <c r="D179" s="48" t="n">
        <v>26.4</v>
      </c>
      <c r="E179" s="49" t="n">
        <v>9491.62</v>
      </c>
      <c r="F179" s="50" t="n">
        <v>12311.49</v>
      </c>
      <c r="G179" s="51" t="s">
        <v>90</v>
      </c>
      <c r="H179" s="52" t="n">
        <f aca="false">13658.48/1.2</f>
        <v>11382.0666666667</v>
      </c>
      <c r="I179" s="53" t="n">
        <f aca="false">D179*H179</f>
        <v>300486.56</v>
      </c>
      <c r="J179" s="47" t="s">
        <v>46</v>
      </c>
      <c r="K179" s="52" t="n">
        <v>13004.1</v>
      </c>
      <c r="L179" s="53" t="n">
        <f aca="false">D179*K179</f>
        <v>343308.24</v>
      </c>
      <c r="M179" s="47" t="s">
        <v>58</v>
      </c>
      <c r="N179" s="52" t="n">
        <v>12560.4</v>
      </c>
      <c r="O179" s="53" t="n">
        <f aca="false">D179*N179</f>
        <v>331594.56</v>
      </c>
      <c r="P179" s="54" t="n">
        <f aca="false">AVERAGE(H179,K179,N179)</f>
        <v>12315.5222222222</v>
      </c>
      <c r="Q179" s="55" t="n">
        <f aca="false">F179*100/P179-100</f>
        <v>-0.0327409763830104</v>
      </c>
      <c r="R179" s="54" t="n">
        <f aca="false">D179*F179</f>
        <v>325023.336</v>
      </c>
      <c r="S179" s="56"/>
      <c r="U179" s="57" t="n">
        <f aca="false">ROUND(H179*100/P179-100,0)</f>
        <v>-8</v>
      </c>
      <c r="V179" s="57" t="n">
        <f aca="false">ROUND(K179*100/P179-100,0)</f>
        <v>6</v>
      </c>
      <c r="W179" s="57" t="n">
        <f aca="false">ROUND(N179*100/P179-100,0)</f>
        <v>2</v>
      </c>
    </row>
    <row r="180" s="43" customFormat="true" ht="73.5" hidden="false" customHeight="true" outlineLevel="0" collapsed="false">
      <c r="A180" s="45" t="n">
        <v>176</v>
      </c>
      <c r="B180" s="46" t="s">
        <v>263</v>
      </c>
      <c r="C180" s="47" t="s">
        <v>25</v>
      </c>
      <c r="D180" s="48" t="n">
        <v>69</v>
      </c>
      <c r="E180" s="49" t="s">
        <v>26</v>
      </c>
      <c r="F180" s="50" t="n">
        <v>1431.87</v>
      </c>
      <c r="G180" s="47" t="s">
        <v>27</v>
      </c>
      <c r="H180" s="52" t="n">
        <f aca="false">1609.9/1.2</f>
        <v>1341.58333333333</v>
      </c>
      <c r="I180" s="53" t="n">
        <f aca="false">D180*H180</f>
        <v>92569.25</v>
      </c>
      <c r="J180" s="53" t="s">
        <v>28</v>
      </c>
      <c r="K180" s="52" t="n">
        <f aca="false">1748.87/1.2</f>
        <v>1457.39166666667</v>
      </c>
      <c r="L180" s="53" t="n">
        <f aca="false">D180*K180</f>
        <v>100560.025</v>
      </c>
      <c r="M180" s="53" t="s">
        <v>29</v>
      </c>
      <c r="N180" s="52" t="n">
        <v>1503.09</v>
      </c>
      <c r="O180" s="53" t="n">
        <f aca="false">D180*N180</f>
        <v>103713.21</v>
      </c>
      <c r="P180" s="54" t="n">
        <f aca="false">AVERAGE(H180,K180,N180)</f>
        <v>1434.02166666667</v>
      </c>
      <c r="Q180" s="55" t="n">
        <f aca="false">F180*100/P180-100</f>
        <v>-0.15004422294875</v>
      </c>
      <c r="R180" s="54" t="n">
        <f aca="false">D180*F180</f>
        <v>98799.03</v>
      </c>
      <c r="S180" s="56"/>
      <c r="U180" s="57" t="n">
        <f aca="false">ROUND(H180*100/P180-100,0)</f>
        <v>-6</v>
      </c>
      <c r="V180" s="57" t="n">
        <f aca="false">ROUND(K180*100/P180-100,0)</f>
        <v>2</v>
      </c>
      <c r="W180" s="57" t="n">
        <f aca="false">ROUND(N180*100/P180-100,0)</f>
        <v>5</v>
      </c>
    </row>
    <row r="181" s="43" customFormat="true" ht="73.5" hidden="false" customHeight="true" outlineLevel="0" collapsed="false">
      <c r="A181" s="45" t="n">
        <v>177</v>
      </c>
      <c r="B181" s="46" t="s">
        <v>264</v>
      </c>
      <c r="C181" s="47" t="s">
        <v>25</v>
      </c>
      <c r="D181" s="48" t="n">
        <v>78</v>
      </c>
      <c r="E181" s="49" t="n">
        <v>28.31</v>
      </c>
      <c r="F181" s="50" t="n">
        <v>40.01</v>
      </c>
      <c r="G181" s="47" t="s">
        <v>27</v>
      </c>
      <c r="H181" s="52" t="n">
        <f aca="false">45.64/1.2</f>
        <v>38.0333333333333</v>
      </c>
      <c r="I181" s="53" t="n">
        <f aca="false">D181*H181</f>
        <v>2966.6</v>
      </c>
      <c r="J181" s="53" t="s">
        <v>28</v>
      </c>
      <c r="K181" s="52" t="n">
        <f aca="false">44.54/1.2</f>
        <v>37.1166666666667</v>
      </c>
      <c r="L181" s="53" t="n">
        <f aca="false">D181*K181</f>
        <v>2895.1</v>
      </c>
      <c r="M181" s="53" t="s">
        <v>29</v>
      </c>
      <c r="N181" s="52" t="n">
        <v>45.47</v>
      </c>
      <c r="O181" s="53" t="n">
        <f aca="false">D181*N181</f>
        <v>3546.66</v>
      </c>
      <c r="P181" s="54" t="n">
        <f aca="false">AVERAGE(H181,K181,N181)</f>
        <v>40.2066666666667</v>
      </c>
      <c r="Q181" s="55" t="n">
        <f aca="false">F181*100/P181-100</f>
        <v>-0.48913944619467</v>
      </c>
      <c r="R181" s="54" t="n">
        <f aca="false">D181*F181</f>
        <v>3120.78</v>
      </c>
      <c r="S181" s="56"/>
      <c r="U181" s="57" t="n">
        <f aca="false">ROUND(H181*100/P181-100,0)</f>
        <v>-5</v>
      </c>
      <c r="V181" s="57" t="n">
        <f aca="false">ROUND(K181*100/P181-100,0)</f>
        <v>-8</v>
      </c>
      <c r="W181" s="57" t="n">
        <f aca="false">ROUND(N181*100/P181-100,0)</f>
        <v>13</v>
      </c>
    </row>
    <row r="182" s="43" customFormat="true" ht="73.5" hidden="false" customHeight="true" outlineLevel="0" collapsed="false">
      <c r="A182" s="45" t="n">
        <v>178</v>
      </c>
      <c r="B182" s="46" t="s">
        <v>265</v>
      </c>
      <c r="C182" s="47" t="s">
        <v>25</v>
      </c>
      <c r="D182" s="48" t="n">
        <v>1</v>
      </c>
      <c r="E182" s="49" t="n">
        <v>451.72</v>
      </c>
      <c r="F182" s="50" t="n">
        <v>539.74</v>
      </c>
      <c r="G182" s="47" t="s">
        <v>27</v>
      </c>
      <c r="H182" s="52" t="n">
        <f aca="false">628.74/1.2</f>
        <v>523.95</v>
      </c>
      <c r="I182" s="53" t="n">
        <f aca="false">D182*H182</f>
        <v>523.95</v>
      </c>
      <c r="J182" s="53" t="s">
        <v>28</v>
      </c>
      <c r="K182" s="52" t="n">
        <f aca="false">697.44/1.2</f>
        <v>581.2</v>
      </c>
      <c r="L182" s="53" t="n">
        <f aca="false">D182*K182</f>
        <v>581.2</v>
      </c>
      <c r="M182" s="53" t="s">
        <v>29</v>
      </c>
      <c r="N182" s="52" t="n">
        <v>520.81</v>
      </c>
      <c r="O182" s="53" t="n">
        <f aca="false">D182*N182</f>
        <v>520.81</v>
      </c>
      <c r="P182" s="54" t="n">
        <f aca="false">AVERAGE(H182,K182,N182)</f>
        <v>541.986666666667</v>
      </c>
      <c r="Q182" s="55" t="n">
        <f aca="false">F182*100/P182-100</f>
        <v>-0.414524342542251</v>
      </c>
      <c r="R182" s="54" t="n">
        <f aca="false">D182*F182</f>
        <v>539.74</v>
      </c>
      <c r="S182" s="56"/>
      <c r="U182" s="57" t="n">
        <f aca="false">ROUND(H182*100/P182-100,0)</f>
        <v>-3</v>
      </c>
      <c r="V182" s="57" t="n">
        <f aca="false">ROUND(K182*100/P182-100,0)</f>
        <v>7</v>
      </c>
      <c r="W182" s="57" t="n">
        <f aca="false">ROUND(N182*100/P182-100,0)</f>
        <v>-4</v>
      </c>
    </row>
    <row r="183" s="43" customFormat="true" ht="73.5" hidden="false" customHeight="true" outlineLevel="0" collapsed="false">
      <c r="A183" s="45" t="n">
        <v>179</v>
      </c>
      <c r="B183" s="46" t="s">
        <v>266</v>
      </c>
      <c r="C183" s="47" t="s">
        <v>25</v>
      </c>
      <c r="D183" s="48" t="n">
        <v>100</v>
      </c>
      <c r="E183" s="49" t="n">
        <v>0.89</v>
      </c>
      <c r="F183" s="50" t="n">
        <v>1.28</v>
      </c>
      <c r="G183" s="47" t="s">
        <v>27</v>
      </c>
      <c r="H183" s="52" t="n">
        <f aca="false">62.47/50/1.2</f>
        <v>1.04116666666667</v>
      </c>
      <c r="I183" s="53" t="n">
        <f aca="false">D183*H183</f>
        <v>104.116666666667</v>
      </c>
      <c r="J183" s="53" t="s">
        <v>28</v>
      </c>
      <c r="K183" s="52" t="n">
        <f aca="false">1.66/1.2</f>
        <v>1.38333333333333</v>
      </c>
      <c r="L183" s="53" t="n">
        <f aca="false">D183*K183</f>
        <v>138.333333333333</v>
      </c>
      <c r="M183" s="53" t="s">
        <v>29</v>
      </c>
      <c r="N183" s="52" t="n">
        <v>1.46</v>
      </c>
      <c r="O183" s="53" t="n">
        <f aca="false">D183*N183</f>
        <v>146</v>
      </c>
      <c r="P183" s="54" t="n">
        <f aca="false">AVERAGE(H183,K183,N183)</f>
        <v>1.29483333333333</v>
      </c>
      <c r="Q183" s="55" t="n">
        <f aca="false">F183*100/P183-100</f>
        <v>-1.14557858154203</v>
      </c>
      <c r="R183" s="54" t="n">
        <f aca="false">D183*F183</f>
        <v>128</v>
      </c>
      <c r="S183" s="56"/>
      <c r="U183" s="57" t="n">
        <f aca="false">ROUND(H183*100/P183-100,0)</f>
        <v>-20</v>
      </c>
      <c r="V183" s="57" t="n">
        <f aca="false">ROUND(K183*100/P183-100,0)</f>
        <v>7</v>
      </c>
      <c r="W183" s="57" t="n">
        <f aca="false">ROUND(N183*100/P183-100,0)</f>
        <v>13</v>
      </c>
    </row>
    <row r="184" s="43" customFormat="true" ht="73.5" hidden="false" customHeight="true" outlineLevel="0" collapsed="false">
      <c r="A184" s="45" t="n">
        <v>180</v>
      </c>
      <c r="B184" s="46" t="s">
        <v>267</v>
      </c>
      <c r="C184" s="47" t="s">
        <v>25</v>
      </c>
      <c r="D184" s="48" t="n">
        <v>26</v>
      </c>
      <c r="E184" s="49" t="s">
        <v>26</v>
      </c>
      <c r="F184" s="50" t="n">
        <v>22.15</v>
      </c>
      <c r="G184" s="47" t="s">
        <v>27</v>
      </c>
      <c r="H184" s="52" t="n">
        <f aca="false">21.83/1.2</f>
        <v>18.1916666666667</v>
      </c>
      <c r="I184" s="53" t="n">
        <f aca="false">D184*H184</f>
        <v>472.983333333333</v>
      </c>
      <c r="J184" s="53" t="s">
        <v>28</v>
      </c>
      <c r="K184" s="52" t="n">
        <f aca="false">27.18/1.2</f>
        <v>22.65</v>
      </c>
      <c r="L184" s="53" t="n">
        <f aca="false">D184*K184</f>
        <v>588.9</v>
      </c>
      <c r="M184" s="53" t="s">
        <v>29</v>
      </c>
      <c r="N184" s="52" t="n">
        <v>26.07</v>
      </c>
      <c r="O184" s="53" t="n">
        <f aca="false">D184*N184</f>
        <v>677.82</v>
      </c>
      <c r="P184" s="54" t="n">
        <f aca="false">AVERAGE(H184,K184,N184)</f>
        <v>22.3038888888889</v>
      </c>
      <c r="Q184" s="55" t="n">
        <f aca="false">F184*100/P184-100</f>
        <v>-0.689964380900193</v>
      </c>
      <c r="R184" s="54" t="n">
        <f aca="false">D184*F184</f>
        <v>575.9</v>
      </c>
      <c r="S184" s="56"/>
      <c r="U184" s="57" t="n">
        <f aca="false">ROUND(H184*100/P184-100,0)</f>
        <v>-18</v>
      </c>
      <c r="V184" s="57" t="n">
        <f aca="false">ROUND(K184*100/P184-100,0)</f>
        <v>2</v>
      </c>
      <c r="W184" s="57" t="n">
        <f aca="false">ROUND(N184*100/P184-100,0)</f>
        <v>17</v>
      </c>
    </row>
    <row r="185" s="43" customFormat="true" ht="73.5" hidden="false" customHeight="true" outlineLevel="0" collapsed="false">
      <c r="A185" s="45" t="n">
        <v>181</v>
      </c>
      <c r="B185" s="46" t="s">
        <v>268</v>
      </c>
      <c r="C185" s="47" t="s">
        <v>25</v>
      </c>
      <c r="D185" s="48" t="n">
        <v>8</v>
      </c>
      <c r="E185" s="49" t="n">
        <v>462.83</v>
      </c>
      <c r="F185" s="50" t="n">
        <v>569.91</v>
      </c>
      <c r="G185" s="47" t="s">
        <v>57</v>
      </c>
      <c r="H185" s="52" t="n">
        <v>518.54</v>
      </c>
      <c r="I185" s="53" t="n">
        <f aca="false">D185*H185</f>
        <v>4148.32</v>
      </c>
      <c r="J185" s="47" t="s">
        <v>46</v>
      </c>
      <c r="K185" s="52" t="n">
        <v>554.7</v>
      </c>
      <c r="L185" s="53" t="n">
        <f aca="false">D185*K185</f>
        <v>4437.6</v>
      </c>
      <c r="M185" s="53" t="s">
        <v>41</v>
      </c>
      <c r="N185" s="52" t="n">
        <v>640.8</v>
      </c>
      <c r="O185" s="53" t="n">
        <f aca="false">D185*N185</f>
        <v>5126.4</v>
      </c>
      <c r="P185" s="54" t="n">
        <f aca="false">AVERAGE(H185,K185,N185)</f>
        <v>571.346666666667</v>
      </c>
      <c r="Q185" s="55" t="n">
        <f aca="false">F185*100/P185-100</f>
        <v>-0.251452708221521</v>
      </c>
      <c r="R185" s="54" t="n">
        <f aca="false">D185*F185</f>
        <v>4559.28</v>
      </c>
      <c r="S185" s="56"/>
      <c r="U185" s="57" t="n">
        <f aca="false">ROUND(H185*100/P185-100,0)</f>
        <v>-9</v>
      </c>
      <c r="V185" s="57" t="n">
        <f aca="false">ROUND(K185*100/P185-100,0)</f>
        <v>-3</v>
      </c>
      <c r="W185" s="57" t="n">
        <f aca="false">ROUND(N185*100/P185-100,0)</f>
        <v>12</v>
      </c>
    </row>
    <row r="186" s="43" customFormat="true" ht="73.5" hidden="false" customHeight="true" outlineLevel="0" collapsed="false">
      <c r="A186" s="45" t="n">
        <v>182</v>
      </c>
      <c r="B186" s="46" t="s">
        <v>269</v>
      </c>
      <c r="C186" s="47" t="s">
        <v>45</v>
      </c>
      <c r="D186" s="48" t="n">
        <v>48</v>
      </c>
      <c r="E186" s="49" t="n">
        <v>2917.37</v>
      </c>
      <c r="F186" s="50" t="n">
        <v>4556.94</v>
      </c>
      <c r="G186" s="47" t="s">
        <v>270</v>
      </c>
      <c r="H186" s="52" t="n">
        <v>4125</v>
      </c>
      <c r="I186" s="53" t="n">
        <f aca="false">D186*H186</f>
        <v>198000</v>
      </c>
      <c r="J186" s="47" t="s">
        <v>271</v>
      </c>
      <c r="K186" s="52" t="n">
        <v>4583.33</v>
      </c>
      <c r="L186" s="53" t="n">
        <f aca="false">D186*K186</f>
        <v>219999.84</v>
      </c>
      <c r="M186" s="47" t="s">
        <v>272</v>
      </c>
      <c r="N186" s="52" t="n">
        <v>4970.33</v>
      </c>
      <c r="O186" s="53" t="n">
        <f aca="false">D186*N186</f>
        <v>238575.84</v>
      </c>
      <c r="P186" s="54" t="n">
        <f aca="false">AVERAGE(H186,K186,N186)</f>
        <v>4559.55333333333</v>
      </c>
      <c r="Q186" s="55" t="n">
        <f aca="false">F186*100/P186-100</f>
        <v>-0.057315555763509</v>
      </c>
      <c r="R186" s="54" t="n">
        <f aca="false">D186*F186</f>
        <v>218733.12</v>
      </c>
      <c r="S186" s="56"/>
      <c r="U186" s="57" t="n">
        <f aca="false">ROUND(H186*100/P186-100,0)</f>
        <v>-10</v>
      </c>
      <c r="V186" s="57" t="n">
        <f aca="false">ROUND(K186*100/P186-100,0)</f>
        <v>1</v>
      </c>
      <c r="W186" s="57" t="n">
        <f aca="false">ROUND(N186*100/P186-100,0)</f>
        <v>9</v>
      </c>
    </row>
    <row r="187" s="43" customFormat="true" ht="73.5" hidden="false" customHeight="true" outlineLevel="0" collapsed="false">
      <c r="A187" s="45" t="n">
        <v>183</v>
      </c>
      <c r="B187" s="46" t="s">
        <v>273</v>
      </c>
      <c r="C187" s="47" t="s">
        <v>45</v>
      </c>
      <c r="D187" s="48" t="n">
        <v>16</v>
      </c>
      <c r="E187" s="49" t="n">
        <v>781.69</v>
      </c>
      <c r="F187" s="50" t="n">
        <v>1229.54</v>
      </c>
      <c r="G187" s="47" t="s">
        <v>274</v>
      </c>
      <c r="H187" s="52" t="n">
        <v>980</v>
      </c>
      <c r="I187" s="53" t="n">
        <f aca="false">D187*H187</f>
        <v>15680</v>
      </c>
      <c r="J187" s="47" t="s">
        <v>275</v>
      </c>
      <c r="K187" s="52" t="n">
        <v>1450</v>
      </c>
      <c r="L187" s="53" t="n">
        <f aca="false">D187*K187</f>
        <v>23200</v>
      </c>
      <c r="M187" s="53" t="s">
        <v>41</v>
      </c>
      <c r="N187" s="52" t="n">
        <v>1263</v>
      </c>
      <c r="O187" s="53" t="n">
        <f aca="false">D187*N187</f>
        <v>20208</v>
      </c>
      <c r="P187" s="54" t="n">
        <f aca="false">AVERAGE(H187,K187,N187)</f>
        <v>1231</v>
      </c>
      <c r="Q187" s="55" t="n">
        <f aca="false">F187*100/P187-100</f>
        <v>-0.118602761982132</v>
      </c>
      <c r="R187" s="54" t="n">
        <f aca="false">D187*F187</f>
        <v>19672.64</v>
      </c>
      <c r="S187" s="56"/>
      <c r="U187" s="57" t="n">
        <f aca="false">ROUND(H187*100/P187-100,0)</f>
        <v>-20</v>
      </c>
      <c r="V187" s="57" t="n">
        <f aca="false">ROUND(K187*100/P187-100,0)</f>
        <v>18</v>
      </c>
      <c r="W187" s="57" t="n">
        <f aca="false">ROUND(N187*100/P187-100,0)</f>
        <v>3</v>
      </c>
    </row>
    <row r="188" s="43" customFormat="true" ht="73.5" hidden="false" customHeight="true" outlineLevel="0" collapsed="false">
      <c r="A188" s="45" t="n">
        <v>184</v>
      </c>
      <c r="B188" s="46" t="s">
        <v>276</v>
      </c>
      <c r="C188" s="47" t="s">
        <v>53</v>
      </c>
      <c r="D188" s="48" t="n">
        <v>500</v>
      </c>
      <c r="E188" s="49" t="n">
        <v>203.84</v>
      </c>
      <c r="F188" s="50" t="n">
        <v>482.37</v>
      </c>
      <c r="G188" s="47" t="s">
        <v>277</v>
      </c>
      <c r="H188" s="52" t="n">
        <f aca="false">625/1.2</f>
        <v>520.833333333333</v>
      </c>
      <c r="I188" s="53" t="n">
        <f aca="false">D188*H188</f>
        <v>260416.666666667</v>
      </c>
      <c r="J188" s="47" t="s">
        <v>46</v>
      </c>
      <c r="K188" s="52" t="n">
        <v>479</v>
      </c>
      <c r="L188" s="53" t="n">
        <f aca="false">D188*K188</f>
        <v>239500</v>
      </c>
      <c r="M188" s="47" t="s">
        <v>278</v>
      </c>
      <c r="N188" s="52" t="n">
        <f aca="false">10800/20/1.2</f>
        <v>450</v>
      </c>
      <c r="O188" s="53" t="n">
        <f aca="false">D188*N188</f>
        <v>225000</v>
      </c>
      <c r="P188" s="54" t="n">
        <f aca="false">AVERAGE(H188,K188,N188)</f>
        <v>483.277777777778</v>
      </c>
      <c r="Q188" s="55" t="n">
        <f aca="false">F188*100/P188-100</f>
        <v>-0.187837682492244</v>
      </c>
      <c r="R188" s="54" t="n">
        <f aca="false">D188*F188</f>
        <v>241185</v>
      </c>
      <c r="S188" s="56"/>
      <c r="U188" s="57" t="n">
        <f aca="false">ROUND(H188*100/P188-100,0)</f>
        <v>8</v>
      </c>
      <c r="V188" s="57" t="n">
        <f aca="false">ROUND(K188*100/P188-100,0)</f>
        <v>-1</v>
      </c>
      <c r="W188" s="57" t="n">
        <f aca="false">ROUND(N188*100/P188-100,0)</f>
        <v>-7</v>
      </c>
    </row>
    <row r="189" s="43" customFormat="true" ht="73.5" hidden="false" customHeight="true" outlineLevel="0" collapsed="false">
      <c r="A189" s="45" t="n">
        <v>185</v>
      </c>
      <c r="B189" s="46" t="s">
        <v>279</v>
      </c>
      <c r="C189" s="47" t="s">
        <v>45</v>
      </c>
      <c r="D189" s="48" t="s">
        <v>280</v>
      </c>
      <c r="E189" s="49" t="n">
        <v>25632.43</v>
      </c>
      <c r="F189" s="50" t="n">
        <v>28855.3</v>
      </c>
      <c r="G189" s="47" t="s">
        <v>281</v>
      </c>
      <c r="H189" s="52" t="n">
        <f aca="false">(1630*1000/50)/1.2</f>
        <v>27166.6666666667</v>
      </c>
      <c r="I189" s="53" t="n">
        <f aca="false">D189*H189</f>
        <v>13583.3333333333</v>
      </c>
      <c r="J189" s="47" t="s">
        <v>58</v>
      </c>
      <c r="K189" s="52" t="n">
        <v>30052.39</v>
      </c>
      <c r="L189" s="69" t="n">
        <f aca="false">D189*K189</f>
        <v>15026.195</v>
      </c>
      <c r="M189" s="53" t="s">
        <v>29</v>
      </c>
      <c r="N189" s="52" t="n">
        <v>29361.09</v>
      </c>
      <c r="O189" s="53" t="n">
        <f aca="false">D189*N189</f>
        <v>14680.545</v>
      </c>
      <c r="P189" s="54" t="n">
        <f aca="false">AVERAGE(H189,K189,N189)</f>
        <v>28860.0488888889</v>
      </c>
      <c r="Q189" s="55" t="n">
        <f aca="false">F189*100/P189-100</f>
        <v>-0.0164548885803129</v>
      </c>
      <c r="R189" s="54" t="n">
        <f aca="false">D189*F189</f>
        <v>14427.65</v>
      </c>
      <c r="S189" s="56"/>
      <c r="U189" s="57" t="n">
        <f aca="false">ROUND(H189*100/P189-100,0)</f>
        <v>-6</v>
      </c>
      <c r="V189" s="57" t="n">
        <f aca="false">ROUND(K189*100/P189-100,0)</f>
        <v>4</v>
      </c>
      <c r="W189" s="57" t="n">
        <f aca="false">ROUND(N189*100/P189-100,0)</f>
        <v>2</v>
      </c>
    </row>
    <row r="190" s="43" customFormat="true" ht="73.5" hidden="false" customHeight="true" outlineLevel="0" collapsed="false">
      <c r="A190" s="45" t="n">
        <v>186</v>
      </c>
      <c r="B190" s="46" t="s">
        <v>282</v>
      </c>
      <c r="C190" s="47" t="s">
        <v>25</v>
      </c>
      <c r="D190" s="48" t="n">
        <v>10</v>
      </c>
      <c r="E190" s="49" t="n">
        <v>114.38</v>
      </c>
      <c r="F190" s="50" t="n">
        <v>154.38</v>
      </c>
      <c r="G190" s="47" t="s">
        <v>27</v>
      </c>
      <c r="H190" s="52" t="n">
        <f aca="false">159.09/1.2</f>
        <v>132.575</v>
      </c>
      <c r="I190" s="53" t="n">
        <f aca="false">D190*H190</f>
        <v>1325.75</v>
      </c>
      <c r="J190" s="53" t="s">
        <v>28</v>
      </c>
      <c r="K190" s="52" t="n">
        <v>173.53</v>
      </c>
      <c r="L190" s="53" t="n">
        <f aca="false">D190*K190</f>
        <v>1735.3</v>
      </c>
      <c r="M190" s="53" t="s">
        <v>29</v>
      </c>
      <c r="N190" s="52" t="n">
        <v>159.82</v>
      </c>
      <c r="O190" s="53" t="n">
        <f aca="false">D190*N190</f>
        <v>1598.2</v>
      </c>
      <c r="P190" s="54" t="n">
        <f aca="false">AVERAGE(H190,K190,N190)</f>
        <v>155.308333333333</v>
      </c>
      <c r="Q190" s="55" t="n">
        <f aca="false">F190*100/P190-100</f>
        <v>-0.597735687074106</v>
      </c>
      <c r="R190" s="54" t="n">
        <f aca="false">D190*F190</f>
        <v>1543.8</v>
      </c>
      <c r="S190" s="56"/>
      <c r="U190" s="57" t="n">
        <f aca="false">ROUND(H190*100/P190-100,0)</f>
        <v>-15</v>
      </c>
      <c r="V190" s="57" t="n">
        <f aca="false">ROUND(K190*100/P190-100,0)</f>
        <v>12</v>
      </c>
      <c r="W190" s="57" t="n">
        <f aca="false">ROUND(N190*100/P190-100,0)</f>
        <v>3</v>
      </c>
    </row>
    <row r="191" s="43" customFormat="true" ht="73.5" hidden="false" customHeight="true" outlineLevel="0" collapsed="false">
      <c r="A191" s="45" t="n">
        <v>187</v>
      </c>
      <c r="B191" s="46" t="s">
        <v>283</v>
      </c>
      <c r="C191" s="47" t="s">
        <v>25</v>
      </c>
      <c r="D191" s="48" t="n">
        <v>5</v>
      </c>
      <c r="E191" s="49" t="n">
        <v>22.12</v>
      </c>
      <c r="F191" s="50" t="n">
        <v>38.66</v>
      </c>
      <c r="G191" s="47" t="s">
        <v>27</v>
      </c>
      <c r="H191" s="52" t="n">
        <f aca="false">41.96/1.2</f>
        <v>34.9666666666667</v>
      </c>
      <c r="I191" s="53" t="n">
        <f aca="false">D191*H191</f>
        <v>174.833333333333</v>
      </c>
      <c r="J191" s="53" t="s">
        <v>28</v>
      </c>
      <c r="K191" s="52" t="n">
        <v>40.11</v>
      </c>
      <c r="L191" s="53" t="n">
        <f aca="false">D191*K191</f>
        <v>200.55</v>
      </c>
      <c r="M191" s="53" t="s">
        <v>29</v>
      </c>
      <c r="N191" s="52" t="n">
        <v>42.43</v>
      </c>
      <c r="O191" s="53" t="n">
        <f aca="false">D191*N191</f>
        <v>212.15</v>
      </c>
      <c r="P191" s="54" t="n">
        <f aca="false">AVERAGE(H191,K191,N191)</f>
        <v>39.1688888888889</v>
      </c>
      <c r="Q191" s="55" t="n">
        <f aca="false">F191*100/P191-100</f>
        <v>-1.2992170656984</v>
      </c>
      <c r="R191" s="54" t="n">
        <f aca="false">D191*F191</f>
        <v>193.3</v>
      </c>
      <c r="S191" s="56"/>
      <c r="U191" s="57" t="n">
        <f aca="false">ROUND(H191*100/P191-100,0)</f>
        <v>-11</v>
      </c>
      <c r="V191" s="57" t="n">
        <f aca="false">ROUND(K191*100/P191-100,0)</f>
        <v>2</v>
      </c>
      <c r="W191" s="57" t="n">
        <f aca="false">ROUND(N191*100/P191-100,0)</f>
        <v>8</v>
      </c>
    </row>
    <row r="192" s="43" customFormat="true" ht="73.5" hidden="false" customHeight="true" outlineLevel="0" collapsed="false">
      <c r="A192" s="45" t="n">
        <v>188</v>
      </c>
      <c r="B192" s="46" t="s">
        <v>284</v>
      </c>
      <c r="C192" s="47" t="s">
        <v>25</v>
      </c>
      <c r="D192" s="48" t="n">
        <v>51</v>
      </c>
      <c r="E192" s="49" t="n">
        <v>25.74</v>
      </c>
      <c r="F192" s="50" t="n">
        <v>37.02</v>
      </c>
      <c r="G192" s="47" t="s">
        <v>27</v>
      </c>
      <c r="H192" s="52" t="n">
        <f aca="false">42.95/1.2</f>
        <v>35.7916666666667</v>
      </c>
      <c r="I192" s="53" t="n">
        <f aca="false">D192*H192</f>
        <v>1825.375</v>
      </c>
      <c r="J192" s="53" t="s">
        <v>28</v>
      </c>
      <c r="K192" s="52" t="n">
        <v>42.57</v>
      </c>
      <c r="L192" s="53" t="n">
        <f aca="false">D192*K192</f>
        <v>2171.07</v>
      </c>
      <c r="M192" s="53" t="s">
        <v>29</v>
      </c>
      <c r="N192" s="52" t="n">
        <v>34.21</v>
      </c>
      <c r="O192" s="53" t="n">
        <f aca="false">D192*N192</f>
        <v>1744.71</v>
      </c>
      <c r="P192" s="54" t="n">
        <f aca="false">AVERAGE(H192,K192,N192)</f>
        <v>37.5238888888889</v>
      </c>
      <c r="Q192" s="55" t="n">
        <f aca="false">F192*100/P192-100</f>
        <v>-1.34284825962719</v>
      </c>
      <c r="R192" s="54" t="n">
        <f aca="false">D192*F192</f>
        <v>1888.02</v>
      </c>
      <c r="S192" s="56"/>
      <c r="U192" s="57" t="n">
        <f aca="false">ROUND(H192*100/P192-100,0)</f>
        <v>-5</v>
      </c>
      <c r="V192" s="57" t="n">
        <f aca="false">ROUND(K192*100/P192-100,0)</f>
        <v>13</v>
      </c>
      <c r="W192" s="57" t="n">
        <f aca="false">ROUND(N192*100/P192-100,0)</f>
        <v>-9</v>
      </c>
    </row>
    <row r="193" s="43" customFormat="true" ht="73.5" hidden="false" customHeight="true" outlineLevel="0" collapsed="false">
      <c r="A193" s="45" t="n">
        <v>189</v>
      </c>
      <c r="B193" s="46" t="s">
        <v>285</v>
      </c>
      <c r="C193" s="47" t="s">
        <v>25</v>
      </c>
      <c r="D193" s="48" t="n">
        <v>65</v>
      </c>
      <c r="E193" s="49" t="n">
        <v>113.63</v>
      </c>
      <c r="F193" s="50" t="n">
        <v>128.98</v>
      </c>
      <c r="G193" s="47" t="s">
        <v>27</v>
      </c>
      <c r="H193" s="52" t="n">
        <f aca="false">152.58/1.2</f>
        <v>127.15</v>
      </c>
      <c r="I193" s="53" t="n">
        <f aca="false">D193*H193</f>
        <v>8264.75</v>
      </c>
      <c r="J193" s="53" t="s">
        <v>28</v>
      </c>
      <c r="K193" s="52" t="n">
        <v>124.64</v>
      </c>
      <c r="L193" s="53" t="n">
        <f aca="false">D193*K193</f>
        <v>8101.6</v>
      </c>
      <c r="M193" s="53" t="s">
        <v>29</v>
      </c>
      <c r="N193" s="52" t="n">
        <v>140.51</v>
      </c>
      <c r="O193" s="53" t="n">
        <f aca="false">D193*N193</f>
        <v>9133.15</v>
      </c>
      <c r="P193" s="54" t="n">
        <f aca="false">AVERAGE(H193,K193,N193)</f>
        <v>130.766666666667</v>
      </c>
      <c r="Q193" s="55" t="n">
        <f aca="false">F193*100/P193-100</f>
        <v>-1.36630130002551</v>
      </c>
      <c r="R193" s="54" t="n">
        <f aca="false">D193*F193</f>
        <v>8383.7</v>
      </c>
      <c r="S193" s="56"/>
      <c r="U193" s="57" t="n">
        <f aca="false">ROUND(H193*100/P193-100,0)</f>
        <v>-3</v>
      </c>
      <c r="V193" s="57" t="n">
        <f aca="false">ROUND(K193*100/P193-100,0)</f>
        <v>-5</v>
      </c>
      <c r="W193" s="57" t="n">
        <f aca="false">ROUND(N193*100/P193-100,0)</f>
        <v>7</v>
      </c>
    </row>
    <row r="194" s="43" customFormat="true" ht="73.5" hidden="false" customHeight="true" outlineLevel="0" collapsed="false">
      <c r="A194" s="45" t="n">
        <v>190</v>
      </c>
      <c r="B194" s="46" t="s">
        <v>286</v>
      </c>
      <c r="C194" s="47" t="s">
        <v>25</v>
      </c>
      <c r="D194" s="48" t="n">
        <v>17</v>
      </c>
      <c r="E194" s="49" t="n">
        <v>815.94</v>
      </c>
      <c r="F194" s="50" t="n">
        <v>825.64</v>
      </c>
      <c r="G194" s="47" t="s">
        <v>27</v>
      </c>
      <c r="H194" s="52" t="n">
        <f aca="false">964.79/1.2</f>
        <v>803.991666666667</v>
      </c>
      <c r="I194" s="53" t="n">
        <f aca="false">D194*H194</f>
        <v>13667.8583333333</v>
      </c>
      <c r="J194" s="53" t="s">
        <v>28</v>
      </c>
      <c r="K194" s="52" t="n">
        <v>800.97</v>
      </c>
      <c r="L194" s="53" t="n">
        <f aca="false">D194*K194</f>
        <v>13616.49</v>
      </c>
      <c r="M194" s="53" t="s">
        <v>29</v>
      </c>
      <c r="N194" s="52" t="n">
        <v>877.17</v>
      </c>
      <c r="O194" s="53" t="n">
        <f aca="false">D194*N194</f>
        <v>14911.89</v>
      </c>
      <c r="P194" s="54" t="n">
        <f aca="false">AVERAGE(H194,K194,N194)</f>
        <v>827.377222222222</v>
      </c>
      <c r="Q194" s="55" t="n">
        <f aca="false">F194*100/P194-100</f>
        <v>-0.209967373474015</v>
      </c>
      <c r="R194" s="54" t="n">
        <f aca="false">D194*F194</f>
        <v>14035.88</v>
      </c>
      <c r="S194" s="56"/>
      <c r="U194" s="57" t="n">
        <f aca="false">ROUND(H194*100/P194-100,0)</f>
        <v>-3</v>
      </c>
      <c r="V194" s="57" t="n">
        <f aca="false">ROUND(K194*100/P194-100,0)</f>
        <v>-3</v>
      </c>
      <c r="W194" s="57" t="n">
        <f aca="false">ROUND(N194*100/P194-100,0)</f>
        <v>6</v>
      </c>
    </row>
    <row r="195" s="43" customFormat="true" ht="73.5" hidden="false" customHeight="true" outlineLevel="0" collapsed="false">
      <c r="A195" s="45" t="n">
        <v>191</v>
      </c>
      <c r="B195" s="46" t="s">
        <v>287</v>
      </c>
      <c r="C195" s="47" t="s">
        <v>25</v>
      </c>
      <c r="D195" s="48" t="n">
        <v>1</v>
      </c>
      <c r="E195" s="49" t="n">
        <v>1346.39</v>
      </c>
      <c r="F195" s="50" t="n">
        <v>1705.34</v>
      </c>
      <c r="G195" s="47" t="s">
        <v>27</v>
      </c>
      <c r="H195" s="52" t="n">
        <f aca="false">1922.48/1.2</f>
        <v>1602.06666666667</v>
      </c>
      <c r="I195" s="53" t="n">
        <f aca="false">D195*H195</f>
        <v>1602.06666666667</v>
      </c>
      <c r="J195" s="53" t="s">
        <v>28</v>
      </c>
      <c r="K195" s="52" t="n">
        <v>1722.42</v>
      </c>
      <c r="L195" s="53" t="n">
        <f aca="false">D195*K195</f>
        <v>1722.42</v>
      </c>
      <c r="M195" s="53" t="s">
        <v>29</v>
      </c>
      <c r="N195" s="52" t="n">
        <v>1806.95</v>
      </c>
      <c r="O195" s="53" t="n">
        <f aca="false">D195*N195</f>
        <v>1806.95</v>
      </c>
      <c r="P195" s="54" t="n">
        <f aca="false">AVERAGE(H195,K195,N195)</f>
        <v>1710.47888888889</v>
      </c>
      <c r="Q195" s="55" t="n">
        <f aca="false">F195*100/P195-100</f>
        <v>-0.300435680455962</v>
      </c>
      <c r="R195" s="54" t="n">
        <f aca="false">D195*F195</f>
        <v>1705.34</v>
      </c>
      <c r="S195" s="56"/>
      <c r="U195" s="57" t="n">
        <f aca="false">ROUND(H195*100/P195-100,0)</f>
        <v>-6</v>
      </c>
      <c r="V195" s="57" t="n">
        <f aca="false">ROUND(K195*100/P195-100,0)</f>
        <v>1</v>
      </c>
      <c r="W195" s="57" t="n">
        <f aca="false">ROUND(N195*100/P195-100,0)</f>
        <v>6</v>
      </c>
    </row>
    <row r="196" s="43" customFormat="true" ht="73.5" hidden="false" customHeight="true" outlineLevel="0" collapsed="false">
      <c r="A196" s="45" t="n">
        <v>192</v>
      </c>
      <c r="B196" s="46" t="s">
        <v>288</v>
      </c>
      <c r="C196" s="47" t="s">
        <v>25</v>
      </c>
      <c r="D196" s="48" t="n">
        <v>1</v>
      </c>
      <c r="E196" s="49" t="n">
        <v>229.17</v>
      </c>
      <c r="F196" s="50" t="n">
        <v>246.37</v>
      </c>
      <c r="G196" s="47" t="s">
        <v>27</v>
      </c>
      <c r="H196" s="52" t="n">
        <f aca="false">272.92/1.2</f>
        <v>227.433333333333</v>
      </c>
      <c r="I196" s="53" t="n">
        <f aca="false">D196*H196</f>
        <v>227.433333333333</v>
      </c>
      <c r="J196" s="53" t="s">
        <v>28</v>
      </c>
      <c r="K196" s="52" t="n">
        <v>218.37</v>
      </c>
      <c r="L196" s="53" t="n">
        <f aca="false">D196*K196</f>
        <v>218.37</v>
      </c>
      <c r="M196" s="53" t="s">
        <v>29</v>
      </c>
      <c r="N196" s="52" t="n">
        <v>299.05</v>
      </c>
      <c r="O196" s="53" t="n">
        <f aca="false">D196*N196</f>
        <v>299.05</v>
      </c>
      <c r="P196" s="54" t="n">
        <f aca="false">AVERAGE(H196,K196,N196)</f>
        <v>248.284444444444</v>
      </c>
      <c r="Q196" s="55" t="n">
        <f aca="false">F196*100/P196-100</f>
        <v>-0.771069024774462</v>
      </c>
      <c r="R196" s="54" t="n">
        <f aca="false">D196*F196</f>
        <v>246.37</v>
      </c>
      <c r="S196" s="56"/>
      <c r="U196" s="57" t="n">
        <f aca="false">ROUND(H196*100/P196-100,0)</f>
        <v>-8</v>
      </c>
      <c r="V196" s="57" t="n">
        <f aca="false">ROUND(K196*100/P196-100,0)</f>
        <v>-12</v>
      </c>
      <c r="W196" s="57" t="n">
        <f aca="false">ROUND(N196*100/P196-100,0)</f>
        <v>20</v>
      </c>
    </row>
    <row r="197" s="43" customFormat="true" ht="73.5" hidden="false" customHeight="true" outlineLevel="0" collapsed="false">
      <c r="A197" s="45" t="n">
        <v>193</v>
      </c>
      <c r="B197" s="46" t="s">
        <v>289</v>
      </c>
      <c r="C197" s="47" t="s">
        <v>25</v>
      </c>
      <c r="D197" s="48" t="n">
        <v>36</v>
      </c>
      <c r="E197" s="49" t="n">
        <v>35.54</v>
      </c>
      <c r="F197" s="50" t="n">
        <v>39.04</v>
      </c>
      <c r="G197" s="47" t="s">
        <v>27</v>
      </c>
      <c r="H197" s="52" t="n">
        <f aca="false">42.98/1.2</f>
        <v>35.8166666666667</v>
      </c>
      <c r="I197" s="53" t="n">
        <f aca="false">D197*H197</f>
        <v>1289.4</v>
      </c>
      <c r="J197" s="53" t="s">
        <v>28</v>
      </c>
      <c r="K197" s="52" t="n">
        <v>44.2</v>
      </c>
      <c r="L197" s="53" t="n">
        <f aca="false">D197*K197</f>
        <v>1591.2</v>
      </c>
      <c r="M197" s="53" t="s">
        <v>29</v>
      </c>
      <c r="N197" s="52" t="n">
        <v>38.46</v>
      </c>
      <c r="O197" s="53" t="n">
        <f aca="false">D197*N197</f>
        <v>1384.56</v>
      </c>
      <c r="P197" s="54" t="n">
        <f aca="false">AVERAGE(H197,K197,N197)</f>
        <v>39.4922222222222</v>
      </c>
      <c r="Q197" s="55" t="n">
        <f aca="false">F197*100/P197-100</f>
        <v>-1.14509186056326</v>
      </c>
      <c r="R197" s="54" t="n">
        <f aca="false">D197*F197</f>
        <v>1405.44</v>
      </c>
      <c r="S197" s="56"/>
      <c r="U197" s="57" t="n">
        <f aca="false">ROUND(H197*100/P197-100,0)</f>
        <v>-9</v>
      </c>
      <c r="V197" s="57" t="n">
        <f aca="false">ROUND(K197*100/P197-100,0)</f>
        <v>12</v>
      </c>
      <c r="W197" s="57" t="n">
        <f aca="false">ROUND(N197*100/P197-100,0)</f>
        <v>-3</v>
      </c>
    </row>
    <row r="198" s="43" customFormat="true" ht="73.5" hidden="false" customHeight="true" outlineLevel="0" collapsed="false">
      <c r="A198" s="45" t="n">
        <v>194</v>
      </c>
      <c r="B198" s="46" t="s">
        <v>290</v>
      </c>
      <c r="C198" s="47" t="s">
        <v>45</v>
      </c>
      <c r="D198" s="48" t="n">
        <v>8</v>
      </c>
      <c r="E198" s="49" t="n">
        <v>544.47</v>
      </c>
      <c r="F198" s="50" t="n">
        <v>592.47</v>
      </c>
      <c r="G198" s="47" t="s">
        <v>56</v>
      </c>
      <c r="H198" s="52" t="n">
        <v>597.5</v>
      </c>
      <c r="I198" s="53" t="n">
        <f aca="false">D198*H198</f>
        <v>4780</v>
      </c>
      <c r="J198" s="53" t="s">
        <v>57</v>
      </c>
      <c r="K198" s="52" t="n">
        <v>549.78</v>
      </c>
      <c r="L198" s="53" t="n">
        <f aca="false">D198*K198</f>
        <v>4398.24</v>
      </c>
      <c r="M198" s="47" t="s">
        <v>58</v>
      </c>
      <c r="N198" s="52" t="n">
        <v>634.45</v>
      </c>
      <c r="O198" s="53" t="n">
        <f aca="false">D198*N198</f>
        <v>5075.6</v>
      </c>
      <c r="P198" s="54" t="n">
        <f aca="false">AVERAGE(H198,K198,N198)</f>
        <v>593.91</v>
      </c>
      <c r="Q198" s="55" t="n">
        <f aca="false">F198*100/P198-100</f>
        <v>-0.242460978936194</v>
      </c>
      <c r="R198" s="54" t="n">
        <f aca="false">D198*F198</f>
        <v>4739.76</v>
      </c>
      <c r="S198" s="56"/>
      <c r="U198" s="57" t="n">
        <f aca="false">ROUND(H198*100/P198-100,0)</f>
        <v>1</v>
      </c>
      <c r="V198" s="57" t="n">
        <f aca="false">ROUND(K198*100/P198-100,0)</f>
        <v>-7</v>
      </c>
      <c r="W198" s="57" t="n">
        <f aca="false">ROUND(N198*100/P198-100,0)</f>
        <v>7</v>
      </c>
    </row>
    <row r="199" s="43" customFormat="true" ht="73.5" hidden="false" customHeight="true" outlineLevel="0" collapsed="false">
      <c r="A199" s="45" t="n">
        <v>195</v>
      </c>
      <c r="B199" s="46" t="s">
        <v>291</v>
      </c>
      <c r="C199" s="47" t="s">
        <v>292</v>
      </c>
      <c r="D199" s="48" t="n">
        <v>532</v>
      </c>
      <c r="E199" s="49" t="n">
        <v>43.24</v>
      </c>
      <c r="F199" s="50" t="n">
        <v>53.08</v>
      </c>
      <c r="G199" s="51" t="s">
        <v>90</v>
      </c>
      <c r="H199" s="52" t="n">
        <f aca="false">61.72/1.2</f>
        <v>51.4333333333333</v>
      </c>
      <c r="I199" s="53" t="n">
        <f aca="false">D199*H199</f>
        <v>27362.5333333333</v>
      </c>
      <c r="J199" s="51" t="s">
        <v>46</v>
      </c>
      <c r="K199" s="52" t="n">
        <v>55.09</v>
      </c>
      <c r="L199" s="53" t="n">
        <f aca="false">D199*K199</f>
        <v>29307.88</v>
      </c>
      <c r="M199" s="47" t="s">
        <v>58</v>
      </c>
      <c r="N199" s="52" t="n">
        <v>53.87</v>
      </c>
      <c r="O199" s="53" t="n">
        <f aca="false">D199*N199</f>
        <v>28658.84</v>
      </c>
      <c r="P199" s="54" t="n">
        <f aca="false">AVERAGE(H199,K199,N199)</f>
        <v>53.4644444444444</v>
      </c>
      <c r="Q199" s="55" t="n">
        <f aca="false">F199*100/P199-100</f>
        <v>-0.71906563032546</v>
      </c>
      <c r="R199" s="54" t="n">
        <f aca="false">D199*F199</f>
        <v>28238.56</v>
      </c>
      <c r="S199" s="56"/>
      <c r="U199" s="57" t="n">
        <f aca="false">ROUND(H199*100/P199-100,0)</f>
        <v>-4</v>
      </c>
      <c r="V199" s="57" t="n">
        <f aca="false">ROUND(K199*100/P199-100,0)</f>
        <v>3</v>
      </c>
      <c r="W199" s="57" t="n">
        <f aca="false">ROUND(N199*100/P199-100,0)</f>
        <v>1</v>
      </c>
    </row>
    <row r="200" s="43" customFormat="true" ht="73.5" hidden="false" customHeight="true" outlineLevel="0" collapsed="false">
      <c r="A200" s="45" t="n">
        <v>196</v>
      </c>
      <c r="B200" s="46" t="s">
        <v>293</v>
      </c>
      <c r="C200" s="47" t="s">
        <v>25</v>
      </c>
      <c r="D200" s="48" t="n">
        <v>8</v>
      </c>
      <c r="E200" s="49" t="n">
        <v>357</v>
      </c>
      <c r="F200" s="50" t="n">
        <v>394.7</v>
      </c>
      <c r="G200" s="47" t="s">
        <v>294</v>
      </c>
      <c r="H200" s="52" t="n">
        <v>357.28</v>
      </c>
      <c r="I200" s="53" t="n">
        <f aca="false">D200*H200</f>
        <v>2858.24</v>
      </c>
      <c r="J200" s="47" t="s">
        <v>295</v>
      </c>
      <c r="K200" s="52" t="n">
        <v>380</v>
      </c>
      <c r="L200" s="53" t="n">
        <f aca="false">D200*K200</f>
        <v>3040</v>
      </c>
      <c r="M200" s="53" t="s">
        <v>41</v>
      </c>
      <c r="N200" s="52" t="n">
        <v>450.14</v>
      </c>
      <c r="O200" s="53" t="n">
        <f aca="false">D200*N200</f>
        <v>3601.12</v>
      </c>
      <c r="P200" s="54" t="n">
        <f aca="false">AVERAGE(H200,K200,N200)</f>
        <v>395.806666666667</v>
      </c>
      <c r="Q200" s="55" t="n">
        <f aca="false">F200*100/P200-100</f>
        <v>-0.279597783429622</v>
      </c>
      <c r="R200" s="54" t="n">
        <f aca="false">D200*F200</f>
        <v>3157.6</v>
      </c>
      <c r="S200" s="56"/>
      <c r="U200" s="57" t="n">
        <f aca="false">ROUND(H200*100/P200-100,0)</f>
        <v>-10</v>
      </c>
      <c r="V200" s="57" t="n">
        <f aca="false">ROUND(K200*100/P200-100,0)</f>
        <v>-4</v>
      </c>
      <c r="W200" s="57" t="n">
        <f aca="false">ROUND(N200*100/P200-100,0)</f>
        <v>14</v>
      </c>
    </row>
    <row r="201" s="43" customFormat="true" ht="73.5" hidden="false" customHeight="true" outlineLevel="0" collapsed="false">
      <c r="A201" s="45" t="n">
        <v>197</v>
      </c>
      <c r="B201" s="46" t="s">
        <v>296</v>
      </c>
      <c r="C201" s="47" t="s">
        <v>25</v>
      </c>
      <c r="D201" s="48" t="n">
        <v>28</v>
      </c>
      <c r="E201" s="49" t="s">
        <v>26</v>
      </c>
      <c r="F201" s="50" t="n">
        <v>402.64</v>
      </c>
      <c r="G201" s="47" t="s">
        <v>294</v>
      </c>
      <c r="H201" s="52" t="n">
        <v>395.38</v>
      </c>
      <c r="I201" s="53" t="n">
        <f aca="false">D201*H201</f>
        <v>11070.64</v>
      </c>
      <c r="J201" s="47" t="s">
        <v>295</v>
      </c>
      <c r="K201" s="52" t="n">
        <v>395</v>
      </c>
      <c r="L201" s="53" t="n">
        <f aca="false">D201*K201</f>
        <v>11060</v>
      </c>
      <c r="M201" s="53" t="s">
        <v>41</v>
      </c>
      <c r="N201" s="52" t="n">
        <v>420.11</v>
      </c>
      <c r="O201" s="53" t="n">
        <f aca="false">D201*N201</f>
        <v>11763.08</v>
      </c>
      <c r="P201" s="54" t="n">
        <f aca="false">AVERAGE(H201,K201,N201)</f>
        <v>403.496666666667</v>
      </c>
      <c r="Q201" s="55" t="n">
        <f aca="false">F201*100/P201-100</f>
        <v>-0.212310717147602</v>
      </c>
      <c r="R201" s="54" t="n">
        <f aca="false">D201*F201</f>
        <v>11273.92</v>
      </c>
      <c r="S201" s="56"/>
      <c r="U201" s="57" t="n">
        <f aca="false">ROUND(H201*100/P201-100,0)</f>
        <v>-2</v>
      </c>
      <c r="V201" s="57" t="n">
        <f aca="false">ROUND(K201*100/P201-100,0)</f>
        <v>-2</v>
      </c>
      <c r="W201" s="57" t="n">
        <f aca="false">ROUND(N201*100/P201-100,0)</f>
        <v>4</v>
      </c>
    </row>
    <row r="202" s="43" customFormat="true" ht="73.5" hidden="false" customHeight="true" outlineLevel="0" collapsed="false">
      <c r="A202" s="45" t="n">
        <v>198</v>
      </c>
      <c r="B202" s="46" t="s">
        <v>297</v>
      </c>
      <c r="C202" s="47" t="s">
        <v>25</v>
      </c>
      <c r="D202" s="48" t="n">
        <v>2</v>
      </c>
      <c r="E202" s="49" t="n">
        <v>961.21</v>
      </c>
      <c r="F202" s="50" t="n">
        <v>990.1</v>
      </c>
      <c r="G202" s="47" t="s">
        <v>294</v>
      </c>
      <c r="H202" s="52" t="n">
        <v>984.06</v>
      </c>
      <c r="I202" s="53" t="n">
        <f aca="false">D202*H202</f>
        <v>1968.12</v>
      </c>
      <c r="J202" s="47" t="s">
        <v>295</v>
      </c>
      <c r="K202" s="52" t="n">
        <v>956</v>
      </c>
      <c r="L202" s="53" t="n">
        <f aca="false">D202*K202</f>
        <v>1912</v>
      </c>
      <c r="M202" s="53" t="s">
        <v>41</v>
      </c>
      <c r="N202" s="52" t="n">
        <v>1040.46</v>
      </c>
      <c r="O202" s="53" t="n">
        <f aca="false">D202*N202</f>
        <v>2080.92</v>
      </c>
      <c r="P202" s="54" t="n">
        <f aca="false">AVERAGE(H202,K202,N202)</f>
        <v>993.506666666667</v>
      </c>
      <c r="Q202" s="55" t="n">
        <f aca="false">F202*100/P202-100</f>
        <v>-0.342893186423851</v>
      </c>
      <c r="R202" s="54" t="n">
        <f aca="false">D202*F202</f>
        <v>1980.2</v>
      </c>
      <c r="S202" s="56"/>
      <c r="U202" s="57" t="n">
        <f aca="false">ROUND(H202*100/P202-100,0)</f>
        <v>-1</v>
      </c>
      <c r="V202" s="57" t="n">
        <f aca="false">ROUND(K202*100/P202-100,0)</f>
        <v>-4</v>
      </c>
      <c r="W202" s="57" t="n">
        <f aca="false">ROUND(N202*100/P202-100,0)</f>
        <v>5</v>
      </c>
    </row>
    <row r="203" s="43" customFormat="true" ht="73.5" hidden="false" customHeight="true" outlineLevel="0" collapsed="false">
      <c r="A203" s="45" t="n">
        <v>199</v>
      </c>
      <c r="B203" s="46" t="s">
        <v>298</v>
      </c>
      <c r="C203" s="47" t="s">
        <v>25</v>
      </c>
      <c r="D203" s="48" t="n">
        <v>8</v>
      </c>
      <c r="E203" s="49" t="n">
        <v>462.54</v>
      </c>
      <c r="F203" s="50" t="n">
        <v>487.56</v>
      </c>
      <c r="G203" s="47" t="s">
        <v>294</v>
      </c>
      <c r="H203" s="52" t="n">
        <v>465.05</v>
      </c>
      <c r="I203" s="53" t="n">
        <f aca="false">D203*H203</f>
        <v>3720.4</v>
      </c>
      <c r="J203" s="47" t="s">
        <v>295</v>
      </c>
      <c r="K203" s="52" t="n">
        <v>482</v>
      </c>
      <c r="L203" s="53" t="n">
        <f aca="false">D203*K203</f>
        <v>3856</v>
      </c>
      <c r="M203" s="53" t="s">
        <v>41</v>
      </c>
      <c r="N203" s="52" t="n">
        <v>521.12</v>
      </c>
      <c r="O203" s="53" t="n">
        <f aca="false">D203*N203</f>
        <v>4168.96</v>
      </c>
      <c r="P203" s="54" t="n">
        <f aca="false">AVERAGE(H203,K203,N203)</f>
        <v>489.39</v>
      </c>
      <c r="Q203" s="55" t="n">
        <f aca="false">F203*100/P203-100</f>
        <v>-0.373934898547176</v>
      </c>
      <c r="R203" s="54" t="n">
        <f aca="false">D203*F203</f>
        <v>3900.48</v>
      </c>
      <c r="S203" s="56"/>
      <c r="U203" s="57" t="n">
        <f aca="false">ROUND(H203*100/P203-100,0)</f>
        <v>-5</v>
      </c>
      <c r="V203" s="57" t="n">
        <f aca="false">ROUND(K203*100/P203-100,0)</f>
        <v>-2</v>
      </c>
      <c r="W203" s="57" t="n">
        <f aca="false">ROUND(N203*100/P203-100,0)</f>
        <v>6</v>
      </c>
    </row>
    <row r="204" s="43" customFormat="true" ht="73.5" hidden="false" customHeight="true" outlineLevel="0" collapsed="false">
      <c r="A204" s="45" t="n">
        <v>200</v>
      </c>
      <c r="B204" s="46" t="s">
        <v>299</v>
      </c>
      <c r="C204" s="47" t="s">
        <v>25</v>
      </c>
      <c r="D204" s="48" t="n">
        <v>10</v>
      </c>
      <c r="E204" s="49" t="n">
        <v>607.75</v>
      </c>
      <c r="F204" s="50" t="n">
        <v>578.8</v>
      </c>
      <c r="G204" s="47" t="s">
        <v>294</v>
      </c>
      <c r="H204" s="52" t="n">
        <v>557.81</v>
      </c>
      <c r="I204" s="53" t="n">
        <f aca="false">D204*H204</f>
        <v>5578.1</v>
      </c>
      <c r="J204" s="47" t="s">
        <v>295</v>
      </c>
      <c r="K204" s="52" t="n">
        <v>560</v>
      </c>
      <c r="L204" s="53" t="n">
        <f aca="false">D204*K204</f>
        <v>5600</v>
      </c>
      <c r="M204" s="53" t="s">
        <v>41</v>
      </c>
      <c r="N204" s="52" t="n">
        <v>620.64</v>
      </c>
      <c r="O204" s="53" t="n">
        <f aca="false">D204*N204</f>
        <v>6206.4</v>
      </c>
      <c r="P204" s="54" t="n">
        <f aca="false">AVERAGE(H204,K204,N204)</f>
        <v>579.483333333333</v>
      </c>
      <c r="Q204" s="55" t="n">
        <f aca="false">F204*100/P204-100</f>
        <v>-0.117921136644711</v>
      </c>
      <c r="R204" s="54" t="n">
        <f aca="false">D204*F204</f>
        <v>5788</v>
      </c>
      <c r="S204" s="56"/>
      <c r="U204" s="57" t="n">
        <f aca="false">ROUND(H204*100/P204-100,0)</f>
        <v>-4</v>
      </c>
      <c r="V204" s="57" t="n">
        <f aca="false">ROUND(K204*100/P204-100,0)</f>
        <v>-3</v>
      </c>
      <c r="W204" s="57" t="n">
        <f aca="false">ROUND(N204*100/P204-100,0)</f>
        <v>7</v>
      </c>
    </row>
    <row r="205" s="43" customFormat="true" ht="73.5" hidden="false" customHeight="true" outlineLevel="0" collapsed="false">
      <c r="A205" s="45" t="n">
        <v>201</v>
      </c>
      <c r="B205" s="46" t="s">
        <v>300</v>
      </c>
      <c r="C205" s="47" t="s">
        <v>25</v>
      </c>
      <c r="D205" s="48" t="n">
        <v>46</v>
      </c>
      <c r="E205" s="49" t="n">
        <v>767.13</v>
      </c>
      <c r="F205" s="50" t="n">
        <v>841.2</v>
      </c>
      <c r="G205" s="47" t="s">
        <v>294</v>
      </c>
      <c r="H205" s="52" t="n">
        <v>766.01</v>
      </c>
      <c r="I205" s="53" t="n">
        <f aca="false">D205*H205</f>
        <v>35236.46</v>
      </c>
      <c r="J205" s="47" t="s">
        <v>295</v>
      </c>
      <c r="K205" s="52" t="n">
        <v>840</v>
      </c>
      <c r="L205" s="53" t="n">
        <f aca="false">D205*K205</f>
        <v>38640</v>
      </c>
      <c r="M205" s="53" t="s">
        <v>41</v>
      </c>
      <c r="N205" s="52" t="n">
        <v>921.5</v>
      </c>
      <c r="O205" s="53" t="n">
        <f aca="false">D205*N205</f>
        <v>42389</v>
      </c>
      <c r="P205" s="54" t="n">
        <f aca="false">AVERAGE(H205,K205,N205)</f>
        <v>842.503333333333</v>
      </c>
      <c r="Q205" s="55" t="n">
        <f aca="false">F205*100/P205-100</f>
        <v>-0.15469770643837</v>
      </c>
      <c r="R205" s="54" t="n">
        <f aca="false">D205*F205</f>
        <v>38695.2</v>
      </c>
      <c r="S205" s="56"/>
      <c r="U205" s="57" t="n">
        <f aca="false">ROUND(H205*100/P205-100,0)</f>
        <v>-9</v>
      </c>
      <c r="V205" s="57" t="n">
        <f aca="false">ROUND(K205*100/P205-100,0)</f>
        <v>-0</v>
      </c>
      <c r="W205" s="57" t="n">
        <f aca="false">ROUND(N205*100/P205-100,0)</f>
        <v>9</v>
      </c>
    </row>
    <row r="206" s="43" customFormat="true" ht="73.5" hidden="false" customHeight="true" outlineLevel="0" collapsed="false">
      <c r="A206" s="45" t="n">
        <v>202</v>
      </c>
      <c r="B206" s="46" t="s">
        <v>301</v>
      </c>
      <c r="C206" s="47" t="s">
        <v>25</v>
      </c>
      <c r="D206" s="48" t="n">
        <v>24</v>
      </c>
      <c r="E206" s="49" t="n">
        <v>1027.79</v>
      </c>
      <c r="F206" s="50" t="n">
        <v>1017.48</v>
      </c>
      <c r="G206" s="47" t="s">
        <v>294</v>
      </c>
      <c r="H206" s="52" t="n">
        <v>995.81</v>
      </c>
      <c r="I206" s="53" t="n">
        <f aca="false">D206*H206</f>
        <v>23899.44</v>
      </c>
      <c r="J206" s="47" t="s">
        <v>295</v>
      </c>
      <c r="K206" s="52" t="n">
        <v>960</v>
      </c>
      <c r="L206" s="53" t="n">
        <f aca="false">D206*K206</f>
        <v>23040</v>
      </c>
      <c r="M206" s="53" t="s">
        <v>41</v>
      </c>
      <c r="N206" s="52" t="n">
        <v>1102.7</v>
      </c>
      <c r="O206" s="53" t="n">
        <f aca="false">D206*N206</f>
        <v>26464.8</v>
      </c>
      <c r="P206" s="54" t="n">
        <f aca="false">AVERAGE(H206,K206,N206)</f>
        <v>1019.50333333333</v>
      </c>
      <c r="Q206" s="55" t="n">
        <f aca="false">F206*100/P206-100</f>
        <v>-0.198462650113953</v>
      </c>
      <c r="R206" s="54" t="n">
        <f aca="false">D206*F206</f>
        <v>24419.52</v>
      </c>
      <c r="S206" s="56"/>
      <c r="U206" s="57" t="n">
        <f aca="false">ROUND(H206*100/P206-100,0)</f>
        <v>-2</v>
      </c>
      <c r="V206" s="57" t="n">
        <f aca="false">ROUND(K206*100/P206-100,0)</f>
        <v>-6</v>
      </c>
      <c r="W206" s="57" t="n">
        <f aca="false">ROUND(N206*100/P206-100,0)</f>
        <v>8</v>
      </c>
    </row>
    <row r="207" s="43" customFormat="true" ht="73.5" hidden="false" customHeight="true" outlineLevel="0" collapsed="false">
      <c r="A207" s="45" t="n">
        <v>203</v>
      </c>
      <c r="B207" s="46" t="s">
        <v>302</v>
      </c>
      <c r="C207" s="47" t="s">
        <v>25</v>
      </c>
      <c r="D207" s="48" t="n">
        <v>2</v>
      </c>
      <c r="E207" s="49" t="n">
        <v>1904.71</v>
      </c>
      <c r="F207" s="50" t="n">
        <v>1897.42</v>
      </c>
      <c r="G207" s="47" t="s">
        <v>294</v>
      </c>
      <c r="H207" s="52" t="n">
        <v>1850.62</v>
      </c>
      <c r="I207" s="53" t="n">
        <f aca="false">D207*H207</f>
        <v>3701.24</v>
      </c>
      <c r="J207" s="47" t="s">
        <v>295</v>
      </c>
      <c r="K207" s="52" t="n">
        <v>1890</v>
      </c>
      <c r="L207" s="53" t="n">
        <f aca="false">D207*K207</f>
        <v>3780</v>
      </c>
      <c r="M207" s="53" t="s">
        <v>41</v>
      </c>
      <c r="N207" s="52" t="n">
        <v>1954.93</v>
      </c>
      <c r="O207" s="53" t="n">
        <f aca="false">D207*N207</f>
        <v>3909.86</v>
      </c>
      <c r="P207" s="54" t="n">
        <f aca="false">AVERAGE(H207,K207,N207)</f>
        <v>1898.51666666667</v>
      </c>
      <c r="Q207" s="55" t="n">
        <f aca="false">F207*100/P207-100</f>
        <v>-0.057764395010139</v>
      </c>
      <c r="R207" s="54" t="n">
        <f aca="false">D207*F207</f>
        <v>3794.84</v>
      </c>
      <c r="S207" s="56"/>
      <c r="U207" s="57" t="n">
        <f aca="false">ROUND(H207*100/P207-100,0)</f>
        <v>-3</v>
      </c>
      <c r="V207" s="57" t="n">
        <f aca="false">ROUND(K207*100/P207-100,0)</f>
        <v>-0</v>
      </c>
      <c r="W207" s="57" t="n">
        <f aca="false">ROUND(N207*100/P207-100,0)</f>
        <v>3</v>
      </c>
    </row>
    <row r="208" s="43" customFormat="true" ht="73.5" hidden="false" customHeight="true" outlineLevel="0" collapsed="false">
      <c r="A208" s="45" t="n">
        <v>204</v>
      </c>
      <c r="B208" s="46" t="s">
        <v>303</v>
      </c>
      <c r="C208" s="47" t="s">
        <v>25</v>
      </c>
      <c r="D208" s="48" t="n">
        <v>26</v>
      </c>
      <c r="E208" s="49" t="n">
        <v>2401.25</v>
      </c>
      <c r="F208" s="50" t="n">
        <v>2441.24</v>
      </c>
      <c r="G208" s="47" t="s">
        <v>294</v>
      </c>
      <c r="H208" s="52" t="n">
        <v>2411.34</v>
      </c>
      <c r="I208" s="53" t="n">
        <f aca="false">D208*H208</f>
        <v>62694.84</v>
      </c>
      <c r="J208" s="47" t="s">
        <v>295</v>
      </c>
      <c r="K208" s="52" t="n">
        <v>2400</v>
      </c>
      <c r="L208" s="53" t="n">
        <f aca="false">D208*K208</f>
        <v>62400</v>
      </c>
      <c r="M208" s="53" t="s">
        <v>41</v>
      </c>
      <c r="N208" s="52" t="n">
        <v>2515.5</v>
      </c>
      <c r="O208" s="53" t="n">
        <f aca="false">D208*N208</f>
        <v>65403</v>
      </c>
      <c r="P208" s="54" t="n">
        <f aca="false">AVERAGE(H208,K208,N208)</f>
        <v>2442.28</v>
      </c>
      <c r="Q208" s="55" t="n">
        <f aca="false">F208*100/P208-100</f>
        <v>-0.0425831599980597</v>
      </c>
      <c r="R208" s="54" t="n">
        <f aca="false">D208*F208</f>
        <v>63472.24</v>
      </c>
      <c r="S208" s="56"/>
      <c r="U208" s="57" t="n">
        <f aca="false">ROUND(H208*100/P208-100,0)</f>
        <v>-1</v>
      </c>
      <c r="V208" s="57" t="n">
        <f aca="false">ROUND(K208*100/P208-100,0)</f>
        <v>-2</v>
      </c>
      <c r="W208" s="57" t="n">
        <f aca="false">ROUND(N208*100/P208-100,0)</f>
        <v>3</v>
      </c>
    </row>
    <row r="209" s="43" customFormat="true" ht="73.5" hidden="false" customHeight="true" outlineLevel="0" collapsed="false">
      <c r="A209" s="45" t="n">
        <v>205</v>
      </c>
      <c r="B209" s="46" t="s">
        <v>304</v>
      </c>
      <c r="C209" s="47" t="s">
        <v>25</v>
      </c>
      <c r="D209" s="48" t="n">
        <v>24</v>
      </c>
      <c r="E209" s="49" t="n">
        <v>3188.21</v>
      </c>
      <c r="F209" s="50" t="n">
        <v>3222.7</v>
      </c>
      <c r="G209" s="47" t="s">
        <v>294</v>
      </c>
      <c r="H209" s="52" t="n">
        <v>3132.1</v>
      </c>
      <c r="I209" s="53" t="n">
        <f aca="false">D209*H209</f>
        <v>75170.4</v>
      </c>
      <c r="J209" s="47" t="s">
        <v>295</v>
      </c>
      <c r="K209" s="52" t="n">
        <v>3200</v>
      </c>
      <c r="L209" s="53" t="n">
        <f aca="false">D209*K209</f>
        <v>76800</v>
      </c>
      <c r="M209" s="53" t="s">
        <v>41</v>
      </c>
      <c r="N209" s="52" t="n">
        <v>3340.7</v>
      </c>
      <c r="O209" s="53" t="n">
        <f aca="false">D209*N209</f>
        <v>80176.8</v>
      </c>
      <c r="P209" s="54" t="n">
        <f aca="false">AVERAGE(H209,K209,N209)</f>
        <v>3224.26666666667</v>
      </c>
      <c r="Q209" s="55" t="n">
        <f aca="false">F209*100/P209-100</f>
        <v>-0.0485898602266133</v>
      </c>
      <c r="R209" s="54" t="n">
        <f aca="false">D209*F209</f>
        <v>77344.8</v>
      </c>
      <c r="S209" s="56"/>
      <c r="U209" s="57" t="n">
        <f aca="false">ROUND(H209*100/P209-100,0)</f>
        <v>-3</v>
      </c>
      <c r="V209" s="57" t="n">
        <f aca="false">ROUND(K209*100/P209-100,0)</f>
        <v>-1</v>
      </c>
      <c r="W209" s="57" t="n">
        <f aca="false">ROUND(N209*100/P209-100,0)</f>
        <v>4</v>
      </c>
    </row>
    <row r="210" s="43" customFormat="true" ht="73.5" hidden="false" customHeight="true" outlineLevel="0" collapsed="false">
      <c r="A210" s="45" t="n">
        <v>206</v>
      </c>
      <c r="B210" s="46" t="s">
        <v>305</v>
      </c>
      <c r="C210" s="47" t="s">
        <v>25</v>
      </c>
      <c r="D210" s="48" t="n">
        <v>2</v>
      </c>
      <c r="E210" s="49" t="n">
        <v>5065.29</v>
      </c>
      <c r="F210" s="50" t="n">
        <v>5075.3</v>
      </c>
      <c r="G210" s="47" t="s">
        <v>294</v>
      </c>
      <c r="H210" s="52" t="n">
        <v>5058.01</v>
      </c>
      <c r="I210" s="53" t="n">
        <f aca="false">D210*H210</f>
        <v>10116.02</v>
      </c>
      <c r="J210" s="47" t="s">
        <v>295</v>
      </c>
      <c r="K210" s="52" t="n">
        <v>5070</v>
      </c>
      <c r="L210" s="53" t="n">
        <f aca="false">D210*K210</f>
        <v>10140</v>
      </c>
      <c r="M210" s="53" t="s">
        <v>41</v>
      </c>
      <c r="N210" s="52" t="n">
        <v>5108.77</v>
      </c>
      <c r="O210" s="53" t="n">
        <f aca="false">D210*N210</f>
        <v>10217.54</v>
      </c>
      <c r="P210" s="54" t="n">
        <f aca="false">AVERAGE(H210,K210,N210)</f>
        <v>5078.92666666667</v>
      </c>
      <c r="Q210" s="55" t="n">
        <f aca="false">F210*100/P210-100</f>
        <v>-0.0714061632444754</v>
      </c>
      <c r="R210" s="54" t="n">
        <f aca="false">D210*F210</f>
        <v>10150.6</v>
      </c>
      <c r="S210" s="56"/>
      <c r="U210" s="57" t="n">
        <f aca="false">ROUND(H210*100/P210-100,0)</f>
        <v>-0</v>
      </c>
      <c r="V210" s="57" t="n">
        <f aca="false">ROUND(K210*100/P210-100,0)</f>
        <v>-0</v>
      </c>
      <c r="W210" s="57" t="n">
        <f aca="false">ROUND(N210*100/P210-100,0)</f>
        <v>1</v>
      </c>
    </row>
    <row r="211" s="43" customFormat="true" ht="73.5" hidden="false" customHeight="true" outlineLevel="0" collapsed="false">
      <c r="A211" s="45"/>
      <c r="B211" s="80" t="s">
        <v>461</v>
      </c>
      <c r="C211" s="47" t="s">
        <v>25</v>
      </c>
      <c r="D211" s="48" t="s">
        <v>462</v>
      </c>
      <c r="E211" s="49" t="s">
        <v>26</v>
      </c>
      <c r="F211" s="81" t="s">
        <v>463</v>
      </c>
      <c r="G211" s="47"/>
      <c r="H211" s="52"/>
      <c r="I211" s="53" t="n">
        <f aca="false">D211*H211</f>
        <v>0</v>
      </c>
      <c r="J211" s="47"/>
      <c r="K211" s="52"/>
      <c r="L211" s="53" t="n">
        <f aca="false">D211*K211</f>
        <v>0</v>
      </c>
      <c r="M211" s="53"/>
      <c r="N211" s="52"/>
      <c r="O211" s="53" t="n">
        <f aca="false">D211*N211</f>
        <v>0</v>
      </c>
      <c r="P211" s="54" t="e">
        <f aca="false">AVERAGE(H211,K211,N211)</f>
        <v>#DIV/0!</v>
      </c>
      <c r="Q211" s="55" t="e">
        <f aca="false">F211*100/P211-100</f>
        <v>#VALUE!</v>
      </c>
      <c r="R211" s="54" t="e">
        <f aca="false">D211*F211</f>
        <v>#VALUE!</v>
      </c>
      <c r="S211" s="56"/>
      <c r="U211" s="57" t="e">
        <f aca="false">ROUND(H211*100/P211-100,0)</f>
        <v>#DIV/0!</v>
      </c>
      <c r="V211" s="57" t="e">
        <f aca="false">ROUND(K211*100/P211-100,0)</f>
        <v>#DIV/0!</v>
      </c>
      <c r="W211" s="57" t="e">
        <f aca="false">ROUND(N211*100/P211-100,0)</f>
        <v>#DIV/0!</v>
      </c>
    </row>
    <row r="212" s="43" customFormat="true" ht="73.5" hidden="false" customHeight="true" outlineLevel="0" collapsed="false">
      <c r="A212" s="45"/>
      <c r="B212" s="80" t="s">
        <v>464</v>
      </c>
      <c r="C212" s="47" t="s">
        <v>25</v>
      </c>
      <c r="D212" s="48" t="s">
        <v>465</v>
      </c>
      <c r="E212" s="49" t="s">
        <v>26</v>
      </c>
      <c r="F212" s="81" t="s">
        <v>463</v>
      </c>
      <c r="G212" s="47"/>
      <c r="H212" s="52"/>
      <c r="I212" s="53" t="n">
        <f aca="false">D212*H212</f>
        <v>0</v>
      </c>
      <c r="J212" s="47"/>
      <c r="K212" s="52"/>
      <c r="L212" s="53" t="n">
        <f aca="false">D212*K212</f>
        <v>0</v>
      </c>
      <c r="M212" s="53"/>
      <c r="N212" s="52"/>
      <c r="O212" s="53" t="n">
        <f aca="false">D212*N212</f>
        <v>0</v>
      </c>
      <c r="P212" s="54" t="e">
        <f aca="false">AVERAGE(H212,K212,N212)</f>
        <v>#DIV/0!</v>
      </c>
      <c r="Q212" s="55" t="e">
        <f aca="false">F212*100/P212-100</f>
        <v>#VALUE!</v>
      </c>
      <c r="R212" s="54" t="e">
        <f aca="false">D212*F212</f>
        <v>#VALUE!</v>
      </c>
      <c r="S212" s="56"/>
      <c r="U212" s="57" t="e">
        <f aca="false">ROUND(H212*100/P212-100,0)</f>
        <v>#DIV/0!</v>
      </c>
      <c r="V212" s="57" t="e">
        <f aca="false">ROUND(K212*100/P212-100,0)</f>
        <v>#DIV/0!</v>
      </c>
      <c r="W212" s="57" t="e">
        <f aca="false">ROUND(N212*100/P212-100,0)</f>
        <v>#DIV/0!</v>
      </c>
    </row>
    <row r="213" s="43" customFormat="true" ht="73.5" hidden="false" customHeight="true" outlineLevel="0" collapsed="false">
      <c r="A213" s="45" t="n">
        <v>207</v>
      </c>
      <c r="B213" s="46" t="s">
        <v>306</v>
      </c>
      <c r="C213" s="47" t="s">
        <v>25</v>
      </c>
      <c r="D213" s="48" t="s">
        <v>307</v>
      </c>
      <c r="E213" s="49" t="n">
        <v>20798.08</v>
      </c>
      <c r="F213" s="50" t="n">
        <v>19950.74</v>
      </c>
      <c r="G213" s="47" t="s">
        <v>294</v>
      </c>
      <c r="H213" s="52" t="n">
        <v>19822.95</v>
      </c>
      <c r="I213" s="53" t="n">
        <f aca="false">D213*H213</f>
        <v>892032.75</v>
      </c>
      <c r="J213" s="47" t="s">
        <v>295</v>
      </c>
      <c r="K213" s="52" t="n">
        <v>19903</v>
      </c>
      <c r="L213" s="53" t="n">
        <f aca="false">D213*K213</f>
        <v>895635</v>
      </c>
      <c r="M213" s="53" t="s">
        <v>41</v>
      </c>
      <c r="N213" s="52" t="n">
        <v>20154.88</v>
      </c>
      <c r="O213" s="53" t="n">
        <f aca="false">D213*N213</f>
        <v>906969.6</v>
      </c>
      <c r="P213" s="54" t="n">
        <f aca="false">AVERAGE(H213,K213,N213)</f>
        <v>19960.2766666667</v>
      </c>
      <c r="Q213" s="55" t="n">
        <f aca="false">F213*100/P213-100</f>
        <v>-0.0477782288588884</v>
      </c>
      <c r="R213" s="54" t="n">
        <f aca="false">D213*F213</f>
        <v>897783.3</v>
      </c>
      <c r="S213" s="56"/>
      <c r="U213" s="57" t="n">
        <f aca="false">ROUND(H213*100/P213-100,0)</f>
        <v>-1</v>
      </c>
      <c r="V213" s="57" t="n">
        <f aca="false">ROUND(K213*100/P213-100,0)</f>
        <v>-0</v>
      </c>
      <c r="W213" s="57" t="n">
        <f aca="false">ROUND(N213*100/P213-100,0)</f>
        <v>1</v>
      </c>
    </row>
    <row r="214" s="43" customFormat="true" ht="73.5" hidden="false" customHeight="true" outlineLevel="0" collapsed="false">
      <c r="A214" s="45" t="n">
        <v>208</v>
      </c>
      <c r="B214" s="46" t="s">
        <v>308</v>
      </c>
      <c r="C214" s="47" t="s">
        <v>25</v>
      </c>
      <c r="D214" s="48" t="n">
        <v>4</v>
      </c>
      <c r="E214" s="49" t="s">
        <v>26</v>
      </c>
      <c r="F214" s="50" t="n">
        <v>301.5</v>
      </c>
      <c r="G214" s="47" t="s">
        <v>294</v>
      </c>
      <c r="H214" s="52" t="n">
        <v>299.49</v>
      </c>
      <c r="I214" s="53" t="n">
        <f aca="false">D214*H214</f>
        <v>1197.96</v>
      </c>
      <c r="J214" s="47" t="s">
        <v>295</v>
      </c>
      <c r="K214" s="52" t="n">
        <v>295</v>
      </c>
      <c r="L214" s="53" t="n">
        <f aca="false">D214*K214</f>
        <v>1180</v>
      </c>
      <c r="M214" s="53" t="s">
        <v>41</v>
      </c>
      <c r="N214" s="52" t="n">
        <v>320.14</v>
      </c>
      <c r="O214" s="53" t="n">
        <f aca="false">D214*N214</f>
        <v>1280.56</v>
      </c>
      <c r="P214" s="54" t="n">
        <f aca="false">AVERAGE(H214,K214,N214)</f>
        <v>304.876666666667</v>
      </c>
      <c r="Q214" s="55" t="n">
        <f aca="false">F214*100/P214-100</f>
        <v>-1.10755168756765</v>
      </c>
      <c r="R214" s="54" t="n">
        <f aca="false">D214*F214</f>
        <v>1206</v>
      </c>
      <c r="S214" s="56"/>
      <c r="U214" s="57" t="n">
        <f aca="false">ROUND(H214*100/P214-100,0)</f>
        <v>-2</v>
      </c>
      <c r="V214" s="57" t="n">
        <f aca="false">ROUND(K214*100/P214-100,0)</f>
        <v>-3</v>
      </c>
      <c r="W214" s="57" t="n">
        <f aca="false">ROUND(N214*100/P214-100,0)</f>
        <v>5</v>
      </c>
    </row>
    <row r="215" s="43" customFormat="true" ht="73.5" hidden="false" customHeight="true" outlineLevel="0" collapsed="false">
      <c r="A215" s="45" t="n">
        <v>209</v>
      </c>
      <c r="B215" s="46" t="s">
        <v>309</v>
      </c>
      <c r="C215" s="47" t="s">
        <v>25</v>
      </c>
      <c r="D215" s="48" t="n">
        <v>1</v>
      </c>
      <c r="E215" s="49" t="s">
        <v>26</v>
      </c>
      <c r="F215" s="50" t="n">
        <v>21351</v>
      </c>
      <c r="G215" s="47" t="s">
        <v>294</v>
      </c>
      <c r="H215" s="52" t="n">
        <v>21316.78</v>
      </c>
      <c r="I215" s="53" t="n">
        <f aca="false">D215*H215</f>
        <v>21316.78</v>
      </c>
      <c r="J215" s="47" t="s">
        <v>295</v>
      </c>
      <c r="K215" s="52" t="n">
        <v>21291</v>
      </c>
      <c r="L215" s="53" t="n">
        <f aca="false">D215*K215</f>
        <v>21291</v>
      </c>
      <c r="M215" s="53" t="s">
        <v>41</v>
      </c>
      <c r="N215" s="52" t="n">
        <v>21455</v>
      </c>
      <c r="O215" s="53" t="n">
        <f aca="false">D215*N215</f>
        <v>21455</v>
      </c>
      <c r="P215" s="54" t="n">
        <f aca="false">AVERAGE(H215,K215,N215)</f>
        <v>21354.26</v>
      </c>
      <c r="Q215" s="55" t="n">
        <f aca="false">F215*100/P215-100</f>
        <v>-0.0152662747386216</v>
      </c>
      <c r="R215" s="54" t="n">
        <f aca="false">D215*F215</f>
        <v>21351</v>
      </c>
      <c r="S215" s="56"/>
      <c r="U215" s="57" t="n">
        <f aca="false">ROUND(H215*100/P215-100,0)</f>
        <v>-0</v>
      </c>
      <c r="V215" s="57" t="n">
        <f aca="false">ROUND(K215*100/P215-100,0)</f>
        <v>-0</v>
      </c>
      <c r="W215" s="57" t="n">
        <f aca="false">ROUND(N215*100/P215-100,0)</f>
        <v>0</v>
      </c>
    </row>
    <row r="216" s="43" customFormat="true" ht="73.5" hidden="false" customHeight="true" outlineLevel="0" collapsed="false">
      <c r="A216" s="45" t="n">
        <v>210</v>
      </c>
      <c r="B216" s="46" t="s">
        <v>310</v>
      </c>
      <c r="C216" s="47" t="s">
        <v>81</v>
      </c>
      <c r="D216" s="48" t="n">
        <v>4724</v>
      </c>
      <c r="E216" s="49" t="n">
        <v>67.96</v>
      </c>
      <c r="F216" s="50" t="n">
        <v>83.4</v>
      </c>
      <c r="G216" s="51" t="s">
        <v>90</v>
      </c>
      <c r="H216" s="52" t="n">
        <f aca="false">102.29/1.2</f>
        <v>85.2416666666667</v>
      </c>
      <c r="I216" s="53" t="n">
        <f aca="false">D216*H216</f>
        <v>402681.633333333</v>
      </c>
      <c r="J216" s="51" t="s">
        <v>46</v>
      </c>
      <c r="K216" s="52" t="n">
        <v>83.77</v>
      </c>
      <c r="L216" s="53" t="n">
        <f aca="false">D216*K216</f>
        <v>395729.48</v>
      </c>
      <c r="M216" s="47" t="s">
        <v>58</v>
      </c>
      <c r="N216" s="52" t="n">
        <v>81.69</v>
      </c>
      <c r="O216" s="53" t="n">
        <f aca="false">D216*N216</f>
        <v>385903.56</v>
      </c>
      <c r="P216" s="54" t="n">
        <f aca="false">AVERAGE(H216,K216,N216)</f>
        <v>83.5672222222222</v>
      </c>
      <c r="Q216" s="55" t="n">
        <f aca="false">F216*100/P216-100</f>
        <v>-0.200105038525194</v>
      </c>
      <c r="R216" s="54" t="n">
        <f aca="false">D216*F216</f>
        <v>393981.6</v>
      </c>
      <c r="S216" s="56"/>
      <c r="U216" s="57" t="n">
        <f aca="false">ROUND(H216*100/P216-100,0)</f>
        <v>2</v>
      </c>
      <c r="V216" s="57" t="n">
        <f aca="false">ROUND(K216*100/P216-100,0)</f>
        <v>0</v>
      </c>
      <c r="W216" s="57" t="n">
        <f aca="false">ROUND(N216*100/P216-100,0)</f>
        <v>-2</v>
      </c>
    </row>
    <row r="217" s="43" customFormat="true" ht="73.5" hidden="false" customHeight="true" outlineLevel="0" collapsed="false">
      <c r="A217" s="45" t="n">
        <v>211</v>
      </c>
      <c r="B217" s="46" t="s">
        <v>311</v>
      </c>
      <c r="C217" s="47" t="s">
        <v>25</v>
      </c>
      <c r="D217" s="48" t="n">
        <v>1</v>
      </c>
      <c r="E217" s="49" t="n">
        <v>213.22</v>
      </c>
      <c r="F217" s="50" t="n">
        <v>323.4</v>
      </c>
      <c r="G217" s="47" t="s">
        <v>27</v>
      </c>
      <c r="H217" s="52" t="n">
        <f aca="false">356.57/1.2</f>
        <v>297.141666666667</v>
      </c>
      <c r="I217" s="53" t="n">
        <f aca="false">D217*H217</f>
        <v>297.141666666667</v>
      </c>
      <c r="J217" s="53" t="s">
        <v>28</v>
      </c>
      <c r="K217" s="52" t="n">
        <v>316.28</v>
      </c>
      <c r="L217" s="53" t="n">
        <f aca="false">D217*K217</f>
        <v>316.28</v>
      </c>
      <c r="M217" s="48" t="s">
        <v>29</v>
      </c>
      <c r="N217" s="52" t="n">
        <v>361.87</v>
      </c>
      <c r="O217" s="53" t="n">
        <f aca="false">D217*N217</f>
        <v>361.87</v>
      </c>
      <c r="P217" s="54" t="n">
        <f aca="false">AVERAGE(H217,K217,N217)</f>
        <v>325.097222222222</v>
      </c>
      <c r="Q217" s="55" t="n">
        <f aca="false">F217*100/P217-100</f>
        <v>-0.522066048617944</v>
      </c>
      <c r="R217" s="54" t="n">
        <f aca="false">D217*F217</f>
        <v>323.4</v>
      </c>
      <c r="S217" s="56"/>
      <c r="U217" s="57" t="n">
        <f aca="false">ROUND(H217*100/P217-100,0)</f>
        <v>-9</v>
      </c>
      <c r="V217" s="57" t="n">
        <f aca="false">ROUND(K217*100/P217-100,0)</f>
        <v>-3</v>
      </c>
      <c r="W217" s="57" t="n">
        <f aca="false">ROUND(N217*100/P217-100,0)</f>
        <v>11</v>
      </c>
    </row>
    <row r="218" s="43" customFormat="true" ht="73.5" hidden="false" customHeight="true" outlineLevel="0" collapsed="false">
      <c r="A218" s="45" t="n">
        <v>212</v>
      </c>
      <c r="B218" s="46" t="s">
        <v>312</v>
      </c>
      <c r="C218" s="47" t="s">
        <v>25</v>
      </c>
      <c r="D218" s="48" t="n">
        <v>8</v>
      </c>
      <c r="E218" s="49" t="n">
        <v>131456.09</v>
      </c>
      <c r="F218" s="50" t="n">
        <v>144835.7</v>
      </c>
      <c r="G218" s="47" t="s">
        <v>27</v>
      </c>
      <c r="H218" s="52" t="n">
        <f aca="false">168045.6/1.2</f>
        <v>140038</v>
      </c>
      <c r="I218" s="53" t="n">
        <f aca="false">D218*H218</f>
        <v>1120304</v>
      </c>
      <c r="J218" s="53" t="s">
        <v>28</v>
      </c>
      <c r="K218" s="52" t="n">
        <v>149082</v>
      </c>
      <c r="L218" s="53" t="n">
        <f aca="false">D218*K218</f>
        <v>1192656</v>
      </c>
      <c r="M218" s="48" t="s">
        <v>29</v>
      </c>
      <c r="N218" s="52" t="n">
        <v>145394</v>
      </c>
      <c r="O218" s="53" t="n">
        <f aca="false">D218*N218</f>
        <v>1163152</v>
      </c>
      <c r="P218" s="54" t="n">
        <f aca="false">AVERAGE(H218,K218,N218)</f>
        <v>144838</v>
      </c>
      <c r="Q218" s="55" t="n">
        <f aca="false">F218*100/P218-100</f>
        <v>-0.0015879810546835</v>
      </c>
      <c r="R218" s="54" t="n">
        <f aca="false">D218*F218</f>
        <v>1158685.6</v>
      </c>
      <c r="S218" s="56"/>
      <c r="U218" s="57" t="n">
        <f aca="false">ROUND(H218*100/P218-100,0)</f>
        <v>-3</v>
      </c>
      <c r="V218" s="57" t="n">
        <f aca="false">ROUND(K218*100/P218-100,0)</f>
        <v>3</v>
      </c>
      <c r="W218" s="57" t="n">
        <f aca="false">ROUND(N218*100/P218-100,0)</f>
        <v>0</v>
      </c>
    </row>
    <row r="219" s="43" customFormat="true" ht="73.5" hidden="false" customHeight="true" outlineLevel="0" collapsed="false">
      <c r="A219" s="45" t="n">
        <v>213</v>
      </c>
      <c r="B219" s="46" t="s">
        <v>313</v>
      </c>
      <c r="C219" s="47" t="s">
        <v>25</v>
      </c>
      <c r="D219" s="48" t="n">
        <v>3</v>
      </c>
      <c r="E219" s="49" t="n">
        <v>3412.84</v>
      </c>
      <c r="F219" s="50" t="n">
        <v>3621.37</v>
      </c>
      <c r="G219" s="47" t="s">
        <v>27</v>
      </c>
      <c r="H219" s="52" t="n">
        <f aca="false">4262.14/1.2</f>
        <v>3551.78333333333</v>
      </c>
      <c r="I219" s="53" t="n">
        <f aca="false">D219*H219</f>
        <v>10655.35</v>
      </c>
      <c r="J219" s="53" t="s">
        <v>28</v>
      </c>
      <c r="K219" s="52" t="n">
        <v>3458.37</v>
      </c>
      <c r="L219" s="53" t="n">
        <f aca="false">D219*K219</f>
        <v>10375.11</v>
      </c>
      <c r="M219" s="48" t="s">
        <v>29</v>
      </c>
      <c r="N219" s="52" t="n">
        <v>3907.54</v>
      </c>
      <c r="O219" s="53" t="n">
        <f aca="false">D219*N219</f>
        <v>11722.62</v>
      </c>
      <c r="P219" s="54" t="n">
        <f aca="false">AVERAGE(H219,K219,N219)</f>
        <v>3639.23111111111</v>
      </c>
      <c r="Q219" s="55" t="n">
        <f aca="false">F219*100/P219-100</f>
        <v>-0.49079353758485</v>
      </c>
      <c r="R219" s="54" t="n">
        <f aca="false">D219*F219</f>
        <v>10864.11</v>
      </c>
      <c r="S219" s="56"/>
      <c r="U219" s="57" t="n">
        <f aca="false">ROUND(H219*100/P219-100,0)</f>
        <v>-2</v>
      </c>
      <c r="V219" s="57" t="n">
        <f aca="false">ROUND(K219*100/P219-100,0)</f>
        <v>-5</v>
      </c>
      <c r="W219" s="57" t="n">
        <f aca="false">ROUND(N219*100/P219-100,0)</f>
        <v>7</v>
      </c>
    </row>
    <row r="220" s="43" customFormat="true" ht="73.5" hidden="false" customHeight="true" outlineLevel="0" collapsed="false">
      <c r="A220" s="45" t="n">
        <v>215</v>
      </c>
      <c r="B220" s="46" t="s">
        <v>314</v>
      </c>
      <c r="C220" s="47" t="s">
        <v>25</v>
      </c>
      <c r="D220" s="48" t="n">
        <v>4</v>
      </c>
      <c r="E220" s="49" t="n">
        <v>5685.72</v>
      </c>
      <c r="F220" s="50" t="n">
        <v>5811.74</v>
      </c>
      <c r="G220" s="47" t="s">
        <v>27</v>
      </c>
      <c r="H220" s="52" t="n">
        <f aca="false">6938.81/1.2</f>
        <v>5782.34166666667</v>
      </c>
      <c r="I220" s="53" t="n">
        <f aca="false">D220*H220</f>
        <v>23129.3666666667</v>
      </c>
      <c r="J220" s="53" t="s">
        <v>28</v>
      </c>
      <c r="K220" s="52" t="n">
        <v>5911.04</v>
      </c>
      <c r="L220" s="53" t="n">
        <f aca="false">D220*K220</f>
        <v>23644.16</v>
      </c>
      <c r="M220" s="48" t="s">
        <v>29</v>
      </c>
      <c r="N220" s="52" t="n">
        <v>5752.26</v>
      </c>
      <c r="O220" s="53" t="n">
        <f aca="false">D220*N220</f>
        <v>23009.04</v>
      </c>
      <c r="P220" s="54" t="n">
        <f aca="false">AVERAGE(H220,K220,N220)</f>
        <v>5815.21388888889</v>
      </c>
      <c r="Q220" s="55" t="n">
        <f aca="false">F220*100/P220-100</f>
        <v>-0.0597379383676042</v>
      </c>
      <c r="R220" s="54" t="n">
        <f aca="false">D220*F220</f>
        <v>23246.96</v>
      </c>
      <c r="S220" s="56"/>
      <c r="U220" s="57" t="n">
        <f aca="false">ROUND(H220*100/P220-100,0)</f>
        <v>-1</v>
      </c>
      <c r="V220" s="57" t="n">
        <f aca="false">ROUND(K220*100/P220-100,0)</f>
        <v>2</v>
      </c>
      <c r="W220" s="57" t="n">
        <f aca="false">ROUND(N220*100/P220-100,0)</f>
        <v>-1</v>
      </c>
    </row>
    <row r="221" s="43" customFormat="true" ht="73.5" hidden="false" customHeight="true" outlineLevel="0" collapsed="false">
      <c r="A221" s="45" t="n">
        <v>216</v>
      </c>
      <c r="B221" s="46" t="s">
        <v>315</v>
      </c>
      <c r="C221" s="47" t="s">
        <v>25</v>
      </c>
      <c r="D221" s="48" t="n">
        <v>6</v>
      </c>
      <c r="E221" s="49" t="n">
        <v>284.36</v>
      </c>
      <c r="F221" s="50" t="n">
        <v>292.47</v>
      </c>
      <c r="G221" s="47" t="s">
        <v>27</v>
      </c>
      <c r="H221" s="52" t="n">
        <f aca="false">349.09/1.2</f>
        <v>290.908333333333</v>
      </c>
      <c r="I221" s="53" t="n">
        <f aca="false">D221*H221</f>
        <v>1745.45</v>
      </c>
      <c r="J221" s="53" t="s">
        <v>28</v>
      </c>
      <c r="K221" s="52" t="n">
        <v>286.52</v>
      </c>
      <c r="L221" s="53" t="n">
        <f aca="false">D221*K221</f>
        <v>1719.12</v>
      </c>
      <c r="M221" s="48" t="s">
        <v>29</v>
      </c>
      <c r="N221" s="52" t="n">
        <v>309.87</v>
      </c>
      <c r="O221" s="53" t="n">
        <f aca="false">D221*N221</f>
        <v>1859.22</v>
      </c>
      <c r="P221" s="54" t="n">
        <f aca="false">AVERAGE(H221,K221,N221)</f>
        <v>295.766111111111</v>
      </c>
      <c r="Q221" s="55" t="n">
        <f aca="false">F221*100/P221-100</f>
        <v>-1.11443163610885</v>
      </c>
      <c r="R221" s="54" t="n">
        <f aca="false">D221*F221</f>
        <v>1754.82</v>
      </c>
      <c r="S221" s="56"/>
      <c r="U221" s="57" t="n">
        <f aca="false">ROUND(H221*100/P221-100,0)</f>
        <v>-2</v>
      </c>
      <c r="V221" s="57" t="n">
        <f aca="false">ROUND(K221*100/P221-100,0)</f>
        <v>-3</v>
      </c>
      <c r="W221" s="57" t="n">
        <f aca="false">ROUND(N221*100/P221-100,0)</f>
        <v>5</v>
      </c>
    </row>
    <row r="222" s="43" customFormat="true" ht="73.5" hidden="false" customHeight="true" outlineLevel="0" collapsed="false">
      <c r="A222" s="45" t="n">
        <v>217</v>
      </c>
      <c r="B222" s="46" t="s">
        <v>316</v>
      </c>
      <c r="C222" s="47" t="s">
        <v>25</v>
      </c>
      <c r="D222" s="48" t="n">
        <v>11</v>
      </c>
      <c r="E222" s="49" t="n">
        <v>530.51</v>
      </c>
      <c r="F222" s="50" t="n">
        <v>563.94</v>
      </c>
      <c r="G222" s="47" t="s">
        <v>27</v>
      </c>
      <c r="H222" s="52" t="n">
        <f aca="false">640.39/1.2</f>
        <v>533.658333333333</v>
      </c>
      <c r="I222" s="53" t="n">
        <f aca="false">D222*H222</f>
        <v>5870.24166666667</v>
      </c>
      <c r="J222" s="53" t="s">
        <v>28</v>
      </c>
      <c r="K222" s="52" t="n">
        <v>573.66</v>
      </c>
      <c r="L222" s="53" t="n">
        <f aca="false">D222*K222</f>
        <v>6310.26</v>
      </c>
      <c r="M222" s="48" t="s">
        <v>29</v>
      </c>
      <c r="N222" s="52" t="n">
        <v>599.2</v>
      </c>
      <c r="O222" s="53" t="n">
        <f aca="false">D222*N222</f>
        <v>6591.2</v>
      </c>
      <c r="P222" s="54" t="n">
        <f aca="false">AVERAGE(H222,K222,N222)</f>
        <v>568.839444444444</v>
      </c>
      <c r="Q222" s="55" t="n">
        <f aca="false">F222*100/P222-100</f>
        <v>-0.861305328295117</v>
      </c>
      <c r="R222" s="54" t="n">
        <f aca="false">D222*F222</f>
        <v>6203.34</v>
      </c>
      <c r="S222" s="56"/>
      <c r="U222" s="57" t="n">
        <f aca="false">ROUND(H222*100/P222-100,0)</f>
        <v>-6</v>
      </c>
      <c r="V222" s="57" t="n">
        <f aca="false">ROUND(K222*100/P222-100,0)</f>
        <v>1</v>
      </c>
      <c r="W222" s="57" t="n">
        <f aca="false">ROUND(N222*100/P222-100,0)</f>
        <v>5</v>
      </c>
    </row>
    <row r="223" s="43" customFormat="true" ht="73.5" hidden="false" customHeight="true" outlineLevel="0" collapsed="false">
      <c r="A223" s="45" t="n">
        <v>218</v>
      </c>
      <c r="B223" s="46" t="s">
        <v>317</v>
      </c>
      <c r="C223" s="47" t="s">
        <v>25</v>
      </c>
      <c r="D223" s="48" t="n">
        <v>13</v>
      </c>
      <c r="E223" s="49" t="n">
        <v>1043.7</v>
      </c>
      <c r="F223" s="50" t="n">
        <v>1331.15</v>
      </c>
      <c r="G223" s="47" t="s">
        <v>27</v>
      </c>
      <c r="H223" s="52" t="n">
        <f aca="false">1491.91/1.2</f>
        <v>1243.25833333333</v>
      </c>
      <c r="I223" s="53" t="n">
        <f aca="false">D223*H223</f>
        <v>16162.3583333333</v>
      </c>
      <c r="J223" s="53" t="s">
        <v>28</v>
      </c>
      <c r="K223" s="52" t="n">
        <v>1408.92</v>
      </c>
      <c r="L223" s="53" t="n">
        <f aca="false">D223*K223</f>
        <v>18315.96</v>
      </c>
      <c r="M223" s="48" t="s">
        <v>29</v>
      </c>
      <c r="N223" s="52" t="n">
        <v>1348.02</v>
      </c>
      <c r="O223" s="53" t="n">
        <f aca="false">D223*N223</f>
        <v>17524.26</v>
      </c>
      <c r="P223" s="54" t="n">
        <f aca="false">AVERAGE(H223,K223,N223)</f>
        <v>1333.39944444444</v>
      </c>
      <c r="Q223" s="55" t="n">
        <f aca="false">F223*100/P223-100</f>
        <v>-0.168699968626555</v>
      </c>
      <c r="R223" s="54" t="n">
        <f aca="false">D223*F223</f>
        <v>17304.95</v>
      </c>
      <c r="S223" s="56"/>
      <c r="U223" s="57" t="n">
        <f aca="false">ROUND(H223*100/P223-100,0)</f>
        <v>-7</v>
      </c>
      <c r="V223" s="57" t="n">
        <f aca="false">ROUND(K223*100/P223-100,0)</f>
        <v>6</v>
      </c>
      <c r="W223" s="57" t="n">
        <f aca="false">ROUND(N223*100/P223-100,0)</f>
        <v>1</v>
      </c>
    </row>
    <row r="224" s="43" customFormat="true" ht="73.5" hidden="false" customHeight="true" outlineLevel="0" collapsed="false">
      <c r="A224" s="45" t="n">
        <v>220</v>
      </c>
      <c r="B224" s="46" t="s">
        <v>318</v>
      </c>
      <c r="C224" s="47" t="s">
        <v>147</v>
      </c>
      <c r="D224" s="48" t="s">
        <v>319</v>
      </c>
      <c r="E224" s="49" t="n">
        <v>94.38</v>
      </c>
      <c r="F224" s="50" t="n">
        <v>104.48</v>
      </c>
      <c r="G224" s="51" t="s">
        <v>148</v>
      </c>
      <c r="H224" s="52" t="n">
        <f aca="false">118.23/1.2</f>
        <v>98.525</v>
      </c>
      <c r="I224" s="53" t="n">
        <f aca="false">D224*H224</f>
        <v>24631.25</v>
      </c>
      <c r="J224" s="51" t="s">
        <v>67</v>
      </c>
      <c r="K224" s="52" t="n">
        <f aca="false">123.29/1.2</f>
        <v>102.741666666667</v>
      </c>
      <c r="L224" s="53" t="n">
        <f aca="false">D224*K224</f>
        <v>25685.4166666667</v>
      </c>
      <c r="M224" s="51" t="s">
        <v>149</v>
      </c>
      <c r="N224" s="52" t="n">
        <f aca="false">138.44/1.2</f>
        <v>115.366666666667</v>
      </c>
      <c r="O224" s="53" t="n">
        <f aca="false">D224*N224</f>
        <v>28841.6666666667</v>
      </c>
      <c r="P224" s="54" t="n">
        <f aca="false">AVERAGE(H224,K224,N224)</f>
        <v>105.544444444444</v>
      </c>
      <c r="Q224" s="55" t="n">
        <f aca="false">F224*100/P224-100</f>
        <v>-1.00852721339088</v>
      </c>
      <c r="R224" s="54" t="n">
        <f aca="false">D224*F224</f>
        <v>26120</v>
      </c>
      <c r="S224" s="56"/>
      <c r="U224" s="57" t="n">
        <f aca="false">ROUND(H224*100/P224-100,0)</f>
        <v>-7</v>
      </c>
      <c r="V224" s="57" t="n">
        <f aca="false">ROUND(K224*100/P224-100,0)</f>
        <v>-3</v>
      </c>
      <c r="W224" s="57" t="n">
        <f aca="false">ROUND(N224*100/P224-100,0)</f>
        <v>9</v>
      </c>
    </row>
    <row r="225" s="43" customFormat="true" ht="73.5" hidden="false" customHeight="true" outlineLevel="0" collapsed="false">
      <c r="A225" s="45" t="n">
        <v>221</v>
      </c>
      <c r="B225" s="46" t="s">
        <v>320</v>
      </c>
      <c r="C225" s="47" t="s">
        <v>25</v>
      </c>
      <c r="D225" s="48" t="n">
        <v>10</v>
      </c>
      <c r="E225" s="49" t="s">
        <v>26</v>
      </c>
      <c r="F225" s="50" t="n">
        <v>796.51</v>
      </c>
      <c r="G225" s="47" t="s">
        <v>56</v>
      </c>
      <c r="H225" s="52" t="n">
        <v>830.5</v>
      </c>
      <c r="I225" s="53" t="n">
        <f aca="false">D225*H225</f>
        <v>8305</v>
      </c>
      <c r="J225" s="47" t="s">
        <v>57</v>
      </c>
      <c r="K225" s="52" t="n">
        <v>755.31</v>
      </c>
      <c r="L225" s="53" t="n">
        <f aca="false">D225*K225</f>
        <v>7553.1</v>
      </c>
      <c r="M225" s="47" t="s">
        <v>58</v>
      </c>
      <c r="N225" s="52" t="n">
        <v>810.41</v>
      </c>
      <c r="O225" s="53" t="n">
        <f aca="false">D225*N225</f>
        <v>8104.1</v>
      </c>
      <c r="P225" s="54" t="n">
        <f aca="false">AVERAGE(H225,K225,N225)</f>
        <v>798.74</v>
      </c>
      <c r="Q225" s="55" t="n">
        <f aca="false">F225*100/P225-100</f>
        <v>-0.279189723814994</v>
      </c>
      <c r="R225" s="54" t="n">
        <f aca="false">D225*F225</f>
        <v>7965.1</v>
      </c>
      <c r="S225" s="56"/>
      <c r="U225" s="57" t="n">
        <f aca="false">ROUND(H225*100/P225-100,0)</f>
        <v>4</v>
      </c>
      <c r="V225" s="57" t="n">
        <f aca="false">ROUND(K225*100/P225-100,0)</f>
        <v>-5</v>
      </c>
      <c r="W225" s="57" t="n">
        <f aca="false">ROUND(N225*100/P225-100,0)</f>
        <v>1</v>
      </c>
    </row>
    <row r="226" s="43" customFormat="true" ht="73.5" hidden="false" customHeight="true" outlineLevel="0" collapsed="false">
      <c r="A226" s="45" t="n">
        <v>222</v>
      </c>
      <c r="B226" s="46" t="s">
        <v>321</v>
      </c>
      <c r="C226" s="47" t="s">
        <v>25</v>
      </c>
      <c r="D226" s="48" t="n">
        <v>3</v>
      </c>
      <c r="E226" s="58" t="n">
        <v>4518.35</v>
      </c>
      <c r="F226" s="70" t="n">
        <v>5485.34</v>
      </c>
      <c r="G226" s="47" t="s">
        <v>27</v>
      </c>
      <c r="H226" s="52" t="n">
        <f aca="false">6274.38/1.2</f>
        <v>5228.65</v>
      </c>
      <c r="I226" s="53" t="n">
        <f aca="false">D226*H226</f>
        <v>15685.95</v>
      </c>
      <c r="J226" s="53" t="s">
        <v>28</v>
      </c>
      <c r="K226" s="52" t="n">
        <v>5500.4</v>
      </c>
      <c r="L226" s="53" t="n">
        <f aca="false">D226*K226</f>
        <v>16501.2</v>
      </c>
      <c r="M226" s="48" t="s">
        <v>29</v>
      </c>
      <c r="N226" s="52" t="n">
        <v>5740.12</v>
      </c>
      <c r="O226" s="53" t="n">
        <f aca="false">D226*N226</f>
        <v>17220.36</v>
      </c>
      <c r="P226" s="54" t="n">
        <f aca="false">AVERAGE(H226,K226,N226)</f>
        <v>5489.72333333333</v>
      </c>
      <c r="Q226" s="55" t="n">
        <f aca="false">F226*100/P226-100</f>
        <v>-0.0798461610390717</v>
      </c>
      <c r="R226" s="54" t="n">
        <f aca="false">D226*F226</f>
        <v>16456.02</v>
      </c>
      <c r="S226" s="56"/>
      <c r="U226" s="57" t="n">
        <f aca="false">ROUND(H226*100/P226-100,0)</f>
        <v>-5</v>
      </c>
      <c r="V226" s="57" t="n">
        <f aca="false">ROUND(K226*100/P226-100,0)</f>
        <v>0</v>
      </c>
      <c r="W226" s="57" t="n">
        <f aca="false">ROUND(N226*100/P226-100,0)</f>
        <v>5</v>
      </c>
    </row>
    <row r="227" s="43" customFormat="true" ht="73.5" hidden="false" customHeight="true" outlineLevel="0" collapsed="false">
      <c r="A227" s="45" t="n">
        <v>223</v>
      </c>
      <c r="B227" s="46" t="s">
        <v>322</v>
      </c>
      <c r="C227" s="47" t="s">
        <v>323</v>
      </c>
      <c r="D227" s="48" t="n">
        <v>0.048</v>
      </c>
      <c r="E227" s="58" t="n">
        <v>2666670</v>
      </c>
      <c r="F227" s="71" t="n">
        <v>2698750.3</v>
      </c>
      <c r="G227" s="47" t="s">
        <v>68</v>
      </c>
      <c r="H227" s="52" t="n">
        <f aca="false">3276.5/1.2*1000</f>
        <v>2730416.66666667</v>
      </c>
      <c r="I227" s="53" t="n">
        <f aca="false">H227*D227</f>
        <v>131060</v>
      </c>
      <c r="J227" s="51" t="s">
        <v>67</v>
      </c>
      <c r="K227" s="52" t="n">
        <f aca="false">3255/1.2*1000</f>
        <v>2712500</v>
      </c>
      <c r="L227" s="53" t="n">
        <f aca="false">D227*K227</f>
        <v>130200</v>
      </c>
      <c r="M227" s="47" t="s">
        <v>272</v>
      </c>
      <c r="N227" s="52" t="n">
        <f aca="false">2661.67*1000</f>
        <v>2661670</v>
      </c>
      <c r="O227" s="53" t="n">
        <f aca="false">D227*N227</f>
        <v>127760.16</v>
      </c>
      <c r="P227" s="54" t="n">
        <f aca="false">AVERAGE(H227,K227,N227)</f>
        <v>2701528.88888889</v>
      </c>
      <c r="Q227" s="55" t="n">
        <f aca="false">F227*100/P227-100</f>
        <v>-0.102852458854585</v>
      </c>
      <c r="R227" s="54" t="n">
        <f aca="false">D227*F227</f>
        <v>129540.0144</v>
      </c>
      <c r="S227" s="56"/>
      <c r="U227" s="57" t="n">
        <f aca="false">ROUND(H227*100/P227-100,0)</f>
        <v>1</v>
      </c>
      <c r="V227" s="57" t="n">
        <f aca="false">ROUND(K227*100/P227-100,0)</f>
        <v>0</v>
      </c>
      <c r="W227" s="57" t="n">
        <f aca="false">ROUND(N227*100/P227-100,0)</f>
        <v>-1</v>
      </c>
    </row>
    <row r="228" s="43" customFormat="true" ht="73.5" hidden="true" customHeight="true" outlineLevel="0" collapsed="false">
      <c r="A228" s="45" t="n">
        <v>224</v>
      </c>
      <c r="B228" s="46" t="s">
        <v>324</v>
      </c>
      <c r="C228" s="47" t="s">
        <v>25</v>
      </c>
      <c r="D228" s="48" t="n">
        <v>10</v>
      </c>
      <c r="E228" s="49" t="n">
        <v>4087.8</v>
      </c>
      <c r="F228" s="50" t="n">
        <v>6202.47</v>
      </c>
      <c r="G228" s="47" t="s">
        <v>56</v>
      </c>
      <c r="H228" s="52" t="n">
        <v>6050.4</v>
      </c>
      <c r="I228" s="53" t="n">
        <f aca="false">D228*H228</f>
        <v>60504</v>
      </c>
      <c r="J228" s="47" t="s">
        <v>57</v>
      </c>
      <c r="K228" s="52" t="n">
        <v>6131.78</v>
      </c>
      <c r="L228" s="53" t="n">
        <f aca="false">D228*K228</f>
        <v>61317.8</v>
      </c>
      <c r="M228" s="47" t="s">
        <v>58</v>
      </c>
      <c r="N228" s="52" t="n">
        <v>6541.19</v>
      </c>
      <c r="O228" s="53" t="n">
        <f aca="false">D228*N228</f>
        <v>65411.9</v>
      </c>
      <c r="P228" s="54" t="n">
        <f aca="false">AVERAGE(H228,K228,N228)</f>
        <v>6241.12333333333</v>
      </c>
      <c r="Q228" s="55" t="n">
        <f aca="false">F228*100/P228-100</f>
        <v>-0.619332951279603</v>
      </c>
      <c r="R228" s="54" t="n">
        <f aca="false">D228*F228</f>
        <v>62024.7</v>
      </c>
      <c r="S228" s="62" t="s">
        <v>116</v>
      </c>
      <c r="U228" s="57" t="n">
        <f aca="false">ROUND(H228*100/P228-100,0)</f>
        <v>-3</v>
      </c>
      <c r="V228" s="57" t="n">
        <f aca="false">ROUND(K228*100/P228-100,0)</f>
        <v>-2</v>
      </c>
      <c r="W228" s="57" t="n">
        <f aca="false">ROUND(N228*100/P228-100,0)</f>
        <v>5</v>
      </c>
      <c r="Y228" s="43" t="n">
        <v>219</v>
      </c>
    </row>
    <row r="229" s="43" customFormat="true" ht="73.5" hidden="false" customHeight="true" outlineLevel="0" collapsed="false">
      <c r="A229" s="45" t="n">
        <v>225</v>
      </c>
      <c r="B229" s="46" t="s">
        <v>325</v>
      </c>
      <c r="C229" s="47" t="s">
        <v>25</v>
      </c>
      <c r="D229" s="48" t="n">
        <v>4</v>
      </c>
      <c r="E229" s="49" t="s">
        <v>26</v>
      </c>
      <c r="F229" s="50" t="n">
        <v>13230.7</v>
      </c>
      <c r="G229" s="47" t="s">
        <v>27</v>
      </c>
      <c r="H229" s="52" t="n">
        <f aca="false">15633.38/1.2</f>
        <v>13027.8166666667</v>
      </c>
      <c r="I229" s="53" t="n">
        <f aca="false">D229*H229</f>
        <v>52111.2666666667</v>
      </c>
      <c r="J229" s="53" t="s">
        <v>28</v>
      </c>
      <c r="K229" s="52" t="n">
        <v>13344.3</v>
      </c>
      <c r="L229" s="53" t="n">
        <f aca="false">D229*K229</f>
        <v>53377.2</v>
      </c>
      <c r="M229" s="48" t="s">
        <v>29</v>
      </c>
      <c r="N229" s="52" t="n">
        <v>13500.58</v>
      </c>
      <c r="O229" s="53" t="n">
        <f aca="false">D229*N229</f>
        <v>54002.32</v>
      </c>
      <c r="P229" s="54" t="n">
        <f aca="false">AVERAGE(H229,K229,N229)</f>
        <v>13290.8988888889</v>
      </c>
      <c r="Q229" s="55" t="n">
        <f aca="false">F229*100/P229-100</f>
        <v>-0.452933164206172</v>
      </c>
      <c r="R229" s="54" t="n">
        <f aca="false">D229*F229</f>
        <v>52922.8</v>
      </c>
      <c r="S229" s="56"/>
      <c r="U229" s="57" t="n">
        <f aca="false">ROUND(H229*100/P229-100,0)</f>
        <v>-2</v>
      </c>
      <c r="V229" s="57" t="n">
        <f aca="false">ROUND(K229*100/P229-100,0)</f>
        <v>0</v>
      </c>
      <c r="W229" s="57" t="n">
        <f aca="false">ROUND(N229*100/P229-100,0)</f>
        <v>2</v>
      </c>
    </row>
    <row r="230" s="43" customFormat="true" ht="73.5" hidden="false" customHeight="true" outlineLevel="0" collapsed="false">
      <c r="A230" s="45" t="n">
        <v>226</v>
      </c>
      <c r="B230" s="46" t="s">
        <v>326</v>
      </c>
      <c r="C230" s="47" t="s">
        <v>25</v>
      </c>
      <c r="D230" s="48" t="n">
        <v>7</v>
      </c>
      <c r="E230" s="49" t="n">
        <v>672.95</v>
      </c>
      <c r="F230" s="50" t="n">
        <v>895.64</v>
      </c>
      <c r="G230" s="47" t="s">
        <v>27</v>
      </c>
      <c r="H230" s="52" t="n">
        <f aca="false">1005.59/1.2</f>
        <v>837.991666666667</v>
      </c>
      <c r="I230" s="53" t="n">
        <f aca="false">D230*H230</f>
        <v>5865.94166666667</v>
      </c>
      <c r="J230" s="53" t="s">
        <v>28</v>
      </c>
      <c r="K230" s="52" t="n">
        <v>921.8</v>
      </c>
      <c r="L230" s="53" t="n">
        <f aca="false">D230*K230</f>
        <v>6452.6</v>
      </c>
      <c r="M230" s="48" t="s">
        <v>29</v>
      </c>
      <c r="N230" s="52" t="n">
        <v>944.36</v>
      </c>
      <c r="O230" s="53" t="n">
        <f aca="false">D230*N230</f>
        <v>6610.52</v>
      </c>
      <c r="P230" s="54" t="n">
        <f aca="false">AVERAGE(H230,K230,N230)</f>
        <v>901.383888888889</v>
      </c>
      <c r="Q230" s="55" t="n">
        <f aca="false">F230*100/P230-100</f>
        <v>-0.637230037023315</v>
      </c>
      <c r="R230" s="54" t="n">
        <f aca="false">D230*F230</f>
        <v>6269.48</v>
      </c>
      <c r="S230" s="56"/>
      <c r="U230" s="57" t="n">
        <f aca="false">ROUND(H230*100/P230-100,0)</f>
        <v>-7</v>
      </c>
      <c r="V230" s="57" t="n">
        <f aca="false">ROUND(K230*100/P230-100,0)</f>
        <v>2</v>
      </c>
      <c r="W230" s="57" t="n">
        <f aca="false">ROUND(N230*100/P230-100,0)</f>
        <v>5</v>
      </c>
    </row>
    <row r="231" s="43" customFormat="true" ht="73.5" hidden="false" customHeight="true" outlineLevel="0" collapsed="false">
      <c r="A231" s="45" t="n">
        <v>227</v>
      </c>
      <c r="B231" s="46" t="s">
        <v>327</v>
      </c>
      <c r="C231" s="47" t="s">
        <v>25</v>
      </c>
      <c r="D231" s="48" t="n">
        <v>4</v>
      </c>
      <c r="E231" s="49" t="n">
        <v>762.43</v>
      </c>
      <c r="F231" s="50" t="n">
        <v>976.87</v>
      </c>
      <c r="G231" s="47" t="s">
        <v>27</v>
      </c>
      <c r="H231" s="52" t="n">
        <f aca="false">1138.77/1.2</f>
        <v>948.975</v>
      </c>
      <c r="I231" s="53" t="n">
        <f aca="false">D231*H231</f>
        <v>3795.9</v>
      </c>
      <c r="J231" s="53" t="s">
        <v>28</v>
      </c>
      <c r="K231" s="52" t="n">
        <v>1010.4</v>
      </c>
      <c r="L231" s="53" t="n">
        <f aca="false">D231*K231</f>
        <v>4041.6</v>
      </c>
      <c r="M231" s="48" t="s">
        <v>29</v>
      </c>
      <c r="N231" s="52" t="n">
        <v>995.11</v>
      </c>
      <c r="O231" s="53" t="n">
        <f aca="false">D231*N231</f>
        <v>3980.44</v>
      </c>
      <c r="P231" s="54" t="n">
        <f aca="false">AVERAGE(H231,K231,N231)</f>
        <v>984.828333333333</v>
      </c>
      <c r="Q231" s="55" t="n">
        <f aca="false">F231*100/P231-100</f>
        <v>-0.808093457912293</v>
      </c>
      <c r="R231" s="54" t="n">
        <f aca="false">D231*F231</f>
        <v>3907.48</v>
      </c>
      <c r="S231" s="56"/>
      <c r="U231" s="57" t="n">
        <f aca="false">ROUND(H231*100/P231-100,0)</f>
        <v>-4</v>
      </c>
      <c r="V231" s="57" t="n">
        <f aca="false">ROUND(K231*100/P231-100,0)</f>
        <v>3</v>
      </c>
      <c r="W231" s="57" t="n">
        <f aca="false">ROUND(N231*100/P231-100,0)</f>
        <v>1</v>
      </c>
    </row>
    <row r="232" s="43" customFormat="true" ht="73.5" hidden="false" customHeight="true" outlineLevel="0" collapsed="false">
      <c r="A232" s="45" t="n">
        <v>228</v>
      </c>
      <c r="B232" s="46" t="s">
        <v>328</v>
      </c>
      <c r="C232" s="47" t="s">
        <v>25</v>
      </c>
      <c r="D232" s="48" t="n">
        <v>1</v>
      </c>
      <c r="E232" s="49" t="n">
        <v>1460.08</v>
      </c>
      <c r="F232" s="50" t="n">
        <v>1842.92</v>
      </c>
      <c r="G232" s="47" t="s">
        <v>27</v>
      </c>
      <c r="H232" s="52" t="n">
        <f aca="false">2152.46/1.2</f>
        <v>1793.71666666667</v>
      </c>
      <c r="I232" s="53" t="n">
        <f aca="false">D232*H232</f>
        <v>1793.71666666667</v>
      </c>
      <c r="J232" s="53" t="s">
        <v>28</v>
      </c>
      <c r="K232" s="52" t="n">
        <v>1928.6</v>
      </c>
      <c r="L232" s="53" t="n">
        <f aca="false">D232*K232</f>
        <v>1928.6</v>
      </c>
      <c r="M232" s="48" t="s">
        <v>29</v>
      </c>
      <c r="N232" s="52" t="n">
        <v>1850.46</v>
      </c>
      <c r="O232" s="53" t="n">
        <f aca="false">D232*N232</f>
        <v>1850.46</v>
      </c>
      <c r="P232" s="54" t="n">
        <f aca="false">AVERAGE(H232,K232,N232)</f>
        <v>1857.59222222222</v>
      </c>
      <c r="Q232" s="55" t="n">
        <f aca="false">F232*100/P232-100</f>
        <v>-0.789851617954668</v>
      </c>
      <c r="R232" s="54" t="n">
        <f aca="false">D232*F232</f>
        <v>1842.92</v>
      </c>
      <c r="S232" s="56"/>
      <c r="U232" s="57" t="n">
        <f aca="false">ROUND(H232*100/P232-100,0)</f>
        <v>-3</v>
      </c>
      <c r="V232" s="57" t="n">
        <f aca="false">ROUND(K232*100/P232-100,0)</f>
        <v>4</v>
      </c>
      <c r="W232" s="57" t="n">
        <f aca="false">ROUND(N232*100/P232-100,0)</f>
        <v>-0</v>
      </c>
    </row>
    <row r="233" s="43" customFormat="true" ht="73.5" hidden="false" customHeight="true" outlineLevel="0" collapsed="false">
      <c r="A233" s="45" t="n">
        <v>229</v>
      </c>
      <c r="B233" s="46" t="s">
        <v>329</v>
      </c>
      <c r="C233" s="47" t="s">
        <v>25</v>
      </c>
      <c r="D233" s="48" t="n">
        <v>24</v>
      </c>
      <c r="E233" s="49" t="n">
        <v>244.97</v>
      </c>
      <c r="F233" s="50" t="n">
        <v>312.8</v>
      </c>
      <c r="G233" s="47" t="s">
        <v>27</v>
      </c>
      <c r="H233" s="52" t="n">
        <f aca="false">362.57/1.2</f>
        <v>302.141666666667</v>
      </c>
      <c r="I233" s="53" t="n">
        <f aca="false">D233*H233</f>
        <v>7251.4</v>
      </c>
      <c r="J233" s="53" t="s">
        <v>28</v>
      </c>
      <c r="K233" s="52" t="n">
        <v>312.77</v>
      </c>
      <c r="L233" s="53" t="n">
        <f aca="false">D233*K233</f>
        <v>7506.48</v>
      </c>
      <c r="M233" s="48" t="s">
        <v>29</v>
      </c>
      <c r="N233" s="52" t="n">
        <v>344.29</v>
      </c>
      <c r="O233" s="53" t="n">
        <f aca="false">D233*N233</f>
        <v>8262.96</v>
      </c>
      <c r="P233" s="54" t="n">
        <f aca="false">AVERAGE(H233,K233,N233)</f>
        <v>319.733888888889</v>
      </c>
      <c r="Q233" s="55" t="n">
        <f aca="false">F233*100/P233-100</f>
        <v>-2.16864371586789</v>
      </c>
      <c r="R233" s="54" t="n">
        <f aca="false">D233*F233</f>
        <v>7507.2</v>
      </c>
      <c r="S233" s="56"/>
      <c r="U233" s="57" t="n">
        <f aca="false">ROUND(H233*100/P233-100,0)</f>
        <v>-6</v>
      </c>
      <c r="V233" s="57" t="n">
        <f aca="false">ROUND(K233*100/P233-100,0)</f>
        <v>-2</v>
      </c>
      <c r="W233" s="57" t="n">
        <f aca="false">ROUND(N233*100/P233-100,0)</f>
        <v>8</v>
      </c>
    </row>
    <row r="234" s="43" customFormat="true" ht="73.5" hidden="false" customHeight="true" outlineLevel="0" collapsed="false">
      <c r="A234" s="45" t="n">
        <v>230</v>
      </c>
      <c r="B234" s="46" t="s">
        <v>330</v>
      </c>
      <c r="C234" s="47" t="s">
        <v>25</v>
      </c>
      <c r="D234" s="48" t="n">
        <v>18</v>
      </c>
      <c r="E234" s="49" t="n">
        <v>277.45</v>
      </c>
      <c r="F234" s="50" t="n">
        <v>343.64</v>
      </c>
      <c r="G234" s="47" t="s">
        <v>27</v>
      </c>
      <c r="H234" s="52" t="n">
        <f aca="false">398.85/1.2</f>
        <v>332.375</v>
      </c>
      <c r="I234" s="53" t="n">
        <f aca="false">D234*H234</f>
        <v>5982.75</v>
      </c>
      <c r="J234" s="53" t="s">
        <v>28</v>
      </c>
      <c r="K234" s="52" t="n">
        <v>364.5</v>
      </c>
      <c r="L234" s="53" t="n">
        <f aca="false">D234*K234</f>
        <v>6561</v>
      </c>
      <c r="M234" s="48" t="s">
        <v>29</v>
      </c>
      <c r="N234" s="52" t="n">
        <v>350.15</v>
      </c>
      <c r="O234" s="53" t="n">
        <f aca="false">D234*N234</f>
        <v>6302.7</v>
      </c>
      <c r="P234" s="54" t="n">
        <f aca="false">AVERAGE(H234,K234,N234)</f>
        <v>349.008333333333</v>
      </c>
      <c r="Q234" s="55" t="n">
        <f aca="false">F234*100/P234-100</f>
        <v>-1.53816766552853</v>
      </c>
      <c r="R234" s="54" t="n">
        <f aca="false">D234*F234</f>
        <v>6185.52</v>
      </c>
      <c r="S234" s="56"/>
      <c r="U234" s="57" t="n">
        <f aca="false">ROUND(H234*100/P234-100,0)</f>
        <v>-5</v>
      </c>
      <c r="V234" s="57" t="n">
        <f aca="false">ROUND(K234*100/P234-100,0)</f>
        <v>4</v>
      </c>
      <c r="W234" s="57" t="n">
        <f aca="false">ROUND(N234*100/P234-100,0)</f>
        <v>0</v>
      </c>
    </row>
    <row r="235" s="43" customFormat="true" ht="73.5" hidden="false" customHeight="true" outlineLevel="0" collapsed="false">
      <c r="A235" s="45" t="n">
        <v>231</v>
      </c>
      <c r="B235" s="46" t="s">
        <v>331</v>
      </c>
      <c r="C235" s="47" t="s">
        <v>25</v>
      </c>
      <c r="D235" s="48" t="n">
        <v>90</v>
      </c>
      <c r="E235" s="49" t="n">
        <v>187.63</v>
      </c>
      <c r="F235" s="50" t="n">
        <v>233.82</v>
      </c>
      <c r="G235" s="47" t="s">
        <v>27</v>
      </c>
      <c r="H235" s="52" t="n">
        <f aca="false">283.52/1.2</f>
        <v>236.266666666667</v>
      </c>
      <c r="I235" s="53" t="n">
        <f aca="false">D235*H235</f>
        <v>21264</v>
      </c>
      <c r="J235" s="53" t="s">
        <v>28</v>
      </c>
      <c r="K235" s="52" t="n">
        <v>232.43</v>
      </c>
      <c r="L235" s="53" t="n">
        <f aca="false">D235*K235</f>
        <v>20918.7</v>
      </c>
      <c r="M235" s="48" t="s">
        <v>29</v>
      </c>
      <c r="N235" s="52" t="n">
        <v>251.2</v>
      </c>
      <c r="O235" s="53" t="n">
        <f aca="false">D235*N235</f>
        <v>22608</v>
      </c>
      <c r="P235" s="54" t="n">
        <f aca="false">AVERAGE(H235,K235,N235)</f>
        <v>239.965555555556</v>
      </c>
      <c r="Q235" s="55" t="n">
        <f aca="false">F235*100/P235-100</f>
        <v>-2.56101570132751</v>
      </c>
      <c r="R235" s="54" t="n">
        <f aca="false">D235*F235</f>
        <v>21043.8</v>
      </c>
      <c r="S235" s="56"/>
      <c r="U235" s="57" t="n">
        <f aca="false">ROUND(H235*100/P235-100,0)</f>
        <v>-2</v>
      </c>
      <c r="V235" s="57" t="n">
        <f aca="false">ROUND(K235*100/P235-100,0)</f>
        <v>-3</v>
      </c>
      <c r="W235" s="57" t="n">
        <f aca="false">ROUND(N235*100/P235-100,0)</f>
        <v>5</v>
      </c>
    </row>
    <row r="236" s="43" customFormat="true" ht="73.5" hidden="false" customHeight="true" outlineLevel="0" collapsed="false">
      <c r="A236" s="45" t="n">
        <v>232</v>
      </c>
      <c r="B236" s="46" t="s">
        <v>332</v>
      </c>
      <c r="C236" s="47" t="s">
        <v>25</v>
      </c>
      <c r="D236" s="48" t="s">
        <v>333</v>
      </c>
      <c r="E236" s="49" t="n">
        <v>149.81</v>
      </c>
      <c r="F236" s="50" t="n">
        <v>178.37</v>
      </c>
      <c r="G236" s="47" t="s">
        <v>27</v>
      </c>
      <c r="H236" s="52" t="n">
        <f aca="false">210.11/1.2</f>
        <v>175.091666666667</v>
      </c>
      <c r="I236" s="53" t="n">
        <f aca="false">D236*H236</f>
        <v>8054.21666666667</v>
      </c>
      <c r="J236" s="53" t="s">
        <v>28</v>
      </c>
      <c r="K236" s="52" t="n">
        <v>186.22</v>
      </c>
      <c r="L236" s="53" t="n">
        <f aca="false">D236*K236</f>
        <v>8566.12</v>
      </c>
      <c r="M236" s="48" t="s">
        <v>29</v>
      </c>
      <c r="N236" s="52" t="n">
        <v>179.55</v>
      </c>
      <c r="O236" s="53" t="n">
        <f aca="false">D236*N236</f>
        <v>8259.3</v>
      </c>
      <c r="P236" s="54" t="n">
        <f aca="false">AVERAGE(H236,K236,N236)</f>
        <v>180.287222222222</v>
      </c>
      <c r="Q236" s="55" t="n">
        <f aca="false">F236*100/P236-100</f>
        <v>-1.06342656933226</v>
      </c>
      <c r="R236" s="54" t="n">
        <f aca="false">D236*F236</f>
        <v>8205.02</v>
      </c>
      <c r="S236" s="56"/>
      <c r="U236" s="57" t="n">
        <f aca="false">ROUND(H236*100/P236-100,0)</f>
        <v>-3</v>
      </c>
      <c r="V236" s="57" t="n">
        <f aca="false">ROUND(K236*100/P236-100,0)</f>
        <v>3</v>
      </c>
      <c r="W236" s="57" t="n">
        <f aca="false">ROUND(N236*100/P236-100,0)</f>
        <v>-0</v>
      </c>
    </row>
    <row r="237" s="43" customFormat="true" ht="73.5" hidden="false" customHeight="true" outlineLevel="0" collapsed="false">
      <c r="A237" s="45" t="n">
        <v>233</v>
      </c>
      <c r="B237" s="46" t="s">
        <v>334</v>
      </c>
      <c r="C237" s="47" t="s">
        <v>25</v>
      </c>
      <c r="D237" s="48" t="s">
        <v>335</v>
      </c>
      <c r="E237" s="49" t="n">
        <v>150.19</v>
      </c>
      <c r="F237" s="50" t="n">
        <v>191.64</v>
      </c>
      <c r="G237" s="47" t="s">
        <v>27</v>
      </c>
      <c r="H237" s="52" t="n">
        <f aca="false">224.62/1.2</f>
        <v>187.183333333333</v>
      </c>
      <c r="I237" s="53" t="n">
        <f aca="false">D237*H237</f>
        <v>1123.1</v>
      </c>
      <c r="J237" s="53" t="s">
        <v>28</v>
      </c>
      <c r="K237" s="52" t="n">
        <v>196.75</v>
      </c>
      <c r="L237" s="53" t="n">
        <f aca="false">D237*K237</f>
        <v>1180.5</v>
      </c>
      <c r="M237" s="48" t="s">
        <v>29</v>
      </c>
      <c r="N237" s="52" t="n">
        <v>199.8</v>
      </c>
      <c r="O237" s="53" t="n">
        <f aca="false">D237*N237</f>
        <v>1198.8</v>
      </c>
      <c r="P237" s="54" t="n">
        <f aca="false">AVERAGE(H237,K237,N237)</f>
        <v>194.577777777778</v>
      </c>
      <c r="Q237" s="55" t="n">
        <f aca="false">F237*100/P237-100</f>
        <v>-1.509821836455</v>
      </c>
      <c r="R237" s="54" t="n">
        <f aca="false">D237*F237</f>
        <v>1149.84</v>
      </c>
      <c r="S237" s="56"/>
      <c r="U237" s="57" t="n">
        <f aca="false">ROUND(H237*100/P237-100,0)</f>
        <v>-4</v>
      </c>
      <c r="V237" s="57" t="n">
        <f aca="false">ROUND(K237*100/P237-100,0)</f>
        <v>1</v>
      </c>
      <c r="W237" s="57" t="n">
        <f aca="false">ROUND(N237*100/P237-100,0)</f>
        <v>3</v>
      </c>
    </row>
    <row r="238" s="43" customFormat="true" ht="73.5" hidden="false" customHeight="true" outlineLevel="0" collapsed="false">
      <c r="A238" s="45" t="n">
        <v>234</v>
      </c>
      <c r="B238" s="46" t="s">
        <v>336</v>
      </c>
      <c r="C238" s="47" t="s">
        <v>25</v>
      </c>
      <c r="D238" s="48" t="n">
        <v>6</v>
      </c>
      <c r="E238" s="49" t="n">
        <v>13427.24</v>
      </c>
      <c r="F238" s="50" t="n">
        <v>15489.62</v>
      </c>
      <c r="G238" s="47" t="s">
        <v>27</v>
      </c>
      <c r="H238" s="52" t="n">
        <f aca="false">18284.58/1.2</f>
        <v>15237.15</v>
      </c>
      <c r="I238" s="53" t="n">
        <f aca="false">D238*H238</f>
        <v>91422.9</v>
      </c>
      <c r="J238" s="53" t="s">
        <v>28</v>
      </c>
      <c r="K238" s="52" t="n">
        <v>15870.63</v>
      </c>
      <c r="L238" s="53" t="n">
        <f aca="false">D238*K238</f>
        <v>95223.78</v>
      </c>
      <c r="M238" s="48" t="s">
        <v>29</v>
      </c>
      <c r="N238" s="52" t="n">
        <v>16020.61</v>
      </c>
      <c r="O238" s="53" t="n">
        <f aca="false">D238*N238</f>
        <v>96123.66</v>
      </c>
      <c r="P238" s="54" t="n">
        <f aca="false">AVERAGE(H238,K238,N238)</f>
        <v>15709.4633333333</v>
      </c>
      <c r="Q238" s="55" t="n">
        <f aca="false">F238*100/P238-100</f>
        <v>-1.39943248644819</v>
      </c>
      <c r="R238" s="54" t="n">
        <f aca="false">D238*F238</f>
        <v>92937.72</v>
      </c>
      <c r="S238" s="56"/>
      <c r="U238" s="57" t="n">
        <f aca="false">ROUND(H238*100/P238-100,0)</f>
        <v>-3</v>
      </c>
      <c r="V238" s="57" t="n">
        <f aca="false">ROUND(K238*100/P238-100,0)</f>
        <v>1</v>
      </c>
      <c r="W238" s="57" t="n">
        <f aca="false">ROUND(N238*100/P238-100,0)</f>
        <v>2</v>
      </c>
    </row>
    <row r="239" s="43" customFormat="true" ht="73.5" hidden="false" customHeight="true" outlineLevel="0" collapsed="false">
      <c r="A239" s="45" t="n">
        <v>235</v>
      </c>
      <c r="B239" s="46" t="s">
        <v>337</v>
      </c>
      <c r="C239" s="47" t="s">
        <v>45</v>
      </c>
      <c r="D239" s="48" t="n">
        <v>40</v>
      </c>
      <c r="E239" s="49" t="n">
        <v>2327.59</v>
      </c>
      <c r="F239" s="50" t="n">
        <v>3124.7</v>
      </c>
      <c r="G239" s="51" t="s">
        <v>90</v>
      </c>
      <c r="H239" s="52" t="n">
        <v>3607.24</v>
      </c>
      <c r="I239" s="53" t="n">
        <f aca="false">D239*H239</f>
        <v>144289.6</v>
      </c>
      <c r="J239" s="47" t="s">
        <v>338</v>
      </c>
      <c r="K239" s="52" t="n">
        <v>2575.7</v>
      </c>
      <c r="L239" s="53" t="n">
        <f aca="false">D239*K239</f>
        <v>103028</v>
      </c>
      <c r="M239" s="51" t="s">
        <v>339</v>
      </c>
      <c r="N239" s="52" t="n">
        <v>3370</v>
      </c>
      <c r="O239" s="53" t="n">
        <f aca="false">D239*N239</f>
        <v>134800</v>
      </c>
      <c r="P239" s="54" t="n">
        <f aca="false">AVERAGE(H239,K239,N239)</f>
        <v>3184.31333333333</v>
      </c>
      <c r="Q239" s="55" t="n">
        <f aca="false">F239*100/P239-100</f>
        <v>-1.87209382661253</v>
      </c>
      <c r="R239" s="54" t="n">
        <f aca="false">D239*F239</f>
        <v>124988</v>
      </c>
      <c r="S239" s="56"/>
      <c r="U239" s="57" t="n">
        <f aca="false">ROUND(H239*100/P239-100,0)</f>
        <v>13</v>
      </c>
      <c r="V239" s="57" t="n">
        <f aca="false">ROUND(K239*100/P239-100,0)</f>
        <v>-19</v>
      </c>
      <c r="W239" s="57" t="n">
        <f aca="false">ROUND(N239*100/P239-100,0)</f>
        <v>6</v>
      </c>
    </row>
    <row r="240" s="43" customFormat="true" ht="73.5" hidden="false" customHeight="true" outlineLevel="0" collapsed="false">
      <c r="A240" s="45" t="n">
        <v>236</v>
      </c>
      <c r="B240" s="46" t="s">
        <v>340</v>
      </c>
      <c r="C240" s="47" t="s">
        <v>25</v>
      </c>
      <c r="D240" s="48" t="n">
        <v>10</v>
      </c>
      <c r="E240" s="49" t="n">
        <v>1273.05</v>
      </c>
      <c r="F240" s="50" t="n">
        <v>2334.68</v>
      </c>
      <c r="G240" s="47" t="s">
        <v>27</v>
      </c>
      <c r="H240" s="52" t="n">
        <f aca="false">2872.8/1.2</f>
        <v>2394</v>
      </c>
      <c r="I240" s="53" t="n">
        <f aca="false">D240*H240</f>
        <v>23940</v>
      </c>
      <c r="J240" s="53" t="s">
        <v>28</v>
      </c>
      <c r="K240" s="52" t="n">
        <v>2254.9</v>
      </c>
      <c r="L240" s="53" t="n">
        <f aca="false">D240*K240</f>
        <v>22549</v>
      </c>
      <c r="M240" s="48" t="s">
        <v>29</v>
      </c>
      <c r="N240" s="52" t="n">
        <v>2467.66</v>
      </c>
      <c r="O240" s="53" t="n">
        <f aca="false">D240*N240</f>
        <v>24676.6</v>
      </c>
      <c r="P240" s="54" t="n">
        <f aca="false">AVERAGE(H240,K240,N240)</f>
        <v>2372.18666666667</v>
      </c>
      <c r="Q240" s="55" t="n">
        <f aca="false">F240*100/P240-100</f>
        <v>-1.58110098137304</v>
      </c>
      <c r="R240" s="54" t="n">
        <f aca="false">D240*F240</f>
        <v>23346.8</v>
      </c>
      <c r="S240" s="56"/>
      <c r="U240" s="57" t="n">
        <f aca="false">ROUND(H240*100/P240-100,0)</f>
        <v>1</v>
      </c>
      <c r="V240" s="57" t="n">
        <f aca="false">ROUND(K240*100/P240-100,0)</f>
        <v>-5</v>
      </c>
      <c r="W240" s="57" t="n">
        <f aca="false">ROUND(N240*100/P240-100,0)</f>
        <v>4</v>
      </c>
    </row>
    <row r="241" s="43" customFormat="true" ht="73.5" hidden="false" customHeight="true" outlineLevel="0" collapsed="false">
      <c r="A241" s="45" t="n">
        <v>237</v>
      </c>
      <c r="B241" s="46" t="s">
        <v>341</v>
      </c>
      <c r="C241" s="47" t="s">
        <v>25</v>
      </c>
      <c r="D241" s="48" t="s">
        <v>342</v>
      </c>
      <c r="E241" s="49" t="s">
        <v>26</v>
      </c>
      <c r="F241" s="50" t="n">
        <v>21782.44</v>
      </c>
      <c r="G241" s="47" t="s">
        <v>27</v>
      </c>
      <c r="H241" s="52" t="n">
        <f aca="false">25573/1.2</f>
        <v>21310.8333333333</v>
      </c>
      <c r="I241" s="53" t="n">
        <f aca="false">D241*H241</f>
        <v>1704866.66666667</v>
      </c>
      <c r="J241" s="53" t="s">
        <v>28</v>
      </c>
      <c r="K241" s="52" t="n">
        <v>21971.58</v>
      </c>
      <c r="L241" s="53" t="n">
        <f aca="false">D241*K241</f>
        <v>1757726.4</v>
      </c>
      <c r="M241" s="48" t="s">
        <v>29</v>
      </c>
      <c r="N241" s="52" t="n">
        <v>22150.4</v>
      </c>
      <c r="O241" s="53" t="n">
        <f aca="false">D241*N241</f>
        <v>1772032</v>
      </c>
      <c r="P241" s="54" t="n">
        <f aca="false">AVERAGE(H241,K241,N241)</f>
        <v>21810.9377777778</v>
      </c>
      <c r="Q241" s="55" t="n">
        <f aca="false">F241*100/P241-100</f>
        <v>-0.130658195755416</v>
      </c>
      <c r="R241" s="54" t="n">
        <f aca="false">D241*F241</f>
        <v>1742595.2</v>
      </c>
      <c r="S241" s="56"/>
      <c r="U241" s="57" t="n">
        <f aca="false">ROUND(H241*100/P241-100,0)</f>
        <v>-2</v>
      </c>
      <c r="V241" s="57" t="n">
        <f aca="false">ROUND(K241*100/P241-100,0)</f>
        <v>1</v>
      </c>
      <c r="W241" s="57" t="n">
        <f aca="false">ROUND(N241*100/P241-100,0)</f>
        <v>2</v>
      </c>
    </row>
    <row r="242" s="43" customFormat="true" ht="73.5" hidden="false" customHeight="true" outlineLevel="0" collapsed="false">
      <c r="A242" s="45" t="n">
        <v>238</v>
      </c>
      <c r="B242" s="46" t="s">
        <v>343</v>
      </c>
      <c r="C242" s="47" t="s">
        <v>25</v>
      </c>
      <c r="D242" s="48" t="n">
        <v>10</v>
      </c>
      <c r="E242" s="49" t="s">
        <v>26</v>
      </c>
      <c r="F242" s="50" t="n">
        <v>1394.8</v>
      </c>
      <c r="G242" s="47" t="s">
        <v>27</v>
      </c>
      <c r="H242" s="52" t="n">
        <f aca="false">1586.38/1.2</f>
        <v>1321.98333333333</v>
      </c>
      <c r="I242" s="53" t="n">
        <f aca="false">D242*H242</f>
        <v>13219.8333333333</v>
      </c>
      <c r="J242" s="53" t="s">
        <v>28</v>
      </c>
      <c r="K242" s="52" t="n">
        <v>1501.2</v>
      </c>
      <c r="L242" s="53" t="n">
        <f aca="false">D242*K242</f>
        <v>15012</v>
      </c>
      <c r="M242" s="48" t="s">
        <v>29</v>
      </c>
      <c r="N242" s="52" t="n">
        <v>1452.7</v>
      </c>
      <c r="O242" s="53" t="n">
        <f aca="false">D242*N242</f>
        <v>14527</v>
      </c>
      <c r="P242" s="54" t="n">
        <f aca="false">AVERAGE(H242,K242,N242)</f>
        <v>1425.29444444444</v>
      </c>
      <c r="Q242" s="55" t="n">
        <f aca="false">F242*100/P242-100</f>
        <v>-2.13951892981177</v>
      </c>
      <c r="R242" s="54" t="n">
        <f aca="false">D242*F242</f>
        <v>13948</v>
      </c>
      <c r="S242" s="56"/>
      <c r="U242" s="57" t="n">
        <f aca="false">ROUND(H242*100/P242-100,0)</f>
        <v>-7</v>
      </c>
      <c r="V242" s="57" t="n">
        <f aca="false">ROUND(K242*100/P242-100,0)</f>
        <v>5</v>
      </c>
      <c r="W242" s="57" t="n">
        <f aca="false">ROUND(N242*100/P242-100,0)</f>
        <v>2</v>
      </c>
    </row>
    <row r="243" s="43" customFormat="true" ht="73.5" hidden="false" customHeight="true" outlineLevel="0" collapsed="false">
      <c r="A243" s="45" t="n">
        <v>239</v>
      </c>
      <c r="B243" s="46" t="s">
        <v>344</v>
      </c>
      <c r="C243" s="47" t="s">
        <v>25</v>
      </c>
      <c r="D243" s="48" t="n">
        <v>2</v>
      </c>
      <c r="E243" s="49" t="n">
        <v>9167.12</v>
      </c>
      <c r="F243" s="50" t="n">
        <v>10840.24</v>
      </c>
      <c r="G243" s="47" t="s">
        <v>27</v>
      </c>
      <c r="H243" s="52" t="n">
        <f aca="false">12749.04/1.2</f>
        <v>10624.2</v>
      </c>
      <c r="I243" s="53" t="n">
        <f aca="false">D243*H243</f>
        <v>21248.4</v>
      </c>
      <c r="J243" s="53" t="s">
        <v>28</v>
      </c>
      <c r="K243" s="52" t="n">
        <v>11205.5</v>
      </c>
      <c r="L243" s="53" t="n">
        <f aca="false">D243*K243</f>
        <v>22411</v>
      </c>
      <c r="M243" s="48" t="s">
        <v>29</v>
      </c>
      <c r="N243" s="52" t="n">
        <v>10800.9</v>
      </c>
      <c r="O243" s="53" t="n">
        <f aca="false">D243*N243</f>
        <v>21601.8</v>
      </c>
      <c r="P243" s="54" t="n">
        <f aca="false">AVERAGE(H243,K243,N243)</f>
        <v>10876.8666666667</v>
      </c>
      <c r="Q243" s="55" t="n">
        <f aca="false">F243*100/P243-100</f>
        <v>-0.336739134432094</v>
      </c>
      <c r="R243" s="54" t="n">
        <f aca="false">D243*F243</f>
        <v>21680.48</v>
      </c>
      <c r="S243" s="56"/>
      <c r="U243" s="57" t="n">
        <f aca="false">ROUND(H243*100/P243-100,0)</f>
        <v>-2</v>
      </c>
      <c r="V243" s="57" t="n">
        <f aca="false">ROUND(K243*100/P243-100,0)</f>
        <v>3</v>
      </c>
      <c r="W243" s="57" t="n">
        <f aca="false">ROUND(N243*100/P243-100,0)</f>
        <v>-1</v>
      </c>
    </row>
    <row r="244" s="43" customFormat="true" ht="73.5" hidden="false" customHeight="true" outlineLevel="0" collapsed="false">
      <c r="A244" s="45" t="n">
        <v>240</v>
      </c>
      <c r="B244" s="46" t="s">
        <v>345</v>
      </c>
      <c r="C244" s="47" t="s">
        <v>25</v>
      </c>
      <c r="D244" s="48" t="n">
        <v>3</v>
      </c>
      <c r="E244" s="49" t="s">
        <v>26</v>
      </c>
      <c r="F244" s="50" t="n">
        <v>6897.64</v>
      </c>
      <c r="G244" s="47" t="s">
        <v>27</v>
      </c>
      <c r="H244" s="52" t="n">
        <f aca="false">8062.43/1.2</f>
        <v>6718.69166666667</v>
      </c>
      <c r="I244" s="53" t="n">
        <f aca="false">D244*H244</f>
        <v>20156.075</v>
      </c>
      <c r="J244" s="53" t="s">
        <v>28</v>
      </c>
      <c r="K244" s="52" t="n">
        <v>7211.8</v>
      </c>
      <c r="L244" s="53" t="n">
        <f aca="false">D244*K244</f>
        <v>21635.4</v>
      </c>
      <c r="M244" s="48" t="s">
        <v>29</v>
      </c>
      <c r="N244" s="52" t="n">
        <v>6897.87</v>
      </c>
      <c r="O244" s="53" t="n">
        <f aca="false">D244*N244</f>
        <v>20693.61</v>
      </c>
      <c r="P244" s="54" t="n">
        <f aca="false">AVERAGE(H244,K244,N244)</f>
        <v>6942.78722222222</v>
      </c>
      <c r="Q244" s="55" t="n">
        <f aca="false">F244*100/P244-100</f>
        <v>-0.650275181669358</v>
      </c>
      <c r="R244" s="54" t="n">
        <f aca="false">D244*F244</f>
        <v>20692.92</v>
      </c>
      <c r="S244" s="56"/>
      <c r="U244" s="57" t="n">
        <f aca="false">ROUND(H244*100/P244-100,0)</f>
        <v>-3</v>
      </c>
      <c r="V244" s="57" t="n">
        <f aca="false">ROUND(K244*100/P244-100,0)</f>
        <v>4</v>
      </c>
      <c r="W244" s="57" t="n">
        <f aca="false">ROUND(N244*100/P244-100,0)</f>
        <v>-1</v>
      </c>
    </row>
    <row r="245" s="43" customFormat="true" ht="73.5" hidden="false" customHeight="true" outlineLevel="0" collapsed="false">
      <c r="A245" s="45" t="n">
        <v>241</v>
      </c>
      <c r="B245" s="46" t="s">
        <v>346</v>
      </c>
      <c r="C245" s="47" t="s">
        <v>25</v>
      </c>
      <c r="D245" s="48" t="n">
        <v>20</v>
      </c>
      <c r="E245" s="49" t="n">
        <v>5743.19</v>
      </c>
      <c r="F245" s="50" t="n">
        <v>5997.3</v>
      </c>
      <c r="G245" s="47" t="s">
        <v>27</v>
      </c>
      <c r="H245" s="52" t="n">
        <f aca="false">6964.01/1.2</f>
        <v>5803.34166666667</v>
      </c>
      <c r="I245" s="53" t="n">
        <f aca="false">D245*H245</f>
        <v>116066.833333333</v>
      </c>
      <c r="J245" s="53" t="s">
        <v>28</v>
      </c>
      <c r="K245" s="52" t="n">
        <v>6025.6</v>
      </c>
      <c r="L245" s="53" t="n">
        <f aca="false">D245*K245</f>
        <v>120512</v>
      </c>
      <c r="M245" s="48" t="s">
        <v>29</v>
      </c>
      <c r="N245" s="52" t="n">
        <v>6300.1</v>
      </c>
      <c r="O245" s="53" t="n">
        <f aca="false">D245*N245</f>
        <v>126002</v>
      </c>
      <c r="P245" s="54" t="n">
        <f aca="false">AVERAGE(H245,K245,N245)</f>
        <v>6043.01388888889</v>
      </c>
      <c r="Q245" s="55" t="n">
        <f aca="false">F245*100/P245-100</f>
        <v>-0.756474992932624</v>
      </c>
      <c r="R245" s="54" t="n">
        <f aca="false">D245*F245</f>
        <v>119946</v>
      </c>
      <c r="S245" s="56"/>
      <c r="U245" s="57" t="n">
        <f aca="false">ROUND(H245*100/P245-100,0)</f>
        <v>-4</v>
      </c>
      <c r="V245" s="57" t="n">
        <f aca="false">ROUND(K245*100/P245-100,0)</f>
        <v>-0</v>
      </c>
      <c r="W245" s="57" t="n">
        <f aca="false">ROUND(N245*100/P245-100,0)</f>
        <v>4</v>
      </c>
    </row>
    <row r="246" s="43" customFormat="true" ht="73.5" hidden="false" customHeight="true" outlineLevel="0" collapsed="false">
      <c r="A246" s="45" t="n">
        <v>242</v>
      </c>
      <c r="B246" s="46" t="s">
        <v>347</v>
      </c>
      <c r="C246" s="47" t="s">
        <v>25</v>
      </c>
      <c r="D246" s="48" t="n">
        <v>2</v>
      </c>
      <c r="E246" s="49" t="n">
        <v>14620.92</v>
      </c>
      <c r="F246" s="50" t="n">
        <v>23347.6</v>
      </c>
      <c r="G246" s="47" t="s">
        <v>27</v>
      </c>
      <c r="H246" s="52" t="n">
        <f aca="false">27973.25/1.2</f>
        <v>23311.0416666667</v>
      </c>
      <c r="I246" s="53" t="n">
        <f aca="false">D246*H246</f>
        <v>46622.0833333333</v>
      </c>
      <c r="J246" s="53" t="s">
        <v>28</v>
      </c>
      <c r="K246" s="52" t="n">
        <v>24500.6</v>
      </c>
      <c r="L246" s="53" t="n">
        <f aca="false">D246*K246</f>
        <v>49001.2</v>
      </c>
      <c r="M246" s="48" t="s">
        <v>29</v>
      </c>
      <c r="N246" s="52" t="n">
        <v>22940.3</v>
      </c>
      <c r="O246" s="53" t="n">
        <f aca="false">D246*N246</f>
        <v>45880.6</v>
      </c>
      <c r="P246" s="54" t="n">
        <f aca="false">AVERAGE(H246,K246,N246)</f>
        <v>23583.9805555556</v>
      </c>
      <c r="Q246" s="55" t="n">
        <f aca="false">F246*100/P246-100</f>
        <v>-1.00229286993654</v>
      </c>
      <c r="R246" s="54" t="n">
        <f aca="false">D246*F246</f>
        <v>46695.2</v>
      </c>
      <c r="S246" s="56"/>
      <c r="U246" s="57" t="n">
        <f aca="false">ROUND(H246*100/P246-100,0)</f>
        <v>-1</v>
      </c>
      <c r="V246" s="57" t="n">
        <f aca="false">ROUND(K246*100/P246-100,0)</f>
        <v>4</v>
      </c>
      <c r="W246" s="57" t="n">
        <f aca="false">ROUND(N246*100/P246-100,0)</f>
        <v>-3</v>
      </c>
    </row>
    <row r="247" s="43" customFormat="true" ht="73.5" hidden="false" customHeight="true" outlineLevel="0" collapsed="false">
      <c r="A247" s="45" t="n">
        <v>243</v>
      </c>
      <c r="B247" s="46" t="s">
        <v>348</v>
      </c>
      <c r="C247" s="47" t="s">
        <v>25</v>
      </c>
      <c r="D247" s="48" t="n">
        <v>2</v>
      </c>
      <c r="E247" s="49" t="n">
        <v>5492.67</v>
      </c>
      <c r="F247" s="50" t="n">
        <v>6190.72</v>
      </c>
      <c r="G247" s="47" t="s">
        <v>27</v>
      </c>
      <c r="H247" s="52" t="n">
        <f aca="false">7415.29/1.2</f>
        <v>6179.40833333333</v>
      </c>
      <c r="I247" s="53" t="n">
        <f aca="false">D247*H247</f>
        <v>12358.8166666667</v>
      </c>
      <c r="J247" s="53" t="s">
        <v>28</v>
      </c>
      <c r="K247" s="52" t="n">
        <v>6487.33</v>
      </c>
      <c r="L247" s="53" t="n">
        <f aca="false">D247*K247</f>
        <v>12974.66</v>
      </c>
      <c r="M247" s="48" t="s">
        <v>29</v>
      </c>
      <c r="N247" s="52" t="n">
        <v>6150.7</v>
      </c>
      <c r="O247" s="53" t="n">
        <f aca="false">D247*N247</f>
        <v>12301.4</v>
      </c>
      <c r="P247" s="54" t="n">
        <f aca="false">AVERAGE(H247,K247,N247)</f>
        <v>6272.47944444444</v>
      </c>
      <c r="Q247" s="55" t="n">
        <f aca="false">F247*100/P247-100</f>
        <v>-1.30346293150245</v>
      </c>
      <c r="R247" s="54" t="n">
        <f aca="false">D247*F247</f>
        <v>12381.44</v>
      </c>
      <c r="S247" s="56"/>
      <c r="U247" s="57" t="n">
        <f aca="false">ROUND(H247*100/P247-100,0)</f>
        <v>-1</v>
      </c>
      <c r="V247" s="57" t="n">
        <f aca="false">ROUND(K247*100/P247-100,0)</f>
        <v>3</v>
      </c>
      <c r="W247" s="57" t="n">
        <f aca="false">ROUND(N247*100/P247-100,0)</f>
        <v>-2</v>
      </c>
    </row>
    <row r="248" s="43" customFormat="true" ht="73.5" hidden="false" customHeight="true" outlineLevel="0" collapsed="false">
      <c r="A248" s="45" t="n">
        <v>244</v>
      </c>
      <c r="B248" s="46" t="s">
        <v>349</v>
      </c>
      <c r="C248" s="47" t="s">
        <v>25</v>
      </c>
      <c r="D248" s="48" t="n">
        <v>4</v>
      </c>
      <c r="E248" s="49" t="n">
        <v>14242.03</v>
      </c>
      <c r="F248" s="50" t="n">
        <v>17148.68</v>
      </c>
      <c r="G248" s="47" t="s">
        <v>27</v>
      </c>
      <c r="H248" s="52" t="n">
        <f aca="false">20589.76/1.2</f>
        <v>17158.1333333333</v>
      </c>
      <c r="I248" s="53" t="n">
        <f aca="false">D248*H248</f>
        <v>68632.5333333333</v>
      </c>
      <c r="J248" s="53" t="s">
        <v>28</v>
      </c>
      <c r="K248" s="52" t="n">
        <v>17011.2</v>
      </c>
      <c r="L248" s="53" t="n">
        <f aca="false">D248*K248</f>
        <v>68044.8</v>
      </c>
      <c r="M248" s="48" t="s">
        <v>29</v>
      </c>
      <c r="N248" s="52" t="n">
        <v>17540.9</v>
      </c>
      <c r="O248" s="53" t="n">
        <f aca="false">D248*N248</f>
        <v>70163.6</v>
      </c>
      <c r="P248" s="54" t="n">
        <f aca="false">AVERAGE(H248,K248,N248)</f>
        <v>17236.7444444444</v>
      </c>
      <c r="Q248" s="55" t="n">
        <f aca="false">F248*100/P248-100</f>
        <v>-0.510911122040966</v>
      </c>
      <c r="R248" s="54" t="n">
        <f aca="false">D248*F248</f>
        <v>68594.72</v>
      </c>
      <c r="S248" s="56"/>
      <c r="U248" s="57" t="n">
        <f aca="false">ROUND(H248*100/P248-100,0)</f>
        <v>-0</v>
      </c>
      <c r="V248" s="57" t="n">
        <f aca="false">ROUND(K248*100/P248-100,0)</f>
        <v>-1</v>
      </c>
      <c r="W248" s="57" t="n">
        <f aca="false">ROUND(N248*100/P248-100,0)</f>
        <v>2</v>
      </c>
    </row>
    <row r="249" s="43" customFormat="true" ht="73.5" hidden="false" customHeight="true" outlineLevel="0" collapsed="false">
      <c r="A249" s="45" t="n">
        <v>245</v>
      </c>
      <c r="B249" s="46" t="s">
        <v>350</v>
      </c>
      <c r="C249" s="47" t="s">
        <v>25</v>
      </c>
      <c r="D249" s="48" t="n">
        <v>30</v>
      </c>
      <c r="E249" s="49" t="n">
        <v>908.32</v>
      </c>
      <c r="F249" s="50" t="n">
        <v>1243.98</v>
      </c>
      <c r="G249" s="47" t="s">
        <v>27</v>
      </c>
      <c r="H249" s="52" t="n">
        <f aca="false">1554.7/1.2</f>
        <v>1295.58333333333</v>
      </c>
      <c r="I249" s="53" t="n">
        <f aca="false">D249*H249</f>
        <v>38867.5</v>
      </c>
      <c r="J249" s="53" t="s">
        <v>28</v>
      </c>
      <c r="K249" s="52" t="n">
        <v>1315.14</v>
      </c>
      <c r="L249" s="53" t="n">
        <f aca="false">D249*K249</f>
        <v>39454.2</v>
      </c>
      <c r="M249" s="48" t="s">
        <v>29</v>
      </c>
      <c r="N249" s="52" t="n">
        <v>1205.4</v>
      </c>
      <c r="O249" s="53" t="n">
        <f aca="false">D249*N249</f>
        <v>36162</v>
      </c>
      <c r="P249" s="54" t="n">
        <f aca="false">AVERAGE(H249,K249,N249)</f>
        <v>1272.04111111111</v>
      </c>
      <c r="Q249" s="55" t="n">
        <f aca="false">F249*100/P249-100</f>
        <v>-2.20599089652066</v>
      </c>
      <c r="R249" s="54" t="n">
        <f aca="false">D249*F249</f>
        <v>37319.4</v>
      </c>
      <c r="S249" s="56"/>
      <c r="U249" s="57" t="n">
        <f aca="false">ROUND(H249*100/P249-100,0)</f>
        <v>2</v>
      </c>
      <c r="V249" s="57" t="n">
        <f aca="false">ROUND(K249*100/P249-100,0)</f>
        <v>3</v>
      </c>
      <c r="W249" s="57" t="n">
        <f aca="false">ROUND(N249*100/P249-100,0)</f>
        <v>-5</v>
      </c>
    </row>
    <row r="250" s="43" customFormat="true" ht="73.5" hidden="false" customHeight="true" outlineLevel="0" collapsed="false">
      <c r="A250" s="45" t="n">
        <v>246</v>
      </c>
      <c r="B250" s="46" t="s">
        <v>351</v>
      </c>
      <c r="C250" s="47" t="s">
        <v>25</v>
      </c>
      <c r="D250" s="48" t="n">
        <v>28</v>
      </c>
      <c r="E250" s="49" t="n">
        <v>538.14</v>
      </c>
      <c r="F250" s="50" t="n">
        <v>582.31</v>
      </c>
      <c r="G250" s="47" t="s">
        <v>27</v>
      </c>
      <c r="H250" s="52" t="n">
        <f aca="false">665.84/1.2</f>
        <v>554.866666666667</v>
      </c>
      <c r="I250" s="53" t="n">
        <f aca="false">D250*H250</f>
        <v>15536.2666666667</v>
      </c>
      <c r="J250" s="53" t="s">
        <v>28</v>
      </c>
      <c r="K250" s="52" t="n">
        <v>597.45</v>
      </c>
      <c r="L250" s="53" t="n">
        <f aca="false">D250*K250</f>
        <v>16728.6</v>
      </c>
      <c r="M250" s="48" t="s">
        <v>29</v>
      </c>
      <c r="N250" s="52" t="n">
        <v>611.65</v>
      </c>
      <c r="O250" s="53" t="n">
        <f aca="false">D250*N250</f>
        <v>17126.2</v>
      </c>
      <c r="P250" s="54" t="n">
        <f aca="false">AVERAGE(H250,K250,N250)</f>
        <v>587.988888888889</v>
      </c>
      <c r="Q250" s="55" t="n">
        <f aca="false">F250*100/P250-100</f>
        <v>-0.96581568056844</v>
      </c>
      <c r="R250" s="54" t="n">
        <f aca="false">D250*F250</f>
        <v>16304.68</v>
      </c>
      <c r="S250" s="56"/>
      <c r="U250" s="57" t="n">
        <f aca="false">ROUND(H250*100/P250-100,0)</f>
        <v>-6</v>
      </c>
      <c r="V250" s="57" t="n">
        <f aca="false">ROUND(K250*100/P250-100,0)</f>
        <v>2</v>
      </c>
      <c r="W250" s="57" t="n">
        <f aca="false">ROUND(N250*100/P250-100,0)</f>
        <v>4</v>
      </c>
    </row>
    <row r="251" s="43" customFormat="true" ht="73.5" hidden="false" customHeight="true" outlineLevel="0" collapsed="false">
      <c r="A251" s="45" t="n">
        <v>247</v>
      </c>
      <c r="B251" s="46" t="s">
        <v>352</v>
      </c>
      <c r="C251" s="47" t="s">
        <v>25</v>
      </c>
      <c r="D251" s="48" t="s">
        <v>353</v>
      </c>
      <c r="E251" s="49" t="n">
        <v>5021.69</v>
      </c>
      <c r="F251" s="50" t="n">
        <v>6401.45</v>
      </c>
      <c r="G251" s="47" t="s">
        <v>27</v>
      </c>
      <c r="H251" s="52" t="n">
        <f aca="false">7634.96/1.2</f>
        <v>6362.46666666667</v>
      </c>
      <c r="I251" s="53" t="n">
        <f aca="false">D251*H251</f>
        <v>101799.466666667</v>
      </c>
      <c r="J251" s="53" t="s">
        <v>28</v>
      </c>
      <c r="K251" s="52" t="n">
        <v>6500.77</v>
      </c>
      <c r="L251" s="53" t="n">
        <f aca="false">D251*K251</f>
        <v>104012.32</v>
      </c>
      <c r="M251" s="48" t="s">
        <v>29</v>
      </c>
      <c r="N251" s="52" t="n">
        <v>6412.9</v>
      </c>
      <c r="O251" s="53" t="n">
        <f aca="false">D251*N251</f>
        <v>102606.4</v>
      </c>
      <c r="P251" s="54" t="n">
        <f aca="false">AVERAGE(H251,K251,N251)</f>
        <v>6425.37888888889</v>
      </c>
      <c r="Q251" s="55" t="n">
        <f aca="false">F251*100/P251-100</f>
        <v>-0.372412106782804</v>
      </c>
      <c r="R251" s="54" t="n">
        <f aca="false">D251*F251</f>
        <v>102423.2</v>
      </c>
      <c r="S251" s="56"/>
      <c r="U251" s="57" t="n">
        <f aca="false">ROUND(H251*100/P251-100,0)</f>
        <v>-1</v>
      </c>
      <c r="V251" s="57" t="n">
        <f aca="false">ROUND(K251*100/P251-100,0)</f>
        <v>1</v>
      </c>
      <c r="W251" s="57" t="n">
        <f aca="false">ROUND(N251*100/P251-100,0)</f>
        <v>-0</v>
      </c>
    </row>
    <row r="252" s="43" customFormat="true" ht="73.5" hidden="false" customHeight="true" outlineLevel="0" collapsed="false">
      <c r="A252" s="45" t="n">
        <v>248</v>
      </c>
      <c r="B252" s="46" t="s">
        <v>354</v>
      </c>
      <c r="C252" s="47" t="s">
        <v>25</v>
      </c>
      <c r="D252" s="48" t="n">
        <v>9</v>
      </c>
      <c r="E252" s="49" t="n">
        <v>5408.87</v>
      </c>
      <c r="F252" s="50" t="n">
        <v>6620.5</v>
      </c>
      <c r="G252" s="47" t="s">
        <v>27</v>
      </c>
      <c r="H252" s="52" t="n">
        <f aca="false">7723.18/1.2</f>
        <v>6435.98333333333</v>
      </c>
      <c r="I252" s="53" t="n">
        <f aca="false">D252*H252</f>
        <v>57923.85</v>
      </c>
      <c r="J252" s="53" t="s">
        <v>28</v>
      </c>
      <c r="K252" s="52" t="n">
        <v>6705.7</v>
      </c>
      <c r="L252" s="53" t="n">
        <f aca="false">D252*K252</f>
        <v>60351.3</v>
      </c>
      <c r="M252" s="48" t="s">
        <v>29</v>
      </c>
      <c r="N252" s="52" t="n">
        <v>6944.66</v>
      </c>
      <c r="O252" s="53" t="n">
        <f aca="false">D252*N252</f>
        <v>62501.94</v>
      </c>
      <c r="P252" s="54" t="n">
        <f aca="false">AVERAGE(H252,K252,N252)</f>
        <v>6695.44777777778</v>
      </c>
      <c r="Q252" s="55" t="n">
        <f aca="false">F252*100/P252-100</f>
        <v>-1.11938409894751</v>
      </c>
      <c r="R252" s="54" t="n">
        <f aca="false">D252*F252</f>
        <v>59584.5</v>
      </c>
      <c r="S252" s="56"/>
      <c r="U252" s="57" t="n">
        <f aca="false">ROUND(H252*100/P252-100,0)</f>
        <v>-4</v>
      </c>
      <c r="V252" s="57" t="n">
        <f aca="false">ROUND(K252*100/P252-100,0)</f>
        <v>0</v>
      </c>
      <c r="W252" s="57" t="n">
        <f aca="false">ROUND(N252*100/P252-100,0)</f>
        <v>4</v>
      </c>
    </row>
    <row r="253" s="43" customFormat="true" ht="109.5" hidden="false" customHeight="true" outlineLevel="0" collapsed="false">
      <c r="A253" s="45" t="n">
        <v>249</v>
      </c>
      <c r="B253" s="46" t="s">
        <v>355</v>
      </c>
      <c r="C253" s="47" t="s">
        <v>25</v>
      </c>
      <c r="D253" s="48" t="s">
        <v>356</v>
      </c>
      <c r="E253" s="49" t="s">
        <v>26</v>
      </c>
      <c r="F253" s="50" t="n">
        <v>17795.68</v>
      </c>
      <c r="G253" s="47" t="s">
        <v>27</v>
      </c>
      <c r="H253" s="52" t="n">
        <v>17031.56</v>
      </c>
      <c r="I253" s="53" t="n">
        <f aca="false">D253*H253</f>
        <v>323599.64</v>
      </c>
      <c r="J253" s="53" t="s">
        <v>28</v>
      </c>
      <c r="K253" s="52" t="n">
        <v>17950.8</v>
      </c>
      <c r="L253" s="53" t="n">
        <f aca="false">D253*K253</f>
        <v>341065.2</v>
      </c>
      <c r="M253" s="48" t="s">
        <v>29</v>
      </c>
      <c r="N253" s="52" t="n">
        <v>18500.4</v>
      </c>
      <c r="O253" s="53" t="n">
        <f aca="false">D253*N253</f>
        <v>351507.6</v>
      </c>
      <c r="P253" s="54" t="n">
        <f aca="false">AVERAGE(H253,K253,N253)</f>
        <v>17827.5866666667</v>
      </c>
      <c r="Q253" s="55" t="n">
        <f aca="false">F253*100/P253-100</f>
        <v>-0.178973560825952</v>
      </c>
      <c r="R253" s="54" t="n">
        <f aca="false">D253*F253</f>
        <v>338117.92</v>
      </c>
      <c r="S253" s="56"/>
      <c r="U253" s="57" t="n">
        <f aca="false">ROUND(H253*100/P253-100,0)</f>
        <v>-4</v>
      </c>
      <c r="V253" s="57" t="n">
        <f aca="false">ROUND(K253*100/P253-100,0)</f>
        <v>1</v>
      </c>
      <c r="W253" s="57" t="n">
        <f aca="false">ROUND(N253*100/P253-100,0)</f>
        <v>4</v>
      </c>
    </row>
    <row r="254" s="43" customFormat="true" ht="73.5" hidden="false" customHeight="true" outlineLevel="0" collapsed="false">
      <c r="A254" s="45" t="n">
        <v>250</v>
      </c>
      <c r="B254" s="46" t="s">
        <v>357</v>
      </c>
      <c r="C254" s="47" t="s">
        <v>25</v>
      </c>
      <c r="D254" s="48" t="n">
        <v>186</v>
      </c>
      <c r="E254" s="49" t="s">
        <v>26</v>
      </c>
      <c r="F254" s="50" t="n">
        <v>6160.34</v>
      </c>
      <c r="G254" s="47" t="s">
        <v>27</v>
      </c>
      <c r="H254" s="52" t="n">
        <f aca="false">7116.72/1.2</f>
        <v>5930.6</v>
      </c>
      <c r="I254" s="53" t="n">
        <f aca="false">D254*H254</f>
        <v>1103091.6</v>
      </c>
      <c r="J254" s="53" t="s">
        <v>28</v>
      </c>
      <c r="K254" s="52" t="n">
        <v>6254.69</v>
      </c>
      <c r="L254" s="53" t="n">
        <f aca="false">D254*K254</f>
        <v>1163372.34</v>
      </c>
      <c r="M254" s="48" t="s">
        <v>29</v>
      </c>
      <c r="N254" s="52" t="n">
        <v>6411.33</v>
      </c>
      <c r="O254" s="53" t="n">
        <f aca="false">D254*N254</f>
        <v>1192507.38</v>
      </c>
      <c r="P254" s="54" t="n">
        <f aca="false">AVERAGE(H254,K254,N254)</f>
        <v>6198.87333333333</v>
      </c>
      <c r="Q254" s="55" t="n">
        <f aca="false">F254*100/P254-100</f>
        <v>-0.621618337095654</v>
      </c>
      <c r="R254" s="54" t="n">
        <f aca="false">D254*F254</f>
        <v>1145823.24</v>
      </c>
      <c r="S254" s="56"/>
      <c r="U254" s="57" t="n">
        <f aca="false">ROUND(H254*100/P254-100,0)</f>
        <v>-4</v>
      </c>
      <c r="V254" s="57" t="n">
        <f aca="false">ROUND(K254*100/P254-100,0)</f>
        <v>1</v>
      </c>
      <c r="W254" s="57" t="n">
        <f aca="false">ROUND(N254*100/P254-100,0)</f>
        <v>3</v>
      </c>
    </row>
    <row r="255" s="43" customFormat="true" ht="73.5" hidden="false" customHeight="true" outlineLevel="0" collapsed="false">
      <c r="A255" s="45" t="n">
        <v>251</v>
      </c>
      <c r="B255" s="46" t="s">
        <v>358</v>
      </c>
      <c r="C255" s="47" t="s">
        <v>25</v>
      </c>
      <c r="D255" s="48" t="n">
        <v>3</v>
      </c>
      <c r="E255" s="49" t="n">
        <v>579.41</v>
      </c>
      <c r="F255" s="50" t="n">
        <v>803.64</v>
      </c>
      <c r="G255" s="47" t="s">
        <v>27</v>
      </c>
      <c r="H255" s="52" t="n">
        <f aca="false">977.24/1.2</f>
        <v>814.366666666667</v>
      </c>
      <c r="I255" s="53" t="n">
        <f aca="false">D255*H255</f>
        <v>2443.1</v>
      </c>
      <c r="J255" s="53" t="s">
        <v>28</v>
      </c>
      <c r="K255" s="52" t="n">
        <v>847.5</v>
      </c>
      <c r="L255" s="53" t="n">
        <f aca="false">D255*K255</f>
        <v>2542.5</v>
      </c>
      <c r="M255" s="48" t="s">
        <v>29</v>
      </c>
      <c r="N255" s="52" t="n">
        <v>802.4</v>
      </c>
      <c r="O255" s="53" t="n">
        <f aca="false">D255*N255</f>
        <v>2407.2</v>
      </c>
      <c r="P255" s="54" t="n">
        <f aca="false">AVERAGE(H255,K255,N255)</f>
        <v>821.422222222222</v>
      </c>
      <c r="Q255" s="55" t="n">
        <f aca="false">F255*100/P255-100</f>
        <v>-2.16480900335461</v>
      </c>
      <c r="R255" s="54" t="n">
        <f aca="false">D255*F255</f>
        <v>2410.92</v>
      </c>
      <c r="S255" s="56"/>
      <c r="U255" s="57" t="n">
        <f aca="false">ROUND(H255*100/P255-100,0)</f>
        <v>-1</v>
      </c>
      <c r="V255" s="57" t="n">
        <f aca="false">ROUND(K255*100/P255-100,0)</f>
        <v>3</v>
      </c>
      <c r="W255" s="57" t="n">
        <f aca="false">ROUND(N255*100/P255-100,0)</f>
        <v>-2</v>
      </c>
    </row>
    <row r="256" s="43" customFormat="true" ht="73.5" hidden="false" customHeight="true" outlineLevel="0" collapsed="false">
      <c r="A256" s="45" t="n">
        <v>252</v>
      </c>
      <c r="B256" s="46" t="s">
        <v>359</v>
      </c>
      <c r="C256" s="47" t="s">
        <v>25</v>
      </c>
      <c r="D256" s="48" t="n">
        <v>5</v>
      </c>
      <c r="E256" s="49" t="n">
        <v>5309.58</v>
      </c>
      <c r="F256" s="50" t="n">
        <v>6504.74</v>
      </c>
      <c r="G256" s="47" t="s">
        <v>27</v>
      </c>
      <c r="H256" s="52" t="n">
        <f aca="false">7779.68/1.2</f>
        <v>6483.06666666667</v>
      </c>
      <c r="I256" s="53" t="n">
        <f aca="false">D256*H256</f>
        <v>32415.3333333333</v>
      </c>
      <c r="J256" s="53" t="s">
        <v>28</v>
      </c>
      <c r="K256" s="52" t="n">
        <v>6402.14</v>
      </c>
      <c r="L256" s="53" t="n">
        <f aca="false">D256*K256</f>
        <v>32010.7</v>
      </c>
      <c r="M256" s="48" t="s">
        <v>29</v>
      </c>
      <c r="N256" s="52" t="n">
        <v>6755.82</v>
      </c>
      <c r="O256" s="53" t="n">
        <f aca="false">D256*N256</f>
        <v>33779.1</v>
      </c>
      <c r="P256" s="54" t="n">
        <f aca="false">AVERAGE(H256,K256,N256)</f>
        <v>6547.00888888889</v>
      </c>
      <c r="Q256" s="55" t="n">
        <f aca="false">F256*100/P256-100</f>
        <v>-0.645621376207771</v>
      </c>
      <c r="R256" s="54" t="n">
        <f aca="false">D256*F256</f>
        <v>32523.7</v>
      </c>
      <c r="S256" s="56"/>
      <c r="U256" s="57" t="n">
        <f aca="false">ROUND(H256*100/P256-100,0)</f>
        <v>-1</v>
      </c>
      <c r="V256" s="57" t="n">
        <f aca="false">ROUND(K256*100/P256-100,0)</f>
        <v>-2</v>
      </c>
      <c r="W256" s="57" t="n">
        <f aca="false">ROUND(N256*100/P256-100,0)</f>
        <v>3</v>
      </c>
    </row>
    <row r="257" s="43" customFormat="true" ht="73.5" hidden="false" customHeight="true" outlineLevel="0" collapsed="false">
      <c r="A257" s="45" t="n">
        <v>253</v>
      </c>
      <c r="B257" s="46" t="s">
        <v>360</v>
      </c>
      <c r="C257" s="47" t="s">
        <v>25</v>
      </c>
      <c r="D257" s="48" t="n">
        <v>26</v>
      </c>
      <c r="E257" s="49" t="n">
        <v>9120.17</v>
      </c>
      <c r="F257" s="50" t="n">
        <v>11227.31</v>
      </c>
      <c r="G257" s="47" t="s">
        <v>27</v>
      </c>
      <c r="H257" s="52" t="n">
        <f aca="false">13531.04/1.2</f>
        <v>11275.8666666667</v>
      </c>
      <c r="I257" s="53" t="n">
        <f aca="false">D257*H257</f>
        <v>293172.533333333</v>
      </c>
      <c r="J257" s="53" t="s">
        <v>28</v>
      </c>
      <c r="K257" s="52" t="n">
        <v>11489.66</v>
      </c>
      <c r="L257" s="53" t="n">
        <f aca="false">D257*K257</f>
        <v>298731.16</v>
      </c>
      <c r="M257" s="48" t="s">
        <v>29</v>
      </c>
      <c r="N257" s="52" t="n">
        <v>11020.45</v>
      </c>
      <c r="O257" s="53" t="n">
        <f aca="false">D257*N257</f>
        <v>286531.7</v>
      </c>
      <c r="P257" s="54" t="n">
        <f aca="false">AVERAGE(H257,K257,N257)</f>
        <v>11261.9922222222</v>
      </c>
      <c r="Q257" s="55" t="n">
        <f aca="false">F257*100/P257-100</f>
        <v>-0.307958143975526</v>
      </c>
      <c r="R257" s="54" t="n">
        <f aca="false">D257*F257</f>
        <v>291910.06</v>
      </c>
      <c r="S257" s="56"/>
      <c r="U257" s="57" t="n">
        <f aca="false">ROUND(H257*100/P257-100,0)</f>
        <v>0</v>
      </c>
      <c r="V257" s="57" t="n">
        <f aca="false">ROUND(K257*100/P257-100,0)</f>
        <v>2</v>
      </c>
      <c r="W257" s="57" t="n">
        <f aca="false">ROUND(N257*100/P257-100,0)</f>
        <v>-2</v>
      </c>
    </row>
    <row r="258" s="43" customFormat="true" ht="73.5" hidden="false" customHeight="true" outlineLevel="0" collapsed="false">
      <c r="A258" s="45" t="n">
        <v>254</v>
      </c>
      <c r="B258" s="46" t="s">
        <v>361</v>
      </c>
      <c r="C258" s="47" t="s">
        <v>25</v>
      </c>
      <c r="D258" s="48" t="n">
        <v>20</v>
      </c>
      <c r="E258" s="49" t="n">
        <v>11632.86</v>
      </c>
      <c r="F258" s="50" t="n">
        <v>13102.47</v>
      </c>
      <c r="G258" s="47" t="s">
        <v>27</v>
      </c>
      <c r="H258" s="52" t="n">
        <f aca="false">15620.43/1.2</f>
        <v>13017.025</v>
      </c>
      <c r="I258" s="53" t="n">
        <f aca="false">D258*H258</f>
        <v>260340.5</v>
      </c>
      <c r="J258" s="53" t="s">
        <v>28</v>
      </c>
      <c r="K258" s="52" t="n">
        <v>12950.42</v>
      </c>
      <c r="L258" s="53" t="n">
        <f aca="false">D258*K258</f>
        <v>259008.4</v>
      </c>
      <c r="M258" s="48" t="s">
        <v>29</v>
      </c>
      <c r="N258" s="52" t="n">
        <v>13451.61</v>
      </c>
      <c r="O258" s="53" t="n">
        <f aca="false">D258*N258</f>
        <v>269032.2</v>
      </c>
      <c r="P258" s="54" t="n">
        <f aca="false">AVERAGE(H258,K258,N258)</f>
        <v>13139.685</v>
      </c>
      <c r="Q258" s="55" t="n">
        <f aca="false">F258*100/P258-100</f>
        <v>-0.283225967745793</v>
      </c>
      <c r="R258" s="54" t="n">
        <f aca="false">D258*F258</f>
        <v>262049.4</v>
      </c>
      <c r="S258" s="56"/>
      <c r="U258" s="57" t="n">
        <f aca="false">ROUND(H258*100/P258-100,0)</f>
        <v>-1</v>
      </c>
      <c r="V258" s="57" t="n">
        <f aca="false">ROUND(K258*100/P258-100,0)</f>
        <v>-1</v>
      </c>
      <c r="W258" s="57" t="n">
        <f aca="false">ROUND(N258*100/P258-100,0)</f>
        <v>2</v>
      </c>
    </row>
    <row r="259" s="43" customFormat="true" ht="73.5" hidden="false" customHeight="true" outlineLevel="0" collapsed="false">
      <c r="A259" s="45" t="n">
        <v>255</v>
      </c>
      <c r="B259" s="46" t="s">
        <v>362</v>
      </c>
      <c r="C259" s="47" t="s">
        <v>25</v>
      </c>
      <c r="D259" s="48" t="n">
        <v>6</v>
      </c>
      <c r="E259" s="49" t="n">
        <v>8036.34</v>
      </c>
      <c r="F259" s="50" t="n">
        <v>9723.4</v>
      </c>
      <c r="G259" s="47" t="s">
        <v>27</v>
      </c>
      <c r="H259" s="52" t="n">
        <f aca="false">11643.9/1.2</f>
        <v>9703.25</v>
      </c>
      <c r="I259" s="53" t="n">
        <f aca="false">D259*H259</f>
        <v>58219.5</v>
      </c>
      <c r="J259" s="53" t="s">
        <v>28</v>
      </c>
      <c r="K259" s="52" t="n">
        <v>9670.9</v>
      </c>
      <c r="L259" s="53" t="n">
        <f aca="false">D259*K259</f>
        <v>58025.4</v>
      </c>
      <c r="M259" s="48" t="s">
        <v>29</v>
      </c>
      <c r="N259" s="52" t="n">
        <v>9977.47</v>
      </c>
      <c r="O259" s="53" t="n">
        <f aca="false">D259*N259</f>
        <v>59864.82</v>
      </c>
      <c r="P259" s="54" t="n">
        <f aca="false">AVERAGE(H259,K259,N259)</f>
        <v>9783.87333333333</v>
      </c>
      <c r="Q259" s="55" t="n">
        <f aca="false">F259*100/P259-100</f>
        <v>-0.618091948587505</v>
      </c>
      <c r="R259" s="54" t="n">
        <f aca="false">D259*F259</f>
        <v>58340.4</v>
      </c>
      <c r="S259" s="56"/>
      <c r="U259" s="57" t="n">
        <f aca="false">ROUND(H259*100/P259-100,0)</f>
        <v>-1</v>
      </c>
      <c r="V259" s="57" t="n">
        <f aca="false">ROUND(K259*100/P259-100,0)</f>
        <v>-1</v>
      </c>
      <c r="W259" s="57" t="n">
        <f aca="false">ROUND(N259*100/P259-100,0)</f>
        <v>2</v>
      </c>
    </row>
    <row r="260" s="43" customFormat="true" ht="73.5" hidden="false" customHeight="true" outlineLevel="0" collapsed="false">
      <c r="A260" s="45" t="n">
        <v>256</v>
      </c>
      <c r="B260" s="46" t="s">
        <v>363</v>
      </c>
      <c r="C260" s="47" t="s">
        <v>25</v>
      </c>
      <c r="D260" s="48" t="n">
        <v>7</v>
      </c>
      <c r="E260" s="49" t="n">
        <v>31232.91</v>
      </c>
      <c r="F260" s="50" t="n">
        <v>37685.88</v>
      </c>
      <c r="G260" s="47" t="s">
        <v>27</v>
      </c>
      <c r="H260" s="52" t="n">
        <f aca="false">45140.87/1.2</f>
        <v>37617.3916666667</v>
      </c>
      <c r="I260" s="53" t="n">
        <f aca="false">D260*H260</f>
        <v>263321.741666667</v>
      </c>
      <c r="J260" s="53" t="s">
        <v>28</v>
      </c>
      <c r="K260" s="52" t="n">
        <v>36970.31</v>
      </c>
      <c r="L260" s="53" t="n">
        <f aca="false">D260*K260</f>
        <v>258792.17</v>
      </c>
      <c r="M260" s="48" t="s">
        <v>29</v>
      </c>
      <c r="N260" s="52" t="n">
        <v>38780.3</v>
      </c>
      <c r="O260" s="53" t="n">
        <f aca="false">D260*N260</f>
        <v>271462.1</v>
      </c>
      <c r="P260" s="54" t="n">
        <f aca="false">AVERAGE(H260,K260,N260)</f>
        <v>37789.3338888889</v>
      </c>
      <c r="Q260" s="55" t="n">
        <f aca="false">F260*100/P260-100</f>
        <v>-0.273764785569071</v>
      </c>
      <c r="R260" s="54" t="n">
        <f aca="false">D260*F260</f>
        <v>263801.16</v>
      </c>
      <c r="S260" s="56"/>
      <c r="U260" s="57" t="n">
        <f aca="false">ROUND(H260*100/P260-100,0)</f>
        <v>-0</v>
      </c>
      <c r="V260" s="57" t="n">
        <f aca="false">ROUND(K260*100/P260-100,0)</f>
        <v>-2</v>
      </c>
      <c r="W260" s="57" t="n">
        <f aca="false">ROUND(N260*100/P260-100,0)</f>
        <v>3</v>
      </c>
    </row>
    <row r="261" s="43" customFormat="true" ht="73.5" hidden="false" customHeight="true" outlineLevel="0" collapsed="false">
      <c r="A261" s="45" t="n">
        <v>257</v>
      </c>
      <c r="B261" s="46" t="s">
        <v>364</v>
      </c>
      <c r="C261" s="47" t="s">
        <v>25</v>
      </c>
      <c r="D261" s="48" t="n">
        <v>96</v>
      </c>
      <c r="E261" s="49" t="n">
        <v>11893.48</v>
      </c>
      <c r="F261" s="50" t="n">
        <v>14297.31</v>
      </c>
      <c r="G261" s="47" t="s">
        <v>27</v>
      </c>
      <c r="H261" s="52" t="n">
        <f aca="false">16365.36/1.2</f>
        <v>13637.8</v>
      </c>
      <c r="I261" s="53" t="n">
        <f aca="false">D261*H261</f>
        <v>1309228.8</v>
      </c>
      <c r="J261" s="53" t="s">
        <v>28</v>
      </c>
      <c r="K261" s="52" t="n">
        <v>14945.88</v>
      </c>
      <c r="L261" s="53" t="n">
        <f aca="false">D261*K261</f>
        <v>1434804.48</v>
      </c>
      <c r="M261" s="48" t="s">
        <v>29</v>
      </c>
      <c r="N261" s="52" t="n">
        <v>14511.7</v>
      </c>
      <c r="O261" s="53" t="n">
        <f aca="false">D261*N261</f>
        <v>1393123.2</v>
      </c>
      <c r="P261" s="54" t="n">
        <f aca="false">AVERAGE(H261,K261,N261)</f>
        <v>14365.1266666667</v>
      </c>
      <c r="Q261" s="55" t="n">
        <f aca="false">F261*100/P261-100</f>
        <v>-0.472092368137851</v>
      </c>
      <c r="R261" s="54" t="n">
        <f aca="false">D261*F261</f>
        <v>1372541.76</v>
      </c>
      <c r="S261" s="56"/>
      <c r="U261" s="57" t="n">
        <f aca="false">ROUND(H261*100/P261-100,0)</f>
        <v>-5</v>
      </c>
      <c r="V261" s="57" t="n">
        <f aca="false">ROUND(K261*100/P261-100,0)</f>
        <v>4</v>
      </c>
      <c r="W261" s="57" t="n">
        <f aca="false">ROUND(N261*100/P261-100,0)</f>
        <v>1</v>
      </c>
    </row>
    <row r="262" s="43" customFormat="true" ht="73.5" hidden="false" customHeight="true" outlineLevel="0" collapsed="false">
      <c r="A262" s="45" t="n">
        <v>258</v>
      </c>
      <c r="B262" s="46" t="s">
        <v>365</v>
      </c>
      <c r="C262" s="47" t="s">
        <v>25</v>
      </c>
      <c r="D262" s="48" t="n">
        <v>20</v>
      </c>
      <c r="E262" s="49" t="n">
        <v>8750.09</v>
      </c>
      <c r="F262" s="50" t="n">
        <v>10989.9</v>
      </c>
      <c r="G262" s="47" t="s">
        <v>27</v>
      </c>
      <c r="H262" s="52" t="n">
        <f aca="false">12703.22/1.2</f>
        <v>10586.0166666667</v>
      </c>
      <c r="I262" s="53" t="n">
        <f aca="false">D262*H262</f>
        <v>211720.333333333</v>
      </c>
      <c r="J262" s="53" t="s">
        <v>28</v>
      </c>
      <c r="K262" s="52" t="n">
        <v>11600.4</v>
      </c>
      <c r="L262" s="53" t="n">
        <f aca="false">D262*K262</f>
        <v>232008</v>
      </c>
      <c r="M262" s="48" t="s">
        <v>29</v>
      </c>
      <c r="N262" s="52" t="n">
        <v>10945.3</v>
      </c>
      <c r="O262" s="53" t="n">
        <f aca="false">D262*N262</f>
        <v>218906</v>
      </c>
      <c r="P262" s="54" t="n">
        <f aca="false">AVERAGE(H262,K262,N262)</f>
        <v>11043.9055555556</v>
      </c>
      <c r="Q262" s="55" t="n">
        <f aca="false">F262*100/P262-100</f>
        <v>-0.489007763457266</v>
      </c>
      <c r="R262" s="54" t="n">
        <f aca="false">D262*F262</f>
        <v>219798</v>
      </c>
      <c r="S262" s="56"/>
      <c r="U262" s="57" t="n">
        <f aca="false">ROUND(H262*100/P262-100,0)</f>
        <v>-4</v>
      </c>
      <c r="V262" s="57" t="n">
        <f aca="false">ROUND(K262*100/P262-100,0)</f>
        <v>5</v>
      </c>
      <c r="W262" s="57" t="n">
        <f aca="false">ROUND(N262*100/P262-100,0)</f>
        <v>-1</v>
      </c>
    </row>
    <row r="263" s="43" customFormat="true" ht="73.5" hidden="false" customHeight="true" outlineLevel="0" collapsed="false">
      <c r="A263" s="45" t="n">
        <v>261</v>
      </c>
      <c r="B263" s="46" t="s">
        <v>366</v>
      </c>
      <c r="C263" s="47" t="s">
        <v>25</v>
      </c>
      <c r="D263" s="48" t="n">
        <v>2</v>
      </c>
      <c r="E263" s="49" t="n">
        <v>13979.66</v>
      </c>
      <c r="F263" s="50" t="n">
        <v>18180.7</v>
      </c>
      <c r="G263" s="47" t="s">
        <v>27</v>
      </c>
      <c r="H263" s="52" t="n">
        <f aca="false">20730.05/1.2</f>
        <v>17275.0416666667</v>
      </c>
      <c r="I263" s="53" t="n">
        <f aca="false">D263*H263</f>
        <v>34550.0833333333</v>
      </c>
      <c r="J263" s="53" t="s">
        <v>28</v>
      </c>
      <c r="K263" s="52" t="n">
        <v>18056.72</v>
      </c>
      <c r="L263" s="53" t="n">
        <f aca="false">D263*K263</f>
        <v>36113.44</v>
      </c>
      <c r="M263" s="48" t="s">
        <v>29</v>
      </c>
      <c r="N263" s="52" t="n">
        <v>19401.5</v>
      </c>
      <c r="O263" s="53" t="n">
        <f aca="false">D263*N263</f>
        <v>38803</v>
      </c>
      <c r="P263" s="54" t="n">
        <f aca="false">AVERAGE(H263,K263,N263)</f>
        <v>18244.4205555556</v>
      </c>
      <c r="Q263" s="55" t="n">
        <f aca="false">F263*100/P263-100</f>
        <v>-0.349260506035378</v>
      </c>
      <c r="R263" s="54" t="n">
        <f aca="false">D263*F263</f>
        <v>36361.4</v>
      </c>
      <c r="S263" s="56"/>
      <c r="U263" s="57" t="n">
        <f aca="false">ROUND(H263*100/P263-100,0)</f>
        <v>-5</v>
      </c>
      <c r="V263" s="57" t="n">
        <f aca="false">ROUND(K263*100/P263-100,0)</f>
        <v>-1</v>
      </c>
      <c r="W263" s="57" t="n">
        <f aca="false">ROUND(N263*100/P263-100,0)</f>
        <v>6</v>
      </c>
    </row>
    <row r="264" s="43" customFormat="true" ht="73.5" hidden="false" customHeight="true" outlineLevel="0" collapsed="false">
      <c r="A264" s="45" t="n">
        <v>262</v>
      </c>
      <c r="B264" s="46" t="s">
        <v>367</v>
      </c>
      <c r="C264" s="47" t="s">
        <v>25</v>
      </c>
      <c r="D264" s="48" t="n">
        <v>2</v>
      </c>
      <c r="E264" s="49" t="n">
        <v>12812.23</v>
      </c>
      <c r="F264" s="50" t="n">
        <v>15497.6</v>
      </c>
      <c r="G264" s="47" t="s">
        <v>27</v>
      </c>
      <c r="H264" s="52" t="n">
        <f aca="false">19032.94/1.2</f>
        <v>15860.7833333333</v>
      </c>
      <c r="I264" s="53" t="n">
        <f aca="false">D264*H264</f>
        <v>31721.5666666667</v>
      </c>
      <c r="J264" s="53" t="s">
        <v>28</v>
      </c>
      <c r="K264" s="52" t="n">
        <v>15002.64</v>
      </c>
      <c r="L264" s="53" t="n">
        <f aca="false">D264*K264</f>
        <v>30005.28</v>
      </c>
      <c r="M264" s="48" t="s">
        <v>29</v>
      </c>
      <c r="N264" s="52" t="n">
        <v>16200.7</v>
      </c>
      <c r="O264" s="53" t="n">
        <f aca="false">D264*N264</f>
        <v>32401.4</v>
      </c>
      <c r="P264" s="54" t="n">
        <f aca="false">AVERAGE(H264,K264,N264)</f>
        <v>15688.0411111111</v>
      </c>
      <c r="Q264" s="55" t="n">
        <f aca="false">F264*100/P264-100</f>
        <v>-1.21392537004655</v>
      </c>
      <c r="R264" s="54" t="n">
        <f aca="false">D264*F264</f>
        <v>30995.2</v>
      </c>
      <c r="S264" s="56"/>
      <c r="U264" s="57" t="n">
        <f aca="false">ROUND(H264*100/P264-100,0)</f>
        <v>1</v>
      </c>
      <c r="V264" s="57" t="n">
        <f aca="false">ROUND(K264*100/P264-100,0)</f>
        <v>-4</v>
      </c>
      <c r="W264" s="57" t="n">
        <f aca="false">ROUND(N264*100/P264-100,0)</f>
        <v>3</v>
      </c>
    </row>
    <row r="265" s="43" customFormat="true" ht="73.5" hidden="false" customHeight="true" outlineLevel="0" collapsed="false">
      <c r="A265" s="45" t="n">
        <v>263</v>
      </c>
      <c r="B265" s="46" t="s">
        <v>368</v>
      </c>
      <c r="C265" s="47" t="s">
        <v>25</v>
      </c>
      <c r="D265" s="48" t="n">
        <v>16</v>
      </c>
      <c r="E265" s="49" t="n">
        <v>13996.87</v>
      </c>
      <c r="F265" s="50" t="n">
        <v>16602.1</v>
      </c>
      <c r="G265" s="47" t="s">
        <v>27</v>
      </c>
      <c r="H265" s="52" t="n">
        <f aca="false">19411.67/1.2</f>
        <v>16176.3916666667</v>
      </c>
      <c r="I265" s="53" t="n">
        <f aca="false">D265*H265</f>
        <v>258822.266666667</v>
      </c>
      <c r="J265" s="53" t="s">
        <v>28</v>
      </c>
      <c r="K265" s="52" t="n">
        <v>17921.59</v>
      </c>
      <c r="L265" s="53" t="n">
        <f aca="false">D265*K265</f>
        <v>286745.44</v>
      </c>
      <c r="M265" s="48" t="s">
        <v>29</v>
      </c>
      <c r="N265" s="52" t="n">
        <v>15947.3</v>
      </c>
      <c r="O265" s="53" t="n">
        <f aca="false">D265*N265</f>
        <v>255156.8</v>
      </c>
      <c r="P265" s="54" t="n">
        <f aca="false">AVERAGE(H265,K265,N265)</f>
        <v>16681.7605555556</v>
      </c>
      <c r="Q265" s="55" t="n">
        <f aca="false">F265*100/P265-100</f>
        <v>-0.477530865463876</v>
      </c>
      <c r="R265" s="54" t="n">
        <f aca="false">D265*F265</f>
        <v>265633.6</v>
      </c>
      <c r="S265" s="56"/>
      <c r="U265" s="57" t="n">
        <f aca="false">ROUND(H265*100/P265-100,0)</f>
        <v>-3</v>
      </c>
      <c r="V265" s="57" t="n">
        <f aca="false">ROUND(K265*100/P265-100,0)</f>
        <v>7</v>
      </c>
      <c r="W265" s="57" t="n">
        <f aca="false">ROUND(N265*100/P265-100,0)</f>
        <v>-4</v>
      </c>
    </row>
    <row r="266" s="43" customFormat="true" ht="73.5" hidden="false" customHeight="true" outlineLevel="0" collapsed="false">
      <c r="A266" s="45" t="n">
        <v>264</v>
      </c>
      <c r="B266" s="46" t="s">
        <v>369</v>
      </c>
      <c r="C266" s="47" t="s">
        <v>25</v>
      </c>
      <c r="D266" s="48" t="n">
        <v>6</v>
      </c>
      <c r="E266" s="49" t="n">
        <v>16192.14</v>
      </c>
      <c r="F266" s="50" t="n">
        <v>16354.78</v>
      </c>
      <c r="G266" s="47" t="s">
        <v>27</v>
      </c>
      <c r="H266" s="52" t="n">
        <f aca="false">19299.98/1.2</f>
        <v>16083.3166666667</v>
      </c>
      <c r="I266" s="53" t="n">
        <f aca="false">D266*H266</f>
        <v>96499.9</v>
      </c>
      <c r="J266" s="53" t="s">
        <v>28</v>
      </c>
      <c r="K266" s="52" t="n">
        <v>16400.67</v>
      </c>
      <c r="L266" s="53" t="n">
        <f aca="false">D266*K266</f>
        <v>98404.02</v>
      </c>
      <c r="M266" s="48" t="s">
        <v>29</v>
      </c>
      <c r="N266" s="52" t="n">
        <v>17011.88</v>
      </c>
      <c r="O266" s="53" t="n">
        <f aca="false">D266*N266</f>
        <v>102071.28</v>
      </c>
      <c r="P266" s="54" t="n">
        <f aca="false">AVERAGE(H266,K266,N266)</f>
        <v>16498.6222222222</v>
      </c>
      <c r="Q266" s="55" t="n">
        <f aca="false">F266*100/P266-100</f>
        <v>-0.871843844199802</v>
      </c>
      <c r="R266" s="54" t="n">
        <f aca="false">D266*F266</f>
        <v>98128.68</v>
      </c>
      <c r="S266" s="56"/>
      <c r="U266" s="57" t="n">
        <f aca="false">ROUND(H266*100/P266-100,0)</f>
        <v>-3</v>
      </c>
      <c r="V266" s="57" t="n">
        <f aca="false">ROUND(K266*100/P266-100,0)</f>
        <v>-1</v>
      </c>
      <c r="W266" s="57" t="n">
        <f aca="false">ROUND(N266*100/P266-100,0)</f>
        <v>3</v>
      </c>
    </row>
    <row r="267" s="43" customFormat="true" ht="73.5" hidden="false" customHeight="true" outlineLevel="0" collapsed="false">
      <c r="A267" s="45" t="n">
        <v>265</v>
      </c>
      <c r="B267" s="46" t="s">
        <v>370</v>
      </c>
      <c r="C267" s="47" t="s">
        <v>25</v>
      </c>
      <c r="D267" s="48" t="n">
        <v>1</v>
      </c>
      <c r="E267" s="49" t="n">
        <v>24065.29</v>
      </c>
      <c r="F267" s="50" t="n">
        <v>25020.5</v>
      </c>
      <c r="G267" s="47" t="s">
        <v>27</v>
      </c>
      <c r="H267" s="52" t="n">
        <f aca="false">28803.13/1.2</f>
        <v>24002.6083333333</v>
      </c>
      <c r="I267" s="53" t="n">
        <f aca="false">D267*H267</f>
        <v>24002.6083333333</v>
      </c>
      <c r="J267" s="53" t="s">
        <v>28</v>
      </c>
      <c r="K267" s="52" t="n">
        <v>26007.32</v>
      </c>
      <c r="L267" s="53" t="n">
        <f aca="false">D267*K267</f>
        <v>26007.32</v>
      </c>
      <c r="M267" s="48" t="s">
        <v>29</v>
      </c>
      <c r="N267" s="52" t="n">
        <v>25452.45</v>
      </c>
      <c r="O267" s="53" t="n">
        <f aca="false">D267*N267</f>
        <v>25452.45</v>
      </c>
      <c r="P267" s="54" t="n">
        <f aca="false">AVERAGE(H267,K267,N267)</f>
        <v>25154.1261111111</v>
      </c>
      <c r="Q267" s="55" t="n">
        <f aca="false">F267*100/P267-100</f>
        <v>-0.53122939163481</v>
      </c>
      <c r="R267" s="54" t="n">
        <f aca="false">D267*F267</f>
        <v>25020.5</v>
      </c>
      <c r="S267" s="56"/>
      <c r="U267" s="57" t="n">
        <f aca="false">ROUND(H267*100/P267-100,0)</f>
        <v>-5</v>
      </c>
      <c r="V267" s="57" t="n">
        <f aca="false">ROUND(K267*100/P267-100,0)</f>
        <v>3</v>
      </c>
      <c r="W267" s="57" t="n">
        <f aca="false">ROUND(N267*100/P267-100,0)</f>
        <v>1</v>
      </c>
    </row>
    <row r="268" s="43" customFormat="true" ht="73.5" hidden="false" customHeight="true" outlineLevel="0" collapsed="false">
      <c r="A268" s="45" t="n">
        <v>267</v>
      </c>
      <c r="B268" s="46" t="s">
        <v>371</v>
      </c>
      <c r="C268" s="47" t="s">
        <v>25</v>
      </c>
      <c r="D268" s="48" t="s">
        <v>372</v>
      </c>
      <c r="E268" s="49" t="n">
        <v>9032.42</v>
      </c>
      <c r="F268" s="50" t="n">
        <v>10970.42</v>
      </c>
      <c r="G268" s="47" t="s">
        <v>27</v>
      </c>
      <c r="H268" s="52" t="n">
        <f aca="false">12771.25/1.2</f>
        <v>10642.7083333333</v>
      </c>
      <c r="I268" s="53" t="n">
        <f aca="false">D268*H268</f>
        <v>2586178.125</v>
      </c>
      <c r="J268" s="53" t="s">
        <v>28</v>
      </c>
      <c r="K268" s="52" t="n">
        <v>11023.45</v>
      </c>
      <c r="L268" s="53" t="n">
        <f aca="false">D268*K268</f>
        <v>2678698.35</v>
      </c>
      <c r="M268" s="48" t="s">
        <v>29</v>
      </c>
      <c r="N268" s="52" t="n">
        <v>11452.6</v>
      </c>
      <c r="O268" s="53" t="n">
        <f aca="false">D268*N268</f>
        <v>2782981.8</v>
      </c>
      <c r="P268" s="54" t="n">
        <f aca="false">AVERAGE(H268,K268,N268)</f>
        <v>11039.5861111111</v>
      </c>
      <c r="Q268" s="55" t="n">
        <f aca="false">F268*100/P268-100</f>
        <v>-0.626528118128405</v>
      </c>
      <c r="R268" s="54" t="n">
        <f aca="false">D268*F268</f>
        <v>2665812.06</v>
      </c>
      <c r="S268" s="56"/>
      <c r="U268" s="57" t="n">
        <f aca="false">ROUND(H268*100/P268-100,0)</f>
        <v>-4</v>
      </c>
      <c r="V268" s="57" t="n">
        <f aca="false">ROUND(K268*100/P268-100,0)</f>
        <v>-0</v>
      </c>
      <c r="W268" s="57" t="n">
        <f aca="false">ROUND(N268*100/P268-100,0)</f>
        <v>4</v>
      </c>
    </row>
    <row r="269" s="43" customFormat="true" ht="73.5" hidden="false" customHeight="true" outlineLevel="0" collapsed="false">
      <c r="A269" s="45" t="n">
        <v>268</v>
      </c>
      <c r="B269" s="46" t="s">
        <v>373</v>
      </c>
      <c r="C269" s="47" t="s">
        <v>45</v>
      </c>
      <c r="D269" s="48" t="s">
        <v>374</v>
      </c>
      <c r="E269" s="49" t="n">
        <v>4878.63</v>
      </c>
      <c r="F269" s="50" t="n">
        <v>3441.15</v>
      </c>
      <c r="G269" s="47" t="s">
        <v>375</v>
      </c>
      <c r="H269" s="52" t="n">
        <f aca="false">3619/1.2</f>
        <v>3015.83333333333</v>
      </c>
      <c r="I269" s="53" t="n">
        <f aca="false">D269*H269</f>
        <v>15682.3333333333</v>
      </c>
      <c r="J269" s="47" t="s">
        <v>376</v>
      </c>
      <c r="K269" s="52" t="n">
        <v>3316.67</v>
      </c>
      <c r="L269" s="53" t="n">
        <f aca="false">D269*K269</f>
        <v>17246.684</v>
      </c>
      <c r="M269" s="47" t="s">
        <v>377</v>
      </c>
      <c r="N269" s="52" t="n">
        <f aca="false">4800/1.2</f>
        <v>4000</v>
      </c>
      <c r="O269" s="53" t="n">
        <f aca="false">D269*N269</f>
        <v>20800</v>
      </c>
      <c r="P269" s="54" t="n">
        <f aca="false">AVERAGE(H269,K269,N269)</f>
        <v>3444.16777777778</v>
      </c>
      <c r="Q269" s="55" t="n">
        <f aca="false">F269*100/P269-100</f>
        <v>-0.087619941085606</v>
      </c>
      <c r="R269" s="54" t="n">
        <f aca="false">D269*F269</f>
        <v>17893.98</v>
      </c>
      <c r="S269" s="72"/>
      <c r="U269" s="57" t="n">
        <f aca="false">ROUND(H269*100/P269-100,0)</f>
        <v>-12</v>
      </c>
      <c r="V269" s="57" t="n">
        <f aca="false">ROUND(K269*100/P269-100,0)</f>
        <v>-4</v>
      </c>
      <c r="W269" s="57" t="n">
        <f aca="false">ROUND(N269*100/P269-100,0)</f>
        <v>16</v>
      </c>
    </row>
    <row r="270" s="43" customFormat="true" ht="73.5" hidden="false" customHeight="true" outlineLevel="0" collapsed="false">
      <c r="A270" s="45" t="n">
        <v>269</v>
      </c>
      <c r="B270" s="46" t="s">
        <v>378</v>
      </c>
      <c r="C270" s="47" t="s">
        <v>323</v>
      </c>
      <c r="D270" s="48" t="n">
        <v>0.008</v>
      </c>
      <c r="E270" s="49" t="n">
        <v>344968.75</v>
      </c>
      <c r="F270" s="50" t="n">
        <v>411502.5</v>
      </c>
      <c r="G270" s="52" t="s">
        <v>68</v>
      </c>
      <c r="H270" s="52" t="n">
        <f aca="false">498040.45/1.2</f>
        <v>415033.708333333</v>
      </c>
      <c r="I270" s="53" t="n">
        <f aca="false">D270*H270</f>
        <v>3320.26966666667</v>
      </c>
      <c r="J270" s="51" t="s">
        <v>67</v>
      </c>
      <c r="K270" s="52" t="n">
        <f aca="false">503.49/1.2*1000</f>
        <v>419575</v>
      </c>
      <c r="L270" s="53" t="n">
        <f aca="false">D270*K270</f>
        <v>3356.6</v>
      </c>
      <c r="M270" s="47" t="s">
        <v>272</v>
      </c>
      <c r="N270" s="52" t="n">
        <v>412432.5</v>
      </c>
      <c r="O270" s="53" t="n">
        <f aca="false">D270*N270</f>
        <v>3299.46</v>
      </c>
      <c r="P270" s="54" t="n">
        <f aca="false">AVERAGE(H270,K270,N270)</f>
        <v>415680.402777778</v>
      </c>
      <c r="Q270" s="55" t="n">
        <f aca="false">F270*100/P270-100</f>
        <v>-1.00507571438514</v>
      </c>
      <c r="R270" s="54" t="n">
        <f aca="false">D270*F270</f>
        <v>3292.02</v>
      </c>
      <c r="S270" s="56"/>
      <c r="U270" s="57" t="n">
        <f aca="false">ROUND(H270*100/P270-100,0)</f>
        <v>-0</v>
      </c>
      <c r="V270" s="57" t="n">
        <f aca="false">ROUND(K270*100/P270-100,0)</f>
        <v>1</v>
      </c>
      <c r="W270" s="57" t="n">
        <f aca="false">ROUND(N270*100/P270-100,0)</f>
        <v>-1</v>
      </c>
    </row>
    <row r="271" s="43" customFormat="true" ht="73.5" hidden="false" customHeight="true" outlineLevel="0" collapsed="false">
      <c r="A271" s="45" t="n">
        <v>270</v>
      </c>
      <c r="B271" s="46" t="s">
        <v>379</v>
      </c>
      <c r="C271" s="47" t="s">
        <v>25</v>
      </c>
      <c r="D271" s="48" t="n">
        <v>20</v>
      </c>
      <c r="E271" s="49" t="n">
        <v>18.49</v>
      </c>
      <c r="F271" s="50" t="n">
        <v>28.03</v>
      </c>
      <c r="G271" s="47" t="s">
        <v>27</v>
      </c>
      <c r="H271" s="52" t="n">
        <f aca="false">30.27/1.2</f>
        <v>25.225</v>
      </c>
      <c r="I271" s="53" t="n">
        <f aca="false">D271*H271</f>
        <v>504.5</v>
      </c>
      <c r="J271" s="53" t="s">
        <v>28</v>
      </c>
      <c r="K271" s="52" t="n">
        <v>29.45</v>
      </c>
      <c r="L271" s="53" t="n">
        <f aca="false">D271*K271</f>
        <v>589</v>
      </c>
      <c r="M271" s="48" t="s">
        <v>29</v>
      </c>
      <c r="N271" s="52" t="n">
        <v>31.7</v>
      </c>
      <c r="O271" s="53" t="n">
        <f aca="false">D271*N271</f>
        <v>634</v>
      </c>
      <c r="P271" s="54" t="n">
        <f aca="false">AVERAGE(H271,K271,N271)</f>
        <v>28.7916666666667</v>
      </c>
      <c r="Q271" s="55" t="n">
        <f aca="false">F271*100/P271-100</f>
        <v>-2.64544138929088</v>
      </c>
      <c r="R271" s="54" t="n">
        <f aca="false">D271*F271</f>
        <v>560.6</v>
      </c>
      <c r="S271" s="56"/>
      <c r="U271" s="57" t="n">
        <f aca="false">ROUND(H271*100/P271-100,0)</f>
        <v>-12</v>
      </c>
      <c r="V271" s="57" t="n">
        <f aca="false">ROUND(K271*100/P271-100,0)</f>
        <v>2</v>
      </c>
      <c r="W271" s="57" t="n">
        <f aca="false">ROUND(N271*100/P271-100,0)</f>
        <v>10</v>
      </c>
    </row>
    <row r="272" s="43" customFormat="true" ht="73.5" hidden="false" customHeight="true" outlineLevel="0" collapsed="false">
      <c r="A272" s="45" t="n">
        <v>271</v>
      </c>
      <c r="B272" s="46" t="s">
        <v>380</v>
      </c>
      <c r="C272" s="47" t="s">
        <v>381</v>
      </c>
      <c r="D272" s="48" t="n">
        <v>2</v>
      </c>
      <c r="E272" s="49" t="n">
        <v>34776.28</v>
      </c>
      <c r="F272" s="50" t="n">
        <v>41590.2</v>
      </c>
      <c r="G272" s="51" t="s">
        <v>90</v>
      </c>
      <c r="H272" s="52" t="n">
        <f aca="false">51705.01/1.2</f>
        <v>43087.5083333333</v>
      </c>
      <c r="I272" s="53" t="n">
        <f aca="false">D272*H272</f>
        <v>86175.0166666667</v>
      </c>
      <c r="J272" s="47" t="s">
        <v>46</v>
      </c>
      <c r="K272" s="52" t="n">
        <v>41393.25</v>
      </c>
      <c r="L272" s="53" t="n">
        <f aca="false">D272*K272</f>
        <v>82786.5</v>
      </c>
      <c r="M272" s="47" t="s">
        <v>58</v>
      </c>
      <c r="N272" s="52" t="n">
        <v>40981.06</v>
      </c>
      <c r="O272" s="53" t="n">
        <f aca="false">D272*N272</f>
        <v>81962.12</v>
      </c>
      <c r="P272" s="54" t="n">
        <f aca="false">AVERAGE(H272,K272,N272)</f>
        <v>41820.6061111111</v>
      </c>
      <c r="Q272" s="55" t="n">
        <f aca="false">F272*100/P272-100</f>
        <v>-0.550939196096209</v>
      </c>
      <c r="R272" s="54" t="n">
        <f aca="false">D272*F272</f>
        <v>83180.4</v>
      </c>
      <c r="S272" s="56"/>
      <c r="U272" s="57" t="n">
        <f aca="false">ROUND(H272*100/P272-100,0)</f>
        <v>3</v>
      </c>
      <c r="V272" s="57" t="n">
        <f aca="false">ROUND(K272*100/P272-100,0)</f>
        <v>-1</v>
      </c>
      <c r="W272" s="57" t="n">
        <f aca="false">ROUND(N272*100/P272-100,0)</f>
        <v>-2</v>
      </c>
    </row>
    <row r="273" s="43" customFormat="true" ht="73.5" hidden="true" customHeight="true" outlineLevel="0" collapsed="false">
      <c r="A273" s="45" t="n">
        <v>272</v>
      </c>
      <c r="B273" s="46" t="s">
        <v>382</v>
      </c>
      <c r="C273" s="47" t="s">
        <v>383</v>
      </c>
      <c r="D273" s="48" t="n">
        <v>20</v>
      </c>
      <c r="E273" s="49" t="n">
        <v>1749.5</v>
      </c>
      <c r="F273" s="50" t="n">
        <v>1778.52</v>
      </c>
      <c r="G273" s="47" t="s">
        <v>27</v>
      </c>
      <c r="H273" s="52" t="n">
        <f aca="false">2098.33/1.2</f>
        <v>1748.60833333333</v>
      </c>
      <c r="I273" s="53" t="n">
        <f aca="false">D273*H273</f>
        <v>34972.1666666667</v>
      </c>
      <c r="J273" s="53" t="s">
        <v>28</v>
      </c>
      <c r="K273" s="52" t="n">
        <v>1845.6</v>
      </c>
      <c r="L273" s="53" t="n">
        <f aca="false">D273*K273</f>
        <v>36912</v>
      </c>
      <c r="M273" s="48" t="s">
        <v>29</v>
      </c>
      <c r="N273" s="52" t="n">
        <v>1795.33</v>
      </c>
      <c r="O273" s="53" t="n">
        <f aca="false">D273*N273</f>
        <v>35906.6</v>
      </c>
      <c r="P273" s="54" t="n">
        <f aca="false">AVERAGE(H273,K273,N273)</f>
        <v>1796.51277777778</v>
      </c>
      <c r="Q273" s="55" t="n">
        <f aca="false">F273*100/P273-100</f>
        <v>-1.00153909286603</v>
      </c>
      <c r="R273" s="54" t="n">
        <f aca="false">D273*F273</f>
        <v>35570.4</v>
      </c>
      <c r="S273" s="62" t="s">
        <v>116</v>
      </c>
      <c r="U273" s="57" t="n">
        <f aca="false">ROUND(H273*100/P273-100,0)</f>
        <v>-3</v>
      </c>
      <c r="V273" s="57" t="n">
        <f aca="false">ROUND(K273*100/P273-100,0)</f>
        <v>3</v>
      </c>
      <c r="W273" s="57" t="n">
        <f aca="false">ROUND(N273*100/P273-100,0)</f>
        <v>-0</v>
      </c>
      <c r="Y273" s="43" t="n">
        <v>266</v>
      </c>
    </row>
    <row r="274" s="43" customFormat="true" ht="73.5" hidden="false" customHeight="true" outlineLevel="0" collapsed="false">
      <c r="A274" s="45" t="n">
        <v>273</v>
      </c>
      <c r="B274" s="46" t="s">
        <v>384</v>
      </c>
      <c r="C274" s="47" t="s">
        <v>323</v>
      </c>
      <c r="D274" s="48" t="n">
        <v>18</v>
      </c>
      <c r="E274" s="49" t="n">
        <v>176355</v>
      </c>
      <c r="F274" s="50" t="n">
        <v>181054.64</v>
      </c>
      <c r="G274" s="52" t="s">
        <v>90</v>
      </c>
      <c r="H274" s="52" t="n">
        <v>185520</v>
      </c>
      <c r="I274" s="53" t="n">
        <f aca="false">D274*H274</f>
        <v>3339360</v>
      </c>
      <c r="J274" s="47" t="s">
        <v>385</v>
      </c>
      <c r="K274" s="52" t="n">
        <v>179571</v>
      </c>
      <c r="L274" s="53" t="n">
        <f aca="false">D274*K274</f>
        <v>3232278</v>
      </c>
      <c r="M274" s="51" t="s">
        <v>386</v>
      </c>
      <c r="N274" s="52" t="n">
        <v>179000</v>
      </c>
      <c r="O274" s="53" t="n">
        <f aca="false">D274*N274</f>
        <v>3222000</v>
      </c>
      <c r="P274" s="54" t="n">
        <f aca="false">AVERAGE(H274,K274,N274)</f>
        <v>181363.666666667</v>
      </c>
      <c r="Q274" s="55" t="n">
        <f aca="false">F274*100/P274-100</f>
        <v>-0.170390614805243</v>
      </c>
      <c r="R274" s="54" t="n">
        <f aca="false">D274*F274</f>
        <v>3258983.52</v>
      </c>
      <c r="S274" s="56"/>
      <c r="U274" s="57" t="n">
        <f aca="false">ROUND(H274*100/P274-100,0)</f>
        <v>2</v>
      </c>
      <c r="V274" s="57" t="n">
        <f aca="false">ROUND(K274*100/P274-100,0)</f>
        <v>-1</v>
      </c>
      <c r="W274" s="57" t="n">
        <f aca="false">ROUND(N274*100/P274-100,0)</f>
        <v>-1</v>
      </c>
    </row>
    <row r="275" s="43" customFormat="true" ht="73.5" hidden="false" customHeight="true" outlineLevel="0" collapsed="false">
      <c r="A275" s="45" t="n">
        <v>274</v>
      </c>
      <c r="B275" s="46" t="s">
        <v>387</v>
      </c>
      <c r="C275" s="47" t="s">
        <v>25</v>
      </c>
      <c r="D275" s="48" t="n">
        <v>48</v>
      </c>
      <c r="E275" s="49" t="n">
        <v>571.42</v>
      </c>
      <c r="F275" s="50" t="n">
        <v>902.6</v>
      </c>
      <c r="G275" s="47" t="s">
        <v>56</v>
      </c>
      <c r="H275" s="52" t="n">
        <v>921.12</v>
      </c>
      <c r="I275" s="53" t="n">
        <f aca="false">D275*H275</f>
        <v>44213.76</v>
      </c>
      <c r="J275" s="47" t="s">
        <v>57</v>
      </c>
      <c r="K275" s="52" t="n">
        <v>899.34</v>
      </c>
      <c r="L275" s="53" t="n">
        <f aca="false">D275*K275</f>
        <v>43168.32</v>
      </c>
      <c r="M275" s="53" t="s">
        <v>68</v>
      </c>
      <c r="N275" s="52" t="n">
        <v>925.7</v>
      </c>
      <c r="O275" s="53" t="n">
        <f aca="false">D275*N275</f>
        <v>44433.6</v>
      </c>
      <c r="P275" s="54" t="n">
        <f aca="false">AVERAGE(H275,K275,N275)</f>
        <v>915.386666666667</v>
      </c>
      <c r="Q275" s="55" t="n">
        <f aca="false">F275*100/P275-100</f>
        <v>-1.39685961488041</v>
      </c>
      <c r="R275" s="54" t="n">
        <f aca="false">D275*F275</f>
        <v>43324.8</v>
      </c>
      <c r="S275" s="56"/>
      <c r="U275" s="57" t="n">
        <f aca="false">ROUND(H275*100/P275-100,0)</f>
        <v>1</v>
      </c>
      <c r="V275" s="57" t="n">
        <f aca="false">ROUND(K275*100/P275-100,0)</f>
        <v>-2</v>
      </c>
      <c r="W275" s="57" t="n">
        <f aca="false">ROUND(N275*100/P275-100,0)</f>
        <v>1</v>
      </c>
    </row>
    <row r="276" s="43" customFormat="true" ht="73.5" hidden="false" customHeight="true" outlineLevel="0" collapsed="false">
      <c r="A276" s="45" t="n">
        <v>279</v>
      </c>
      <c r="B276" s="46" t="s">
        <v>388</v>
      </c>
      <c r="C276" s="47" t="s">
        <v>25</v>
      </c>
      <c r="D276" s="48" t="n">
        <v>40</v>
      </c>
      <c r="E276" s="49" t="s">
        <v>26</v>
      </c>
      <c r="F276" s="50" t="n">
        <v>835.7</v>
      </c>
      <c r="G276" s="47" t="s">
        <v>56</v>
      </c>
      <c r="H276" s="52" t="n">
        <v>811.5</v>
      </c>
      <c r="I276" s="53" t="n">
        <f aca="false">D276*H276</f>
        <v>32460</v>
      </c>
      <c r="J276" s="47" t="s">
        <v>57</v>
      </c>
      <c r="K276" s="52" t="n">
        <v>889.61</v>
      </c>
      <c r="L276" s="53" t="n">
        <f aca="false">D276*K276</f>
        <v>35584.4</v>
      </c>
      <c r="M276" s="53" t="s">
        <v>68</v>
      </c>
      <c r="N276" s="52" t="n">
        <v>825.3</v>
      </c>
      <c r="O276" s="53" t="n">
        <f aca="false">D276*N276</f>
        <v>33012</v>
      </c>
      <c r="P276" s="54" t="n">
        <f aca="false">AVERAGE(H276,K276,N276)</f>
        <v>842.136666666667</v>
      </c>
      <c r="Q276" s="55" t="n">
        <f aca="false">F276*100/P276-100</f>
        <v>-0.764325663688794</v>
      </c>
      <c r="R276" s="54" t="n">
        <f aca="false">D276*F276</f>
        <v>33428</v>
      </c>
      <c r="S276" s="56"/>
      <c r="U276" s="57" t="n">
        <f aca="false">ROUND(H276*100/P276-100,0)</f>
        <v>-4</v>
      </c>
      <c r="V276" s="57" t="n">
        <f aca="false">ROUND(K276*100/P276-100,0)</f>
        <v>6</v>
      </c>
      <c r="W276" s="57" t="n">
        <f aca="false">ROUND(N276*100/P276-100,0)</f>
        <v>-2</v>
      </c>
    </row>
    <row r="277" s="43" customFormat="true" ht="73.5" hidden="false" customHeight="true" outlineLevel="0" collapsed="false">
      <c r="A277" s="45" t="n">
        <v>280</v>
      </c>
      <c r="B277" s="46" t="s">
        <v>389</v>
      </c>
      <c r="C277" s="47" t="s">
        <v>390</v>
      </c>
      <c r="D277" s="48" t="n">
        <v>21</v>
      </c>
      <c r="E277" s="49" t="s">
        <v>26</v>
      </c>
      <c r="F277" s="50" t="n">
        <v>856.33</v>
      </c>
      <c r="G277" s="51" t="s">
        <v>27</v>
      </c>
      <c r="H277" s="52" t="n">
        <f aca="false">988.3/1.2</f>
        <v>823.583333333333</v>
      </c>
      <c r="I277" s="53" t="n">
        <f aca="false">D277*H277</f>
        <v>17295.25</v>
      </c>
      <c r="J277" s="53" t="s">
        <v>28</v>
      </c>
      <c r="K277" s="52" t="n">
        <v>897.61</v>
      </c>
      <c r="L277" s="53" t="n">
        <f aca="false">D277*K277</f>
        <v>18849.81</v>
      </c>
      <c r="M277" s="48" t="s">
        <v>29</v>
      </c>
      <c r="N277" s="52" t="n">
        <v>854.77</v>
      </c>
      <c r="O277" s="53" t="n">
        <f aca="false">D277*N277</f>
        <v>17950.17</v>
      </c>
      <c r="P277" s="54" t="n">
        <f aca="false">AVERAGE(H277,K277,N277)</f>
        <v>858.654444444444</v>
      </c>
      <c r="Q277" s="55" t="n">
        <f aca="false">F277*100/P277-100</f>
        <v>-0.270707786989718</v>
      </c>
      <c r="R277" s="54" t="n">
        <f aca="false">D277*F277</f>
        <v>17982.93</v>
      </c>
      <c r="S277" s="56"/>
      <c r="U277" s="57" t="n">
        <f aca="false">ROUND(H277*100/P277-100,0)</f>
        <v>-4</v>
      </c>
      <c r="V277" s="57" t="n">
        <f aca="false">ROUND(K277*100/P277-100,0)</f>
        <v>5</v>
      </c>
      <c r="W277" s="57" t="n">
        <f aca="false">ROUND(N277*100/P277-100,0)</f>
        <v>-0</v>
      </c>
    </row>
    <row r="278" s="43" customFormat="true" ht="73.5" hidden="false" customHeight="true" outlineLevel="0" collapsed="false">
      <c r="A278" s="45" t="n">
        <v>281</v>
      </c>
      <c r="B278" s="46" t="s">
        <v>391</v>
      </c>
      <c r="C278" s="47" t="s">
        <v>392</v>
      </c>
      <c r="D278" s="48" t="n">
        <v>80</v>
      </c>
      <c r="E278" s="49"/>
      <c r="F278" s="50" t="n">
        <v>891.4</v>
      </c>
      <c r="G278" s="47" t="s">
        <v>27</v>
      </c>
      <c r="H278" s="52" t="n">
        <f aca="false">993.74/1.2</f>
        <v>828.116666666667</v>
      </c>
      <c r="I278" s="53" t="n">
        <f aca="false">D278*H278</f>
        <v>66249.3333333333</v>
      </c>
      <c r="J278" s="53" t="s">
        <v>28</v>
      </c>
      <c r="K278" s="52" t="n">
        <v>910.49</v>
      </c>
      <c r="L278" s="53" t="n">
        <f aca="false">D278*K278</f>
        <v>72839.2</v>
      </c>
      <c r="M278" s="48" t="s">
        <v>29</v>
      </c>
      <c r="N278" s="52" t="n">
        <v>941.56</v>
      </c>
      <c r="O278" s="53" t="n">
        <f aca="false">D278*N278</f>
        <v>75324.8</v>
      </c>
      <c r="P278" s="54" t="n">
        <f aca="false">AVERAGE(H278,K278,N278)</f>
        <v>893.388888888889</v>
      </c>
      <c r="Q278" s="55" t="n">
        <f aca="false">F278*100/P278-100</f>
        <v>-0.222622971208253</v>
      </c>
      <c r="R278" s="54" t="n">
        <f aca="false">D278*F278</f>
        <v>71312</v>
      </c>
      <c r="S278" s="56"/>
      <c r="U278" s="57" t="n">
        <f aca="false">ROUND(H278*100/P278-100,0)</f>
        <v>-7</v>
      </c>
      <c r="V278" s="57" t="n">
        <f aca="false">ROUND(K278*100/P278-100,0)</f>
        <v>2</v>
      </c>
      <c r="W278" s="57" t="n">
        <f aca="false">ROUND(N278*100/P278-100,0)</f>
        <v>5</v>
      </c>
    </row>
    <row r="279" s="43" customFormat="true" ht="73.5" hidden="false" customHeight="true" outlineLevel="0" collapsed="false">
      <c r="A279" s="45" t="n">
        <v>282</v>
      </c>
      <c r="B279" s="46" t="s">
        <v>393</v>
      </c>
      <c r="C279" s="47" t="s">
        <v>25</v>
      </c>
      <c r="D279" s="48" t="n">
        <v>44</v>
      </c>
      <c r="E279" s="49" t="n">
        <v>73059.55</v>
      </c>
      <c r="F279" s="50" t="n">
        <v>85001.4</v>
      </c>
      <c r="G279" s="47" t="s">
        <v>56</v>
      </c>
      <c r="H279" s="52" t="n">
        <v>85400.4</v>
      </c>
      <c r="I279" s="53" t="n">
        <f aca="false">D279*H279</f>
        <v>3757617.6</v>
      </c>
      <c r="J279" s="47" t="s">
        <v>57</v>
      </c>
      <c r="K279" s="52" t="n">
        <v>83700.61</v>
      </c>
      <c r="L279" s="53" t="n">
        <f aca="false">D279*K279</f>
        <v>3682826.84</v>
      </c>
      <c r="M279" s="47" t="s">
        <v>119</v>
      </c>
      <c r="N279" s="52" t="n">
        <v>87712.52</v>
      </c>
      <c r="O279" s="53" t="n">
        <f aca="false">D279*N279</f>
        <v>3859350.88</v>
      </c>
      <c r="P279" s="54" t="n">
        <f aca="false">AVERAGE(H279,K279,N279)</f>
        <v>85604.51</v>
      </c>
      <c r="Q279" s="55" t="n">
        <f aca="false">F279*100/P279-100</f>
        <v>-0.704530637462909</v>
      </c>
      <c r="R279" s="54" t="n">
        <f aca="false">D279*F279</f>
        <v>3740061.6</v>
      </c>
      <c r="S279" s="56"/>
      <c r="U279" s="57" t="n">
        <f aca="false">ROUND(H279*100/P279-100,0)</f>
        <v>-0</v>
      </c>
      <c r="V279" s="57" t="n">
        <f aca="false">ROUND(K279*100/P279-100,0)</f>
        <v>-2</v>
      </c>
      <c r="W279" s="57" t="n">
        <f aca="false">ROUND(N279*100/P279-100,0)</f>
        <v>2</v>
      </c>
    </row>
    <row r="280" s="43" customFormat="true" ht="129.75" hidden="false" customHeight="true" outlineLevel="0" collapsed="false">
      <c r="A280" s="45" t="n">
        <v>284</v>
      </c>
      <c r="B280" s="46" t="s">
        <v>394</v>
      </c>
      <c r="C280" s="47" t="s">
        <v>65</v>
      </c>
      <c r="D280" s="48" t="n">
        <v>9</v>
      </c>
      <c r="E280" s="49" t="n">
        <v>10087.13</v>
      </c>
      <c r="F280" s="50" t="n">
        <v>13200.5</v>
      </c>
      <c r="G280" s="51" t="s">
        <v>27</v>
      </c>
      <c r="H280" s="52" t="n">
        <f aca="false">14543.24/1.2</f>
        <v>12119.3666666667</v>
      </c>
      <c r="I280" s="53" t="n">
        <f aca="false">D280*H280</f>
        <v>109074.3</v>
      </c>
      <c r="J280" s="53" t="s">
        <v>28</v>
      </c>
      <c r="K280" s="52" t="n">
        <v>13540.62</v>
      </c>
      <c r="L280" s="53" t="n">
        <f aca="false">D280*K280</f>
        <v>121865.58</v>
      </c>
      <c r="M280" s="48" t="s">
        <v>29</v>
      </c>
      <c r="N280" s="52" t="n">
        <v>13974.2</v>
      </c>
      <c r="O280" s="53" t="n">
        <f aca="false">D280*N280</f>
        <v>125767.8</v>
      </c>
      <c r="P280" s="54" t="n">
        <f aca="false">AVERAGE(H280,K280,N280)</f>
        <v>13211.3955555556</v>
      </c>
      <c r="Q280" s="55" t="n">
        <f aca="false">F280*100/P280-100</f>
        <v>-0.0824708904501392</v>
      </c>
      <c r="R280" s="54" t="n">
        <f aca="false">D280*F280</f>
        <v>118804.5</v>
      </c>
      <c r="S280" s="56"/>
      <c r="U280" s="57" t="n">
        <f aca="false">ROUND(H280*100/P280-100,0)</f>
        <v>-8</v>
      </c>
      <c r="V280" s="57" t="n">
        <f aca="false">ROUND(K280*100/P280-100,0)</f>
        <v>2</v>
      </c>
      <c r="W280" s="57" t="n">
        <f aca="false">ROUND(N280*100/P280-100,0)</f>
        <v>6</v>
      </c>
    </row>
    <row r="281" s="43" customFormat="true" ht="152.25" hidden="false" customHeight="true" outlineLevel="0" collapsed="false">
      <c r="A281" s="45" t="n">
        <v>285</v>
      </c>
      <c r="B281" s="46" t="s">
        <v>395</v>
      </c>
      <c r="C281" s="47" t="s">
        <v>65</v>
      </c>
      <c r="D281" s="48" t="n">
        <v>6</v>
      </c>
      <c r="E281" s="49" t="n">
        <v>10712.49</v>
      </c>
      <c r="F281" s="50" t="n">
        <v>13054.66</v>
      </c>
      <c r="G281" s="51" t="s">
        <v>27</v>
      </c>
      <c r="H281" s="52" t="n">
        <f aca="false">15425.82/1.2</f>
        <v>12854.85</v>
      </c>
      <c r="I281" s="53" t="n">
        <f aca="false">D281*H281</f>
        <v>77129.1</v>
      </c>
      <c r="J281" s="53" t="s">
        <v>28</v>
      </c>
      <c r="K281" s="52" t="n">
        <v>13002.74</v>
      </c>
      <c r="L281" s="53" t="n">
        <f aca="false">D281*K281</f>
        <v>78016.44</v>
      </c>
      <c r="M281" s="48" t="s">
        <v>29</v>
      </c>
      <c r="N281" s="52" t="n">
        <v>13566.4</v>
      </c>
      <c r="O281" s="53" t="n">
        <f aca="false">D281*N281</f>
        <v>81398.4</v>
      </c>
      <c r="P281" s="54" t="n">
        <f aca="false">AVERAGE(H281,K281,N281)</f>
        <v>13141.33</v>
      </c>
      <c r="Q281" s="55" t="n">
        <f aca="false">F281*100/P281-100</f>
        <v>-0.65952228579603</v>
      </c>
      <c r="R281" s="54" t="n">
        <f aca="false">D281*F281</f>
        <v>78327.96</v>
      </c>
      <c r="S281" s="56"/>
      <c r="U281" s="57" t="n">
        <f aca="false">ROUND(H281*100/P281-100,0)</f>
        <v>-2</v>
      </c>
      <c r="V281" s="57" t="n">
        <f aca="false">ROUND(K281*100/P281-100,0)</f>
        <v>-1</v>
      </c>
      <c r="W281" s="57" t="n">
        <f aca="false">ROUND(N281*100/P281-100,0)</f>
        <v>3</v>
      </c>
    </row>
    <row r="282" s="43" customFormat="true" ht="73.5" hidden="false" customHeight="true" outlineLevel="0" collapsed="false">
      <c r="A282" s="45" t="n">
        <v>290</v>
      </c>
      <c r="B282" s="46" t="s">
        <v>396</v>
      </c>
      <c r="C282" s="47" t="s">
        <v>25</v>
      </c>
      <c r="D282" s="48" t="n">
        <v>1</v>
      </c>
      <c r="E282" s="49" t="n">
        <v>3933.86</v>
      </c>
      <c r="F282" s="50" t="n">
        <v>16735.5</v>
      </c>
      <c r="G282" s="51" t="s">
        <v>27</v>
      </c>
      <c r="H282" s="52" t="n">
        <f aca="false">20044.48/1.2</f>
        <v>16703.7333333333</v>
      </c>
      <c r="I282" s="53" t="n">
        <f aca="false">D282*H282</f>
        <v>16703.7333333333</v>
      </c>
      <c r="J282" s="53" t="s">
        <v>28</v>
      </c>
      <c r="K282" s="52" t="n">
        <v>16540.53</v>
      </c>
      <c r="L282" s="53" t="n">
        <f aca="false">D282*K282</f>
        <v>16540.53</v>
      </c>
      <c r="M282" s="48" t="s">
        <v>29</v>
      </c>
      <c r="N282" s="52" t="n">
        <v>17010</v>
      </c>
      <c r="O282" s="53" t="n">
        <f aca="false">D282*N282</f>
        <v>17010</v>
      </c>
      <c r="P282" s="54" t="n">
        <f aca="false">AVERAGE(H282,K282,N282)</f>
        <v>16751.4211111111</v>
      </c>
      <c r="Q282" s="55" t="n">
        <f aca="false">F282*100/P282-100</f>
        <v>-0.0950433459078255</v>
      </c>
      <c r="R282" s="54" t="n">
        <f aca="false">D282*F282</f>
        <v>16735.5</v>
      </c>
      <c r="S282" s="72"/>
      <c r="U282" s="57" t="n">
        <f aca="false">ROUND(H282*100/P282-100,0)</f>
        <v>-0</v>
      </c>
      <c r="V282" s="57" t="n">
        <f aca="false">ROUND(K282*100/P282-100,0)</f>
        <v>-1</v>
      </c>
      <c r="W282" s="57" t="n">
        <f aca="false">ROUND(N282*100/P282-100,0)</f>
        <v>2</v>
      </c>
    </row>
    <row r="283" s="43" customFormat="true" ht="73.5" hidden="false" customHeight="true" outlineLevel="0" collapsed="false">
      <c r="A283" s="45" t="n">
        <v>291</v>
      </c>
      <c r="B283" s="46" t="s">
        <v>397</v>
      </c>
      <c r="C283" s="47" t="s">
        <v>25</v>
      </c>
      <c r="D283" s="48" t="n">
        <v>1</v>
      </c>
      <c r="E283" s="49" t="n">
        <v>1841.37</v>
      </c>
      <c r="F283" s="50" t="n">
        <v>2330.77</v>
      </c>
      <c r="G283" s="51" t="s">
        <v>27</v>
      </c>
      <c r="H283" s="52" t="n">
        <f aca="false">2628.72/1.2</f>
        <v>2190.6</v>
      </c>
      <c r="I283" s="53" t="n">
        <f aca="false">D283*H283</f>
        <v>2190.6</v>
      </c>
      <c r="J283" s="53" t="s">
        <v>28</v>
      </c>
      <c r="K283" s="52" t="n">
        <v>2345.68</v>
      </c>
      <c r="L283" s="53" t="n">
        <f aca="false">D283*K283</f>
        <v>2345.68</v>
      </c>
      <c r="M283" s="48" t="s">
        <v>29</v>
      </c>
      <c r="N283" s="52" t="n">
        <v>2487.2</v>
      </c>
      <c r="O283" s="53" t="n">
        <f aca="false">D283*N283</f>
        <v>2487.2</v>
      </c>
      <c r="P283" s="54" t="n">
        <f aca="false">AVERAGE(H283,K283,N283)</f>
        <v>2341.16</v>
      </c>
      <c r="Q283" s="55" t="n">
        <f aca="false">F283*100/P283-100</f>
        <v>-0.443797092039844</v>
      </c>
      <c r="R283" s="54" t="n">
        <f aca="false">D283*F283</f>
        <v>2330.77</v>
      </c>
      <c r="S283" s="56"/>
      <c r="U283" s="57" t="n">
        <f aca="false">ROUND(H283*100/P283-100,0)</f>
        <v>-6</v>
      </c>
      <c r="V283" s="57" t="n">
        <f aca="false">ROUND(K283*100/P283-100,0)</f>
        <v>0</v>
      </c>
      <c r="W283" s="57" t="n">
        <f aca="false">ROUND(N283*100/P283-100,0)</f>
        <v>6</v>
      </c>
    </row>
    <row r="284" s="43" customFormat="true" ht="73.5" hidden="false" customHeight="true" outlineLevel="0" collapsed="false">
      <c r="A284" s="45" t="n">
        <v>292</v>
      </c>
      <c r="B284" s="46" t="s">
        <v>398</v>
      </c>
      <c r="C284" s="47" t="s">
        <v>25</v>
      </c>
      <c r="D284" s="48" t="n">
        <v>2</v>
      </c>
      <c r="E284" s="49" t="n">
        <v>1841.37</v>
      </c>
      <c r="F284" s="50" t="n">
        <v>3600</v>
      </c>
      <c r="G284" s="51" t="s">
        <v>27</v>
      </c>
      <c r="H284" s="52" t="n">
        <f aca="false">3915.81/1.2</f>
        <v>3263.175</v>
      </c>
      <c r="I284" s="53" t="n">
        <f aca="false">D284*H284</f>
        <v>6526.35</v>
      </c>
      <c r="J284" s="53" t="s">
        <v>28</v>
      </c>
      <c r="K284" s="52" t="n">
        <v>3604.32</v>
      </c>
      <c r="L284" s="53" t="n">
        <f aca="false">D284*K284</f>
        <v>7208.64</v>
      </c>
      <c r="M284" s="48" t="s">
        <v>29</v>
      </c>
      <c r="N284" s="52" t="n">
        <v>3954.31</v>
      </c>
      <c r="O284" s="53" t="n">
        <f aca="false">D284*N284</f>
        <v>7908.62</v>
      </c>
      <c r="P284" s="54" t="n">
        <f aca="false">AVERAGE(H284,K284,N284)</f>
        <v>3607.26833333333</v>
      </c>
      <c r="Q284" s="55" t="n">
        <f aca="false">F284*100/P284-100</f>
        <v>-0.201491340862276</v>
      </c>
      <c r="R284" s="54" t="n">
        <f aca="false">D284*F284</f>
        <v>7200</v>
      </c>
      <c r="S284" s="56"/>
      <c r="U284" s="57" t="n">
        <f aca="false">ROUND(H284*100/P284-100,0)</f>
        <v>-10</v>
      </c>
      <c r="V284" s="57" t="n">
        <f aca="false">ROUND(K284*100/P284-100,0)</f>
        <v>-0</v>
      </c>
      <c r="W284" s="57" t="n">
        <f aca="false">ROUND(N284*100/P284-100,0)</f>
        <v>10</v>
      </c>
    </row>
    <row r="285" s="43" customFormat="true" ht="73.5" hidden="false" customHeight="true" outlineLevel="0" collapsed="false">
      <c r="A285" s="45" t="n">
        <v>293</v>
      </c>
      <c r="B285" s="46" t="s">
        <v>399</v>
      </c>
      <c r="C285" s="47" t="s">
        <v>25</v>
      </c>
      <c r="D285" s="48" t="n">
        <v>1</v>
      </c>
      <c r="E285" s="49" t="n">
        <v>6174.53</v>
      </c>
      <c r="F285" s="50" t="n">
        <v>6600.75</v>
      </c>
      <c r="G285" s="47" t="s">
        <v>27</v>
      </c>
      <c r="H285" s="52" t="n">
        <f aca="false">7630.45/1.2</f>
        <v>6358.70833333333</v>
      </c>
      <c r="I285" s="53" t="n">
        <f aca="false">D285*H285</f>
        <v>6358.70833333333</v>
      </c>
      <c r="J285" s="53" t="s">
        <v>28</v>
      </c>
      <c r="K285" s="52" t="n">
        <v>6468.15</v>
      </c>
      <c r="L285" s="53" t="n">
        <f aca="false">D285*K285</f>
        <v>6468.15</v>
      </c>
      <c r="M285" s="48" t="s">
        <v>29</v>
      </c>
      <c r="N285" s="52" t="n">
        <v>7020.16</v>
      </c>
      <c r="O285" s="53" t="n">
        <f aca="false">D285*N285</f>
        <v>7020.16</v>
      </c>
      <c r="P285" s="54" t="n">
        <f aca="false">AVERAGE(H285,K285,N285)</f>
        <v>6615.67277777778</v>
      </c>
      <c r="Q285" s="55" t="n">
        <f aca="false">F285*100/P285-100</f>
        <v>-0.225567047812646</v>
      </c>
      <c r="R285" s="54" t="n">
        <f aca="false">D285*F285</f>
        <v>6600.75</v>
      </c>
      <c r="S285" s="56"/>
      <c r="U285" s="57" t="n">
        <f aca="false">ROUND(H285*100/P285-100,0)</f>
        <v>-4</v>
      </c>
      <c r="V285" s="57" t="n">
        <f aca="false">ROUND(K285*100/P285-100,0)</f>
        <v>-2</v>
      </c>
      <c r="W285" s="57" t="n">
        <f aca="false">ROUND(N285*100/P285-100,0)</f>
        <v>6</v>
      </c>
    </row>
    <row r="286" s="43" customFormat="true" ht="73.5" hidden="false" customHeight="true" outlineLevel="0" collapsed="false">
      <c r="A286" s="45" t="n">
        <v>295</v>
      </c>
      <c r="B286" s="46" t="s">
        <v>400</v>
      </c>
      <c r="C286" s="47" t="s">
        <v>25</v>
      </c>
      <c r="D286" s="48" t="n">
        <v>2</v>
      </c>
      <c r="E286" s="49" t="s">
        <v>26</v>
      </c>
      <c r="F286" s="50" t="n">
        <v>27700.56</v>
      </c>
      <c r="G286" s="47" t="s">
        <v>27</v>
      </c>
      <c r="H286" s="52" t="n">
        <f aca="false">32738.89/1.2</f>
        <v>27282.4083333333</v>
      </c>
      <c r="I286" s="53" t="n">
        <f aca="false">D286*H286</f>
        <v>54564.8166666667</v>
      </c>
      <c r="J286" s="53" t="s">
        <v>28</v>
      </c>
      <c r="K286" s="52" t="n">
        <v>28314.24</v>
      </c>
      <c r="L286" s="53" t="n">
        <f aca="false">D286*K286</f>
        <v>56628.48</v>
      </c>
      <c r="M286" s="48" t="s">
        <v>29</v>
      </c>
      <c r="N286" s="52" t="n">
        <v>27597.6</v>
      </c>
      <c r="O286" s="53" t="n">
        <f aca="false">D286*N286</f>
        <v>55195.2</v>
      </c>
      <c r="P286" s="54" t="n">
        <f aca="false">AVERAGE(H286,K286,N286)</f>
        <v>27731.4161111111</v>
      </c>
      <c r="Q286" s="55" t="n">
        <f aca="false">F286*100/P286-100</f>
        <v>-0.11126770803007</v>
      </c>
      <c r="R286" s="54" t="n">
        <f aca="false">D286*F286</f>
        <v>55401.12</v>
      </c>
      <c r="S286" s="56"/>
      <c r="U286" s="57" t="n">
        <f aca="false">ROUND(H286*100/P286-100,0)</f>
        <v>-2</v>
      </c>
      <c r="V286" s="57" t="n">
        <f aca="false">ROUND(K286*100/P286-100,0)</f>
        <v>2</v>
      </c>
      <c r="W286" s="57" t="n">
        <f aca="false">ROUND(N286*100/P286-100,0)</f>
        <v>-0</v>
      </c>
    </row>
    <row r="287" s="43" customFormat="true" ht="73.5" hidden="false" customHeight="true" outlineLevel="0" collapsed="false">
      <c r="A287" s="45" t="n">
        <v>296</v>
      </c>
      <c r="B287" s="46" t="s">
        <v>401</v>
      </c>
      <c r="C287" s="47" t="s">
        <v>25</v>
      </c>
      <c r="D287" s="48" t="n">
        <v>1</v>
      </c>
      <c r="E287" s="49" t="n">
        <v>36961.48</v>
      </c>
      <c r="F287" s="50" t="n">
        <v>46300.5</v>
      </c>
      <c r="G287" s="47" t="s">
        <v>27</v>
      </c>
      <c r="H287" s="52" t="n">
        <f aca="false">54979.55/1.2</f>
        <v>45816.2916666667</v>
      </c>
      <c r="I287" s="53" t="n">
        <f aca="false">D287*H287</f>
        <v>45816.2916666667</v>
      </c>
      <c r="J287" s="53" t="s">
        <v>28</v>
      </c>
      <c r="K287" s="52" t="n">
        <v>46315.48</v>
      </c>
      <c r="L287" s="53" t="n">
        <f aca="false">D287*K287</f>
        <v>46315.48</v>
      </c>
      <c r="M287" s="48" t="s">
        <v>29</v>
      </c>
      <c r="N287" s="52" t="n">
        <v>46780.3</v>
      </c>
      <c r="O287" s="53" t="n">
        <f aca="false">D287*N287</f>
        <v>46780.3</v>
      </c>
      <c r="P287" s="54" t="n">
        <f aca="false">AVERAGE(H287,K287,N287)</f>
        <v>46304.0238888889</v>
      </c>
      <c r="Q287" s="55" t="n">
        <f aca="false">F287*100/P287-100</f>
        <v>-0.00761032971421116</v>
      </c>
      <c r="R287" s="54" t="n">
        <f aca="false">D287*F287</f>
        <v>46300.5</v>
      </c>
      <c r="S287" s="56"/>
      <c r="U287" s="57" t="n">
        <f aca="false">ROUND(H287*100/P287-100,0)</f>
        <v>-1</v>
      </c>
      <c r="V287" s="57" t="n">
        <f aca="false">ROUND(K287*100/P287-100,0)</f>
        <v>0</v>
      </c>
      <c r="W287" s="57" t="n">
        <f aca="false">ROUND(N287*100/P287-100,0)</f>
        <v>1</v>
      </c>
    </row>
    <row r="288" s="43" customFormat="true" ht="73.5" hidden="true" customHeight="true" outlineLevel="0" collapsed="false">
      <c r="A288" s="45" t="n">
        <v>297</v>
      </c>
      <c r="B288" s="46" t="s">
        <v>402</v>
      </c>
      <c r="C288" s="47" t="s">
        <v>147</v>
      </c>
      <c r="D288" s="48" t="n">
        <v>2</v>
      </c>
      <c r="E288" s="49" t="n">
        <v>41.08</v>
      </c>
      <c r="F288" s="50" t="n">
        <v>42.3</v>
      </c>
      <c r="G288" s="47" t="s">
        <v>27</v>
      </c>
      <c r="H288" s="52" t="n">
        <f aca="false">50.03/1.2</f>
        <v>41.6916666666667</v>
      </c>
      <c r="I288" s="53" t="n">
        <f aca="false">D288*H288</f>
        <v>83.3833333333333</v>
      </c>
      <c r="J288" s="53" t="s">
        <v>28</v>
      </c>
      <c r="K288" s="52" t="n">
        <v>42.01</v>
      </c>
      <c r="L288" s="53" t="n">
        <f aca="false">D288*K288</f>
        <v>84.02</v>
      </c>
      <c r="M288" s="48" t="s">
        <v>29</v>
      </c>
      <c r="N288" s="52" t="n">
        <v>44.25</v>
      </c>
      <c r="O288" s="53" t="n">
        <f aca="false">D288*N288</f>
        <v>88.5</v>
      </c>
      <c r="P288" s="54" t="n">
        <f aca="false">AVERAGE(H288,K288,N288)</f>
        <v>42.6505555555556</v>
      </c>
      <c r="Q288" s="55" t="n">
        <f aca="false">F288*100/P288-100</f>
        <v>-0.821924945617482</v>
      </c>
      <c r="R288" s="54" t="n">
        <f aca="false">D288*F288</f>
        <v>84.6</v>
      </c>
      <c r="S288" s="62" t="s">
        <v>116</v>
      </c>
      <c r="U288" s="57" t="n">
        <f aca="false">ROUND(H288*100/P288-100,0)</f>
        <v>-2</v>
      </c>
      <c r="V288" s="57" t="n">
        <f aca="false">ROUND(K288*100/P288-100,0)</f>
        <v>-2</v>
      </c>
      <c r="W288" s="57" t="n">
        <f aca="false">ROUND(N288*100/P288-100,0)</f>
        <v>4</v>
      </c>
      <c r="Y288" s="43" t="n">
        <v>286</v>
      </c>
    </row>
    <row r="289" s="43" customFormat="true" ht="73.5" hidden="true" customHeight="true" outlineLevel="0" collapsed="false">
      <c r="A289" s="45" t="n">
        <v>298</v>
      </c>
      <c r="B289" s="46" t="s">
        <v>403</v>
      </c>
      <c r="C289" s="47" t="s">
        <v>147</v>
      </c>
      <c r="D289" s="48" t="n">
        <v>10</v>
      </c>
      <c r="E289" s="49" t="n">
        <v>19.62</v>
      </c>
      <c r="F289" s="50" t="n">
        <v>21.55</v>
      </c>
      <c r="G289" s="47" t="s">
        <v>27</v>
      </c>
      <c r="H289" s="52" t="n">
        <f aca="false">23.86/1.2</f>
        <v>19.8833333333333</v>
      </c>
      <c r="I289" s="53" t="n">
        <f aca="false">D289*H289</f>
        <v>198.833333333333</v>
      </c>
      <c r="J289" s="53" t="s">
        <v>28</v>
      </c>
      <c r="K289" s="52" t="n">
        <v>23.66</v>
      </c>
      <c r="L289" s="53" t="n">
        <f aca="false">D289*K289</f>
        <v>236.6</v>
      </c>
      <c r="M289" s="48" t="s">
        <v>29</v>
      </c>
      <c r="N289" s="52" t="n">
        <v>21.7</v>
      </c>
      <c r="O289" s="53" t="n">
        <f aca="false">D289*N289</f>
        <v>217</v>
      </c>
      <c r="P289" s="54" t="n">
        <f aca="false">AVERAGE(H289,K289,N289)</f>
        <v>21.7477777777778</v>
      </c>
      <c r="Q289" s="55" t="n">
        <f aca="false">F289*100/P289-100</f>
        <v>-0.9094160322894</v>
      </c>
      <c r="R289" s="54" t="n">
        <f aca="false">D289*F289</f>
        <v>215.5</v>
      </c>
      <c r="S289" s="62" t="s">
        <v>116</v>
      </c>
      <c r="U289" s="57" t="n">
        <f aca="false">ROUND(H289*100/P289-100,0)</f>
        <v>-9</v>
      </c>
      <c r="V289" s="57" t="n">
        <f aca="false">ROUND(K289*100/P289-100,0)</f>
        <v>9</v>
      </c>
      <c r="W289" s="57" t="n">
        <f aca="false">ROUND(N289*100/P289-100,0)</f>
        <v>-0</v>
      </c>
      <c r="Y289" s="43" t="n">
        <v>287</v>
      </c>
    </row>
    <row r="290" s="43" customFormat="true" ht="73.5" hidden="true" customHeight="true" outlineLevel="0" collapsed="false">
      <c r="A290" s="45" t="n">
        <v>299</v>
      </c>
      <c r="B290" s="46" t="s">
        <v>404</v>
      </c>
      <c r="C290" s="47" t="s">
        <v>147</v>
      </c>
      <c r="D290" s="48" t="n">
        <v>2</v>
      </c>
      <c r="E290" s="49" t="n">
        <v>15.79</v>
      </c>
      <c r="F290" s="50" t="n">
        <v>17.5</v>
      </c>
      <c r="G290" s="47" t="s">
        <v>27</v>
      </c>
      <c r="H290" s="52" t="n">
        <f aca="false">19.58/1.2</f>
        <v>16.3166666666667</v>
      </c>
      <c r="I290" s="53" t="n">
        <f aca="false">D290*H290</f>
        <v>32.6333333333333</v>
      </c>
      <c r="J290" s="53" t="s">
        <v>28</v>
      </c>
      <c r="K290" s="52" t="n">
        <v>17.74</v>
      </c>
      <c r="L290" s="53" t="n">
        <f aca="false">D290*K290</f>
        <v>35.48</v>
      </c>
      <c r="M290" s="48" t="s">
        <v>29</v>
      </c>
      <c r="N290" s="52" t="n">
        <v>19.7</v>
      </c>
      <c r="O290" s="53" t="n">
        <f aca="false">D290*N290</f>
        <v>39.4</v>
      </c>
      <c r="P290" s="54" t="n">
        <f aca="false">AVERAGE(H290,K290,N290)</f>
        <v>17.9188888888889</v>
      </c>
      <c r="Q290" s="55" t="n">
        <f aca="false">F290*100/P290-100</f>
        <v>-2.33769454951323</v>
      </c>
      <c r="R290" s="54" t="n">
        <f aca="false">D290*F290</f>
        <v>35</v>
      </c>
      <c r="S290" s="62" t="s">
        <v>116</v>
      </c>
      <c r="U290" s="57" t="n">
        <f aca="false">ROUND(H290*100/P290-100,0)</f>
        <v>-9</v>
      </c>
      <c r="V290" s="57" t="n">
        <f aca="false">ROUND(K290*100/P290-100,0)</f>
        <v>-1</v>
      </c>
      <c r="W290" s="57" t="n">
        <f aca="false">ROUND(N290*100/P290-100,0)</f>
        <v>10</v>
      </c>
      <c r="Y290" s="43" t="n">
        <v>288</v>
      </c>
    </row>
    <row r="291" s="43" customFormat="true" ht="73.5" hidden="true" customHeight="true" outlineLevel="0" collapsed="false">
      <c r="A291" s="45" t="n">
        <v>300</v>
      </c>
      <c r="B291" s="46" t="s">
        <v>405</v>
      </c>
      <c r="C291" s="47" t="s">
        <v>147</v>
      </c>
      <c r="D291" s="48" t="n">
        <v>10</v>
      </c>
      <c r="E291" s="49" t="n">
        <v>38.33</v>
      </c>
      <c r="F291" s="50" t="n">
        <v>48.02</v>
      </c>
      <c r="G291" s="47" t="s">
        <v>27</v>
      </c>
      <c r="H291" s="52" t="n">
        <f aca="false">55.42/1.2</f>
        <v>46.1833333333333</v>
      </c>
      <c r="I291" s="53" t="n">
        <f aca="false">D291*H291</f>
        <v>461.833333333333</v>
      </c>
      <c r="J291" s="53" t="s">
        <v>28</v>
      </c>
      <c r="K291" s="52" t="n">
        <v>51.47</v>
      </c>
      <c r="L291" s="53" t="n">
        <f aca="false">D291*K291</f>
        <v>514.7</v>
      </c>
      <c r="M291" s="48" t="s">
        <v>29</v>
      </c>
      <c r="N291" s="52" t="n">
        <v>48.63</v>
      </c>
      <c r="O291" s="53" t="n">
        <f aca="false">D291*N291</f>
        <v>486.3</v>
      </c>
      <c r="P291" s="54" t="n">
        <f aca="false">AVERAGE(H291,K291,N291)</f>
        <v>48.7611111111111</v>
      </c>
      <c r="Q291" s="55" t="n">
        <f aca="false">F291*100/P291-100</f>
        <v>-1.5198815084881</v>
      </c>
      <c r="R291" s="54" t="n">
        <f aca="false">D291*F291</f>
        <v>480.2</v>
      </c>
      <c r="S291" s="62" t="s">
        <v>116</v>
      </c>
      <c r="U291" s="57" t="n">
        <f aca="false">ROUND(H291*100/P291-100,0)</f>
        <v>-5</v>
      </c>
      <c r="V291" s="57" t="n">
        <f aca="false">ROUND(K291*100/P291-100,0)</f>
        <v>6</v>
      </c>
      <c r="W291" s="57" t="n">
        <f aca="false">ROUND(N291*100/P291-100,0)</f>
        <v>-0</v>
      </c>
      <c r="Y291" s="43" t="n">
        <v>289</v>
      </c>
    </row>
    <row r="292" s="43" customFormat="true" ht="73.5" hidden="false" customHeight="true" outlineLevel="0" collapsed="false">
      <c r="A292" s="45" t="n">
        <v>301</v>
      </c>
      <c r="B292" s="46" t="s">
        <v>406</v>
      </c>
      <c r="C292" s="47" t="s">
        <v>25</v>
      </c>
      <c r="D292" s="48" t="n">
        <v>4</v>
      </c>
      <c r="E292" s="49" t="s">
        <v>26</v>
      </c>
      <c r="F292" s="50" t="n">
        <v>869.7</v>
      </c>
      <c r="G292" s="47" t="s">
        <v>27</v>
      </c>
      <c r="H292" s="52" t="n">
        <f aca="false">998.09/1.2</f>
        <v>831.741666666667</v>
      </c>
      <c r="I292" s="53" t="n">
        <f aca="false">D292*H292</f>
        <v>3326.96666666667</v>
      </c>
      <c r="J292" s="53" t="s">
        <v>28</v>
      </c>
      <c r="K292" s="52" t="n">
        <v>864.2</v>
      </c>
      <c r="L292" s="53" t="n">
        <f aca="false">D292*K292</f>
        <v>3456.8</v>
      </c>
      <c r="M292" s="48" t="s">
        <v>29</v>
      </c>
      <c r="N292" s="52" t="n">
        <v>921.4</v>
      </c>
      <c r="O292" s="53" t="n">
        <f aca="false">D292*N292</f>
        <v>3685.6</v>
      </c>
      <c r="P292" s="54" t="n">
        <f aca="false">AVERAGE(H292,K292,N292)</f>
        <v>872.447222222222</v>
      </c>
      <c r="Q292" s="55" t="n">
        <f aca="false">F292*100/P292-100</f>
        <v>-0.314886924073718</v>
      </c>
      <c r="R292" s="54" t="n">
        <f aca="false">D292*F292</f>
        <v>3478.8</v>
      </c>
      <c r="S292" s="63"/>
      <c r="U292" s="57" t="n">
        <f aca="false">ROUND(H292*100/P292-100,0)</f>
        <v>-5</v>
      </c>
      <c r="V292" s="57" t="n">
        <f aca="false">ROUND(K292*100/P292-100,0)</f>
        <v>-1</v>
      </c>
      <c r="W292" s="57" t="n">
        <f aca="false">ROUND(N292*100/P292-100,0)</f>
        <v>6</v>
      </c>
    </row>
    <row r="293" s="43" customFormat="true" ht="73.5" hidden="false" customHeight="true" outlineLevel="0" collapsed="false">
      <c r="A293" s="45" t="n">
        <v>302</v>
      </c>
      <c r="B293" s="46" t="s">
        <v>407</v>
      </c>
      <c r="C293" s="47" t="s">
        <v>25</v>
      </c>
      <c r="D293" s="48" t="n">
        <v>100</v>
      </c>
      <c r="E293" s="49" t="n">
        <v>1579.17</v>
      </c>
      <c r="F293" s="50" t="n">
        <v>2075.4</v>
      </c>
      <c r="G293" s="47" t="s">
        <v>56</v>
      </c>
      <c r="H293" s="52" t="n">
        <v>2105.69</v>
      </c>
      <c r="I293" s="53" t="n">
        <f aca="false">D293*H293</f>
        <v>210569</v>
      </c>
      <c r="J293" s="47" t="s">
        <v>57</v>
      </c>
      <c r="K293" s="52" t="n">
        <v>1929.86</v>
      </c>
      <c r="L293" s="53" t="n">
        <f aca="false">D293*K293</f>
        <v>192986</v>
      </c>
      <c r="M293" s="47" t="s">
        <v>119</v>
      </c>
      <c r="N293" s="52" t="n">
        <v>2201.34</v>
      </c>
      <c r="O293" s="53" t="n">
        <f aca="false">D293*N293</f>
        <v>220134</v>
      </c>
      <c r="P293" s="54" t="n">
        <f aca="false">AVERAGE(H293,K293,N293)</f>
        <v>2078.96333333333</v>
      </c>
      <c r="Q293" s="55" t="n">
        <f aca="false">F293*100/P293-100</f>
        <v>-0.171399527649214</v>
      </c>
      <c r="R293" s="54" t="n">
        <f aca="false">D293*F293</f>
        <v>207540</v>
      </c>
      <c r="S293" s="63"/>
      <c r="U293" s="57" t="n">
        <f aca="false">ROUND(H293*100/P293-100,0)</f>
        <v>1</v>
      </c>
      <c r="V293" s="57" t="n">
        <f aca="false">ROUND(K293*100/P293-100,0)</f>
        <v>-7</v>
      </c>
      <c r="W293" s="57" t="n">
        <f aca="false">ROUND(N293*100/P293-100,0)</f>
        <v>6</v>
      </c>
    </row>
    <row r="294" s="43" customFormat="true" ht="73.5" hidden="false" customHeight="true" outlineLevel="0" collapsed="false">
      <c r="A294" s="45" t="n">
        <v>303</v>
      </c>
      <c r="B294" s="46" t="s">
        <v>408</v>
      </c>
      <c r="C294" s="47" t="s">
        <v>25</v>
      </c>
      <c r="D294" s="48" t="n">
        <v>10</v>
      </c>
      <c r="E294" s="49" t="n">
        <v>1698.61</v>
      </c>
      <c r="F294" s="50" t="n">
        <v>1865.8</v>
      </c>
      <c r="G294" s="47" t="s">
        <v>27</v>
      </c>
      <c r="H294" s="52" t="n">
        <f aca="false">2139.16/1.2</f>
        <v>1782.63333333333</v>
      </c>
      <c r="I294" s="53" t="n">
        <f aca="false">D294*H294</f>
        <v>17826.3333333333</v>
      </c>
      <c r="J294" s="53" t="s">
        <v>28</v>
      </c>
      <c r="K294" s="52" t="n">
        <v>1874.56</v>
      </c>
      <c r="L294" s="53" t="n">
        <f aca="false">D294*K294</f>
        <v>18745.6</v>
      </c>
      <c r="M294" s="48" t="s">
        <v>29</v>
      </c>
      <c r="N294" s="52" t="n">
        <v>1947.3</v>
      </c>
      <c r="O294" s="53" t="n">
        <f aca="false">D294*N294</f>
        <v>19473</v>
      </c>
      <c r="P294" s="54" t="n">
        <f aca="false">AVERAGE(H294,K294,N294)</f>
        <v>1868.16444444444</v>
      </c>
      <c r="Q294" s="55" t="n">
        <f aca="false">F294*100/P294-100</f>
        <v>-0.126565113230569</v>
      </c>
      <c r="R294" s="54" t="n">
        <f aca="false">D294*F294</f>
        <v>18658</v>
      </c>
      <c r="S294" s="63"/>
      <c r="U294" s="57" t="n">
        <f aca="false">ROUND(H294*100/P294-100,0)</f>
        <v>-5</v>
      </c>
      <c r="V294" s="57" t="n">
        <f aca="false">ROUND(K294*100/P294-100,0)</f>
        <v>0</v>
      </c>
      <c r="W294" s="57" t="n">
        <f aca="false">ROUND(N294*100/P294-100,0)</f>
        <v>4</v>
      </c>
    </row>
    <row r="295" s="43" customFormat="true" ht="73.5" hidden="false" customHeight="true" outlineLevel="0" collapsed="false">
      <c r="A295" s="45" t="n">
        <v>304</v>
      </c>
      <c r="B295" s="46" t="s">
        <v>409</v>
      </c>
      <c r="C295" s="47" t="s">
        <v>25</v>
      </c>
      <c r="D295" s="48" t="n">
        <v>2</v>
      </c>
      <c r="E295" s="49" t="s">
        <v>26</v>
      </c>
      <c r="F295" s="50" t="n">
        <v>31990.5</v>
      </c>
      <c r="G295" s="47" t="s">
        <v>27</v>
      </c>
      <c r="H295" s="52" t="n">
        <f aca="false">37069.36/1.2</f>
        <v>30891.1333333333</v>
      </c>
      <c r="I295" s="53" t="n">
        <f aca="false">D295*H295</f>
        <v>61782.2666666667</v>
      </c>
      <c r="J295" s="53" t="s">
        <v>28</v>
      </c>
      <c r="K295" s="52" t="n">
        <v>32114.72</v>
      </c>
      <c r="L295" s="53" t="n">
        <f aca="false">D295*K295</f>
        <v>64229.44</v>
      </c>
      <c r="M295" s="48" t="s">
        <v>29</v>
      </c>
      <c r="N295" s="52" t="n">
        <v>32972.6</v>
      </c>
      <c r="O295" s="53" t="n">
        <f aca="false">D295*N295</f>
        <v>65945.2</v>
      </c>
      <c r="P295" s="54" t="n">
        <f aca="false">AVERAGE(H295,K295,N295)</f>
        <v>31992.8177777778</v>
      </c>
      <c r="Q295" s="55" t="n">
        <f aca="false">F295*100/P295-100</f>
        <v>-0.00724468158408342</v>
      </c>
      <c r="R295" s="54" t="n">
        <f aca="false">D295*F295</f>
        <v>63981</v>
      </c>
      <c r="S295" s="63"/>
      <c r="U295" s="57" t="n">
        <f aca="false">ROUND(H295*100/P295-100,0)</f>
        <v>-3</v>
      </c>
      <c r="V295" s="57" t="n">
        <f aca="false">ROUND(K295*100/P295-100,0)</f>
        <v>0</v>
      </c>
      <c r="W295" s="57" t="n">
        <f aca="false">ROUND(N295*100/P295-100,0)</f>
        <v>3</v>
      </c>
    </row>
    <row r="296" s="43" customFormat="true" ht="73.5" hidden="true" customHeight="true" outlineLevel="0" collapsed="false">
      <c r="A296" s="45" t="n">
        <v>305</v>
      </c>
      <c r="B296" s="46" t="s">
        <v>410</v>
      </c>
      <c r="C296" s="47" t="s">
        <v>25</v>
      </c>
      <c r="D296" s="48" t="n">
        <v>20</v>
      </c>
      <c r="E296" s="49" t="n">
        <v>84.32</v>
      </c>
      <c r="F296" s="50" t="n">
        <v>110.4</v>
      </c>
      <c r="G296" s="47" t="s">
        <v>27</v>
      </c>
      <c r="H296" s="52" t="n">
        <f aca="false">130.26/1.2</f>
        <v>108.55</v>
      </c>
      <c r="I296" s="53" t="n">
        <f aca="false">D296*H296</f>
        <v>2171</v>
      </c>
      <c r="J296" s="53" t="s">
        <v>28</v>
      </c>
      <c r="K296" s="52" t="n">
        <v>110.5</v>
      </c>
      <c r="L296" s="53" t="n">
        <f aca="false">D296*K296</f>
        <v>2210</v>
      </c>
      <c r="M296" s="48" t="s">
        <v>29</v>
      </c>
      <c r="N296" s="52" t="n">
        <v>114.8</v>
      </c>
      <c r="O296" s="53" t="n">
        <f aca="false">D296*N296</f>
        <v>2296</v>
      </c>
      <c r="P296" s="54" t="n">
        <f aca="false">AVERAGE(H296,K296,N296)</f>
        <v>111.283333333333</v>
      </c>
      <c r="Q296" s="55" t="n">
        <f aca="false">F296*100/P296-100</f>
        <v>-0.793769657031618</v>
      </c>
      <c r="R296" s="54" t="n">
        <f aca="false">D296*F296</f>
        <v>2208</v>
      </c>
      <c r="S296" s="62" t="s">
        <v>116</v>
      </c>
      <c r="U296" s="57" t="n">
        <f aca="false">ROUND(H296*100/P296-100,0)</f>
        <v>-2</v>
      </c>
      <c r="V296" s="57" t="n">
        <f aca="false">ROUND(K296*100/P296-100,0)</f>
        <v>-1</v>
      </c>
      <c r="W296" s="57" t="n">
        <f aca="false">ROUND(N296*100/P296-100,0)</f>
        <v>3</v>
      </c>
      <c r="Y296" s="43" t="n">
        <v>294</v>
      </c>
    </row>
    <row r="297" s="43" customFormat="true" ht="73.5" hidden="false" customHeight="true" outlineLevel="0" collapsed="false">
      <c r="A297" s="45" t="n">
        <v>306</v>
      </c>
      <c r="B297" s="46" t="s">
        <v>411</v>
      </c>
      <c r="C297" s="47" t="s">
        <v>25</v>
      </c>
      <c r="D297" s="48" t="n">
        <v>1</v>
      </c>
      <c r="E297" s="49" t="n">
        <v>2607.74</v>
      </c>
      <c r="F297" s="50" t="n">
        <v>2664.2</v>
      </c>
      <c r="G297" s="47" t="s">
        <v>27</v>
      </c>
      <c r="H297" s="52" t="n">
        <f aca="false">3124.54/1.2</f>
        <v>2603.78333333333</v>
      </c>
      <c r="I297" s="53" t="n">
        <f aca="false">D297*H297</f>
        <v>2603.78333333333</v>
      </c>
      <c r="J297" s="53" t="s">
        <v>28</v>
      </c>
      <c r="K297" s="52" t="n">
        <v>2754.12</v>
      </c>
      <c r="L297" s="53" t="n">
        <f aca="false">D297*K297</f>
        <v>2754.12</v>
      </c>
      <c r="M297" s="48" t="s">
        <v>29</v>
      </c>
      <c r="N297" s="52" t="n">
        <v>2697.35</v>
      </c>
      <c r="O297" s="53" t="n">
        <f aca="false">D297*N297</f>
        <v>2697.35</v>
      </c>
      <c r="P297" s="54" t="n">
        <f aca="false">AVERAGE(H297,K297,N297)</f>
        <v>2685.08444444444</v>
      </c>
      <c r="Q297" s="55" t="n">
        <f aca="false">F297*100/P297-100</f>
        <v>-0.7777946979528</v>
      </c>
      <c r="R297" s="54" t="n">
        <f aca="false">D297*F297</f>
        <v>2664.2</v>
      </c>
      <c r="S297" s="63"/>
      <c r="U297" s="57" t="n">
        <f aca="false">ROUND(H297*100/P297-100,0)</f>
        <v>-3</v>
      </c>
      <c r="V297" s="57" t="n">
        <f aca="false">ROUND(K297*100/P297-100,0)</f>
        <v>3</v>
      </c>
      <c r="W297" s="57" t="n">
        <f aca="false">ROUND(N297*100/P297-100,0)</f>
        <v>0</v>
      </c>
    </row>
    <row r="298" s="43" customFormat="true" ht="73.5" hidden="false" customHeight="true" outlineLevel="0" collapsed="false">
      <c r="A298" s="45" t="n">
        <v>307</v>
      </c>
      <c r="B298" s="46" t="s">
        <v>412</v>
      </c>
      <c r="C298" s="47" t="s">
        <v>25</v>
      </c>
      <c r="D298" s="48" t="n">
        <v>1250</v>
      </c>
      <c r="E298" s="49" t="s">
        <v>26</v>
      </c>
      <c r="F298" s="50" t="n">
        <v>1.37</v>
      </c>
      <c r="G298" s="47" t="s">
        <v>27</v>
      </c>
      <c r="H298" s="52" t="n">
        <f aca="false">1.55/1.2</f>
        <v>1.29166666666667</v>
      </c>
      <c r="I298" s="53" t="n">
        <f aca="false">D298*H298</f>
        <v>1614.58333333333</v>
      </c>
      <c r="J298" s="53" t="s">
        <v>28</v>
      </c>
      <c r="K298" s="52" t="n">
        <v>1.36</v>
      </c>
      <c r="L298" s="53" t="n">
        <f aca="false">D298*K298</f>
        <v>1700</v>
      </c>
      <c r="M298" s="48" t="s">
        <v>29</v>
      </c>
      <c r="N298" s="52" t="n">
        <v>1.51</v>
      </c>
      <c r="O298" s="53" t="n">
        <f aca="false">D298*N298</f>
        <v>1887.5</v>
      </c>
      <c r="P298" s="54" t="n">
        <f aca="false">AVERAGE(H298,K298,N298)</f>
        <v>1.38722222222222</v>
      </c>
      <c r="Q298" s="55" t="n">
        <f aca="false">F298*100/P298-100</f>
        <v>-1.24148978774531</v>
      </c>
      <c r="R298" s="54" t="n">
        <f aca="false">D298*F298</f>
        <v>1712.5</v>
      </c>
      <c r="S298" s="63"/>
      <c r="U298" s="57" t="n">
        <f aca="false">ROUND(H298*100/P298-100,0)</f>
        <v>-7</v>
      </c>
      <c r="V298" s="57" t="n">
        <f aca="false">ROUND(K298*100/P298-100,0)</f>
        <v>-2</v>
      </c>
      <c r="W298" s="57" t="n">
        <f aca="false">ROUND(N298*100/P298-100,0)</f>
        <v>9</v>
      </c>
    </row>
    <row r="299" s="43" customFormat="true" ht="73.5" hidden="false" customHeight="true" outlineLevel="0" collapsed="false">
      <c r="A299" s="45" t="n">
        <v>308</v>
      </c>
      <c r="B299" s="46" t="s">
        <v>413</v>
      </c>
      <c r="C299" s="47" t="s">
        <v>25</v>
      </c>
      <c r="D299" s="48" t="n">
        <v>80</v>
      </c>
      <c r="E299" s="49" t="n">
        <v>0.94</v>
      </c>
      <c r="F299" s="50" t="n">
        <v>1.18</v>
      </c>
      <c r="G299" s="47" t="s">
        <v>39</v>
      </c>
      <c r="H299" s="52" t="n">
        <v>1.14</v>
      </c>
      <c r="I299" s="53" t="n">
        <f aca="false">D299*H299</f>
        <v>91.2</v>
      </c>
      <c r="J299" s="47" t="s">
        <v>54</v>
      </c>
      <c r="K299" s="52" t="n">
        <v>1.2</v>
      </c>
      <c r="L299" s="53" t="n">
        <f aca="false">D299*K299</f>
        <v>96</v>
      </c>
      <c r="M299" s="53" t="s">
        <v>41</v>
      </c>
      <c r="N299" s="52" t="n">
        <v>1.23</v>
      </c>
      <c r="O299" s="53" t="n">
        <f aca="false">D299*N299</f>
        <v>98.4</v>
      </c>
      <c r="P299" s="54" t="n">
        <f aca="false">AVERAGE(H299,K299,N299)</f>
        <v>1.19</v>
      </c>
      <c r="Q299" s="55" t="n">
        <f aca="false">F299*100/P299-100</f>
        <v>-0.840336134453779</v>
      </c>
      <c r="R299" s="54" t="n">
        <f aca="false">D299*F299</f>
        <v>94.4</v>
      </c>
      <c r="S299" s="56"/>
      <c r="U299" s="57" t="n">
        <f aca="false">ROUND(H299*100/P299-100,0)</f>
        <v>-4</v>
      </c>
      <c r="V299" s="57" t="n">
        <f aca="false">ROUND(K299*100/P299-100,0)</f>
        <v>1</v>
      </c>
      <c r="W299" s="57" t="n">
        <f aca="false">ROUND(N299*100/P299-100,0)</f>
        <v>3</v>
      </c>
    </row>
    <row r="300" s="43" customFormat="true" ht="73.5" hidden="false" customHeight="true" outlineLevel="0" collapsed="false">
      <c r="A300" s="45" t="n">
        <v>309</v>
      </c>
      <c r="B300" s="46" t="s">
        <v>414</v>
      </c>
      <c r="C300" s="47" t="s">
        <v>25</v>
      </c>
      <c r="D300" s="48" t="n">
        <v>40</v>
      </c>
      <c r="E300" s="49" t="n">
        <v>3.08</v>
      </c>
      <c r="F300" s="50" t="n">
        <v>3.91</v>
      </c>
      <c r="G300" s="47" t="s">
        <v>39</v>
      </c>
      <c r="H300" s="52" t="n">
        <v>3.82</v>
      </c>
      <c r="I300" s="53" t="n">
        <f aca="false">D300*H300</f>
        <v>152.8</v>
      </c>
      <c r="J300" s="47" t="s">
        <v>54</v>
      </c>
      <c r="K300" s="52" t="n">
        <v>4.01</v>
      </c>
      <c r="L300" s="53" t="n">
        <f aca="false">D300*K300</f>
        <v>160.4</v>
      </c>
      <c r="M300" s="53" t="s">
        <v>41</v>
      </c>
      <c r="N300" s="52" t="n">
        <v>4.05</v>
      </c>
      <c r="O300" s="53" t="n">
        <f aca="false">D300*N300</f>
        <v>162</v>
      </c>
      <c r="P300" s="54" t="n">
        <f aca="false">AVERAGE(H300,K300,N300)</f>
        <v>3.96</v>
      </c>
      <c r="Q300" s="55" t="n">
        <f aca="false">F300*100/P300-100</f>
        <v>-1.26262626262626</v>
      </c>
      <c r="R300" s="54" t="n">
        <f aca="false">D300*F300</f>
        <v>156.4</v>
      </c>
      <c r="S300" s="56"/>
      <c r="U300" s="57" t="n">
        <f aca="false">ROUND(H300*100/P300-100,0)</f>
        <v>-4</v>
      </c>
      <c r="V300" s="57" t="n">
        <f aca="false">ROUND(K300*100/P300-100,0)</f>
        <v>1</v>
      </c>
      <c r="W300" s="57" t="n">
        <f aca="false">ROUND(N300*100/P300-100,0)</f>
        <v>2</v>
      </c>
    </row>
    <row r="301" s="43" customFormat="true" ht="73.5" hidden="false" customHeight="true" outlineLevel="0" collapsed="false">
      <c r="A301" s="45" t="n">
        <v>310</v>
      </c>
      <c r="B301" s="46" t="s">
        <v>415</v>
      </c>
      <c r="C301" s="47" t="s">
        <v>25</v>
      </c>
      <c r="D301" s="48" t="n">
        <v>960</v>
      </c>
      <c r="E301" s="49" t="n">
        <v>1.91</v>
      </c>
      <c r="F301" s="50" t="n">
        <v>2.4</v>
      </c>
      <c r="G301" s="47" t="s">
        <v>39</v>
      </c>
      <c r="H301" s="52" t="n">
        <v>2.36</v>
      </c>
      <c r="I301" s="53" t="n">
        <f aca="false">D301*H301</f>
        <v>2265.6</v>
      </c>
      <c r="J301" s="47" t="s">
        <v>54</v>
      </c>
      <c r="K301" s="52" t="n">
        <v>2.42</v>
      </c>
      <c r="L301" s="53" t="n">
        <f aca="false">D301*K301</f>
        <v>2323.2</v>
      </c>
      <c r="M301" s="53" t="s">
        <v>41</v>
      </c>
      <c r="N301" s="52" t="n">
        <v>2.45</v>
      </c>
      <c r="O301" s="53" t="n">
        <f aca="false">D301*N301</f>
        <v>2352</v>
      </c>
      <c r="P301" s="54" t="n">
        <f aca="false">AVERAGE(H301,K301,N301)</f>
        <v>2.41</v>
      </c>
      <c r="Q301" s="55" t="n">
        <f aca="false">F301*100/P301-100</f>
        <v>-0.414937759336112</v>
      </c>
      <c r="R301" s="54" t="n">
        <f aca="false">D301*F301</f>
        <v>2304</v>
      </c>
      <c r="S301" s="56"/>
      <c r="U301" s="57" t="n">
        <f aca="false">ROUND(H301*100/P301-100,0)</f>
        <v>-2</v>
      </c>
      <c r="V301" s="57" t="n">
        <f aca="false">ROUND(K301*100/P301-100,0)</f>
        <v>0</v>
      </c>
      <c r="W301" s="57" t="n">
        <f aca="false">ROUND(N301*100/P301-100,0)</f>
        <v>2</v>
      </c>
    </row>
    <row r="302" s="43" customFormat="true" ht="73.5" hidden="false" customHeight="true" outlineLevel="0" collapsed="false">
      <c r="A302" s="45" t="n">
        <v>311</v>
      </c>
      <c r="B302" s="46" t="s">
        <v>416</v>
      </c>
      <c r="C302" s="47" t="s">
        <v>25</v>
      </c>
      <c r="D302" s="48" t="n">
        <v>1200</v>
      </c>
      <c r="E302" s="49" t="n">
        <v>10.13</v>
      </c>
      <c r="F302" s="50" t="n">
        <v>12.6</v>
      </c>
      <c r="G302" s="47" t="s">
        <v>39</v>
      </c>
      <c r="H302" s="52" t="n">
        <v>12.21</v>
      </c>
      <c r="I302" s="53" t="n">
        <f aca="false">D302*H302</f>
        <v>14652</v>
      </c>
      <c r="J302" s="47" t="s">
        <v>54</v>
      </c>
      <c r="K302" s="52" t="n">
        <v>12.8</v>
      </c>
      <c r="L302" s="53" t="n">
        <f aca="false">D302*K302</f>
        <v>15360</v>
      </c>
      <c r="M302" s="53" t="s">
        <v>41</v>
      </c>
      <c r="N302" s="52" t="n">
        <v>13.01</v>
      </c>
      <c r="O302" s="53" t="n">
        <f aca="false">D302*N302</f>
        <v>15612</v>
      </c>
      <c r="P302" s="54" t="n">
        <f aca="false">AVERAGE(H302,K302,N302)</f>
        <v>12.6733333333333</v>
      </c>
      <c r="Q302" s="55" t="n">
        <f aca="false">F302*100/P302-100</f>
        <v>-0.578642819568657</v>
      </c>
      <c r="R302" s="54" t="n">
        <f aca="false">D302*F302</f>
        <v>15120</v>
      </c>
      <c r="S302" s="56"/>
      <c r="U302" s="57" t="n">
        <f aca="false">ROUND(H302*100/P302-100,0)</f>
        <v>-4</v>
      </c>
      <c r="V302" s="57" t="n">
        <f aca="false">ROUND(K302*100/P302-100,0)</f>
        <v>1</v>
      </c>
      <c r="W302" s="57" t="n">
        <f aca="false">ROUND(N302*100/P302-100,0)</f>
        <v>3</v>
      </c>
    </row>
    <row r="303" s="43" customFormat="true" ht="73.5" hidden="false" customHeight="true" outlineLevel="0" collapsed="false">
      <c r="A303" s="45" t="n">
        <v>312</v>
      </c>
      <c r="B303" s="46" t="s">
        <v>417</v>
      </c>
      <c r="C303" s="47" t="s">
        <v>25</v>
      </c>
      <c r="D303" s="48" t="n">
        <v>80</v>
      </c>
      <c r="E303" s="49" t="n">
        <v>0.91</v>
      </c>
      <c r="F303" s="50" t="n">
        <v>1.17</v>
      </c>
      <c r="G303" s="47" t="s">
        <v>39</v>
      </c>
      <c r="H303" s="52" t="n">
        <v>1.11</v>
      </c>
      <c r="I303" s="53" t="n">
        <f aca="false">D303*H303</f>
        <v>88.8</v>
      </c>
      <c r="J303" s="47" t="s">
        <v>54</v>
      </c>
      <c r="K303" s="52" t="n">
        <v>1.16</v>
      </c>
      <c r="L303" s="53" t="n">
        <f aca="false">D303*K303</f>
        <v>92.8</v>
      </c>
      <c r="M303" s="53" t="s">
        <v>41</v>
      </c>
      <c r="N303" s="52" t="n">
        <v>1.31</v>
      </c>
      <c r="O303" s="53" t="n">
        <f aca="false">D303*N303</f>
        <v>104.8</v>
      </c>
      <c r="P303" s="54" t="n">
        <f aca="false">AVERAGE(H303,K303,N303)</f>
        <v>1.19333333333333</v>
      </c>
      <c r="Q303" s="55" t="n">
        <f aca="false">F303*100/P303-100</f>
        <v>-1.95530726256983</v>
      </c>
      <c r="R303" s="54" t="n">
        <f aca="false">D303*F303</f>
        <v>93.6</v>
      </c>
      <c r="S303" s="56"/>
      <c r="U303" s="57" t="n">
        <f aca="false">ROUND(H303*100/P303-100,0)</f>
        <v>-7</v>
      </c>
      <c r="V303" s="57" t="n">
        <f aca="false">ROUND(K303*100/P303-100,0)</f>
        <v>-3</v>
      </c>
      <c r="W303" s="57" t="n">
        <f aca="false">ROUND(N303*100/P303-100,0)</f>
        <v>10</v>
      </c>
    </row>
    <row r="304" s="43" customFormat="true" ht="73.5" hidden="false" customHeight="true" outlineLevel="0" collapsed="false">
      <c r="A304" s="45" t="n">
        <v>313</v>
      </c>
      <c r="B304" s="46" t="s">
        <v>418</v>
      </c>
      <c r="C304" s="47" t="s">
        <v>25</v>
      </c>
      <c r="D304" s="48" t="n">
        <v>60</v>
      </c>
      <c r="E304" s="49" t="n">
        <v>0.39</v>
      </c>
      <c r="F304" s="50" t="n">
        <v>0.51</v>
      </c>
      <c r="G304" s="47" t="s">
        <v>39</v>
      </c>
      <c r="H304" s="52" t="n">
        <v>0.49</v>
      </c>
      <c r="I304" s="53" t="n">
        <f aca="false">D304*H304</f>
        <v>29.4</v>
      </c>
      <c r="J304" s="47" t="s">
        <v>54</v>
      </c>
      <c r="K304" s="52" t="n">
        <v>0.51</v>
      </c>
      <c r="L304" s="53" t="n">
        <f aca="false">D304*K304</f>
        <v>30.6</v>
      </c>
      <c r="M304" s="53" t="s">
        <v>41</v>
      </c>
      <c r="N304" s="52" t="n">
        <v>0.55</v>
      </c>
      <c r="O304" s="53" t="n">
        <f aca="false">D304*N304</f>
        <v>33</v>
      </c>
      <c r="P304" s="54" t="n">
        <f aca="false">AVERAGE(H304,K304,N304)</f>
        <v>0.516666666666667</v>
      </c>
      <c r="Q304" s="55" t="n">
        <f aca="false">F304*100/P304-100</f>
        <v>-1.29032258064517</v>
      </c>
      <c r="R304" s="54" t="n">
        <f aca="false">D304*F304</f>
        <v>30.6</v>
      </c>
      <c r="S304" s="56"/>
      <c r="U304" s="57" t="n">
        <f aca="false">ROUND(H304*100/P304-100,0)</f>
        <v>-5</v>
      </c>
      <c r="V304" s="57" t="n">
        <f aca="false">ROUND(K304*100/P304-100,0)</f>
        <v>-1</v>
      </c>
      <c r="W304" s="57" t="n">
        <f aca="false">ROUND(N304*100/P304-100,0)</f>
        <v>6</v>
      </c>
    </row>
    <row r="305" s="43" customFormat="true" ht="73.5" hidden="false" customHeight="true" outlineLevel="0" collapsed="false">
      <c r="A305" s="45" t="n">
        <v>314</v>
      </c>
      <c r="B305" s="46" t="s">
        <v>419</v>
      </c>
      <c r="C305" s="47" t="s">
        <v>25</v>
      </c>
      <c r="D305" s="48" t="n">
        <v>40</v>
      </c>
      <c r="E305" s="49" t="n">
        <v>1.77</v>
      </c>
      <c r="F305" s="50" t="n">
        <v>2.35</v>
      </c>
      <c r="G305" s="47" t="s">
        <v>39</v>
      </c>
      <c r="H305" s="52" t="n">
        <v>2.14</v>
      </c>
      <c r="I305" s="53" t="n">
        <f aca="false">D305*H305</f>
        <v>85.6</v>
      </c>
      <c r="J305" s="47" t="s">
        <v>54</v>
      </c>
      <c r="K305" s="52" t="n">
        <v>2.64</v>
      </c>
      <c r="L305" s="53" t="n">
        <f aca="false">D305*K305</f>
        <v>105.6</v>
      </c>
      <c r="M305" s="53" t="s">
        <v>41</v>
      </c>
      <c r="N305" s="52" t="n">
        <v>2.33</v>
      </c>
      <c r="O305" s="53" t="n">
        <f aca="false">D305*N305</f>
        <v>93.2</v>
      </c>
      <c r="P305" s="54" t="n">
        <f aca="false">AVERAGE(H305,K305,N305)</f>
        <v>2.37</v>
      </c>
      <c r="Q305" s="55" t="n">
        <f aca="false">F305*100/P305-100</f>
        <v>-0.843881856540094</v>
      </c>
      <c r="R305" s="54" t="n">
        <f aca="false">D305*F305</f>
        <v>94</v>
      </c>
      <c r="S305" s="56"/>
      <c r="U305" s="57" t="n">
        <f aca="false">ROUND(H305*100/P305-100,0)</f>
        <v>-10</v>
      </c>
      <c r="V305" s="57" t="n">
        <f aca="false">ROUND(K305*100/P305-100,0)</f>
        <v>11</v>
      </c>
      <c r="W305" s="57" t="n">
        <f aca="false">ROUND(N305*100/P305-100,0)</f>
        <v>-2</v>
      </c>
    </row>
    <row r="306" s="43" customFormat="true" ht="73.5" hidden="false" customHeight="true" outlineLevel="0" collapsed="false">
      <c r="A306" s="45" t="n">
        <v>315</v>
      </c>
      <c r="B306" s="46" t="s">
        <v>420</v>
      </c>
      <c r="C306" s="47" t="s">
        <v>25</v>
      </c>
      <c r="D306" s="48" t="s">
        <v>421</v>
      </c>
      <c r="E306" s="49" t="n">
        <v>2.23</v>
      </c>
      <c r="F306" s="50" t="n">
        <v>2.71</v>
      </c>
      <c r="G306" s="47" t="s">
        <v>39</v>
      </c>
      <c r="H306" s="52" t="n">
        <v>2.68</v>
      </c>
      <c r="I306" s="53" t="n">
        <f aca="false">D306*H306</f>
        <v>6592.8</v>
      </c>
      <c r="J306" s="47" t="s">
        <v>54</v>
      </c>
      <c r="K306" s="52" t="n">
        <v>2.72</v>
      </c>
      <c r="L306" s="53" t="n">
        <f aca="false">D306*K306</f>
        <v>6691.2</v>
      </c>
      <c r="M306" s="53" t="s">
        <v>41</v>
      </c>
      <c r="N306" s="52" t="n">
        <v>2.75</v>
      </c>
      <c r="O306" s="53" t="n">
        <f aca="false">D306*N306</f>
        <v>6765</v>
      </c>
      <c r="P306" s="54" t="n">
        <f aca="false">AVERAGE(H306,K306,N306)</f>
        <v>2.71666666666667</v>
      </c>
      <c r="Q306" s="55" t="n">
        <f aca="false">F306*100/P306-100</f>
        <v>-0.245398773006144</v>
      </c>
      <c r="R306" s="54" t="n">
        <f aca="false">D306*F306</f>
        <v>6666.6</v>
      </c>
      <c r="S306" s="56"/>
      <c r="U306" s="57" t="n">
        <f aca="false">ROUND(H306*100/P306-100,0)</f>
        <v>-1</v>
      </c>
      <c r="V306" s="57" t="n">
        <f aca="false">ROUND(K306*100/P306-100,0)</f>
        <v>0</v>
      </c>
      <c r="W306" s="57" t="n">
        <f aca="false">ROUND(N306*100/P306-100,0)</f>
        <v>1</v>
      </c>
    </row>
    <row r="307" s="43" customFormat="true" ht="73.5" hidden="false" customHeight="true" outlineLevel="0" collapsed="false">
      <c r="A307" s="45" t="n">
        <v>316</v>
      </c>
      <c r="B307" s="46" t="s">
        <v>422</v>
      </c>
      <c r="C307" s="47" t="s">
        <v>25</v>
      </c>
      <c r="D307" s="48" t="n">
        <v>480</v>
      </c>
      <c r="E307" s="49" t="n">
        <v>4.74</v>
      </c>
      <c r="F307" s="50" t="n">
        <v>5.82</v>
      </c>
      <c r="G307" s="47" t="s">
        <v>39</v>
      </c>
      <c r="H307" s="52" t="n">
        <v>5.76</v>
      </c>
      <c r="I307" s="53" t="n">
        <f aca="false">D307*H307</f>
        <v>2764.8</v>
      </c>
      <c r="J307" s="47" t="s">
        <v>54</v>
      </c>
      <c r="K307" s="52" t="n">
        <v>5.87</v>
      </c>
      <c r="L307" s="53" t="n">
        <f aca="false">D307*K307</f>
        <v>2817.6</v>
      </c>
      <c r="M307" s="53" t="s">
        <v>41</v>
      </c>
      <c r="N307" s="52" t="n">
        <v>6.02</v>
      </c>
      <c r="O307" s="53" t="n">
        <f aca="false">D307*N307</f>
        <v>2889.6</v>
      </c>
      <c r="P307" s="54" t="n">
        <f aca="false">AVERAGE(H307,K307,N307)</f>
        <v>5.88333333333333</v>
      </c>
      <c r="Q307" s="55" t="n">
        <f aca="false">F307*100/P307-100</f>
        <v>-1.07648725212464</v>
      </c>
      <c r="R307" s="54" t="n">
        <f aca="false">D307*F307</f>
        <v>2793.6</v>
      </c>
      <c r="S307" s="56"/>
      <c r="U307" s="57" t="n">
        <f aca="false">ROUND(H307*100/P307-100,0)</f>
        <v>-2</v>
      </c>
      <c r="V307" s="57" t="n">
        <f aca="false">ROUND(K307*100/P307-100,0)</f>
        <v>-0</v>
      </c>
      <c r="W307" s="57" t="n">
        <f aca="false">ROUND(N307*100/P307-100,0)</f>
        <v>2</v>
      </c>
    </row>
    <row r="308" s="43" customFormat="true" ht="73.5" hidden="false" customHeight="true" outlineLevel="0" collapsed="false">
      <c r="A308" s="45" t="n">
        <v>317</v>
      </c>
      <c r="B308" s="46" t="s">
        <v>423</v>
      </c>
      <c r="C308" s="47" t="s">
        <v>25</v>
      </c>
      <c r="D308" s="48" t="n">
        <v>40</v>
      </c>
      <c r="E308" s="49" t="n">
        <v>0.26</v>
      </c>
      <c r="F308" s="50" t="n">
        <v>0.39</v>
      </c>
      <c r="G308" s="47" t="s">
        <v>39</v>
      </c>
      <c r="H308" s="52" t="n">
        <v>0.34</v>
      </c>
      <c r="I308" s="53" t="n">
        <f aca="false">D308*H308</f>
        <v>13.6</v>
      </c>
      <c r="J308" s="47" t="s">
        <v>54</v>
      </c>
      <c r="K308" s="52" t="n">
        <v>0.44</v>
      </c>
      <c r="L308" s="53" t="n">
        <f aca="false">D308*K308</f>
        <v>17.6</v>
      </c>
      <c r="M308" s="53" t="s">
        <v>41</v>
      </c>
      <c r="N308" s="52" t="n">
        <v>0.42</v>
      </c>
      <c r="O308" s="53" t="n">
        <f aca="false">D308*N308</f>
        <v>16.8</v>
      </c>
      <c r="P308" s="54" t="n">
        <f aca="false">AVERAGE(H308,K308,N308)</f>
        <v>0.4</v>
      </c>
      <c r="Q308" s="55" t="n">
        <f aca="false">F308*100/P308-100</f>
        <v>-2.49999999999999</v>
      </c>
      <c r="R308" s="54" t="n">
        <f aca="false">D308*F308</f>
        <v>15.6</v>
      </c>
      <c r="S308" s="56"/>
      <c r="U308" s="57" t="n">
        <f aca="false">ROUND(H308*100/P308-100,0)</f>
        <v>-15</v>
      </c>
      <c r="V308" s="57" t="n">
        <f aca="false">ROUND(K308*100/P308-100,0)</f>
        <v>10</v>
      </c>
      <c r="W308" s="57" t="n">
        <f aca="false">ROUND(N308*100/P308-100,0)</f>
        <v>5</v>
      </c>
    </row>
    <row r="309" s="43" customFormat="true" ht="73.5" hidden="false" customHeight="true" outlineLevel="0" collapsed="false">
      <c r="A309" s="45" t="n">
        <v>318</v>
      </c>
      <c r="B309" s="46" t="s">
        <v>424</v>
      </c>
      <c r="C309" s="47" t="s">
        <v>25</v>
      </c>
      <c r="D309" s="48" t="n">
        <v>30</v>
      </c>
      <c r="E309" s="49" t="n">
        <v>1.09</v>
      </c>
      <c r="F309" s="50" t="n">
        <v>1.44</v>
      </c>
      <c r="G309" s="47" t="s">
        <v>39</v>
      </c>
      <c r="H309" s="52" t="n">
        <v>1.37</v>
      </c>
      <c r="I309" s="53" t="n">
        <f aca="false">D309*H309</f>
        <v>41.1</v>
      </c>
      <c r="J309" s="47" t="s">
        <v>54</v>
      </c>
      <c r="K309" s="52" t="n">
        <v>1.58</v>
      </c>
      <c r="L309" s="53" t="n">
        <f aca="false">D309*K309</f>
        <v>47.4</v>
      </c>
      <c r="M309" s="53" t="s">
        <v>41</v>
      </c>
      <c r="N309" s="52" t="n">
        <v>1.44</v>
      </c>
      <c r="O309" s="53" t="n">
        <f aca="false">D309*N309</f>
        <v>43.2</v>
      </c>
      <c r="P309" s="54" t="n">
        <f aca="false">AVERAGE(H309,K309,N309)</f>
        <v>1.46333333333333</v>
      </c>
      <c r="Q309" s="55" t="n">
        <f aca="false">F309*100/P309-100</f>
        <v>-1.59453302961278</v>
      </c>
      <c r="R309" s="54" t="n">
        <f aca="false">D309*F309</f>
        <v>43.2</v>
      </c>
      <c r="S309" s="56"/>
      <c r="U309" s="57" t="n">
        <f aca="false">ROUND(H309*100/P309-100,0)</f>
        <v>-6</v>
      </c>
      <c r="V309" s="57" t="n">
        <f aca="false">ROUND(K309*100/P309-100,0)</f>
        <v>8</v>
      </c>
      <c r="W309" s="57" t="n">
        <f aca="false">ROUND(N309*100/P309-100,0)</f>
        <v>-2</v>
      </c>
    </row>
    <row r="310" s="43" customFormat="true" ht="66.75" hidden="false" customHeight="true" outlineLevel="0" collapsed="false">
      <c r="A310" s="45"/>
      <c r="B310" s="46" t="s">
        <v>425</v>
      </c>
      <c r="C310" s="47" t="s">
        <v>25</v>
      </c>
      <c r="D310" s="48" t="n">
        <v>200</v>
      </c>
      <c r="E310" s="49" t="n">
        <v>31.33</v>
      </c>
      <c r="F310" s="50" t="n">
        <v>39</v>
      </c>
      <c r="G310" s="47" t="s">
        <v>39</v>
      </c>
      <c r="H310" s="52" t="n">
        <v>37.82</v>
      </c>
      <c r="I310" s="53" t="n">
        <f aca="false">D310*H310</f>
        <v>7564</v>
      </c>
      <c r="J310" s="47" t="s">
        <v>54</v>
      </c>
      <c r="K310" s="52" t="n">
        <v>41.02</v>
      </c>
      <c r="L310" s="53" t="n">
        <f aca="false">D310*K310</f>
        <v>8204</v>
      </c>
      <c r="M310" s="53" t="s">
        <v>41</v>
      </c>
      <c r="N310" s="52" t="n">
        <v>38.46</v>
      </c>
      <c r="O310" s="53" t="n">
        <f aca="false">D310*N310</f>
        <v>7692</v>
      </c>
      <c r="P310" s="54" t="n">
        <f aca="false">AVERAGE(H310,K310,N310)</f>
        <v>39.1</v>
      </c>
      <c r="Q310" s="55" t="n">
        <f aca="false">F310*100/P310-100</f>
        <v>-0.255754475703327</v>
      </c>
      <c r="R310" s="54" t="n">
        <f aca="false">D310*F310</f>
        <v>7800</v>
      </c>
      <c r="S310" s="56"/>
      <c r="U310" s="57" t="n">
        <f aca="false">ROUND(H310*100/P310-100,0)</f>
        <v>-3</v>
      </c>
      <c r="V310" s="57" t="n">
        <f aca="false">ROUND(K310*100/P310-100,0)</f>
        <v>5</v>
      </c>
      <c r="W310" s="57" t="n">
        <f aca="false">ROUND(N310*100/P310-100,0)</f>
        <v>-2</v>
      </c>
    </row>
    <row r="311" s="43" customFormat="true" ht="73.5" hidden="false" customHeight="true" outlineLevel="0" collapsed="false">
      <c r="A311" s="45" t="n">
        <v>319</v>
      </c>
      <c r="B311" s="46" t="s">
        <v>426</v>
      </c>
      <c r="C311" s="47" t="s">
        <v>147</v>
      </c>
      <c r="D311" s="48" t="n">
        <v>48</v>
      </c>
      <c r="E311" s="49" t="n">
        <v>14885.42</v>
      </c>
      <c r="F311" s="50" t="n">
        <v>17801.5</v>
      </c>
      <c r="G311" s="47" t="s">
        <v>27</v>
      </c>
      <c r="H311" s="52" t="n">
        <f aca="false">20996.75/1.2</f>
        <v>17497.2916666667</v>
      </c>
      <c r="I311" s="53" t="n">
        <f aca="false">D311*H311</f>
        <v>839870</v>
      </c>
      <c r="J311" s="53" t="s">
        <v>28</v>
      </c>
      <c r="K311" s="52" t="n">
        <v>17891.4</v>
      </c>
      <c r="L311" s="53" t="n">
        <f aca="false">D311*K311</f>
        <v>858787.2</v>
      </c>
      <c r="M311" s="48" t="s">
        <v>29</v>
      </c>
      <c r="N311" s="52" t="n">
        <v>18112.77</v>
      </c>
      <c r="O311" s="53" t="n">
        <f aca="false">D311*N311</f>
        <v>869412.96</v>
      </c>
      <c r="P311" s="54" t="n">
        <f aca="false">AVERAGE(H311,K311,N311)</f>
        <v>17833.8205555556</v>
      </c>
      <c r="Q311" s="55" t="n">
        <f aca="false">F311*100/P311-100</f>
        <v>-0.18123180871352</v>
      </c>
      <c r="R311" s="54" t="n">
        <f aca="false">D311*F311</f>
        <v>854472</v>
      </c>
      <c r="S311" s="56"/>
      <c r="U311" s="57" t="n">
        <f aca="false">ROUND(H311*100/P311-100,0)</f>
        <v>-2</v>
      </c>
      <c r="V311" s="57" t="n">
        <f aca="false">ROUND(K311*100/P311-100,0)</f>
        <v>0</v>
      </c>
      <c r="W311" s="57" t="n">
        <f aca="false">ROUND(N311*100/P311-100,0)</f>
        <v>2</v>
      </c>
    </row>
    <row r="312" s="43" customFormat="true" ht="73.5" hidden="false" customHeight="true" outlineLevel="0" collapsed="false">
      <c r="A312" s="45" t="n">
        <f aca="false">A311+1</f>
        <v>320</v>
      </c>
      <c r="B312" s="46" t="s">
        <v>427</v>
      </c>
      <c r="C312" s="47" t="s">
        <v>25</v>
      </c>
      <c r="D312" s="48" t="n">
        <v>96</v>
      </c>
      <c r="E312" s="49" t="s">
        <v>26</v>
      </c>
      <c r="F312" s="50" t="n">
        <v>15087.84</v>
      </c>
      <c r="G312" s="47" t="s">
        <v>27</v>
      </c>
      <c r="H312" s="52" t="n">
        <v>15023.18</v>
      </c>
      <c r="I312" s="53" t="n">
        <f aca="false">D312*H312</f>
        <v>1442225.28</v>
      </c>
      <c r="J312" s="53" t="s">
        <v>28</v>
      </c>
      <c r="K312" s="52" t="n">
        <v>14681.33</v>
      </c>
      <c r="L312" s="53" t="n">
        <f aca="false">D312*K312</f>
        <v>1409407.68</v>
      </c>
      <c r="M312" s="48" t="s">
        <v>29</v>
      </c>
      <c r="N312" s="52" t="n">
        <v>15762.2</v>
      </c>
      <c r="O312" s="53" t="n">
        <f aca="false">D312*N312</f>
        <v>1513171.2</v>
      </c>
      <c r="P312" s="54" t="n">
        <f aca="false">AVERAGE(H312,K312,N312)</f>
        <v>15155.57</v>
      </c>
      <c r="Q312" s="55" t="n">
        <f aca="false">F312*100/P312-100</f>
        <v>-0.446898401049907</v>
      </c>
      <c r="R312" s="54" t="n">
        <f aca="false">D312*F312</f>
        <v>1448432.64</v>
      </c>
      <c r="S312" s="56"/>
      <c r="U312" s="57" t="n">
        <f aca="false">ROUND(H312*100/P312-100,0)</f>
        <v>-1</v>
      </c>
      <c r="V312" s="57" t="n">
        <f aca="false">ROUND(K312*100/P312-100,0)</f>
        <v>-3</v>
      </c>
      <c r="W312" s="57" t="n">
        <f aca="false">ROUND(N312*100/P312-100,0)</f>
        <v>4</v>
      </c>
    </row>
    <row r="313" s="43" customFormat="true" ht="73.5" hidden="false" customHeight="true" outlineLevel="0" collapsed="false">
      <c r="A313" s="45" t="n">
        <f aca="false">A312+1</f>
        <v>321</v>
      </c>
      <c r="B313" s="46" t="s">
        <v>428</v>
      </c>
      <c r="C313" s="47" t="s">
        <v>25</v>
      </c>
      <c r="D313" s="48" t="n">
        <v>48</v>
      </c>
      <c r="E313" s="49" t="n">
        <v>19410.31</v>
      </c>
      <c r="F313" s="50" t="n">
        <v>24326.9</v>
      </c>
      <c r="G313" s="47" t="s">
        <v>56</v>
      </c>
      <c r="H313" s="52" t="n">
        <v>24568.84</v>
      </c>
      <c r="I313" s="53" t="n">
        <f aca="false">D313*H313</f>
        <v>1179304.32</v>
      </c>
      <c r="J313" s="47" t="s">
        <v>57</v>
      </c>
      <c r="K313" s="52" t="n">
        <v>25037.67</v>
      </c>
      <c r="L313" s="53" t="n">
        <f aca="false">D313*K313</f>
        <v>1201808.16</v>
      </c>
      <c r="M313" s="47" t="s">
        <v>119</v>
      </c>
      <c r="N313" s="52" t="n">
        <v>23991.05</v>
      </c>
      <c r="O313" s="53" t="n">
        <f aca="false">D313*N313</f>
        <v>1151570.4</v>
      </c>
      <c r="P313" s="54" t="n">
        <f aca="false">AVERAGE(H313,K313,N313)</f>
        <v>24532.52</v>
      </c>
      <c r="Q313" s="55" t="n">
        <f aca="false">F313*100/P313-100</f>
        <v>-0.838152786586946</v>
      </c>
      <c r="R313" s="54" t="n">
        <f aca="false">D313*F313</f>
        <v>1167691.2</v>
      </c>
      <c r="S313" s="56"/>
      <c r="U313" s="57" t="n">
        <f aca="false">ROUND(H313*100/P313-100,0)</f>
        <v>0</v>
      </c>
      <c r="V313" s="57" t="n">
        <f aca="false">ROUND(K313*100/P313-100,0)</f>
        <v>2</v>
      </c>
      <c r="W313" s="57" t="n">
        <f aca="false">ROUND(N313*100/P313-100,0)</f>
        <v>-2</v>
      </c>
    </row>
    <row r="314" s="43" customFormat="true" ht="73.5" hidden="false" customHeight="true" outlineLevel="0" collapsed="false">
      <c r="A314" s="45" t="n">
        <f aca="false">A313+1</f>
        <v>322</v>
      </c>
      <c r="B314" s="46" t="s">
        <v>429</v>
      </c>
      <c r="C314" s="47" t="s">
        <v>25</v>
      </c>
      <c r="D314" s="48" t="n">
        <v>400</v>
      </c>
      <c r="E314" s="49" t="n">
        <v>33.17</v>
      </c>
      <c r="F314" s="50" t="n">
        <v>37.4</v>
      </c>
      <c r="G314" s="47" t="s">
        <v>39</v>
      </c>
      <c r="H314" s="52" t="n">
        <v>39.6</v>
      </c>
      <c r="I314" s="53" t="n">
        <f aca="false">D314*H314</f>
        <v>15840</v>
      </c>
      <c r="J314" s="47" t="s">
        <v>430</v>
      </c>
      <c r="K314" s="52" t="n">
        <f aca="false">46.28/1.2</f>
        <v>38.5666666666667</v>
      </c>
      <c r="L314" s="53" t="n">
        <f aca="false">D314*K314</f>
        <v>15426.6666666667</v>
      </c>
      <c r="M314" s="47" t="s">
        <v>431</v>
      </c>
      <c r="N314" s="52" t="n">
        <f aca="false">42.67/1.2</f>
        <v>35.5583333333333</v>
      </c>
      <c r="O314" s="53" t="n">
        <f aca="false">D314*N314</f>
        <v>14223.3333333333</v>
      </c>
      <c r="P314" s="54" t="n">
        <f aca="false">AVERAGE(H314,K314,N314)</f>
        <v>37.9083333333333</v>
      </c>
      <c r="Q314" s="55" t="n">
        <f aca="false">F314*100/P314-100</f>
        <v>-1.34095405583646</v>
      </c>
      <c r="R314" s="54" t="n">
        <f aca="false">D314*F314</f>
        <v>14960</v>
      </c>
      <c r="S314" s="56"/>
      <c r="U314" s="57" t="n">
        <f aca="false">ROUND(H314*100/P314-100,0)</f>
        <v>4</v>
      </c>
      <c r="V314" s="57" t="n">
        <f aca="false">ROUND(K314*100/P314-100,0)</f>
        <v>2</v>
      </c>
      <c r="W314" s="57" t="n">
        <f aca="false">ROUND(N314*100/P314-100,0)</f>
        <v>-6</v>
      </c>
    </row>
    <row r="315" s="43" customFormat="true" ht="73.5" hidden="false" customHeight="true" outlineLevel="0" collapsed="false">
      <c r="A315" s="45" t="n">
        <f aca="false">A314+1</f>
        <v>323</v>
      </c>
      <c r="B315" s="46" t="s">
        <v>432</v>
      </c>
      <c r="C315" s="47" t="s">
        <v>147</v>
      </c>
      <c r="D315" s="48" t="s">
        <v>433</v>
      </c>
      <c r="E315" s="49" t="n">
        <v>8.76</v>
      </c>
      <c r="F315" s="50" t="n">
        <v>11.03</v>
      </c>
      <c r="G315" s="51" t="s">
        <v>90</v>
      </c>
      <c r="H315" s="52" t="n">
        <f aca="false">13.24/1.2</f>
        <v>11.0333333333333</v>
      </c>
      <c r="I315" s="53" t="n">
        <f aca="false">D315*H315</f>
        <v>17653.3333333333</v>
      </c>
      <c r="J315" s="47" t="s">
        <v>46</v>
      </c>
      <c r="K315" s="52" t="n">
        <v>10.93</v>
      </c>
      <c r="L315" s="53" t="n">
        <f aca="false">D315*K315</f>
        <v>17488</v>
      </c>
      <c r="M315" s="47" t="s">
        <v>58</v>
      </c>
      <c r="N315" s="52" t="n">
        <v>11.89</v>
      </c>
      <c r="O315" s="53" t="n">
        <f aca="false">D315*N315</f>
        <v>19024</v>
      </c>
      <c r="P315" s="54" t="n">
        <f aca="false">AVERAGE(H315,K315,N315)</f>
        <v>11.2844444444444</v>
      </c>
      <c r="Q315" s="55" t="n">
        <f aca="false">F315*100/P315-100</f>
        <v>-2.25482473414731</v>
      </c>
      <c r="R315" s="54" t="n">
        <f aca="false">D315*F315</f>
        <v>17648</v>
      </c>
      <c r="S315" s="56"/>
      <c r="U315" s="57" t="n">
        <f aca="false">ROUND(H315*100/P315-100,0)</f>
        <v>-2</v>
      </c>
      <c r="V315" s="57" t="n">
        <f aca="false">ROUND(K315*100/P315-100,0)</f>
        <v>-3</v>
      </c>
      <c r="W315" s="57" t="n">
        <f aca="false">ROUND(N315*100/P315-100,0)</f>
        <v>5</v>
      </c>
    </row>
    <row r="316" s="43" customFormat="true" ht="73.5" hidden="false" customHeight="true" outlineLevel="0" collapsed="false">
      <c r="A316" s="45" t="n">
        <f aca="false">A315+1</f>
        <v>324</v>
      </c>
      <c r="B316" s="46" t="s">
        <v>434</v>
      </c>
      <c r="C316" s="47" t="s">
        <v>25</v>
      </c>
      <c r="D316" s="48" t="n">
        <v>30</v>
      </c>
      <c r="E316" s="49" t="n">
        <v>872.67</v>
      </c>
      <c r="F316" s="50" t="n">
        <v>1285.66</v>
      </c>
      <c r="G316" s="47" t="s">
        <v>435</v>
      </c>
      <c r="H316" s="52" t="n">
        <v>1300</v>
      </c>
      <c r="I316" s="53" t="n">
        <f aca="false">D316*H316</f>
        <v>39000</v>
      </c>
      <c r="J316" s="47" t="s">
        <v>436</v>
      </c>
      <c r="K316" s="52" t="n">
        <v>1300</v>
      </c>
      <c r="L316" s="53" t="n">
        <f aca="false">D316*K316</f>
        <v>39000</v>
      </c>
      <c r="M316" s="47" t="s">
        <v>437</v>
      </c>
      <c r="N316" s="52" t="n">
        <v>1260</v>
      </c>
      <c r="O316" s="53" t="n">
        <f aca="false">D316*N316</f>
        <v>37800</v>
      </c>
      <c r="P316" s="54" t="n">
        <f aca="false">AVERAGE(H316,K316,N316)</f>
        <v>1286.66666666667</v>
      </c>
      <c r="Q316" s="55" t="n">
        <f aca="false">F316*100/P316-100</f>
        <v>-0.0782383419689126</v>
      </c>
      <c r="R316" s="54" t="n">
        <f aca="false">D316*F316</f>
        <v>38569.8</v>
      </c>
      <c r="S316" s="56"/>
      <c r="U316" s="57" t="n">
        <f aca="false">ROUND(H316*100/P316-100,0)</f>
        <v>1</v>
      </c>
      <c r="V316" s="57" t="n">
        <f aca="false">ROUND(K316*100/P316-100,0)</f>
        <v>1</v>
      </c>
      <c r="W316" s="57" t="n">
        <f aca="false">ROUND(N316*100/P316-100,0)</f>
        <v>-2</v>
      </c>
    </row>
    <row r="317" s="43" customFormat="true" ht="73.5" hidden="false" customHeight="true" outlineLevel="0" collapsed="false">
      <c r="A317" s="45" t="n">
        <f aca="false">A316+1</f>
        <v>325</v>
      </c>
      <c r="B317" s="46" t="s">
        <v>438</v>
      </c>
      <c r="C317" s="47" t="s">
        <v>25</v>
      </c>
      <c r="D317" s="48" t="n">
        <v>1</v>
      </c>
      <c r="E317" s="49" t="n">
        <v>20102.93</v>
      </c>
      <c r="F317" s="50" t="n">
        <v>26054.6</v>
      </c>
      <c r="G317" s="47" t="s">
        <v>27</v>
      </c>
      <c r="H317" s="52" t="n">
        <f aca="false">30302.49/1.2</f>
        <v>25252.075</v>
      </c>
      <c r="I317" s="53" t="n">
        <f aca="false">D317*H317</f>
        <v>25252.075</v>
      </c>
      <c r="J317" s="53" t="s">
        <v>28</v>
      </c>
      <c r="K317" s="52" t="n">
        <v>26315.4</v>
      </c>
      <c r="L317" s="53" t="n">
        <f aca="false">D317*K317</f>
        <v>26315.4</v>
      </c>
      <c r="M317" s="48" t="s">
        <v>29</v>
      </c>
      <c r="N317" s="52" t="n">
        <v>26678.22</v>
      </c>
      <c r="O317" s="53" t="n">
        <f aca="false">D317*N317</f>
        <v>26678.22</v>
      </c>
      <c r="P317" s="54" t="n">
        <f aca="false">AVERAGE(H317,K317,N317)</f>
        <v>26081.8983333333</v>
      </c>
      <c r="Q317" s="55" t="n">
        <f aca="false">F317*100/P317-100</f>
        <v>-0.104663905151597</v>
      </c>
      <c r="R317" s="54" t="n">
        <f aca="false">D317*F317</f>
        <v>26054.6</v>
      </c>
      <c r="S317" s="56"/>
      <c r="U317" s="57" t="n">
        <f aca="false">ROUND(H317*100/P317-100,0)</f>
        <v>-3</v>
      </c>
      <c r="V317" s="57" t="n">
        <f aca="false">ROUND(K317*100/P317-100,0)</f>
        <v>1</v>
      </c>
      <c r="W317" s="57" t="n">
        <f aca="false">ROUND(N317*100/P317-100,0)</f>
        <v>2</v>
      </c>
    </row>
    <row r="318" s="43" customFormat="true" ht="73.5" hidden="false" customHeight="true" outlineLevel="0" collapsed="false">
      <c r="A318" s="45" t="n">
        <f aca="false">A317+1</f>
        <v>326</v>
      </c>
      <c r="B318" s="46" t="s">
        <v>439</v>
      </c>
      <c r="C318" s="47" t="s">
        <v>25</v>
      </c>
      <c r="D318" s="48" t="n">
        <v>1</v>
      </c>
      <c r="E318" s="49" t="n">
        <v>8208.33</v>
      </c>
      <c r="F318" s="50" t="n">
        <v>8930.15</v>
      </c>
      <c r="G318" s="47" t="s">
        <v>56</v>
      </c>
      <c r="H318" s="52" t="n">
        <v>9150.22</v>
      </c>
      <c r="I318" s="53" t="n">
        <f aca="false">D318*H318</f>
        <v>9150.22</v>
      </c>
      <c r="J318" s="47" t="s">
        <v>57</v>
      </c>
      <c r="K318" s="52" t="n">
        <v>8700</v>
      </c>
      <c r="L318" s="53" t="n">
        <f aca="false">D318*K318</f>
        <v>8700</v>
      </c>
      <c r="M318" s="52" t="s">
        <v>67</v>
      </c>
      <c r="N318" s="52" t="n">
        <f aca="false">10766.52/1.2</f>
        <v>8972.1</v>
      </c>
      <c r="O318" s="53" t="n">
        <f aca="false">D318*N318</f>
        <v>8972.1</v>
      </c>
      <c r="P318" s="54" t="n">
        <f aca="false">AVERAGE(H318,K318,N318)</f>
        <v>8940.77333333333</v>
      </c>
      <c r="Q318" s="55" t="n">
        <f aca="false">F318*100/P318-100</f>
        <v>-0.118818953766862</v>
      </c>
      <c r="R318" s="54" t="n">
        <f aca="false">D318*F318</f>
        <v>8930.15</v>
      </c>
      <c r="S318" s="56"/>
      <c r="U318" s="57" t="n">
        <f aca="false">ROUND(H318*100/P318-100,0)</f>
        <v>2</v>
      </c>
      <c r="V318" s="57" t="n">
        <f aca="false">ROUND(K318*100/P318-100,0)</f>
        <v>-3</v>
      </c>
      <c r="W318" s="57" t="n">
        <f aca="false">ROUND(N318*100/P318-100,0)</f>
        <v>0</v>
      </c>
    </row>
    <row r="319" s="43" customFormat="true" ht="73.5" hidden="false" customHeight="true" outlineLevel="0" collapsed="false">
      <c r="A319" s="45" t="n">
        <f aca="false">A318+1</f>
        <v>327</v>
      </c>
      <c r="B319" s="46" t="s">
        <v>440</v>
      </c>
      <c r="C319" s="47" t="s">
        <v>25</v>
      </c>
      <c r="D319" s="48" t="n">
        <v>1</v>
      </c>
      <c r="E319" s="49" t="n">
        <v>9087.5</v>
      </c>
      <c r="F319" s="50" t="n">
        <v>9080.12</v>
      </c>
      <c r="G319" s="47" t="s">
        <v>56</v>
      </c>
      <c r="H319" s="52" t="n">
        <v>9205.49</v>
      </c>
      <c r="I319" s="53" t="n">
        <f aca="false">D319*H319</f>
        <v>9205.49</v>
      </c>
      <c r="J319" s="47" t="s">
        <v>57</v>
      </c>
      <c r="K319" s="52" t="n">
        <v>8900</v>
      </c>
      <c r="L319" s="53" t="n">
        <f aca="false">D319*K319</f>
        <v>8900</v>
      </c>
      <c r="M319" s="52" t="s">
        <v>67</v>
      </c>
      <c r="N319" s="52" t="n">
        <f aca="false">10969.78/1.2</f>
        <v>9141.48333333333</v>
      </c>
      <c r="O319" s="53" t="n">
        <f aca="false">D319*N319</f>
        <v>9141.48333333333</v>
      </c>
      <c r="P319" s="54" t="n">
        <f aca="false">AVERAGE(H319,K319,N319)</f>
        <v>9082.32444444444</v>
      </c>
      <c r="Q319" s="55" t="n">
        <f aca="false">F319*100/P319-100</f>
        <v>-0.0242718090278231</v>
      </c>
      <c r="R319" s="54" t="n">
        <f aca="false">D319*F319</f>
        <v>9080.12</v>
      </c>
      <c r="S319" s="56"/>
      <c r="U319" s="57" t="n">
        <f aca="false">ROUND(H319*100/P319-100,0)</f>
        <v>1</v>
      </c>
      <c r="V319" s="57" t="n">
        <f aca="false">ROUND(K319*100/P319-100,0)</f>
        <v>-2</v>
      </c>
      <c r="W319" s="57" t="n">
        <f aca="false">ROUND(N319*100/P319-100,0)</f>
        <v>1</v>
      </c>
    </row>
    <row r="320" s="43" customFormat="true" ht="73.5" hidden="false" customHeight="true" outlineLevel="0" collapsed="false">
      <c r="A320" s="45" t="n">
        <f aca="false">A319+1</f>
        <v>328</v>
      </c>
      <c r="B320" s="46" t="s">
        <v>441</v>
      </c>
      <c r="C320" s="47" t="s">
        <v>25</v>
      </c>
      <c r="D320" s="48" t="n">
        <v>2</v>
      </c>
      <c r="E320" s="49" t="n">
        <v>37760.83</v>
      </c>
      <c r="F320" s="50" t="n">
        <v>33102.4</v>
      </c>
      <c r="G320" s="47" t="s">
        <v>56</v>
      </c>
      <c r="H320" s="52" t="n">
        <v>33450</v>
      </c>
      <c r="I320" s="53" t="n">
        <f aca="false">D320*H320</f>
        <v>66900</v>
      </c>
      <c r="J320" s="47" t="s">
        <v>57</v>
      </c>
      <c r="K320" s="52" t="n">
        <v>32000</v>
      </c>
      <c r="L320" s="53" t="n">
        <f aca="false">D320*K320</f>
        <v>64000</v>
      </c>
      <c r="M320" s="52" t="s">
        <v>67</v>
      </c>
      <c r="N320" s="52" t="n">
        <f aca="false">40734.72/1.2</f>
        <v>33945.6</v>
      </c>
      <c r="O320" s="53" t="n">
        <f aca="false">D320*N320</f>
        <v>67891.2</v>
      </c>
      <c r="P320" s="54" t="n">
        <f aca="false">AVERAGE(H320,K320,N320)</f>
        <v>33131.8666666667</v>
      </c>
      <c r="Q320" s="55" t="n">
        <f aca="false">F320*100/P320-100</f>
        <v>-0.0889375384825968</v>
      </c>
      <c r="R320" s="54" t="n">
        <f aca="false">D320*F320</f>
        <v>66204.8</v>
      </c>
      <c r="S320" s="56"/>
      <c r="U320" s="57" t="n">
        <f aca="false">ROUND(H320*100/P320-100,0)</f>
        <v>1</v>
      </c>
      <c r="V320" s="57" t="n">
        <f aca="false">ROUND(K320*100/P320-100,0)</f>
        <v>-3</v>
      </c>
      <c r="W320" s="57" t="n">
        <f aca="false">ROUND(N320*100/P320-100,0)</f>
        <v>2</v>
      </c>
    </row>
    <row r="321" s="43" customFormat="true" ht="73.5" hidden="false" customHeight="true" outlineLevel="0" collapsed="false">
      <c r="A321" s="45" t="n">
        <f aca="false">A320+1</f>
        <v>329</v>
      </c>
      <c r="B321" s="46" t="s">
        <v>442</v>
      </c>
      <c r="C321" s="47" t="s">
        <v>25</v>
      </c>
      <c r="D321" s="48" t="n">
        <v>2</v>
      </c>
      <c r="E321" s="49" t="n">
        <v>67797.5</v>
      </c>
      <c r="F321" s="50" t="n">
        <v>69148.5</v>
      </c>
      <c r="G321" s="47" t="s">
        <v>56</v>
      </c>
      <c r="H321" s="52" t="n">
        <v>69725.6</v>
      </c>
      <c r="I321" s="53" t="n">
        <f aca="false">D321*H321</f>
        <v>139451.2</v>
      </c>
      <c r="J321" s="47" t="s">
        <v>57</v>
      </c>
      <c r="K321" s="52" t="n">
        <v>68000</v>
      </c>
      <c r="L321" s="53" t="n">
        <f aca="false">D321*K321</f>
        <v>136000</v>
      </c>
      <c r="M321" s="52" t="s">
        <v>67</v>
      </c>
      <c r="N321" s="52" t="n">
        <f aca="false">84060.86/1.2</f>
        <v>70050.7166666667</v>
      </c>
      <c r="O321" s="53" t="n">
        <f aca="false">D321*N321</f>
        <v>140101.433333333</v>
      </c>
      <c r="P321" s="54" t="n">
        <f aca="false">AVERAGE(H321,K321,N321)</f>
        <v>69258.7722222222</v>
      </c>
      <c r="Q321" s="55" t="n">
        <f aca="false">F321*100/P321-100</f>
        <v>-0.159217697172579</v>
      </c>
      <c r="R321" s="54" t="n">
        <f aca="false">D321*F321</f>
        <v>138297</v>
      </c>
      <c r="S321" s="56"/>
      <c r="U321" s="57" t="n">
        <f aca="false">ROUND(H321*100/P321-100,0)</f>
        <v>1</v>
      </c>
      <c r="V321" s="57" t="n">
        <f aca="false">ROUND(K321*100/P321-100,0)</f>
        <v>-2</v>
      </c>
      <c r="W321" s="57" t="n">
        <f aca="false">ROUND(N321*100/P321-100,0)</f>
        <v>1</v>
      </c>
    </row>
    <row r="322" s="43" customFormat="true" ht="73.5" hidden="false" customHeight="true" outlineLevel="0" collapsed="false">
      <c r="A322" s="45" t="n">
        <f aca="false">A321+1</f>
        <v>330</v>
      </c>
      <c r="B322" s="46" t="s">
        <v>443</v>
      </c>
      <c r="C322" s="47" t="s">
        <v>45</v>
      </c>
      <c r="D322" s="48" t="n">
        <v>125.8</v>
      </c>
      <c r="E322" s="49" t="n">
        <v>287.33</v>
      </c>
      <c r="F322" s="50" t="n">
        <v>395.2</v>
      </c>
      <c r="G322" s="47" t="s">
        <v>39</v>
      </c>
      <c r="H322" s="52" t="n">
        <v>388.09</v>
      </c>
      <c r="I322" s="53" t="n">
        <f aca="false">D322*H322</f>
        <v>48821.722</v>
      </c>
      <c r="J322" s="47" t="s">
        <v>54</v>
      </c>
      <c r="K322" s="52" t="n">
        <v>410.77</v>
      </c>
      <c r="L322" s="53" t="n">
        <f aca="false">D322*K322</f>
        <v>51674.866</v>
      </c>
      <c r="M322" s="52" t="s">
        <v>67</v>
      </c>
      <c r="N322" s="52" t="n">
        <f aca="false">488.26/1.2</f>
        <v>406.883333333333</v>
      </c>
      <c r="O322" s="53" t="n">
        <f aca="false">D322*N322</f>
        <v>51185.9233333333</v>
      </c>
      <c r="P322" s="54" t="n">
        <f aca="false">AVERAGE(H322,K322,N322)</f>
        <v>401.914444444444</v>
      </c>
      <c r="Q322" s="55" t="n">
        <f aca="false">F322*100/P322-100</f>
        <v>-1.67061536037244</v>
      </c>
      <c r="R322" s="54" t="n">
        <f aca="false">D322*F322</f>
        <v>49716.16</v>
      </c>
      <c r="S322" s="56"/>
      <c r="U322" s="57" t="n">
        <f aca="false">ROUND(H322*100/P322-100,0)</f>
        <v>-3</v>
      </c>
      <c r="V322" s="57" t="n">
        <f aca="false">ROUND(K322*100/P322-100,0)</f>
        <v>2</v>
      </c>
      <c r="W322" s="57" t="n">
        <f aca="false">ROUND(N322*100/P322-100,0)</f>
        <v>1</v>
      </c>
    </row>
    <row r="323" s="43" customFormat="true" ht="73.5" hidden="false" customHeight="true" outlineLevel="0" collapsed="false">
      <c r="A323" s="45" t="n">
        <f aca="false">A322+1</f>
        <v>331</v>
      </c>
      <c r="B323" s="46" t="s">
        <v>444</v>
      </c>
      <c r="C323" s="47" t="s">
        <v>45</v>
      </c>
      <c r="D323" s="48" t="s">
        <v>445</v>
      </c>
      <c r="E323" s="49" t="n">
        <v>277.19</v>
      </c>
      <c r="F323" s="50" t="n">
        <v>385.4</v>
      </c>
      <c r="G323" s="47" t="s">
        <v>39</v>
      </c>
      <c r="H323" s="52" t="n">
        <v>395.81</v>
      </c>
      <c r="I323" s="53" t="n">
        <f aca="false">D323*H323</f>
        <v>28498.32</v>
      </c>
      <c r="J323" s="47" t="s">
        <v>54</v>
      </c>
      <c r="K323" s="52" t="n">
        <v>403.69</v>
      </c>
      <c r="L323" s="53" t="n">
        <f aca="false">D323*K323</f>
        <v>29065.68</v>
      </c>
      <c r="M323" s="52" t="s">
        <v>67</v>
      </c>
      <c r="N323" s="52" t="n">
        <f aca="false">465/1.2</f>
        <v>387.5</v>
      </c>
      <c r="O323" s="53" t="n">
        <f aca="false">D323*N323</f>
        <v>27900</v>
      </c>
      <c r="P323" s="54" t="n">
        <f aca="false">AVERAGE(H323,K323,N323)</f>
        <v>395.666666666667</v>
      </c>
      <c r="Q323" s="55" t="n">
        <f aca="false">F323*100/P323-100</f>
        <v>-2.59477674810447</v>
      </c>
      <c r="R323" s="54" t="n">
        <f aca="false">D323*F323</f>
        <v>27748.8</v>
      </c>
      <c r="S323" s="56"/>
      <c r="U323" s="57" t="n">
        <f aca="false">ROUND(H323*100/P323-100,0)</f>
        <v>0</v>
      </c>
      <c r="V323" s="57" t="n">
        <f aca="false">ROUND(K323*100/P323-100,0)</f>
        <v>2</v>
      </c>
      <c r="W323" s="57" t="n">
        <f aca="false">ROUND(N323*100/P323-100,0)</f>
        <v>-2</v>
      </c>
    </row>
    <row r="324" s="43" customFormat="true" ht="73.5" hidden="false" customHeight="true" outlineLevel="0" collapsed="false">
      <c r="A324" s="45" t="n">
        <f aca="false">A323+1</f>
        <v>332</v>
      </c>
      <c r="B324" s="46" t="s">
        <v>446</v>
      </c>
      <c r="C324" s="47" t="s">
        <v>45</v>
      </c>
      <c r="D324" s="48" t="n">
        <v>24</v>
      </c>
      <c r="E324" s="49" t="n">
        <v>277.19</v>
      </c>
      <c r="F324" s="50" t="n">
        <v>383</v>
      </c>
      <c r="G324" s="47" t="s">
        <v>39</v>
      </c>
      <c r="H324" s="52" t="n">
        <v>395.81</v>
      </c>
      <c r="I324" s="53" t="n">
        <f aca="false">D324*H324</f>
        <v>9499.44</v>
      </c>
      <c r="J324" s="47" t="s">
        <v>54</v>
      </c>
      <c r="K324" s="52" t="n">
        <v>403.69</v>
      </c>
      <c r="L324" s="53" t="n">
        <f aca="false">D324*K324</f>
        <v>9688.56</v>
      </c>
      <c r="M324" s="52" t="s">
        <v>67</v>
      </c>
      <c r="N324" s="52" t="n">
        <f aca="false">460.44/1.2</f>
        <v>383.7</v>
      </c>
      <c r="O324" s="53" t="n">
        <f aca="false">D324*N324</f>
        <v>9208.8</v>
      </c>
      <c r="P324" s="54" t="n">
        <f aca="false">AVERAGE(H324,K324,N324)</f>
        <v>394.4</v>
      </c>
      <c r="Q324" s="55" t="n">
        <f aca="false">F324*100/P324-100</f>
        <v>-2.89046653144017</v>
      </c>
      <c r="R324" s="54" t="n">
        <f aca="false">D324*F324</f>
        <v>9192</v>
      </c>
      <c r="S324" s="56"/>
      <c r="U324" s="57" t="n">
        <f aca="false">ROUND(H324*100/P324-100,0)</f>
        <v>0</v>
      </c>
      <c r="V324" s="57" t="n">
        <f aca="false">ROUND(K324*100/P324-100,0)</f>
        <v>2</v>
      </c>
      <c r="W324" s="57" t="n">
        <f aca="false">ROUND(N324*100/P324-100,0)</f>
        <v>-3</v>
      </c>
    </row>
    <row r="325" s="43" customFormat="true" ht="73.5" hidden="false" customHeight="true" outlineLevel="0" collapsed="false">
      <c r="A325" s="45" t="n">
        <f aca="false">A324+1</f>
        <v>333</v>
      </c>
      <c r="B325" s="46" t="s">
        <v>447</v>
      </c>
      <c r="C325" s="47" t="s">
        <v>25</v>
      </c>
      <c r="D325" s="48" t="n">
        <v>4</v>
      </c>
      <c r="E325" s="49" t="n">
        <v>925.16</v>
      </c>
      <c r="F325" s="50" t="n">
        <v>1175.2</v>
      </c>
      <c r="G325" s="47" t="s">
        <v>27</v>
      </c>
      <c r="H325" s="52" t="n">
        <f aca="false">1338.34/1.2</f>
        <v>1115.28333333333</v>
      </c>
      <c r="I325" s="53" t="n">
        <f aca="false">D325*H325</f>
        <v>4461.13333333333</v>
      </c>
      <c r="J325" s="53" t="s">
        <v>28</v>
      </c>
      <c r="K325" s="52" t="n">
        <v>1170.64</v>
      </c>
      <c r="L325" s="53" t="n">
        <f aca="false">D325*K325</f>
        <v>4682.56</v>
      </c>
      <c r="M325" s="48" t="s">
        <v>29</v>
      </c>
      <c r="N325" s="52" t="n">
        <v>1246.5</v>
      </c>
      <c r="O325" s="53" t="n">
        <f aca="false">D325*N325</f>
        <v>4986</v>
      </c>
      <c r="P325" s="54" t="n">
        <f aca="false">AVERAGE(H325,K325,N325)</f>
        <v>1177.47444444444</v>
      </c>
      <c r="Q325" s="55" t="n">
        <f aca="false">F325*100/P325-100</f>
        <v>-0.193162956119821</v>
      </c>
      <c r="R325" s="54" t="n">
        <f aca="false">D325*F325</f>
        <v>4700.8</v>
      </c>
      <c r="S325" s="56"/>
      <c r="U325" s="57" t="n">
        <f aca="false">ROUND(H325*100/P325-100,0)</f>
        <v>-5</v>
      </c>
      <c r="V325" s="57" t="n">
        <f aca="false">ROUND(K325*100/P325-100,0)</f>
        <v>-1</v>
      </c>
      <c r="W325" s="57" t="n">
        <f aca="false">ROUND(N325*100/P325-100,0)</f>
        <v>6</v>
      </c>
    </row>
    <row r="326" s="43" customFormat="true" ht="73.5" hidden="false" customHeight="true" outlineLevel="0" collapsed="false">
      <c r="A326" s="45" t="n">
        <f aca="false">A325+1</f>
        <v>334</v>
      </c>
      <c r="B326" s="46" t="s">
        <v>448</v>
      </c>
      <c r="C326" s="47" t="s">
        <v>25</v>
      </c>
      <c r="D326" s="47" t="n">
        <v>71</v>
      </c>
      <c r="E326" s="49" t="n">
        <v>1325.04</v>
      </c>
      <c r="F326" s="50" t="n">
        <v>1974.45</v>
      </c>
      <c r="G326" s="47" t="s">
        <v>27</v>
      </c>
      <c r="H326" s="52" t="n">
        <f aca="false">2332.39/1.2</f>
        <v>1943.65833333333</v>
      </c>
      <c r="I326" s="53" t="n">
        <f aca="false">D326*H326</f>
        <v>137999.741666667</v>
      </c>
      <c r="J326" s="53" t="s">
        <v>28</v>
      </c>
      <c r="K326" s="52" t="n">
        <v>2010.42</v>
      </c>
      <c r="L326" s="53" t="n">
        <f aca="false">D326*K326</f>
        <v>142739.82</v>
      </c>
      <c r="M326" s="48" t="s">
        <v>29</v>
      </c>
      <c r="N326" s="52" t="n">
        <v>1972.2</v>
      </c>
      <c r="O326" s="53" t="n">
        <f aca="false">D326*N326</f>
        <v>140026.2</v>
      </c>
      <c r="P326" s="54" t="n">
        <f aca="false">AVERAGE(H326,K326,N326)</f>
        <v>1975.42611111111</v>
      </c>
      <c r="Q326" s="55" t="n">
        <f aca="false">F326*100/P326-100</f>
        <v>-0.0494126864893048</v>
      </c>
      <c r="R326" s="54" t="n">
        <f aca="false">D326*F326</f>
        <v>140185.95</v>
      </c>
      <c r="S326" s="56"/>
      <c r="U326" s="57" t="n">
        <f aca="false">ROUND(H326*100/P326-100,0)</f>
        <v>-2</v>
      </c>
      <c r="V326" s="57" t="n">
        <f aca="false">ROUND(K326*100/P326-100,0)</f>
        <v>2</v>
      </c>
      <c r="W326" s="57" t="n">
        <f aca="false">ROUND(N326*100/P326-100,0)</f>
        <v>-0</v>
      </c>
    </row>
    <row r="327" s="43" customFormat="true" ht="73.5" hidden="false" customHeight="true" outlineLevel="0" collapsed="false">
      <c r="A327" s="45" t="n">
        <f aca="false">A326+1</f>
        <v>335</v>
      </c>
      <c r="B327" s="46" t="s">
        <v>449</v>
      </c>
      <c r="C327" s="47" t="s">
        <v>25</v>
      </c>
      <c r="D327" s="48" t="n">
        <v>34</v>
      </c>
      <c r="E327" s="49" t="n">
        <v>1487.95</v>
      </c>
      <c r="F327" s="50" t="n">
        <v>2651.1</v>
      </c>
      <c r="G327" s="47" t="s">
        <v>27</v>
      </c>
      <c r="H327" s="52" t="n">
        <f aca="false">2925.52/1.2</f>
        <v>2437.93333333333</v>
      </c>
      <c r="I327" s="53" t="n">
        <f aca="false">D327*H327</f>
        <v>82889.7333333333</v>
      </c>
      <c r="J327" s="53" t="s">
        <v>28</v>
      </c>
      <c r="K327" s="52" t="n">
        <v>2845.3</v>
      </c>
      <c r="L327" s="53" t="n">
        <f aca="false">D327*K327</f>
        <v>96740.2</v>
      </c>
      <c r="M327" s="48" t="s">
        <v>29</v>
      </c>
      <c r="N327" s="52" t="n">
        <v>2680.49</v>
      </c>
      <c r="O327" s="53" t="n">
        <f aca="false">D327*N327</f>
        <v>91136.66</v>
      </c>
      <c r="P327" s="54" t="n">
        <f aca="false">AVERAGE(H327,K327,N327)</f>
        <v>2654.57444444444</v>
      </c>
      <c r="Q327" s="55" t="n">
        <f aca="false">F327*100/P327-100</f>
        <v>-0.130885176406181</v>
      </c>
      <c r="R327" s="54" t="n">
        <f aca="false">D327*F327</f>
        <v>90137.4</v>
      </c>
      <c r="S327" s="56"/>
      <c r="U327" s="57" t="n">
        <f aca="false">ROUND(H327*100/P327-100,0)</f>
        <v>-8</v>
      </c>
      <c r="V327" s="57" t="n">
        <f aca="false">ROUND(K327*100/P327-100,0)</f>
        <v>7</v>
      </c>
      <c r="W327" s="57" t="n">
        <f aca="false">ROUND(N327*100/P327-100,0)</f>
        <v>1</v>
      </c>
    </row>
    <row r="328" s="43" customFormat="true" ht="73.5" hidden="false" customHeight="true" outlineLevel="0" collapsed="false">
      <c r="A328" s="45" t="n">
        <f aca="false">A327+1</f>
        <v>336</v>
      </c>
      <c r="B328" s="46" t="s">
        <v>450</v>
      </c>
      <c r="C328" s="47" t="s">
        <v>25</v>
      </c>
      <c r="D328" s="48" t="s">
        <v>451</v>
      </c>
      <c r="E328" s="49" t="n">
        <v>2941.87</v>
      </c>
      <c r="F328" s="50" t="n">
        <v>3640.5</v>
      </c>
      <c r="G328" s="47" t="s">
        <v>27</v>
      </c>
      <c r="H328" s="52" t="n">
        <f aca="false">4199.67/1.2</f>
        <v>3499.725</v>
      </c>
      <c r="I328" s="53" t="n">
        <f aca="false">D328*H328</f>
        <v>34997.25</v>
      </c>
      <c r="J328" s="53" t="s">
        <v>28</v>
      </c>
      <c r="K328" s="52" t="n">
        <v>3754.2</v>
      </c>
      <c r="L328" s="53" t="n">
        <f aca="false">D328*K328</f>
        <v>37542</v>
      </c>
      <c r="M328" s="48" t="s">
        <v>29</v>
      </c>
      <c r="N328" s="52" t="n">
        <v>3674.62</v>
      </c>
      <c r="O328" s="53" t="n">
        <f aca="false">D328*N328</f>
        <v>36746.2</v>
      </c>
      <c r="P328" s="54" t="n">
        <f aca="false">AVERAGE(H328,K328,N328)</f>
        <v>3642.84833333333</v>
      </c>
      <c r="Q328" s="55" t="n">
        <f aca="false">F328*100/P328-100</f>
        <v>-0.0644642081814197</v>
      </c>
      <c r="R328" s="54" t="n">
        <f aca="false">D328*F328</f>
        <v>36405</v>
      </c>
      <c r="S328" s="56"/>
      <c r="U328" s="57" t="n">
        <f aca="false">ROUND(H328*100/P328-100,0)</f>
        <v>-4</v>
      </c>
      <c r="V328" s="57" t="n">
        <f aca="false">ROUND(K328*100/P328-100,0)</f>
        <v>3</v>
      </c>
      <c r="W328" s="57" t="n">
        <f aca="false">ROUND(N328*100/P328-100,0)</f>
        <v>1</v>
      </c>
    </row>
    <row r="329" s="43" customFormat="true" ht="73.5" hidden="false" customHeight="true" outlineLevel="0" collapsed="false">
      <c r="A329" s="45" t="n">
        <f aca="false">A328+1</f>
        <v>337</v>
      </c>
      <c r="B329" s="46" t="s">
        <v>452</v>
      </c>
      <c r="C329" s="47" t="s">
        <v>25</v>
      </c>
      <c r="D329" s="48" t="n">
        <v>266</v>
      </c>
      <c r="E329" s="49" t="n">
        <v>480</v>
      </c>
      <c r="F329" s="50" t="n">
        <v>591.6</v>
      </c>
      <c r="G329" s="47" t="s">
        <v>56</v>
      </c>
      <c r="H329" s="52" t="n">
        <v>589.7</v>
      </c>
      <c r="I329" s="53" t="n">
        <f aca="false">D329*H329</f>
        <v>156860.2</v>
      </c>
      <c r="J329" s="47" t="s">
        <v>57</v>
      </c>
      <c r="K329" s="52" t="n">
        <v>578.64</v>
      </c>
      <c r="L329" s="53" t="n">
        <f aca="false">D329*K329</f>
        <v>153918.24</v>
      </c>
      <c r="M329" s="53" t="s">
        <v>68</v>
      </c>
      <c r="N329" s="52" t="n">
        <v>610.24</v>
      </c>
      <c r="O329" s="53" t="n">
        <f aca="false">D329*N329</f>
        <v>162323.84</v>
      </c>
      <c r="P329" s="54" t="n">
        <f aca="false">AVERAGE(H329,K329,N329)</f>
        <v>592.86</v>
      </c>
      <c r="Q329" s="55" t="n">
        <f aca="false">F329*100/P329-100</f>
        <v>-0.212529096245319</v>
      </c>
      <c r="R329" s="54" t="n">
        <f aca="false">D329*F329</f>
        <v>157365.6</v>
      </c>
      <c r="S329" s="56"/>
      <c r="U329" s="57" t="n">
        <f aca="false">ROUND(H329*100/P329-100,0)</f>
        <v>-1</v>
      </c>
      <c r="V329" s="57" t="n">
        <f aca="false">ROUND(K329*100/P329-100,0)</f>
        <v>-2</v>
      </c>
      <c r="W329" s="57" t="n">
        <f aca="false">ROUND(N329*100/P329-100,0)</f>
        <v>3</v>
      </c>
    </row>
    <row r="330" s="43" customFormat="true" ht="73.5" hidden="false" customHeight="true" outlineLevel="0" collapsed="false">
      <c r="A330" s="45" t="n">
        <f aca="false">A329+1</f>
        <v>338</v>
      </c>
      <c r="B330" s="46" t="s">
        <v>453</v>
      </c>
      <c r="C330" s="47" t="s">
        <v>25</v>
      </c>
      <c r="D330" s="48" t="n">
        <v>654</v>
      </c>
      <c r="E330" s="49" t="n">
        <v>450</v>
      </c>
      <c r="F330" s="50" t="n">
        <v>595.8</v>
      </c>
      <c r="G330" s="47" t="s">
        <v>56</v>
      </c>
      <c r="H330" s="52" t="n">
        <v>630.12</v>
      </c>
      <c r="I330" s="53" t="n">
        <f aca="false">D330*H330</f>
        <v>412098.48</v>
      </c>
      <c r="J330" s="47" t="s">
        <v>57</v>
      </c>
      <c r="K330" s="52" t="n">
        <v>562.09</v>
      </c>
      <c r="L330" s="53" t="n">
        <f aca="false">D330*K330</f>
        <v>367606.86</v>
      </c>
      <c r="M330" s="53" t="s">
        <v>68</v>
      </c>
      <c r="N330" s="52" t="n">
        <v>599.4</v>
      </c>
      <c r="O330" s="53" t="n">
        <f aca="false">D330*N330</f>
        <v>392007.6</v>
      </c>
      <c r="P330" s="54" t="n">
        <f aca="false">AVERAGE(H330,K330,N330)</f>
        <v>597.203333333333</v>
      </c>
      <c r="Q330" s="55" t="n">
        <f aca="false">F330*100/P330-100</f>
        <v>-0.234984176243728</v>
      </c>
      <c r="R330" s="54" t="n">
        <f aca="false">D330*F330</f>
        <v>389653.2</v>
      </c>
      <c r="S330" s="56"/>
      <c r="U330" s="57" t="n">
        <f aca="false">ROUND(H330*100/P330-100,0)</f>
        <v>6</v>
      </c>
      <c r="V330" s="57" t="n">
        <f aca="false">ROUND(K330*100/P330-100,0)</f>
        <v>-6</v>
      </c>
      <c r="W330" s="57" t="n">
        <f aca="false">ROUND(N330*100/P330-100,0)</f>
        <v>0</v>
      </c>
    </row>
    <row r="331" s="43" customFormat="true" ht="73.5" hidden="false" customHeight="true" outlineLevel="0" collapsed="false">
      <c r="A331" s="45" t="n">
        <f aca="false">A330+1</f>
        <v>339</v>
      </c>
      <c r="B331" s="46" t="s">
        <v>454</v>
      </c>
      <c r="C331" s="47" t="s">
        <v>25</v>
      </c>
      <c r="D331" s="48" t="n">
        <v>20</v>
      </c>
      <c r="E331" s="49" t="n">
        <v>1970.31</v>
      </c>
      <c r="F331" s="50" t="n">
        <v>2045.3</v>
      </c>
      <c r="G331" s="47" t="s">
        <v>27</v>
      </c>
      <c r="H331" s="52" t="n">
        <f aca="false">2395.66/1.2</f>
        <v>1996.38333333333</v>
      </c>
      <c r="I331" s="53" t="n">
        <f aca="false">D331*H331</f>
        <v>39927.6666666667</v>
      </c>
      <c r="J331" s="53" t="s">
        <v>28</v>
      </c>
      <c r="K331" s="52" t="n">
        <v>2100.3</v>
      </c>
      <c r="L331" s="53" t="n">
        <f aca="false">D331*K331</f>
        <v>42006</v>
      </c>
      <c r="M331" s="48" t="s">
        <v>29</v>
      </c>
      <c r="N331" s="52" t="n">
        <v>2050.88</v>
      </c>
      <c r="O331" s="53" t="n">
        <f aca="false">D331*N331</f>
        <v>41017.6</v>
      </c>
      <c r="P331" s="54" t="n">
        <f aca="false">AVERAGE(H331,K331,N331)</f>
        <v>2049.18777777778</v>
      </c>
      <c r="Q331" s="55" t="n">
        <f aca="false">F331*100/P331-100</f>
        <v>-0.189722865807539</v>
      </c>
      <c r="R331" s="54" t="n">
        <f aca="false">D331*F331</f>
        <v>40906</v>
      </c>
      <c r="S331" s="56"/>
      <c r="U331" s="57" t="n">
        <f aca="false">ROUND(H331*100/P331-100,0)</f>
        <v>-3</v>
      </c>
      <c r="V331" s="57" t="n">
        <f aca="false">ROUND(K331*100/P331-100,0)</f>
        <v>2</v>
      </c>
      <c r="W331" s="57" t="n">
        <f aca="false">ROUND(N331*100/P331-100,0)</f>
        <v>0</v>
      </c>
    </row>
    <row r="332" s="43" customFormat="true" ht="32.25" hidden="false" customHeight="true" outlineLevel="0" collapsed="false">
      <c r="A332" s="45"/>
      <c r="B332" s="73" t="s">
        <v>455</v>
      </c>
      <c r="C332" s="73"/>
      <c r="D332" s="73"/>
      <c r="E332" s="73"/>
      <c r="F332" s="73"/>
      <c r="G332" s="73"/>
      <c r="H332" s="73"/>
      <c r="I332" s="73"/>
      <c r="J332" s="73"/>
      <c r="K332" s="73"/>
      <c r="L332" s="73"/>
      <c r="M332" s="73"/>
      <c r="N332" s="73"/>
      <c r="O332" s="73"/>
      <c r="P332" s="73"/>
      <c r="Q332" s="73"/>
      <c r="R332" s="73"/>
      <c r="S332" s="73"/>
      <c r="U332" s="57"/>
      <c r="V332" s="57"/>
      <c r="W332" s="57"/>
    </row>
    <row r="333" s="43" customFormat="true" ht="73.5" hidden="false" customHeight="true" outlineLevel="0" collapsed="false">
      <c r="A333" s="45" t="n">
        <v>319</v>
      </c>
      <c r="B333" s="46" t="s">
        <v>456</v>
      </c>
      <c r="C333" s="47" t="s">
        <v>25</v>
      </c>
      <c r="D333" s="48" t="n">
        <v>8</v>
      </c>
      <c r="E333" s="49" t="n">
        <v>84891.83</v>
      </c>
      <c r="F333" s="50" t="n">
        <v>87042.7</v>
      </c>
      <c r="G333" s="47" t="s">
        <v>56</v>
      </c>
      <c r="H333" s="52" t="n">
        <v>85925.72</v>
      </c>
      <c r="I333" s="53" t="n">
        <f aca="false">D333*H333</f>
        <v>687405.76</v>
      </c>
      <c r="J333" s="47" t="s">
        <v>57</v>
      </c>
      <c r="K333" s="52" t="n">
        <v>88479.67</v>
      </c>
      <c r="L333" s="53" t="n">
        <f aca="false">D333*K333</f>
        <v>707837.36</v>
      </c>
      <c r="M333" s="47" t="s">
        <v>457</v>
      </c>
      <c r="N333" s="52" t="n">
        <f aca="false">87011.83</f>
        <v>87011.83</v>
      </c>
      <c r="O333" s="53" t="n">
        <f aca="false">D333*N333</f>
        <v>696094.64</v>
      </c>
      <c r="P333" s="54" t="n">
        <f aca="false">AVERAGE(H333,K333,N333)</f>
        <v>87139.0733333333</v>
      </c>
      <c r="Q333" s="55" t="n">
        <f aca="false">F333*100/P333-100</f>
        <v>-0.110597151939729</v>
      </c>
      <c r="R333" s="54" t="n">
        <f aca="false">D333*F333</f>
        <v>696341.6</v>
      </c>
      <c r="S333" s="46"/>
      <c r="U333" s="57" t="n">
        <f aca="false">ROUND(H333*100/P333-100,0)</f>
        <v>-1</v>
      </c>
      <c r="V333" s="57" t="n">
        <f aca="false">ROUND(K333*100/P333-100,0)</f>
        <v>2</v>
      </c>
      <c r="W333" s="57" t="n">
        <f aca="false">ROUND(N333*100/P333-100,0)</f>
        <v>-0</v>
      </c>
    </row>
    <row r="334" s="43" customFormat="true" ht="25.5" hidden="false" customHeight="true" outlineLevel="0" collapsed="false">
      <c r="A334" s="74" t="s">
        <v>458</v>
      </c>
      <c r="B334" s="74"/>
      <c r="C334" s="74"/>
      <c r="D334" s="74"/>
      <c r="E334" s="74"/>
      <c r="F334" s="74"/>
      <c r="G334" s="74"/>
      <c r="H334" s="74"/>
      <c r="I334" s="74"/>
      <c r="J334" s="74"/>
      <c r="K334" s="74"/>
      <c r="L334" s="74"/>
      <c r="M334" s="74"/>
      <c r="N334" s="74"/>
      <c r="O334" s="74"/>
      <c r="P334" s="54" t="e">
        <f aca="false">SUM(P11:P333)</f>
        <v>#DIV/0!</v>
      </c>
      <c r="Q334" s="55"/>
      <c r="R334" s="54" t="e">
        <f aca="false">SUM(R11:R333)</f>
        <v>#VALUE!</v>
      </c>
      <c r="S334" s="46"/>
    </row>
    <row r="335" s="14" customFormat="true" ht="33" hidden="false" customHeight="true" outlineLevel="0" collapsed="false">
      <c r="A335" s="75"/>
      <c r="B335" s="76"/>
      <c r="C335" s="76"/>
      <c r="D335" s="76"/>
      <c r="E335" s="76"/>
      <c r="F335" s="76"/>
      <c r="G335" s="76"/>
      <c r="H335" s="76"/>
      <c r="I335" s="76"/>
      <c r="J335" s="77"/>
      <c r="K335" s="78"/>
      <c r="L335" s="75"/>
      <c r="M335" s="75"/>
      <c r="N335" s="78"/>
      <c r="O335" s="75"/>
      <c r="P335" s="75"/>
      <c r="Q335" s="75"/>
      <c r="R335" s="75"/>
      <c r="S335" s="75"/>
    </row>
    <row r="336" customFormat="false" ht="15.75" hidden="false" customHeight="false" outlineLevel="0" collapsed="false">
      <c r="J336" s="77"/>
    </row>
    <row r="337" customFormat="false" ht="15.75" hidden="false" customHeight="false" outlineLevel="0" collapsed="false">
      <c r="J337" s="77"/>
    </row>
    <row r="339" customFormat="false" ht="124.5" hidden="false" customHeight="true" outlineLevel="0" collapsed="false">
      <c r="B339" s="79" t="s">
        <v>459</v>
      </c>
      <c r="C339" s="79"/>
      <c r="D339" s="79"/>
      <c r="E339" s="79"/>
      <c r="F339" s="79"/>
      <c r="G339" s="79"/>
      <c r="H339" s="79"/>
      <c r="I339" s="79"/>
      <c r="J339" s="79"/>
      <c r="K339" s="79"/>
      <c r="L339" s="79"/>
      <c r="M339" s="79"/>
      <c r="N339" s="79"/>
      <c r="O339" s="79"/>
      <c r="P339" s="79"/>
      <c r="Q339" s="79"/>
    </row>
    <row r="341" customFormat="false" ht="32.25" hidden="false" customHeight="true" outlineLevel="0" collapsed="false">
      <c r="B341" s="79" t="s">
        <v>460</v>
      </c>
      <c r="C341" s="79"/>
      <c r="D341" s="79"/>
      <c r="E341" s="79"/>
      <c r="F341" s="79"/>
      <c r="G341" s="79"/>
      <c r="H341" s="79"/>
      <c r="I341" s="79"/>
      <c r="J341" s="79"/>
      <c r="K341" s="79"/>
      <c r="L341" s="79"/>
      <c r="M341" s="79"/>
      <c r="N341" s="79"/>
      <c r="O341" s="79"/>
      <c r="P341" s="79"/>
      <c r="Q341" s="79"/>
    </row>
    <row r="349" customFormat="false" ht="14.25" hidden="false" customHeight="false" outlineLevel="0" collapsed="false">
      <c r="G349" s="51"/>
      <c r="H349" s="52"/>
    </row>
  </sheetData>
  <autoFilter ref="A10:S334">
    <filterColumn colId="18">
      <filters blank="1">
        <filter val="удаляем"/>
      </filters>
    </filterColumn>
  </autoFilter>
  <mergeCells count="25">
    <mergeCell ref="P1:S1"/>
    <mergeCell ref="P2:S2"/>
    <mergeCell ref="A3:P3"/>
    <mergeCell ref="A5:Q5"/>
    <mergeCell ref="A7:A9"/>
    <mergeCell ref="B7:B9"/>
    <mergeCell ref="C7:C9"/>
    <mergeCell ref="D7:D9"/>
    <mergeCell ref="E7:E9"/>
    <mergeCell ref="F7:F9"/>
    <mergeCell ref="G7:I8"/>
    <mergeCell ref="J7:L8"/>
    <mergeCell ref="M7:O8"/>
    <mergeCell ref="P7:P9"/>
    <mergeCell ref="Q7:Q9"/>
    <mergeCell ref="R7:R9"/>
    <mergeCell ref="S7:S9"/>
    <mergeCell ref="U7:W8"/>
    <mergeCell ref="A11:S11"/>
    <mergeCell ref="E32:E33"/>
    <mergeCell ref="B332:S332"/>
    <mergeCell ref="A334:O334"/>
    <mergeCell ref="B335:I335"/>
    <mergeCell ref="B339:Q339"/>
    <mergeCell ref="B341:Q341"/>
  </mergeCells>
  <conditionalFormatting sqref="Q333">
    <cfRule type="cellIs" priority="2" operator="greaterThan" aboveAverage="0" equalAverage="0" bottom="0" percent="0" rank="0" text="" dxfId="13">
      <formula>0</formula>
    </cfRule>
  </conditionalFormatting>
  <conditionalFormatting sqref="U11:W333">
    <cfRule type="expression" priority="3" aboveAverage="0" equalAverage="0" bottom="0" percent="0" rank="0" text="" dxfId="14">
      <formula>AND(U11&lt;-20,U11&lt;0)</formula>
    </cfRule>
    <cfRule type="expression" priority="4" aboveAverage="0" equalAverage="0" bottom="0" percent="0" rank="0" text="" dxfId="15">
      <formula>AND(U11&gt;20,U11&gt;0)</formula>
    </cfRule>
  </conditionalFormatting>
  <conditionalFormatting sqref="Q12:Q331">
    <cfRule type="cellIs" priority="5" operator="greaterThan" aboveAverage="0" equalAverage="0" bottom="0" percent="0" rank="0" text="" dxfId="16">
      <formula>0</formula>
    </cfRule>
  </conditionalFormatting>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I349"/>
  <sheetViews>
    <sheetView showFormulas="false" showGridLines="true" showRowColHeaders="true" showZeros="true" rightToLeft="false" tabSelected="false" showOutlineSymbols="true" defaultGridColor="true" view="normal" topLeftCell="A7" colorId="64" zoomScale="60" zoomScaleNormal="60" zoomScalePageLayoutView="100" workbookViewId="0">
      <pane xSplit="0" ySplit="4" topLeftCell="A31" activePane="bottomLeft" state="frozen"/>
      <selection pane="topLeft" activeCell="A7" activeCellId="0" sqref="A7"/>
      <selection pane="bottomLeft" activeCell="E38" activeCellId="1" sqref="A1:D1048576 E38"/>
    </sheetView>
  </sheetViews>
  <sheetFormatPr defaultColWidth="9.1484375" defaultRowHeight="14.25" zeroHeight="false" outlineLevelRow="0" outlineLevelCol="1"/>
  <cols>
    <col collapsed="false" customWidth="true" hidden="false" outlineLevel="0" max="1" min="1" style="1" width="6.71"/>
    <col collapsed="false" customWidth="true" hidden="false" outlineLevel="0" max="2" min="2" style="2" width="39.71"/>
    <col collapsed="false" customWidth="true" hidden="false" outlineLevel="0" max="3" min="3" style="2" width="14.29"/>
    <col collapsed="false" customWidth="true" hidden="false" outlineLevel="0" max="4" min="4" style="2" width="15.14"/>
    <col collapsed="false" customWidth="true" hidden="false" outlineLevel="0" max="5" min="5" style="1" width="16"/>
    <col collapsed="false" customWidth="true" hidden="false" outlineLevel="0" max="6" min="6" style="1" width="21"/>
    <col collapsed="false" customWidth="true" hidden="false" outlineLevel="0" max="7" min="7" style="4" width="17.57"/>
    <col collapsed="false" customWidth="true" hidden="false" outlineLevel="0" max="8" min="8" style="1" width="17.42"/>
    <col collapsed="false" customWidth="true" hidden="false" outlineLevel="0" max="9" min="9" style="1" width="19.86"/>
    <col collapsed="false" customWidth="true" hidden="false" outlineLevel="0" max="10" min="10" style="4" width="16.29"/>
    <col collapsed="false" customWidth="true" hidden="false" outlineLevel="0" max="11" min="11" style="1" width="17.86"/>
    <col collapsed="false" customWidth="true" hidden="false" outlineLevel="0" max="12" min="12" style="1" width="20.14"/>
    <col collapsed="false" customWidth="true" hidden="false" outlineLevel="0" max="13" min="13" style="4" width="17.29"/>
    <col collapsed="false" customWidth="true" hidden="false" outlineLevel="0" max="14" min="14" style="1" width="19.71"/>
    <col collapsed="false" customWidth="true" hidden="false" outlineLevel="0" max="15" min="15" style="1" width="23.42"/>
    <col collapsed="false" customWidth="true" hidden="false" outlineLevel="0" max="16" min="16" style="1" width="21.43"/>
    <col collapsed="false" customWidth="true" hidden="false" outlineLevel="0" max="17" min="17" style="1" width="21.84"/>
    <col collapsed="false" customWidth="true" hidden="false" outlineLevel="0" max="18" min="18" style="1" width="26"/>
    <col collapsed="false" customWidth="false" hidden="false" outlineLevel="0" max="19" min="19" style="1" width="9.14"/>
    <col collapsed="false" customWidth="true" hidden="false" outlineLevel="1" max="22" min="20" style="1" width="13"/>
    <col collapsed="false" customWidth="false" hidden="false" outlineLevel="0" max="16384" min="23" style="1" width="9.14"/>
  </cols>
  <sheetData>
    <row r="1" customFormat="false" ht="14.25" hidden="false" customHeight="false" outlineLevel="0" collapsed="false">
      <c r="O1" s="5" t="s">
        <v>0</v>
      </c>
      <c r="P1" s="5"/>
      <c r="Q1" s="5"/>
      <c r="R1" s="5"/>
    </row>
    <row r="2" customFormat="false" ht="32.25" hidden="false" customHeight="true" outlineLevel="0" collapsed="false">
      <c r="O2" s="6" t="s">
        <v>1</v>
      </c>
      <c r="P2" s="6"/>
      <c r="Q2" s="6"/>
      <c r="R2" s="6"/>
    </row>
    <row r="3" customFormat="false" ht="25.5" hidden="false" customHeight="true" outlineLevel="0" collapsed="false">
      <c r="A3" s="7" t="s">
        <v>2</v>
      </c>
      <c r="B3" s="7"/>
      <c r="C3" s="7"/>
      <c r="D3" s="7"/>
      <c r="E3" s="7"/>
      <c r="F3" s="7"/>
      <c r="G3" s="7"/>
      <c r="H3" s="7"/>
      <c r="I3" s="7"/>
      <c r="J3" s="7"/>
      <c r="K3" s="7"/>
      <c r="L3" s="7"/>
      <c r="M3" s="7"/>
      <c r="N3" s="7"/>
      <c r="O3" s="7"/>
      <c r="P3" s="8"/>
      <c r="Q3" s="8"/>
    </row>
    <row r="4" customFormat="false" ht="17.25" hidden="false" customHeight="true" outlineLevel="0" collapsed="false">
      <c r="A4" s="9"/>
      <c r="B4" s="10"/>
      <c r="C4" s="10"/>
      <c r="D4" s="10"/>
      <c r="E4" s="9"/>
      <c r="F4" s="9"/>
      <c r="G4" s="12"/>
      <c r="H4" s="9"/>
      <c r="I4" s="9"/>
      <c r="J4" s="12"/>
      <c r="K4" s="9"/>
      <c r="L4" s="9"/>
      <c r="M4" s="12"/>
      <c r="N4" s="9"/>
    </row>
    <row r="5" s="14" customFormat="true" ht="28.5" hidden="false" customHeight="true" outlineLevel="0" collapsed="false">
      <c r="A5" s="13" t="s">
        <v>3</v>
      </c>
      <c r="B5" s="13"/>
      <c r="C5" s="13"/>
      <c r="D5" s="13"/>
      <c r="E5" s="13"/>
      <c r="F5" s="13"/>
      <c r="G5" s="13"/>
      <c r="H5" s="13"/>
      <c r="I5" s="13"/>
      <c r="J5" s="13"/>
      <c r="K5" s="13"/>
      <c r="L5" s="13"/>
      <c r="M5" s="13"/>
      <c r="N5" s="13"/>
      <c r="O5" s="13"/>
      <c r="P5" s="13"/>
    </row>
    <row r="6" s="14" customFormat="true" ht="14.25" hidden="false" customHeight="false" outlineLevel="0" collapsed="false">
      <c r="B6" s="15"/>
      <c r="C6" s="15"/>
      <c r="D6" s="15"/>
      <c r="G6" s="17"/>
      <c r="J6" s="17"/>
      <c r="M6" s="17"/>
    </row>
    <row r="7" s="14" customFormat="true" ht="27" hidden="false" customHeight="true" outlineLevel="0" collapsed="false">
      <c r="A7" s="18" t="s">
        <v>4</v>
      </c>
      <c r="B7" s="19" t="s">
        <v>5</v>
      </c>
      <c r="C7" s="20" t="s">
        <v>6</v>
      </c>
      <c r="D7" s="20" t="s">
        <v>7</v>
      </c>
      <c r="E7" s="22" t="s">
        <v>9</v>
      </c>
      <c r="F7" s="23" t="s">
        <v>10</v>
      </c>
      <c r="G7" s="23"/>
      <c r="H7" s="23"/>
      <c r="I7" s="23" t="s">
        <v>11</v>
      </c>
      <c r="J7" s="23"/>
      <c r="K7" s="23"/>
      <c r="L7" s="24" t="s">
        <v>12</v>
      </c>
      <c r="M7" s="24"/>
      <c r="N7" s="24"/>
      <c r="O7" s="25" t="s">
        <v>13</v>
      </c>
      <c r="P7" s="26" t="s">
        <v>14</v>
      </c>
      <c r="Q7" s="25" t="s">
        <v>15</v>
      </c>
      <c r="R7" s="20" t="s">
        <v>16</v>
      </c>
      <c r="T7" s="27" t="s">
        <v>17</v>
      </c>
      <c r="U7" s="27"/>
      <c r="V7" s="27"/>
    </row>
    <row r="8" s="14" customFormat="true" ht="30.75" hidden="false" customHeight="true" outlineLevel="0" collapsed="false">
      <c r="A8" s="18"/>
      <c r="B8" s="18"/>
      <c r="C8" s="18"/>
      <c r="D8" s="18"/>
      <c r="E8" s="22"/>
      <c r="F8" s="23"/>
      <c r="G8" s="23"/>
      <c r="H8" s="23"/>
      <c r="I8" s="23"/>
      <c r="J8" s="23"/>
      <c r="K8" s="23"/>
      <c r="L8" s="24"/>
      <c r="M8" s="24"/>
      <c r="N8" s="24"/>
      <c r="O8" s="25"/>
      <c r="P8" s="26"/>
      <c r="Q8" s="25"/>
      <c r="R8" s="20"/>
      <c r="T8" s="27"/>
      <c r="U8" s="27"/>
      <c r="V8" s="27"/>
    </row>
    <row r="9" s="32" customFormat="true" ht="132.75" hidden="false" customHeight="true" outlineLevel="0" collapsed="false">
      <c r="A9" s="18"/>
      <c r="B9" s="18"/>
      <c r="C9" s="20"/>
      <c r="D9" s="20"/>
      <c r="E9" s="22"/>
      <c r="F9" s="28" t="s">
        <v>18</v>
      </c>
      <c r="G9" s="29" t="s">
        <v>19</v>
      </c>
      <c r="H9" s="30" t="s">
        <v>20</v>
      </c>
      <c r="I9" s="28" t="s">
        <v>18</v>
      </c>
      <c r="J9" s="29" t="s">
        <v>19</v>
      </c>
      <c r="K9" s="30" t="s">
        <v>20</v>
      </c>
      <c r="L9" s="28" t="s">
        <v>18</v>
      </c>
      <c r="M9" s="29" t="s">
        <v>21</v>
      </c>
      <c r="N9" s="30" t="s">
        <v>22</v>
      </c>
      <c r="O9" s="25"/>
      <c r="P9" s="26"/>
      <c r="Q9" s="25"/>
      <c r="R9" s="20"/>
      <c r="S9" s="14"/>
      <c r="T9" s="31" t="s">
        <v>10</v>
      </c>
      <c r="U9" s="31" t="s">
        <v>11</v>
      </c>
      <c r="V9" s="31" t="s">
        <v>12</v>
      </c>
      <c r="W9" s="14"/>
      <c r="X9" s="14"/>
      <c r="Y9" s="14"/>
      <c r="Z9" s="14"/>
      <c r="AA9" s="14"/>
      <c r="AB9" s="14"/>
      <c r="AC9" s="14"/>
      <c r="AD9" s="14"/>
      <c r="AE9" s="14"/>
      <c r="AF9" s="14"/>
      <c r="AG9" s="14"/>
      <c r="AH9" s="14"/>
      <c r="AI9" s="14"/>
    </row>
    <row r="10" s="40" customFormat="true" ht="14.25" hidden="false" customHeight="true" outlineLevel="0" collapsed="false">
      <c r="A10" s="33" t="n">
        <v>1</v>
      </c>
      <c r="B10" s="34" t="n">
        <v>2</v>
      </c>
      <c r="C10" s="35" t="n">
        <v>3</v>
      </c>
      <c r="D10" s="35" t="n">
        <v>4</v>
      </c>
      <c r="E10" s="35"/>
      <c r="F10" s="37" t="n">
        <v>5</v>
      </c>
      <c r="G10" s="38" t="n">
        <v>6</v>
      </c>
      <c r="H10" s="34" t="n">
        <v>7</v>
      </c>
      <c r="I10" s="37" t="n">
        <v>8</v>
      </c>
      <c r="J10" s="39" t="n">
        <v>9</v>
      </c>
      <c r="K10" s="34" t="n">
        <v>10</v>
      </c>
      <c r="L10" s="37" t="n">
        <v>11</v>
      </c>
      <c r="M10" s="39" t="n">
        <v>12</v>
      </c>
      <c r="N10" s="34" t="n">
        <v>12</v>
      </c>
      <c r="O10" s="37" t="n">
        <v>15</v>
      </c>
      <c r="P10" s="37" t="n">
        <v>16</v>
      </c>
      <c r="Q10" s="37" t="n">
        <v>17</v>
      </c>
      <c r="R10" s="37" t="n">
        <v>18</v>
      </c>
      <c r="T10" s="41"/>
      <c r="U10" s="41"/>
      <c r="V10" s="41"/>
    </row>
    <row r="11" s="43" customFormat="true" ht="35.25" hidden="false" customHeight="true" outlineLevel="0" collapsed="false">
      <c r="A11" s="42" t="s">
        <v>23</v>
      </c>
      <c r="B11" s="42"/>
      <c r="C11" s="42"/>
      <c r="D11" s="42"/>
      <c r="E11" s="42"/>
      <c r="F11" s="42"/>
      <c r="G11" s="42"/>
      <c r="H11" s="42"/>
      <c r="I11" s="42"/>
      <c r="J11" s="42"/>
      <c r="K11" s="42"/>
      <c r="L11" s="42"/>
      <c r="M11" s="42"/>
      <c r="N11" s="42"/>
      <c r="O11" s="42"/>
      <c r="P11" s="42"/>
      <c r="Q11" s="42"/>
      <c r="R11" s="42"/>
      <c r="T11" s="44"/>
      <c r="U11" s="44"/>
      <c r="V11" s="44"/>
    </row>
    <row r="12" s="43" customFormat="true" ht="73.5" hidden="false" customHeight="true" outlineLevel="0" collapsed="false">
      <c r="A12" s="45" t="n">
        <v>1</v>
      </c>
      <c r="B12" s="46" t="s">
        <v>24</v>
      </c>
      <c r="C12" s="47" t="s">
        <v>25</v>
      </c>
      <c r="D12" s="48" t="n">
        <v>12</v>
      </c>
      <c r="E12" s="50" t="n">
        <v>211.5</v>
      </c>
      <c r="F12" s="47" t="s">
        <v>27</v>
      </c>
      <c r="G12" s="52" t="n">
        <f aca="false">241.6/1.2</f>
        <v>201.333333333333</v>
      </c>
      <c r="H12" s="53" t="n">
        <f aca="false">D12*G12</f>
        <v>2416</v>
      </c>
      <c r="I12" s="53" t="s">
        <v>28</v>
      </c>
      <c r="J12" s="52" t="n">
        <f aca="false">264.54/1.2</f>
        <v>220.45</v>
      </c>
      <c r="K12" s="53" t="n">
        <f aca="false">D12*J12</f>
        <v>2645.4</v>
      </c>
      <c r="L12" s="47" t="s">
        <v>29</v>
      </c>
      <c r="M12" s="52" t="n">
        <v>214.67</v>
      </c>
      <c r="N12" s="53" t="n">
        <f aca="false">D12*M12</f>
        <v>2576.04</v>
      </c>
      <c r="O12" s="54" t="n">
        <f aca="false">AVERAGE(G12,J12,M12)</f>
        <v>212.151111111111</v>
      </c>
      <c r="P12" s="55" t="n">
        <f aca="false">E12*100/O12-100</f>
        <v>-0.306909121380997</v>
      </c>
      <c r="Q12" s="54" t="n">
        <f aca="false">D12*E12</f>
        <v>2538</v>
      </c>
      <c r="R12" s="56"/>
      <c r="T12" s="57" t="n">
        <f aca="false">ROUND(G12*100/O12-100,0)</f>
        <v>-5</v>
      </c>
      <c r="U12" s="57" t="n">
        <f aca="false">ROUND(J12*100/O12-100,0)</f>
        <v>4</v>
      </c>
      <c r="V12" s="57" t="n">
        <f aca="false">ROUND(M12*100/O12-100,0)</f>
        <v>1</v>
      </c>
    </row>
    <row r="13" s="43" customFormat="true" ht="73.5" hidden="false" customHeight="true" outlineLevel="0" collapsed="false">
      <c r="A13" s="45" t="n">
        <v>2</v>
      </c>
      <c r="B13" s="46" t="s">
        <v>30</v>
      </c>
      <c r="C13" s="47" t="s">
        <v>25</v>
      </c>
      <c r="D13" s="48" t="n">
        <v>1</v>
      </c>
      <c r="E13" s="50" t="n">
        <v>77750.45</v>
      </c>
      <c r="F13" s="47" t="s">
        <v>31</v>
      </c>
      <c r="G13" s="52" t="n">
        <f aca="false">89307.79/1.2</f>
        <v>74423.1583333333</v>
      </c>
      <c r="H13" s="53" t="n">
        <f aca="false">D13*G13</f>
        <v>74423.1583333333</v>
      </c>
      <c r="I13" s="47" t="s">
        <v>32</v>
      </c>
      <c r="J13" s="52" t="n">
        <f aca="false">107832.34/1.2</f>
        <v>89860.2833333333</v>
      </c>
      <c r="K13" s="53" t="n">
        <f aca="false">D13*J13</f>
        <v>89860.2833333333</v>
      </c>
      <c r="L13" s="47" t="s">
        <v>33</v>
      </c>
      <c r="M13" s="52" t="n">
        <f aca="false">82801.69/1.2</f>
        <v>69001.4083333333</v>
      </c>
      <c r="N13" s="53" t="n">
        <f aca="false">D13*M13</f>
        <v>69001.4083333333</v>
      </c>
      <c r="O13" s="54" t="n">
        <f aca="false">AVERAGE(G13,J13,M13)</f>
        <v>77761.6166666667</v>
      </c>
      <c r="P13" s="55" t="n">
        <f aca="false">E13*100/O13-100</f>
        <v>-0.0143601266863271</v>
      </c>
      <c r="Q13" s="54" t="n">
        <f aca="false">D13*E13</f>
        <v>77750.45</v>
      </c>
      <c r="R13" s="56"/>
      <c r="T13" s="57" t="n">
        <f aca="false">ROUND(G13*100/O13-100,0)</f>
        <v>-4</v>
      </c>
      <c r="U13" s="57" t="n">
        <f aca="false">ROUND(J13*100/O13-100,0)</f>
        <v>16</v>
      </c>
      <c r="V13" s="57" t="n">
        <f aca="false">ROUND(M13*100/O13-100,0)</f>
        <v>-11</v>
      </c>
    </row>
    <row r="14" s="43" customFormat="true" ht="73.5" hidden="false" customHeight="true" outlineLevel="0" collapsed="false">
      <c r="A14" s="45" t="n">
        <v>3</v>
      </c>
      <c r="B14" s="46" t="s">
        <v>34</v>
      </c>
      <c r="C14" s="47" t="s">
        <v>25</v>
      </c>
      <c r="D14" s="48" t="n">
        <v>1</v>
      </c>
      <c r="E14" s="50" t="n">
        <v>84551</v>
      </c>
      <c r="F14" s="47" t="s">
        <v>31</v>
      </c>
      <c r="G14" s="52" t="n">
        <f aca="false">99534.53/1.2</f>
        <v>82945.4416666667</v>
      </c>
      <c r="H14" s="53" t="n">
        <f aca="false">D14*G14</f>
        <v>82945.4416666667</v>
      </c>
      <c r="I14" s="47" t="s">
        <v>32</v>
      </c>
      <c r="J14" s="52" t="n">
        <f aca="false">115890.88/1.2</f>
        <v>96575.7333333333</v>
      </c>
      <c r="K14" s="53" t="n">
        <f aca="false">D14*J14</f>
        <v>96575.7333333333</v>
      </c>
      <c r="L14" s="47" t="s">
        <v>33</v>
      </c>
      <c r="M14" s="52" t="n">
        <f aca="false">88990.14/1.2</f>
        <v>74158.45</v>
      </c>
      <c r="N14" s="53" t="n">
        <f aca="false">D14*M14</f>
        <v>74158.45</v>
      </c>
      <c r="O14" s="54" t="n">
        <f aca="false">AVERAGE(G14,J14,M14)</f>
        <v>84559.875</v>
      </c>
      <c r="P14" s="55" t="n">
        <f aca="false">E14*100/O14-100</f>
        <v>-0.0104955216643816</v>
      </c>
      <c r="Q14" s="54" t="n">
        <f aca="false">D14*E14</f>
        <v>84551</v>
      </c>
      <c r="R14" s="56"/>
      <c r="T14" s="57" t="n">
        <f aca="false">ROUND(G14*100/O14-100,0)</f>
        <v>-2</v>
      </c>
      <c r="U14" s="57" t="n">
        <f aca="false">ROUND(J14*100/O14-100,0)</f>
        <v>14</v>
      </c>
      <c r="V14" s="57" t="n">
        <f aca="false">ROUND(M14*100/O14-100,0)</f>
        <v>-12</v>
      </c>
    </row>
    <row r="15" s="43" customFormat="true" ht="73.5" hidden="false" customHeight="true" outlineLevel="0" collapsed="false">
      <c r="A15" s="45" t="n">
        <v>4</v>
      </c>
      <c r="B15" s="46" t="s">
        <v>35</v>
      </c>
      <c r="C15" s="47" t="s">
        <v>25</v>
      </c>
      <c r="D15" s="48" t="n">
        <v>1</v>
      </c>
      <c r="E15" s="50" t="n">
        <v>155.25</v>
      </c>
      <c r="F15" s="47" t="s">
        <v>27</v>
      </c>
      <c r="G15" s="52" t="n">
        <f aca="false">177.86/1.2</f>
        <v>148.216666666667</v>
      </c>
      <c r="H15" s="53" t="n">
        <f aca="false">D15*G15</f>
        <v>148.216666666667</v>
      </c>
      <c r="I15" s="53" t="s">
        <v>28</v>
      </c>
      <c r="J15" s="52" t="n">
        <v>165.48</v>
      </c>
      <c r="K15" s="53" t="n">
        <f aca="false">D15*J15</f>
        <v>165.48</v>
      </c>
      <c r="L15" s="47" t="s">
        <v>29</v>
      </c>
      <c r="M15" s="52" t="n">
        <v>159.71</v>
      </c>
      <c r="N15" s="53" t="n">
        <f aca="false">D15*M15</f>
        <v>159.71</v>
      </c>
      <c r="O15" s="54" t="n">
        <f aca="false">AVERAGE(G15,J15,M15)</f>
        <v>157.802222222222</v>
      </c>
      <c r="P15" s="55" t="n">
        <f aca="false">E15*100/O15-100</f>
        <v>-1.61735505766714</v>
      </c>
      <c r="Q15" s="54" t="n">
        <f aca="false">D15*E15</f>
        <v>155.25</v>
      </c>
      <c r="R15" s="56"/>
      <c r="T15" s="57" t="n">
        <f aca="false">ROUND(G15*100/O15-100,0)</f>
        <v>-6</v>
      </c>
      <c r="U15" s="57" t="n">
        <f aca="false">ROUND(J15*100/O15-100,0)</f>
        <v>5</v>
      </c>
      <c r="V15" s="57" t="n">
        <f aca="false">ROUND(M15*100/O15-100,0)</f>
        <v>1</v>
      </c>
    </row>
    <row r="16" s="43" customFormat="true" ht="73.5" hidden="false" customHeight="true" outlineLevel="0" collapsed="false">
      <c r="A16" s="45" t="n">
        <v>5</v>
      </c>
      <c r="B16" s="46" t="s">
        <v>36</v>
      </c>
      <c r="C16" s="47" t="s">
        <v>25</v>
      </c>
      <c r="D16" s="48" t="n">
        <v>2</v>
      </c>
      <c r="E16" s="50" t="n">
        <v>1088.65</v>
      </c>
      <c r="F16" s="47" t="s">
        <v>27</v>
      </c>
      <c r="G16" s="52" t="n">
        <f aca="false">1302.94/1.2</f>
        <v>1085.78333333333</v>
      </c>
      <c r="H16" s="53" t="n">
        <f aca="false">D16*G16</f>
        <v>2171.56666666667</v>
      </c>
      <c r="I16" s="53" t="s">
        <v>28</v>
      </c>
      <c r="J16" s="52" t="n">
        <v>1070.69</v>
      </c>
      <c r="K16" s="53" t="n">
        <f aca="false">D16*J16</f>
        <v>2141.38</v>
      </c>
      <c r="L16" s="47" t="s">
        <v>29</v>
      </c>
      <c r="M16" s="52" t="n">
        <v>1115.47</v>
      </c>
      <c r="N16" s="53" t="n">
        <f aca="false">D16*M16</f>
        <v>2230.94</v>
      </c>
      <c r="O16" s="54" t="n">
        <f aca="false">AVERAGE(G16,J16,M16)</f>
        <v>1090.64777777778</v>
      </c>
      <c r="P16" s="55" t="n">
        <f aca="false">E16*100/O16-100</f>
        <v>-0.183173506468634</v>
      </c>
      <c r="Q16" s="54" t="n">
        <f aca="false">D16*E16</f>
        <v>2177.3</v>
      </c>
      <c r="R16" s="56"/>
      <c r="T16" s="57" t="n">
        <f aca="false">ROUND(G16*100/O16-100,0)</f>
        <v>-0</v>
      </c>
      <c r="U16" s="57" t="n">
        <f aca="false">ROUND(J16*100/O16-100,0)</f>
        <v>-2</v>
      </c>
      <c r="V16" s="57" t="n">
        <f aca="false">ROUND(M16*100/O16-100,0)</f>
        <v>2</v>
      </c>
    </row>
    <row r="17" s="43" customFormat="true" ht="73.5" hidden="false" customHeight="true" outlineLevel="0" collapsed="false">
      <c r="A17" s="45" t="n">
        <v>6</v>
      </c>
      <c r="B17" s="46" t="s">
        <v>37</v>
      </c>
      <c r="C17" s="47" t="s">
        <v>25</v>
      </c>
      <c r="D17" s="48" t="n">
        <v>12</v>
      </c>
      <c r="E17" s="50" t="n">
        <v>810.4</v>
      </c>
      <c r="F17" s="47" t="s">
        <v>27</v>
      </c>
      <c r="G17" s="52" t="n">
        <f aca="false">957.31/1.2</f>
        <v>797.758333333333</v>
      </c>
      <c r="H17" s="53" t="n">
        <f aca="false">D17*G17</f>
        <v>9573.1</v>
      </c>
      <c r="I17" s="53" t="s">
        <v>28</v>
      </c>
      <c r="J17" s="52" t="n">
        <v>850.7</v>
      </c>
      <c r="K17" s="53" t="n">
        <f aca="false">D17*J17</f>
        <v>10208.4</v>
      </c>
      <c r="L17" s="47" t="s">
        <v>29</v>
      </c>
      <c r="M17" s="52" t="n">
        <v>786.42</v>
      </c>
      <c r="N17" s="53" t="n">
        <f aca="false">D17*M17</f>
        <v>9437.04</v>
      </c>
      <c r="O17" s="54" t="n">
        <f aca="false">AVERAGE(G17,J17,M17)</f>
        <v>811.626111111111</v>
      </c>
      <c r="P17" s="55" t="n">
        <f aca="false">E17*100/O17-100</f>
        <v>-0.151068465433241</v>
      </c>
      <c r="Q17" s="54" t="n">
        <f aca="false">D17*E17</f>
        <v>9724.8</v>
      </c>
      <c r="R17" s="56"/>
      <c r="T17" s="57" t="n">
        <f aca="false">ROUND(G17*100/O17-100,0)</f>
        <v>-2</v>
      </c>
      <c r="U17" s="57" t="n">
        <f aca="false">ROUND(J17*100/O17-100,0)</f>
        <v>5</v>
      </c>
      <c r="V17" s="57" t="n">
        <f aca="false">ROUND(M17*100/O17-100,0)</f>
        <v>-3</v>
      </c>
    </row>
    <row r="18" s="43" customFormat="true" ht="73.5" hidden="false" customHeight="true" outlineLevel="0" collapsed="false">
      <c r="A18" s="45" t="n">
        <v>7</v>
      </c>
      <c r="B18" s="46" t="s">
        <v>38</v>
      </c>
      <c r="C18" s="47" t="s">
        <v>25</v>
      </c>
      <c r="D18" s="48" t="n">
        <v>4</v>
      </c>
      <c r="E18" s="50" t="n">
        <v>4105.6</v>
      </c>
      <c r="F18" s="47" t="s">
        <v>39</v>
      </c>
      <c r="G18" s="52" t="n">
        <v>3911.74</v>
      </c>
      <c r="H18" s="53" t="n">
        <f aca="false">D18*G18</f>
        <v>15646.96</v>
      </c>
      <c r="I18" s="47" t="s">
        <v>40</v>
      </c>
      <c r="J18" s="52" t="n">
        <f aca="false">5150/1.2</f>
        <v>4291.66666666667</v>
      </c>
      <c r="K18" s="53" t="n">
        <f aca="false">D18*J18</f>
        <v>17166.6666666667</v>
      </c>
      <c r="L18" s="53" t="s">
        <v>41</v>
      </c>
      <c r="M18" s="52" t="n">
        <f aca="false">4944.77/1.2</f>
        <v>4120.64166666667</v>
      </c>
      <c r="N18" s="53" t="n">
        <f aca="false">D18*M18</f>
        <v>16482.5666666667</v>
      </c>
      <c r="O18" s="54" t="n">
        <f aca="false">AVERAGE(G18,J18,M18)</f>
        <v>4108.01611111111</v>
      </c>
      <c r="P18" s="55" t="n">
        <f aca="false">E18*100/O18-100</f>
        <v>-0.0588145480874687</v>
      </c>
      <c r="Q18" s="54" t="n">
        <f aca="false">D18*E18</f>
        <v>16422.4</v>
      </c>
      <c r="R18" s="56"/>
      <c r="T18" s="57" t="n">
        <f aca="false">ROUND(G18*100/O18-100,0)</f>
        <v>-5</v>
      </c>
      <c r="U18" s="57" t="n">
        <f aca="false">ROUND(J18*100/O18-100,0)</f>
        <v>4</v>
      </c>
      <c r="V18" s="57" t="n">
        <f aca="false">ROUND(M18*100/O18-100,0)</f>
        <v>0</v>
      </c>
    </row>
    <row r="19" s="43" customFormat="true" ht="73.5" hidden="false" customHeight="true" outlineLevel="0" collapsed="false">
      <c r="A19" s="45" t="n">
        <v>8</v>
      </c>
      <c r="B19" s="46" t="s">
        <v>42</v>
      </c>
      <c r="C19" s="47" t="s">
        <v>25</v>
      </c>
      <c r="D19" s="48" t="s">
        <v>43</v>
      </c>
      <c r="E19" s="50" t="n">
        <v>5173.66</v>
      </c>
      <c r="F19" s="47" t="s">
        <v>27</v>
      </c>
      <c r="G19" s="52" t="n">
        <f aca="false">6183.86/1.2</f>
        <v>5153.21666666667</v>
      </c>
      <c r="H19" s="53" t="n">
        <f aca="false">D19*G19</f>
        <v>288580.133333333</v>
      </c>
      <c r="I19" s="53" t="s">
        <v>28</v>
      </c>
      <c r="J19" s="52" t="n">
        <v>5129.75</v>
      </c>
      <c r="K19" s="53" t="n">
        <f aca="false">D19*J19</f>
        <v>287266</v>
      </c>
      <c r="L19" s="47" t="s">
        <v>29</v>
      </c>
      <c r="M19" s="52" t="n">
        <v>5251.46</v>
      </c>
      <c r="N19" s="53" t="n">
        <f aca="false">D19*M19</f>
        <v>294081.76</v>
      </c>
      <c r="O19" s="54" t="n">
        <f aca="false">AVERAGE(G19,J19,M19)</f>
        <v>5178.14222222222</v>
      </c>
      <c r="P19" s="55" t="n">
        <f aca="false">E19*100/O19-100</f>
        <v>-0.0865604309396133</v>
      </c>
      <c r="Q19" s="54" t="n">
        <f aca="false">D19*E19</f>
        <v>289724.96</v>
      </c>
      <c r="R19" s="56"/>
      <c r="T19" s="57" t="n">
        <f aca="false">ROUND(G19*100/O19-100,0)</f>
        <v>-0</v>
      </c>
      <c r="U19" s="57" t="n">
        <f aca="false">ROUND(J19*100/O19-100,0)</f>
        <v>-1</v>
      </c>
      <c r="V19" s="57" t="n">
        <f aca="false">ROUND(M19*100/O19-100,0)</f>
        <v>1</v>
      </c>
    </row>
    <row r="20" s="43" customFormat="true" ht="73.5" hidden="false" customHeight="true" outlineLevel="0" collapsed="false">
      <c r="A20" s="45" t="n">
        <v>9</v>
      </c>
      <c r="B20" s="46" t="s">
        <v>44</v>
      </c>
      <c r="C20" s="47" t="s">
        <v>45</v>
      </c>
      <c r="D20" s="48" t="n">
        <v>24.9</v>
      </c>
      <c r="E20" s="50" t="n">
        <v>2000</v>
      </c>
      <c r="F20" s="47" t="s">
        <v>39</v>
      </c>
      <c r="G20" s="52" t="n">
        <f aca="false">123.52*1000/65</f>
        <v>1900.30769230769</v>
      </c>
      <c r="H20" s="53" t="n">
        <f aca="false">D20*G20</f>
        <v>47317.6615384615</v>
      </c>
      <c r="I20" s="47" t="s">
        <v>46</v>
      </c>
      <c r="J20" s="52" t="n">
        <v>2005.78</v>
      </c>
      <c r="K20" s="53" t="n">
        <f aca="false">D20*J20</f>
        <v>49943.922</v>
      </c>
      <c r="L20" s="53" t="s">
        <v>41</v>
      </c>
      <c r="M20" s="52" t="n">
        <f aca="false">2520.94/1.2</f>
        <v>2100.78333333333</v>
      </c>
      <c r="N20" s="53" t="n">
        <f aca="false">D20*M20</f>
        <v>52309.505</v>
      </c>
      <c r="O20" s="54" t="n">
        <f aca="false">AVERAGE(G20,J20,M20)</f>
        <v>2002.29034188034</v>
      </c>
      <c r="P20" s="55" t="n">
        <f aca="false">E20*100/O20-100</f>
        <v>-0.114386102376699</v>
      </c>
      <c r="Q20" s="54" t="n">
        <f aca="false">D20*E20</f>
        <v>49800</v>
      </c>
      <c r="R20" s="56"/>
      <c r="T20" s="57" t="n">
        <f aca="false">ROUND(G20*100/O20-100,0)</f>
        <v>-5</v>
      </c>
      <c r="U20" s="57" t="n">
        <f aca="false">ROUND(J20*100/O20-100,0)</f>
        <v>0</v>
      </c>
      <c r="V20" s="57" t="n">
        <f aca="false">ROUND(M20*100/O20-100,0)</f>
        <v>5</v>
      </c>
    </row>
    <row r="21" s="43" customFormat="true" ht="73.5" hidden="false" customHeight="true" outlineLevel="0" collapsed="false">
      <c r="A21" s="45" t="n">
        <v>10</v>
      </c>
      <c r="B21" s="46" t="s">
        <v>47</v>
      </c>
      <c r="C21" s="47" t="s">
        <v>25</v>
      </c>
      <c r="D21" s="48" t="n">
        <v>1</v>
      </c>
      <c r="E21" s="50" t="n">
        <v>227.1</v>
      </c>
      <c r="F21" s="47" t="s">
        <v>27</v>
      </c>
      <c r="G21" s="52" t="n">
        <f aca="false">272.44/1.2</f>
        <v>227.033333333333</v>
      </c>
      <c r="H21" s="53" t="n">
        <f aca="false">D21*G21</f>
        <v>227.033333333333</v>
      </c>
      <c r="I21" s="53" t="s">
        <v>28</v>
      </c>
      <c r="J21" s="52" t="n">
        <v>219.78</v>
      </c>
      <c r="K21" s="53" t="n">
        <f aca="false">D21*J21</f>
        <v>219.78</v>
      </c>
      <c r="L21" s="47" t="s">
        <v>29</v>
      </c>
      <c r="M21" s="52" t="n">
        <v>235.12</v>
      </c>
      <c r="N21" s="53" t="n">
        <f aca="false">D21*M21</f>
        <v>235.12</v>
      </c>
      <c r="O21" s="54" t="n">
        <f aca="false">AVERAGE(G21,J21,M21)</f>
        <v>227.311111111111</v>
      </c>
      <c r="P21" s="55" t="n">
        <f aca="false">E21*100/O21-100</f>
        <v>-0.0928732036367279</v>
      </c>
      <c r="Q21" s="54" t="n">
        <f aca="false">D21*E21</f>
        <v>227.1</v>
      </c>
      <c r="R21" s="56"/>
      <c r="T21" s="57" t="n">
        <f aca="false">ROUND(G21*100/O21-100,0)</f>
        <v>-0</v>
      </c>
      <c r="U21" s="57" t="n">
        <f aca="false">ROUND(J21*100/O21-100,0)</f>
        <v>-3</v>
      </c>
      <c r="V21" s="57" t="n">
        <f aca="false">ROUND(M21*100/O21-100,0)</f>
        <v>3</v>
      </c>
    </row>
    <row r="22" s="43" customFormat="true" ht="73.5" hidden="false" customHeight="true" outlineLevel="0" collapsed="false">
      <c r="A22" s="45" t="n">
        <v>11</v>
      </c>
      <c r="B22" s="46" t="s">
        <v>48</v>
      </c>
      <c r="C22" s="47" t="s">
        <v>25</v>
      </c>
      <c r="D22" s="48" t="n">
        <v>1</v>
      </c>
      <c r="E22" s="50" t="n">
        <v>261.5</v>
      </c>
      <c r="F22" s="47" t="s">
        <v>27</v>
      </c>
      <c r="G22" s="52" t="n">
        <f aca="false">311.2/1.2</f>
        <v>259.333333333333</v>
      </c>
      <c r="H22" s="53" t="n">
        <f aca="false">D22*G22</f>
        <v>259.333333333333</v>
      </c>
      <c r="I22" s="53" t="s">
        <v>28</v>
      </c>
      <c r="J22" s="52" t="n">
        <v>255.13</v>
      </c>
      <c r="K22" s="53" t="n">
        <f aca="false">D22*J22</f>
        <v>255.13</v>
      </c>
      <c r="L22" s="47" t="s">
        <v>29</v>
      </c>
      <c r="M22" s="52" t="n">
        <v>272.4</v>
      </c>
      <c r="N22" s="53" t="n">
        <f aca="false">D22*M22</f>
        <v>272.4</v>
      </c>
      <c r="O22" s="54" t="n">
        <f aca="false">AVERAGE(G22,J22,M22)</f>
        <v>262.287777777778</v>
      </c>
      <c r="P22" s="55" t="n">
        <f aca="false">E22*100/O22-100</f>
        <v>-0.300348641653144</v>
      </c>
      <c r="Q22" s="54" t="n">
        <f aca="false">D22*E22</f>
        <v>261.5</v>
      </c>
      <c r="R22" s="56"/>
      <c r="T22" s="57" t="n">
        <f aca="false">ROUND(G22*100/O22-100,0)</f>
        <v>-1</v>
      </c>
      <c r="U22" s="57" t="n">
        <f aca="false">ROUND(J22*100/O22-100,0)</f>
        <v>-3</v>
      </c>
      <c r="V22" s="57" t="n">
        <f aca="false">ROUND(M22*100/O22-100,0)</f>
        <v>4</v>
      </c>
    </row>
    <row r="23" s="43" customFormat="true" ht="73.5" hidden="false" customHeight="true" outlineLevel="0" collapsed="false">
      <c r="A23" s="45" t="n">
        <v>12</v>
      </c>
      <c r="B23" s="46" t="s">
        <v>49</v>
      </c>
      <c r="C23" s="47" t="s">
        <v>25</v>
      </c>
      <c r="D23" s="48" t="n">
        <v>61</v>
      </c>
      <c r="E23" s="50" t="n">
        <v>501.3</v>
      </c>
      <c r="F23" s="47" t="s">
        <v>27</v>
      </c>
      <c r="G23" s="52" t="n">
        <f aca="false">588.83/1.2</f>
        <v>490.691666666667</v>
      </c>
      <c r="H23" s="53" t="n">
        <f aca="false">D23*G23</f>
        <v>29932.1916666667</v>
      </c>
      <c r="I23" s="53" t="s">
        <v>28</v>
      </c>
      <c r="J23" s="52" t="n">
        <v>536.87</v>
      </c>
      <c r="K23" s="53" t="n">
        <f aca="false">D23*J23</f>
        <v>32749.07</v>
      </c>
      <c r="L23" s="47" t="s">
        <v>29</v>
      </c>
      <c r="M23" s="52" t="n">
        <v>480.65</v>
      </c>
      <c r="N23" s="53" t="n">
        <f aca="false">D23*M23</f>
        <v>29319.65</v>
      </c>
      <c r="O23" s="54" t="n">
        <f aca="false">AVERAGE(G23,J23,M23)</f>
        <v>502.737222222222</v>
      </c>
      <c r="P23" s="55" t="n">
        <f aca="false">E23*100/O23-100</f>
        <v>-0.285879413477545</v>
      </c>
      <c r="Q23" s="54" t="n">
        <f aca="false">D23*E23</f>
        <v>30579.3</v>
      </c>
      <c r="R23" s="56"/>
      <c r="T23" s="57" t="n">
        <f aca="false">ROUND(G23*100/O23-100,0)</f>
        <v>-2</v>
      </c>
      <c r="U23" s="57" t="n">
        <f aca="false">ROUND(J23*100/O23-100,0)</f>
        <v>7</v>
      </c>
      <c r="V23" s="57" t="n">
        <f aca="false">ROUND(M23*100/O23-100,0)</f>
        <v>-4</v>
      </c>
    </row>
    <row r="24" s="43" customFormat="true" ht="73.5" hidden="false" customHeight="true" outlineLevel="0" collapsed="false">
      <c r="A24" s="45" t="n">
        <v>13</v>
      </c>
      <c r="B24" s="46" t="s">
        <v>50</v>
      </c>
      <c r="C24" s="47" t="s">
        <v>25</v>
      </c>
      <c r="D24" s="48" t="n">
        <v>107</v>
      </c>
      <c r="E24" s="50" t="n">
        <v>487.5</v>
      </c>
      <c r="F24" s="47" t="s">
        <v>27</v>
      </c>
      <c r="G24" s="52" t="n">
        <f aca="false">569.51/1.2</f>
        <v>474.591666666667</v>
      </c>
      <c r="H24" s="53" t="n">
        <f aca="false">D24*G24</f>
        <v>50781.3083333333</v>
      </c>
      <c r="I24" s="53" t="s">
        <v>28</v>
      </c>
      <c r="J24" s="52" t="n">
        <f aca="false">640.09/1.2</f>
        <v>533.408333333333</v>
      </c>
      <c r="K24" s="53" t="n">
        <f aca="false">D24*J24</f>
        <v>57074.6916666667</v>
      </c>
      <c r="L24" s="47" t="s">
        <v>29</v>
      </c>
      <c r="M24" s="52" t="n">
        <v>460.72</v>
      </c>
      <c r="N24" s="53" t="n">
        <f aca="false">D24*M24</f>
        <v>49297.04</v>
      </c>
      <c r="O24" s="54" t="n">
        <f aca="false">AVERAGE(G24,J24,M24)</f>
        <v>489.573333333333</v>
      </c>
      <c r="P24" s="55" t="n">
        <f aca="false">E24*100/O24-100</f>
        <v>-0.423498011874301</v>
      </c>
      <c r="Q24" s="54" t="n">
        <f aca="false">D24*E24</f>
        <v>52162.5</v>
      </c>
      <c r="R24" s="56"/>
      <c r="T24" s="57" t="n">
        <f aca="false">ROUND(G24*100/O24-100,0)</f>
        <v>-3</v>
      </c>
      <c r="U24" s="57" t="n">
        <f aca="false">ROUND(J24*100/O24-100,0)</f>
        <v>9</v>
      </c>
      <c r="V24" s="57" t="n">
        <f aca="false">ROUND(M24*100/O24-100,0)</f>
        <v>-6</v>
      </c>
    </row>
    <row r="25" s="43" customFormat="true" ht="73.5" hidden="false" customHeight="true" outlineLevel="0" collapsed="false">
      <c r="A25" s="45" t="n">
        <v>14</v>
      </c>
      <c r="B25" s="46" t="s">
        <v>51</v>
      </c>
      <c r="C25" s="47" t="s">
        <v>25</v>
      </c>
      <c r="D25" s="48" t="n">
        <v>2</v>
      </c>
      <c r="E25" s="50" t="n">
        <v>1920.6</v>
      </c>
      <c r="F25" s="47" t="s">
        <v>27</v>
      </c>
      <c r="G25" s="52" t="n">
        <f aca="false">2205.97/1.2</f>
        <v>1838.30833333333</v>
      </c>
      <c r="H25" s="53" t="n">
        <f aca="false">D25*G25</f>
        <v>3676.61666666667</v>
      </c>
      <c r="I25" s="53" t="s">
        <v>28</v>
      </c>
      <c r="J25" s="52" t="n">
        <v>1945.34</v>
      </c>
      <c r="K25" s="53" t="n">
        <f aca="false">D25*J25</f>
        <v>3890.68</v>
      </c>
      <c r="L25" s="47" t="s">
        <v>29</v>
      </c>
      <c r="M25" s="52" t="n">
        <v>1990.71</v>
      </c>
      <c r="N25" s="53" t="n">
        <f aca="false">D25*M25</f>
        <v>3981.42</v>
      </c>
      <c r="O25" s="54" t="n">
        <f aca="false">AVERAGE(G25,J25,M25)</f>
        <v>1924.78611111111</v>
      </c>
      <c r="P25" s="55" t="n">
        <f aca="false">E25*100/O25-100</f>
        <v>-0.21748448240281</v>
      </c>
      <c r="Q25" s="54" t="n">
        <f aca="false">D25*E25</f>
        <v>3841.2</v>
      </c>
      <c r="R25" s="56"/>
      <c r="T25" s="57" t="n">
        <f aca="false">ROUND(G25*100/O25-100,0)</f>
        <v>-4</v>
      </c>
      <c r="U25" s="57" t="n">
        <f aca="false">ROUND(J25*100/O25-100,0)</f>
        <v>1</v>
      </c>
      <c r="V25" s="57" t="n">
        <f aca="false">ROUND(M25*100/O25-100,0)</f>
        <v>3</v>
      </c>
    </row>
    <row r="26" s="43" customFormat="true" ht="73.5" hidden="false" customHeight="true" outlineLevel="0" collapsed="false">
      <c r="A26" s="45" t="n">
        <v>15</v>
      </c>
      <c r="B26" s="46" t="s">
        <v>52</v>
      </c>
      <c r="C26" s="47" t="s">
        <v>53</v>
      </c>
      <c r="D26" s="48" t="n">
        <v>240</v>
      </c>
      <c r="E26" s="50" t="n">
        <v>331.49</v>
      </c>
      <c r="F26" s="47" t="s">
        <v>54</v>
      </c>
      <c r="G26" s="52" t="n">
        <v>323.02</v>
      </c>
      <c r="H26" s="53" t="n">
        <f aca="false">D26*G26</f>
        <v>77524.8</v>
      </c>
      <c r="I26" s="47" t="s">
        <v>46</v>
      </c>
      <c r="J26" s="52" t="n">
        <v>355.87</v>
      </c>
      <c r="K26" s="53" t="n">
        <f aca="false">D26*J26</f>
        <v>85408.8</v>
      </c>
      <c r="L26" s="53" t="s">
        <v>41</v>
      </c>
      <c r="M26" s="52" t="n">
        <v>317.56</v>
      </c>
      <c r="N26" s="53" t="n">
        <f aca="false">D26*M26</f>
        <v>76214.4</v>
      </c>
      <c r="O26" s="54" t="n">
        <f aca="false">AVERAGE(G26,J26,M26)</f>
        <v>332.15</v>
      </c>
      <c r="P26" s="55" t="n">
        <f aca="false">E26*100/O26-100</f>
        <v>-0.198705404184864</v>
      </c>
      <c r="Q26" s="54" t="n">
        <f aca="false">D26*E26</f>
        <v>79557.6</v>
      </c>
      <c r="R26" s="56"/>
      <c r="T26" s="57" t="n">
        <f aca="false">ROUND(G26*100/O26-100,0)</f>
        <v>-3</v>
      </c>
      <c r="U26" s="57" t="n">
        <f aca="false">ROUND(J26*100/O26-100,0)</f>
        <v>7</v>
      </c>
      <c r="V26" s="57" t="n">
        <f aca="false">ROUND(M26*100/O26-100,0)</f>
        <v>-4</v>
      </c>
    </row>
    <row r="27" s="43" customFormat="true" ht="73.5" hidden="false" customHeight="true" outlineLevel="0" collapsed="false">
      <c r="A27" s="45" t="n">
        <v>16</v>
      </c>
      <c r="B27" s="46" t="s">
        <v>55</v>
      </c>
      <c r="C27" s="47" t="s">
        <v>25</v>
      </c>
      <c r="D27" s="48" t="n">
        <v>2</v>
      </c>
      <c r="E27" s="50" t="n">
        <v>19052</v>
      </c>
      <c r="F27" s="47" t="s">
        <v>56</v>
      </c>
      <c r="G27" s="52" t="n">
        <v>19820.74</v>
      </c>
      <c r="H27" s="53" t="n">
        <f aca="false">D27*G27</f>
        <v>39641.48</v>
      </c>
      <c r="I27" s="47" t="s">
        <v>57</v>
      </c>
      <c r="J27" s="52" t="n">
        <v>19276.63</v>
      </c>
      <c r="K27" s="53" t="n">
        <f aca="false">D27*J27</f>
        <v>38553.26</v>
      </c>
      <c r="L27" s="47" t="s">
        <v>58</v>
      </c>
      <c r="M27" s="52" t="n">
        <v>18175.31</v>
      </c>
      <c r="N27" s="53" t="n">
        <f aca="false">D27*M27</f>
        <v>36350.62</v>
      </c>
      <c r="O27" s="54" t="n">
        <f aca="false">AVERAGE(G27,J27,M27)</f>
        <v>19090.8933333333</v>
      </c>
      <c r="P27" s="55" t="n">
        <f aca="false">E27*100/O27-100</f>
        <v>-0.203727152282752</v>
      </c>
      <c r="Q27" s="54" t="n">
        <f aca="false">D27*E27</f>
        <v>38104</v>
      </c>
      <c r="R27" s="56"/>
      <c r="T27" s="57" t="n">
        <f aca="false">ROUND(G27*100/O27-100,0)</f>
        <v>4</v>
      </c>
      <c r="U27" s="57" t="n">
        <f aca="false">ROUND(J27*100/O27-100,0)</f>
        <v>1</v>
      </c>
      <c r="V27" s="57" t="n">
        <f aca="false">ROUND(M27*100/O27-100,0)</f>
        <v>-5</v>
      </c>
    </row>
    <row r="28" s="43" customFormat="true" ht="73.5" hidden="false" customHeight="true" outlineLevel="0" collapsed="false">
      <c r="A28" s="45" t="n">
        <v>17</v>
      </c>
      <c r="B28" s="46" t="s">
        <v>59</v>
      </c>
      <c r="C28" s="47" t="s">
        <v>25</v>
      </c>
      <c r="D28" s="48" t="n">
        <v>84</v>
      </c>
      <c r="E28" s="50" t="n">
        <v>29.9</v>
      </c>
      <c r="F28" s="47" t="s">
        <v>39</v>
      </c>
      <c r="G28" s="52" t="n">
        <v>27.94</v>
      </c>
      <c r="H28" s="53" t="n">
        <f aca="false">D28*G28</f>
        <v>2346.96</v>
      </c>
      <c r="I28" s="47" t="s">
        <v>54</v>
      </c>
      <c r="J28" s="52" t="n">
        <v>29.88</v>
      </c>
      <c r="K28" s="53" t="n">
        <f aca="false">D28*J28</f>
        <v>2509.92</v>
      </c>
      <c r="L28" s="53" t="s">
        <v>41</v>
      </c>
      <c r="M28" s="52" t="n">
        <v>32.45</v>
      </c>
      <c r="N28" s="53" t="n">
        <f aca="false">D28*M28</f>
        <v>2725.8</v>
      </c>
      <c r="O28" s="54" t="n">
        <f aca="false">AVERAGE(G28,J28,M28)</f>
        <v>30.09</v>
      </c>
      <c r="P28" s="55" t="n">
        <f aca="false">E28*100/O28-100</f>
        <v>-0.631439016284489</v>
      </c>
      <c r="Q28" s="54" t="n">
        <f aca="false">D28*E28</f>
        <v>2511.6</v>
      </c>
      <c r="R28" s="56"/>
      <c r="T28" s="57" t="n">
        <f aca="false">ROUND(G28*100/O28-100,0)</f>
        <v>-7</v>
      </c>
      <c r="U28" s="57" t="n">
        <f aca="false">ROUND(J28*100/O28-100,0)</f>
        <v>-1</v>
      </c>
      <c r="V28" s="57" t="n">
        <f aca="false">ROUND(M28*100/O28-100,0)</f>
        <v>8</v>
      </c>
    </row>
    <row r="29" s="43" customFormat="true" ht="73.5" hidden="false" customHeight="true" outlineLevel="0" collapsed="false">
      <c r="A29" s="45" t="n">
        <v>18</v>
      </c>
      <c r="B29" s="46" t="s">
        <v>60</v>
      </c>
      <c r="C29" s="47" t="s">
        <v>25</v>
      </c>
      <c r="D29" s="48" t="n">
        <v>4</v>
      </c>
      <c r="E29" s="50" t="n">
        <v>477.5</v>
      </c>
      <c r="F29" s="47" t="s">
        <v>27</v>
      </c>
      <c r="G29" s="52" t="n">
        <f aca="false">557.23/1.2</f>
        <v>464.358333333333</v>
      </c>
      <c r="H29" s="53" t="n">
        <f aca="false">D29*G29</f>
        <v>1857.43333333333</v>
      </c>
      <c r="I29" s="53" t="s">
        <v>28</v>
      </c>
      <c r="J29" s="52" t="n">
        <v>515.64</v>
      </c>
      <c r="K29" s="53" t="n">
        <f aca="false">D29*J29</f>
        <v>2062.56</v>
      </c>
      <c r="L29" s="47" t="s">
        <v>29</v>
      </c>
      <c r="M29" s="52" t="n">
        <v>458.56</v>
      </c>
      <c r="N29" s="53" t="n">
        <f aca="false">D29*M29</f>
        <v>1834.24</v>
      </c>
      <c r="O29" s="54" t="n">
        <f aca="false">AVERAGE(G29,J29,M29)</f>
        <v>479.519444444444</v>
      </c>
      <c r="P29" s="55" t="n">
        <f aca="false">E29*100/O29-100</f>
        <v>-0.421139219241482</v>
      </c>
      <c r="Q29" s="54" t="n">
        <f aca="false">D29*E29</f>
        <v>1910</v>
      </c>
      <c r="R29" s="56"/>
      <c r="T29" s="57" t="n">
        <f aca="false">ROUND(G29*100/O29-100,0)</f>
        <v>-3</v>
      </c>
      <c r="U29" s="57" t="n">
        <f aca="false">ROUND(J29*100/O29-100,0)</f>
        <v>8</v>
      </c>
      <c r="V29" s="57" t="n">
        <f aca="false">ROUND(M29*100/O29-100,0)</f>
        <v>-4</v>
      </c>
    </row>
    <row r="30" s="43" customFormat="true" ht="73.5" hidden="false" customHeight="true" outlineLevel="0" collapsed="false">
      <c r="A30" s="45" t="n">
        <v>19</v>
      </c>
      <c r="B30" s="46" t="s">
        <v>61</v>
      </c>
      <c r="C30" s="47" t="s">
        <v>45</v>
      </c>
      <c r="D30" s="48" t="n">
        <v>80</v>
      </c>
      <c r="E30" s="50" t="n">
        <v>473.4</v>
      </c>
      <c r="F30" s="47" t="s">
        <v>62</v>
      </c>
      <c r="G30" s="52" t="n">
        <v>475</v>
      </c>
      <c r="H30" s="53" t="n">
        <f aca="false">D30*G30</f>
        <v>38000</v>
      </c>
      <c r="I30" s="47" t="s">
        <v>46</v>
      </c>
      <c r="J30" s="52" t="n">
        <v>462.4</v>
      </c>
      <c r="K30" s="53" t="n">
        <f aca="false">D30*J30</f>
        <v>36992</v>
      </c>
      <c r="L30" s="47" t="s">
        <v>58</v>
      </c>
      <c r="M30" s="52" t="n">
        <v>496.84</v>
      </c>
      <c r="N30" s="53" t="n">
        <f aca="false">D30*M30</f>
        <v>39747.2</v>
      </c>
      <c r="O30" s="54" t="n">
        <f aca="false">AVERAGE(G30,J30,M30)</f>
        <v>478.08</v>
      </c>
      <c r="P30" s="55" t="n">
        <f aca="false">E30*100/O30-100</f>
        <v>-0.978915662650593</v>
      </c>
      <c r="Q30" s="54" t="n">
        <f aca="false">D30*E30</f>
        <v>37872</v>
      </c>
      <c r="R30" s="56"/>
      <c r="T30" s="57" t="n">
        <f aca="false">ROUND(G30*100/O30-100,0)</f>
        <v>-1</v>
      </c>
      <c r="U30" s="57" t="n">
        <f aca="false">ROUND(J30*100/O30-100,0)</f>
        <v>-3</v>
      </c>
      <c r="V30" s="57" t="n">
        <f aca="false">ROUND(M30*100/O30-100,0)</f>
        <v>4</v>
      </c>
    </row>
    <row r="31" s="43" customFormat="true" ht="73.5" hidden="false" customHeight="true" outlineLevel="0" collapsed="false">
      <c r="A31" s="45" t="n">
        <v>20</v>
      </c>
      <c r="B31" s="46" t="s">
        <v>63</v>
      </c>
      <c r="C31" s="47" t="s">
        <v>25</v>
      </c>
      <c r="D31" s="48" t="n">
        <v>6</v>
      </c>
      <c r="E31" s="50" t="n">
        <v>3952.3</v>
      </c>
      <c r="F31" s="47" t="s">
        <v>27</v>
      </c>
      <c r="G31" s="52" t="n">
        <f aca="false">4569.53/1.2</f>
        <v>3807.94166666667</v>
      </c>
      <c r="H31" s="53" t="n">
        <f aca="false">D31*G31</f>
        <v>22847.65</v>
      </c>
      <c r="I31" s="53" t="s">
        <v>28</v>
      </c>
      <c r="J31" s="52" t="n">
        <f aca="false">4747.69/1.2</f>
        <v>3956.40833333333</v>
      </c>
      <c r="K31" s="53" t="n">
        <f aca="false">D31*J31</f>
        <v>23738.45</v>
      </c>
      <c r="L31" s="47" t="s">
        <v>29</v>
      </c>
      <c r="M31" s="52" t="n">
        <v>4100.7</v>
      </c>
      <c r="N31" s="53" t="n">
        <f aca="false">D31*M31</f>
        <v>24604.2</v>
      </c>
      <c r="O31" s="54" t="n">
        <f aca="false">AVERAGE(G31,J31,M31)</f>
        <v>3955.01666666667</v>
      </c>
      <c r="P31" s="55" t="n">
        <f aca="false">E31*100/O31-100</f>
        <v>-0.0686891332105546</v>
      </c>
      <c r="Q31" s="54" t="n">
        <f aca="false">D31*E31</f>
        <v>23713.8</v>
      </c>
      <c r="R31" s="56"/>
      <c r="T31" s="57" t="n">
        <f aca="false">ROUND(G31*100/O31-100,0)</f>
        <v>-4</v>
      </c>
      <c r="U31" s="57" t="n">
        <f aca="false">ROUND(J31*100/O31-100,0)</f>
        <v>0</v>
      </c>
      <c r="V31" s="57" t="n">
        <f aca="false">ROUND(M31*100/O31-100,0)</f>
        <v>4</v>
      </c>
    </row>
    <row r="32" s="43" customFormat="true" ht="73.5" hidden="false" customHeight="true" outlineLevel="0" collapsed="false">
      <c r="A32" s="45" t="n">
        <v>21</v>
      </c>
      <c r="B32" s="46" t="s">
        <v>64</v>
      </c>
      <c r="C32" s="47" t="s">
        <v>65</v>
      </c>
      <c r="D32" s="48" t="n">
        <v>13</v>
      </c>
      <c r="E32" s="50" t="n">
        <v>4260.15</v>
      </c>
      <c r="F32" s="47" t="s">
        <v>66</v>
      </c>
      <c r="G32" s="52" t="n">
        <f aca="false">5072/1.2</f>
        <v>4226.66666666667</v>
      </c>
      <c r="H32" s="53" t="n">
        <f aca="false">D32*G32</f>
        <v>54946.6666666667</v>
      </c>
      <c r="I32" s="53" t="s">
        <v>67</v>
      </c>
      <c r="J32" s="52" t="n">
        <f aca="false">4988.64/1.2</f>
        <v>4157.2</v>
      </c>
      <c r="K32" s="53" t="n">
        <f aca="false">D32*J32</f>
        <v>54043.6</v>
      </c>
      <c r="L32" s="53" t="s">
        <v>68</v>
      </c>
      <c r="M32" s="52" t="n">
        <v>4402.7</v>
      </c>
      <c r="N32" s="53" t="n">
        <f aca="false">D32*M32</f>
        <v>57235.1</v>
      </c>
      <c r="O32" s="54" t="n">
        <f aca="false">AVERAGE(G32,J32,M32)</f>
        <v>4262.18888888889</v>
      </c>
      <c r="P32" s="55" t="n">
        <f aca="false">E32*100/O32-100</f>
        <v>-0.0478366619134221</v>
      </c>
      <c r="Q32" s="54" t="n">
        <f aca="false">D32*E32</f>
        <v>55381.95</v>
      </c>
      <c r="R32" s="59"/>
      <c r="T32" s="57" t="n">
        <f aca="false">ROUND(G32*100/O32-100,0)</f>
        <v>-1</v>
      </c>
      <c r="U32" s="57" t="n">
        <f aca="false">ROUND(J32*100/O32-100,0)</f>
        <v>-2</v>
      </c>
      <c r="V32" s="57" t="n">
        <f aca="false">ROUND(M32*100/O32-100,0)</f>
        <v>3</v>
      </c>
    </row>
    <row r="33" s="43" customFormat="true" ht="73.5" hidden="false" customHeight="true" outlineLevel="0" collapsed="false">
      <c r="A33" s="45" t="n">
        <v>22</v>
      </c>
      <c r="B33" s="46" t="s">
        <v>69</v>
      </c>
      <c r="C33" s="47" t="s">
        <v>65</v>
      </c>
      <c r="D33" s="48" t="n">
        <v>13</v>
      </c>
      <c r="E33" s="81" t="n">
        <v>18550</v>
      </c>
      <c r="F33" s="47" t="s">
        <v>66</v>
      </c>
      <c r="G33" s="52" t="n">
        <f aca="false">22081.39/1.2</f>
        <v>18401.1583333333</v>
      </c>
      <c r="H33" s="53" t="n">
        <f aca="false">D33*G33</f>
        <v>239215.058333333</v>
      </c>
      <c r="I33" s="53" t="s">
        <v>67</v>
      </c>
      <c r="J33" s="52" t="n">
        <f aca="false">21966.86/1.2</f>
        <v>18305.7166666667</v>
      </c>
      <c r="K33" s="53" t="n">
        <f aca="false">D33*J33</f>
        <v>237974.316666667</v>
      </c>
      <c r="L33" s="53" t="s">
        <v>68</v>
      </c>
      <c r="M33" s="52" t="n">
        <v>19002.43</v>
      </c>
      <c r="N33" s="53" t="n">
        <f aca="false">D33*M33</f>
        <v>247031.59</v>
      </c>
      <c r="O33" s="54" t="n">
        <f aca="false">AVERAGE(G33,J33,M33)</f>
        <v>18569.7683333333</v>
      </c>
      <c r="P33" s="55" t="n">
        <f aca="false">E33*100/O33-100</f>
        <v>-0.10645438854425</v>
      </c>
      <c r="Q33" s="54" t="n">
        <f aca="false">D33*E33</f>
        <v>241150</v>
      </c>
      <c r="R33" s="82" t="s">
        <v>466</v>
      </c>
      <c r="T33" s="57" t="n">
        <f aca="false">ROUND(G33*100/O33-100,0)</f>
        <v>-1</v>
      </c>
      <c r="U33" s="57" t="n">
        <f aca="false">ROUND(J33*100/O33-100,0)</f>
        <v>-1</v>
      </c>
      <c r="V33" s="57" t="n">
        <f aca="false">ROUND(M33*100/O33-100,0)</f>
        <v>2</v>
      </c>
    </row>
    <row r="34" s="43" customFormat="true" ht="73.5" hidden="false" customHeight="true" outlineLevel="0" collapsed="false">
      <c r="A34" s="45" t="n">
        <v>23</v>
      </c>
      <c r="B34" s="46" t="s">
        <v>70</v>
      </c>
      <c r="C34" s="47" t="s">
        <v>25</v>
      </c>
      <c r="D34" s="48" t="n">
        <v>400</v>
      </c>
      <c r="E34" s="50" t="n">
        <v>36.7</v>
      </c>
      <c r="F34" s="47" t="s">
        <v>39</v>
      </c>
      <c r="G34" s="52" t="n">
        <v>36.68</v>
      </c>
      <c r="H34" s="53" t="n">
        <f aca="false">D34*G34</f>
        <v>14672</v>
      </c>
      <c r="I34" s="47" t="s">
        <v>54</v>
      </c>
      <c r="J34" s="52" t="n">
        <v>34.28</v>
      </c>
      <c r="K34" s="53" t="n">
        <f aca="false">D34*J34</f>
        <v>13712</v>
      </c>
      <c r="L34" s="53" t="s">
        <v>41</v>
      </c>
      <c r="M34" s="52" t="n">
        <v>39.9</v>
      </c>
      <c r="N34" s="53" t="n">
        <f aca="false">D34*M34</f>
        <v>15960</v>
      </c>
      <c r="O34" s="54" t="n">
        <f aca="false">AVERAGE(G34,J34,M34)</f>
        <v>36.9533333333333</v>
      </c>
      <c r="P34" s="55" t="n">
        <f aca="false">E34*100/O34-100</f>
        <v>-0.685549341511802</v>
      </c>
      <c r="Q34" s="54" t="n">
        <f aca="false">D34*E34</f>
        <v>14680</v>
      </c>
      <c r="R34" s="61"/>
      <c r="T34" s="57" t="n">
        <f aca="false">ROUND(G34*100/O34-100,0)</f>
        <v>-1</v>
      </c>
      <c r="U34" s="57" t="n">
        <f aca="false">ROUND(J34*100/O34-100,0)</f>
        <v>-7</v>
      </c>
      <c r="V34" s="57" t="n">
        <f aca="false">ROUND(M34*100/O34-100,0)</f>
        <v>8</v>
      </c>
    </row>
    <row r="35" s="43" customFormat="true" ht="73.5" hidden="false" customHeight="true" outlineLevel="0" collapsed="false">
      <c r="A35" s="45" t="n">
        <v>24</v>
      </c>
      <c r="B35" s="46" t="s">
        <v>71</v>
      </c>
      <c r="C35" s="47" t="s">
        <v>25</v>
      </c>
      <c r="D35" s="48" t="n">
        <v>600</v>
      </c>
      <c r="E35" s="50" t="n">
        <v>49.8</v>
      </c>
      <c r="F35" s="47" t="s">
        <v>39</v>
      </c>
      <c r="G35" s="52" t="n">
        <v>49.53</v>
      </c>
      <c r="H35" s="53" t="n">
        <f aca="false">D35*G35</f>
        <v>29718</v>
      </c>
      <c r="I35" s="47" t="s">
        <v>54</v>
      </c>
      <c r="J35" s="52" t="n">
        <v>54.48</v>
      </c>
      <c r="K35" s="53" t="n">
        <f aca="false">D35*J35</f>
        <v>32688</v>
      </c>
      <c r="L35" s="53" t="s">
        <v>41</v>
      </c>
      <c r="M35" s="52" t="n">
        <v>45.78</v>
      </c>
      <c r="N35" s="53" t="n">
        <f aca="false">D35*M35</f>
        <v>27468</v>
      </c>
      <c r="O35" s="54" t="n">
        <f aca="false">AVERAGE(G35,J35,M35)</f>
        <v>49.93</v>
      </c>
      <c r="P35" s="55" t="n">
        <f aca="false">E35*100/O35-100</f>
        <v>-0.260364510314446</v>
      </c>
      <c r="Q35" s="54" t="n">
        <f aca="false">D35*E35</f>
        <v>29880</v>
      </c>
      <c r="R35" s="56"/>
      <c r="T35" s="57" t="n">
        <f aca="false">ROUND(G35*100/O35-100,0)</f>
        <v>-1</v>
      </c>
      <c r="U35" s="57" t="n">
        <f aca="false">ROUND(J35*100/O35-100,0)</f>
        <v>9</v>
      </c>
      <c r="V35" s="57" t="n">
        <f aca="false">ROUND(M35*100/O35-100,0)</f>
        <v>-8</v>
      </c>
    </row>
    <row r="36" s="43" customFormat="true" ht="73.5" hidden="false" customHeight="true" outlineLevel="0" collapsed="false">
      <c r="A36" s="45" t="n">
        <v>25</v>
      </c>
      <c r="B36" s="46" t="s">
        <v>72</v>
      </c>
      <c r="C36" s="47" t="s">
        <v>25</v>
      </c>
      <c r="D36" s="48" t="n">
        <v>80</v>
      </c>
      <c r="E36" s="50" t="n">
        <v>116.1</v>
      </c>
      <c r="F36" s="47" t="s">
        <v>39</v>
      </c>
      <c r="G36" s="52" t="n">
        <v>111.18</v>
      </c>
      <c r="H36" s="53" t="n">
        <f aca="false">D36*G36</f>
        <v>8894.4</v>
      </c>
      <c r="I36" s="47" t="s">
        <v>54</v>
      </c>
      <c r="J36" s="52" t="n">
        <v>115.97</v>
      </c>
      <c r="K36" s="53" t="n">
        <f aca="false">D36*J36</f>
        <v>9277.6</v>
      </c>
      <c r="L36" s="53" t="s">
        <v>41</v>
      </c>
      <c r="M36" s="52" t="n">
        <v>125.69</v>
      </c>
      <c r="N36" s="53" t="n">
        <f aca="false">D36*M36</f>
        <v>10055.2</v>
      </c>
      <c r="O36" s="54" t="n">
        <f aca="false">AVERAGE(G36,J36,M36)</f>
        <v>117.613333333333</v>
      </c>
      <c r="P36" s="55" t="n">
        <f aca="false">E36*100/O36-100</f>
        <v>-1.28670218796056</v>
      </c>
      <c r="Q36" s="54" t="n">
        <f aca="false">D36*E36</f>
        <v>9288</v>
      </c>
      <c r="R36" s="56"/>
      <c r="T36" s="57" t="n">
        <f aca="false">ROUND(G36*100/O36-100,0)</f>
        <v>-5</v>
      </c>
      <c r="U36" s="57" t="n">
        <f aca="false">ROUND(J36*100/O36-100,0)</f>
        <v>-1</v>
      </c>
      <c r="V36" s="57" t="n">
        <f aca="false">ROUND(M36*100/O36-100,0)</f>
        <v>7</v>
      </c>
    </row>
    <row r="37" s="43" customFormat="true" ht="73.5" hidden="false" customHeight="true" outlineLevel="0" collapsed="false">
      <c r="A37" s="45" t="n">
        <v>26</v>
      </c>
      <c r="B37" s="46" t="s">
        <v>73</v>
      </c>
      <c r="C37" s="47" t="s">
        <v>25</v>
      </c>
      <c r="D37" s="48" t="n">
        <v>40</v>
      </c>
      <c r="E37" s="50" t="n">
        <v>19</v>
      </c>
      <c r="F37" s="47" t="s">
        <v>39</v>
      </c>
      <c r="G37" s="52" t="n">
        <v>18.24</v>
      </c>
      <c r="H37" s="53" t="n">
        <f aca="false">D37*G37</f>
        <v>729.6</v>
      </c>
      <c r="I37" s="47" t="s">
        <v>54</v>
      </c>
      <c r="J37" s="52" t="n">
        <v>17.48</v>
      </c>
      <c r="K37" s="53" t="n">
        <f aca="false">D37*J37</f>
        <v>699.2</v>
      </c>
      <c r="L37" s="53" t="s">
        <v>41</v>
      </c>
      <c r="M37" s="52" t="n">
        <v>21.47</v>
      </c>
      <c r="N37" s="53" t="n">
        <f aca="false">D37*M37</f>
        <v>858.8</v>
      </c>
      <c r="O37" s="54" t="n">
        <f aca="false">AVERAGE(G37,J37,M37)</f>
        <v>19.0633333333333</v>
      </c>
      <c r="P37" s="55" t="n">
        <f aca="false">E37*100/O37-100</f>
        <v>-0.332225913621258</v>
      </c>
      <c r="Q37" s="54" t="n">
        <f aca="false">D37*E37</f>
        <v>760</v>
      </c>
      <c r="R37" s="56"/>
      <c r="T37" s="57" t="n">
        <f aca="false">ROUND(G37*100/O37-100,0)</f>
        <v>-4</v>
      </c>
      <c r="U37" s="57" t="n">
        <f aca="false">ROUND(J37*100/O37-100,0)</f>
        <v>-8</v>
      </c>
      <c r="V37" s="57" t="n">
        <f aca="false">ROUND(M37*100/O37-100,0)</f>
        <v>13</v>
      </c>
    </row>
    <row r="38" s="43" customFormat="true" ht="73.5" hidden="false" customHeight="true" outlineLevel="0" collapsed="false">
      <c r="A38" s="45" t="n">
        <v>27</v>
      </c>
      <c r="B38" s="46" t="s">
        <v>74</v>
      </c>
      <c r="C38" s="47" t="s">
        <v>25</v>
      </c>
      <c r="D38" s="48" t="n">
        <v>20</v>
      </c>
      <c r="E38" s="50" t="n">
        <v>27.3</v>
      </c>
      <c r="F38" s="47" t="s">
        <v>39</v>
      </c>
      <c r="G38" s="52" t="n">
        <v>26.95</v>
      </c>
      <c r="H38" s="53" t="n">
        <f aca="false">D38*G38</f>
        <v>539</v>
      </c>
      <c r="I38" s="47" t="s">
        <v>54</v>
      </c>
      <c r="J38" s="52" t="n">
        <v>24.38</v>
      </c>
      <c r="K38" s="53" t="n">
        <f aca="false">D38*J38</f>
        <v>487.6</v>
      </c>
      <c r="L38" s="53" t="s">
        <v>41</v>
      </c>
      <c r="M38" s="52" t="n">
        <v>31.4</v>
      </c>
      <c r="N38" s="53" t="n">
        <f aca="false">D38*M38</f>
        <v>628</v>
      </c>
      <c r="O38" s="54" t="n">
        <f aca="false">AVERAGE(G38,J38,M38)</f>
        <v>27.5766666666667</v>
      </c>
      <c r="P38" s="55" t="n">
        <f aca="false">E38*100/O38-100</f>
        <v>-1.00326362867158</v>
      </c>
      <c r="Q38" s="54" t="n">
        <f aca="false">D38*E38</f>
        <v>546</v>
      </c>
      <c r="R38" s="56"/>
      <c r="T38" s="57" t="n">
        <f aca="false">ROUND(G38*100/O38-100,0)</f>
        <v>-2</v>
      </c>
      <c r="U38" s="57" t="n">
        <f aca="false">ROUND(J38*100/O38-100,0)</f>
        <v>-12</v>
      </c>
      <c r="V38" s="57" t="n">
        <f aca="false">ROUND(M38*100/O38-100,0)</f>
        <v>14</v>
      </c>
    </row>
    <row r="39" s="43" customFormat="true" ht="73.5" hidden="false" customHeight="true" outlineLevel="0" collapsed="false">
      <c r="A39" s="45" t="n">
        <v>28</v>
      </c>
      <c r="B39" s="46" t="s">
        <v>75</v>
      </c>
      <c r="C39" s="47" t="s">
        <v>25</v>
      </c>
      <c r="D39" s="48" t="n">
        <v>240</v>
      </c>
      <c r="E39" s="50" t="n">
        <v>34.3</v>
      </c>
      <c r="F39" s="47" t="s">
        <v>39</v>
      </c>
      <c r="G39" s="52" t="n">
        <v>33.17</v>
      </c>
      <c r="H39" s="53" t="n">
        <f aca="false">D39*G39</f>
        <v>7960.8</v>
      </c>
      <c r="I39" s="47" t="s">
        <v>54</v>
      </c>
      <c r="J39" s="52" t="n">
        <v>32.17</v>
      </c>
      <c r="K39" s="53" t="n">
        <f aca="false">D39*J39</f>
        <v>7720.8</v>
      </c>
      <c r="L39" s="53" t="s">
        <v>41</v>
      </c>
      <c r="M39" s="52" t="n">
        <v>38.74</v>
      </c>
      <c r="N39" s="53" t="n">
        <f aca="false">D39*M39</f>
        <v>9297.6</v>
      </c>
      <c r="O39" s="54" t="n">
        <f aca="false">AVERAGE(G39,J39,M39)</f>
        <v>34.6933333333333</v>
      </c>
      <c r="P39" s="55" t="n">
        <f aca="false">E39*100/O39-100</f>
        <v>-1.13374327440432</v>
      </c>
      <c r="Q39" s="54" t="n">
        <f aca="false">D39*E39</f>
        <v>8232</v>
      </c>
      <c r="R39" s="56"/>
      <c r="T39" s="57" t="n">
        <f aca="false">ROUND(G39*100/O39-100,0)</f>
        <v>-4</v>
      </c>
      <c r="U39" s="57" t="n">
        <f aca="false">ROUND(J39*100/O39-100,0)</f>
        <v>-7</v>
      </c>
      <c r="V39" s="57" t="n">
        <f aca="false">ROUND(M39*100/O39-100,0)</f>
        <v>12</v>
      </c>
    </row>
    <row r="40" s="43" customFormat="true" ht="73.5" hidden="false" customHeight="true" outlineLevel="0" collapsed="false">
      <c r="A40" s="45" t="n">
        <v>29</v>
      </c>
      <c r="B40" s="46" t="s">
        <v>76</v>
      </c>
      <c r="C40" s="47" t="s">
        <v>25</v>
      </c>
      <c r="D40" s="48" t="n">
        <v>264</v>
      </c>
      <c r="E40" s="50" t="n">
        <v>52</v>
      </c>
      <c r="F40" s="47" t="s">
        <v>39</v>
      </c>
      <c r="G40" s="52" t="n">
        <v>49.76</v>
      </c>
      <c r="H40" s="53" t="n">
        <f aca="false">D40*G40</f>
        <v>13136.64</v>
      </c>
      <c r="I40" s="47" t="s">
        <v>54</v>
      </c>
      <c r="J40" s="52" t="n">
        <v>51.47</v>
      </c>
      <c r="K40" s="53" t="n">
        <f aca="false">D40*J40</f>
        <v>13588.08</v>
      </c>
      <c r="L40" s="53" t="s">
        <v>41</v>
      </c>
      <c r="M40" s="52" t="n">
        <v>55.16</v>
      </c>
      <c r="N40" s="53" t="n">
        <f aca="false">D40*M40</f>
        <v>14562.24</v>
      </c>
      <c r="O40" s="54" t="n">
        <f aca="false">AVERAGE(G40,J40,M40)</f>
        <v>52.13</v>
      </c>
      <c r="P40" s="55" t="n">
        <f aca="false">E40*100/O40-100</f>
        <v>-0.249376558603487</v>
      </c>
      <c r="Q40" s="54" t="n">
        <f aca="false">D40*E40</f>
        <v>13728</v>
      </c>
      <c r="R40" s="56"/>
      <c r="T40" s="57" t="n">
        <f aca="false">ROUND(G40*100/O40-100,0)</f>
        <v>-5</v>
      </c>
      <c r="U40" s="57" t="n">
        <f aca="false">ROUND(J40*100/O40-100,0)</f>
        <v>-1</v>
      </c>
      <c r="V40" s="57" t="n">
        <f aca="false">ROUND(M40*100/O40-100,0)</f>
        <v>6</v>
      </c>
    </row>
    <row r="41" s="43" customFormat="true" ht="73.5" hidden="false" customHeight="true" outlineLevel="0" collapsed="false">
      <c r="A41" s="45" t="n">
        <v>30</v>
      </c>
      <c r="B41" s="46" t="s">
        <v>77</v>
      </c>
      <c r="C41" s="47" t="s">
        <v>25</v>
      </c>
      <c r="D41" s="48" t="n">
        <v>1200</v>
      </c>
      <c r="E41" s="50" t="n">
        <v>98.2</v>
      </c>
      <c r="F41" s="47" t="s">
        <v>39</v>
      </c>
      <c r="G41" s="52" t="n">
        <v>97.92</v>
      </c>
      <c r="H41" s="53" t="n">
        <f aca="false">D41*G41</f>
        <v>117504</v>
      </c>
      <c r="I41" s="47" t="s">
        <v>54</v>
      </c>
      <c r="J41" s="52" t="n">
        <v>92.97</v>
      </c>
      <c r="K41" s="53" t="n">
        <f aca="false">D41*J41</f>
        <v>111564</v>
      </c>
      <c r="L41" s="53" t="s">
        <v>41</v>
      </c>
      <c r="M41" s="52" t="n">
        <v>105.36</v>
      </c>
      <c r="N41" s="53" t="n">
        <f aca="false">D41*M41</f>
        <v>126432</v>
      </c>
      <c r="O41" s="54" t="n">
        <f aca="false">AVERAGE(G41,J41,M41)</f>
        <v>98.75</v>
      </c>
      <c r="P41" s="55" t="n">
        <f aca="false">E41*100/O41-100</f>
        <v>-0.556962025316452</v>
      </c>
      <c r="Q41" s="54" t="n">
        <f aca="false">D41*E41</f>
        <v>117840</v>
      </c>
      <c r="R41" s="56"/>
      <c r="T41" s="57" t="n">
        <f aca="false">ROUND(G41*100/O41-100,0)</f>
        <v>-1</v>
      </c>
      <c r="U41" s="57" t="n">
        <f aca="false">ROUND(J41*100/O41-100,0)</f>
        <v>-6</v>
      </c>
      <c r="V41" s="57" t="n">
        <f aca="false">ROUND(M41*100/O41-100,0)</f>
        <v>7</v>
      </c>
    </row>
    <row r="42" s="43" customFormat="true" ht="73.5" hidden="false" customHeight="true" outlineLevel="0" collapsed="false">
      <c r="A42" s="45" t="n">
        <v>31</v>
      </c>
      <c r="B42" s="46" t="s">
        <v>78</v>
      </c>
      <c r="C42" s="47" t="s">
        <v>25</v>
      </c>
      <c r="D42" s="48" t="n">
        <v>40</v>
      </c>
      <c r="E42" s="50" t="n">
        <v>5.4</v>
      </c>
      <c r="F42" s="47" t="s">
        <v>39</v>
      </c>
      <c r="G42" s="52" t="n">
        <v>5.38</v>
      </c>
      <c r="H42" s="53" t="n">
        <f aca="false">D42*G42</f>
        <v>215.2</v>
      </c>
      <c r="I42" s="47" t="s">
        <v>54</v>
      </c>
      <c r="J42" s="52" t="n">
        <v>5.45</v>
      </c>
      <c r="K42" s="53" t="n">
        <f aca="false">D42*J42</f>
        <v>218</v>
      </c>
      <c r="L42" s="53" t="s">
        <v>41</v>
      </c>
      <c r="M42" s="52" t="n">
        <v>5.5</v>
      </c>
      <c r="N42" s="53" t="n">
        <f aca="false">D42*M42</f>
        <v>220</v>
      </c>
      <c r="O42" s="54" t="n">
        <f aca="false">AVERAGE(G42,J42,M42)</f>
        <v>5.44333333333333</v>
      </c>
      <c r="P42" s="55" t="n">
        <f aca="false">E42*100/O42-100</f>
        <v>-0.796080832823009</v>
      </c>
      <c r="Q42" s="54" t="n">
        <f aca="false">D42*E42</f>
        <v>216</v>
      </c>
      <c r="R42" s="56"/>
      <c r="T42" s="57" t="n">
        <f aca="false">ROUND(G42*100/O42-100,0)</f>
        <v>-1</v>
      </c>
      <c r="U42" s="57" t="n">
        <f aca="false">ROUND(J42*100/O42-100,0)</f>
        <v>0</v>
      </c>
      <c r="V42" s="57" t="n">
        <f aca="false">ROUND(M42*100/O42-100,0)</f>
        <v>1</v>
      </c>
    </row>
    <row r="43" s="43" customFormat="true" ht="73.5" hidden="false" customHeight="true" outlineLevel="0" collapsed="false">
      <c r="A43" s="45" t="n">
        <v>32</v>
      </c>
      <c r="B43" s="46" t="s">
        <v>79</v>
      </c>
      <c r="C43" s="47" t="s">
        <v>25</v>
      </c>
      <c r="D43" s="48" t="n">
        <v>30</v>
      </c>
      <c r="E43" s="50" t="n">
        <v>11.82</v>
      </c>
      <c r="F43" s="47" t="s">
        <v>39</v>
      </c>
      <c r="G43" s="52" t="n">
        <v>11.56</v>
      </c>
      <c r="H43" s="53" t="n">
        <f aca="false">D43*G43</f>
        <v>346.8</v>
      </c>
      <c r="I43" s="47" t="s">
        <v>54</v>
      </c>
      <c r="J43" s="52" t="n">
        <v>11.47</v>
      </c>
      <c r="K43" s="53" t="n">
        <f aca="false">D43*J43</f>
        <v>344.1</v>
      </c>
      <c r="L43" s="53" t="s">
        <v>41</v>
      </c>
      <c r="M43" s="52" t="n">
        <v>12.68</v>
      </c>
      <c r="N43" s="53" t="n">
        <f aca="false">D43*M43</f>
        <v>380.4</v>
      </c>
      <c r="O43" s="54" t="n">
        <f aca="false">AVERAGE(G43,J43,M43)</f>
        <v>11.9033333333333</v>
      </c>
      <c r="P43" s="55" t="n">
        <f aca="false">E43*100/O43-100</f>
        <v>-0.700084010081213</v>
      </c>
      <c r="Q43" s="54" t="n">
        <f aca="false">D43*E43</f>
        <v>354.6</v>
      </c>
      <c r="R43" s="56"/>
      <c r="T43" s="57" t="n">
        <f aca="false">ROUND(G43*100/O43-100,0)</f>
        <v>-3</v>
      </c>
      <c r="U43" s="57" t="n">
        <f aca="false">ROUND(J43*100/O43-100,0)</f>
        <v>-4</v>
      </c>
      <c r="V43" s="57" t="n">
        <f aca="false">ROUND(M43*100/O43-100,0)</f>
        <v>7</v>
      </c>
    </row>
    <row r="44" s="43" customFormat="true" ht="73.5" hidden="false" customHeight="true" outlineLevel="0" collapsed="false">
      <c r="A44" s="45" t="n">
        <v>33</v>
      </c>
      <c r="B44" s="46" t="s">
        <v>80</v>
      </c>
      <c r="C44" s="47" t="s">
        <v>81</v>
      </c>
      <c r="D44" s="48" t="n">
        <v>560</v>
      </c>
      <c r="E44" s="50" t="n">
        <v>169.2</v>
      </c>
      <c r="F44" s="47" t="s">
        <v>82</v>
      </c>
      <c r="G44" s="52" t="n">
        <v>166.13</v>
      </c>
      <c r="H44" s="53" t="n">
        <f aca="false">D44*G44</f>
        <v>93032.8</v>
      </c>
      <c r="I44" s="47" t="s">
        <v>46</v>
      </c>
      <c r="J44" s="52" t="n">
        <v>182.47</v>
      </c>
      <c r="K44" s="53" t="n">
        <f aca="false">D44*J44</f>
        <v>102183.2</v>
      </c>
      <c r="L44" s="47" t="s">
        <v>58</v>
      </c>
      <c r="M44" s="52" t="n">
        <v>163.57</v>
      </c>
      <c r="N44" s="53" t="n">
        <f aca="false">D44*M44</f>
        <v>91599.2</v>
      </c>
      <c r="O44" s="54" t="n">
        <f aca="false">AVERAGE(G44,J44,M44)</f>
        <v>170.723333333333</v>
      </c>
      <c r="P44" s="55" t="n">
        <f aca="false">E44*100/O44-100</f>
        <v>-0.892281859538826</v>
      </c>
      <c r="Q44" s="54" t="n">
        <f aca="false">D44*E44</f>
        <v>94752</v>
      </c>
      <c r="R44" s="56"/>
      <c r="T44" s="57" t="n">
        <f aca="false">ROUND(G44*100/O44-100,0)</f>
        <v>-3</v>
      </c>
      <c r="U44" s="57" t="n">
        <f aca="false">ROUND(J44*100/O44-100,0)</f>
        <v>7</v>
      </c>
      <c r="V44" s="57" t="n">
        <f aca="false">ROUND(M44*100/O44-100,0)</f>
        <v>-4</v>
      </c>
    </row>
    <row r="45" s="43" customFormat="true" ht="73.5" hidden="false" customHeight="true" outlineLevel="0" collapsed="false">
      <c r="A45" s="45" t="n">
        <v>34</v>
      </c>
      <c r="B45" s="46" t="s">
        <v>83</v>
      </c>
      <c r="C45" s="47" t="s">
        <v>25</v>
      </c>
      <c r="D45" s="48" t="n">
        <v>12</v>
      </c>
      <c r="E45" s="50" t="n">
        <v>3339.3</v>
      </c>
      <c r="F45" s="47" t="s">
        <v>84</v>
      </c>
      <c r="G45" s="52" t="n">
        <f aca="false">3600/1.2</f>
        <v>3000</v>
      </c>
      <c r="H45" s="53" t="n">
        <f aca="false">D45*G45</f>
        <v>36000</v>
      </c>
      <c r="I45" s="53" t="s">
        <v>28</v>
      </c>
      <c r="J45" s="52" t="n">
        <f aca="false">4320/1.2</f>
        <v>3600</v>
      </c>
      <c r="K45" s="53" t="n">
        <f aca="false">D45*J45</f>
        <v>43200</v>
      </c>
      <c r="L45" s="47" t="s">
        <v>29</v>
      </c>
      <c r="M45" s="52" t="n">
        <v>3480</v>
      </c>
      <c r="N45" s="53" t="n">
        <f aca="false">D45*M45</f>
        <v>41760</v>
      </c>
      <c r="O45" s="54" t="n">
        <f aca="false">AVERAGE(G45,J45,M45)</f>
        <v>3360</v>
      </c>
      <c r="P45" s="55" t="n">
        <f aca="false">E45*100/O45-100</f>
        <v>-0.616071428571431</v>
      </c>
      <c r="Q45" s="54" t="n">
        <f aca="false">D45*E45</f>
        <v>40071.6</v>
      </c>
      <c r="R45" s="56"/>
      <c r="T45" s="57" t="n">
        <f aca="false">ROUND(G45*100/O45-100,0)</f>
        <v>-11</v>
      </c>
      <c r="U45" s="57" t="n">
        <f aca="false">ROUND(J45*100/O45-100,0)</f>
        <v>7</v>
      </c>
      <c r="V45" s="57" t="n">
        <f aca="false">ROUND(M45*100/O45-100,0)</f>
        <v>4</v>
      </c>
    </row>
    <row r="46" s="43" customFormat="true" ht="73.5" hidden="false" customHeight="true" outlineLevel="0" collapsed="false">
      <c r="A46" s="45" t="n">
        <v>35</v>
      </c>
      <c r="B46" s="46" t="s">
        <v>85</v>
      </c>
      <c r="C46" s="47" t="s">
        <v>25</v>
      </c>
      <c r="D46" s="48" t="n">
        <v>5</v>
      </c>
      <c r="E46" s="50" t="n">
        <v>3550.4</v>
      </c>
      <c r="F46" s="47" t="s">
        <v>27</v>
      </c>
      <c r="G46" s="52" t="n">
        <f aca="false">4107.16/1.2</f>
        <v>3422.63333333333</v>
      </c>
      <c r="H46" s="53" t="n">
        <f aca="false">D46*G46</f>
        <v>17113.1666666667</v>
      </c>
      <c r="I46" s="53" t="s">
        <v>28</v>
      </c>
      <c r="J46" s="52" t="n">
        <v>3502.11</v>
      </c>
      <c r="K46" s="53" t="n">
        <f aca="false">D46*J46</f>
        <v>17510.55</v>
      </c>
      <c r="L46" s="47" t="s">
        <v>29</v>
      </c>
      <c r="M46" s="52" t="n">
        <v>3779.24</v>
      </c>
      <c r="N46" s="53" t="n">
        <f aca="false">D46*M46</f>
        <v>18896.2</v>
      </c>
      <c r="O46" s="54" t="n">
        <f aca="false">AVERAGE(G46,J46,M46)</f>
        <v>3567.99444444444</v>
      </c>
      <c r="P46" s="55" t="n">
        <f aca="false">E46*100/O46-100</f>
        <v>-0.493118605378996</v>
      </c>
      <c r="Q46" s="54" t="n">
        <f aca="false">D46*E46</f>
        <v>17752</v>
      </c>
      <c r="R46" s="56"/>
      <c r="T46" s="57" t="n">
        <f aca="false">ROUND(G46*100/O46-100,0)</f>
        <v>-4</v>
      </c>
      <c r="U46" s="57" t="n">
        <f aca="false">ROUND(J46*100/O46-100,0)</f>
        <v>-2</v>
      </c>
      <c r="V46" s="57" t="n">
        <f aca="false">ROUND(M46*100/O46-100,0)</f>
        <v>6</v>
      </c>
    </row>
    <row r="47" s="43" customFormat="true" ht="73.5" hidden="false" customHeight="true" outlineLevel="0" collapsed="false">
      <c r="A47" s="45" t="n">
        <v>36</v>
      </c>
      <c r="B47" s="46" t="s">
        <v>86</v>
      </c>
      <c r="C47" s="47" t="s">
        <v>25</v>
      </c>
      <c r="D47" s="48" t="n">
        <v>13</v>
      </c>
      <c r="E47" s="50" t="n">
        <v>11152.87</v>
      </c>
      <c r="F47" s="47" t="s">
        <v>66</v>
      </c>
      <c r="G47" s="52" t="n">
        <f aca="false">12597.13/1.2</f>
        <v>10497.6083333333</v>
      </c>
      <c r="H47" s="53" t="n">
        <f aca="false">D47*G47</f>
        <v>136468.908333333</v>
      </c>
      <c r="I47" s="53" t="s">
        <v>67</v>
      </c>
      <c r="J47" s="52" t="n">
        <f aca="false">13529.76/1.2</f>
        <v>11274.8</v>
      </c>
      <c r="K47" s="53" t="n">
        <f aca="false">D47*J47</f>
        <v>146572.4</v>
      </c>
      <c r="L47" s="53" t="s">
        <v>68</v>
      </c>
      <c r="M47" s="52" t="n">
        <v>11847.32</v>
      </c>
      <c r="N47" s="53" t="n">
        <f aca="false">D47*M47</f>
        <v>154015.16</v>
      </c>
      <c r="O47" s="54" t="n">
        <f aca="false">AVERAGE(G47,J47,M47)</f>
        <v>11206.5761111111</v>
      </c>
      <c r="P47" s="55" t="n">
        <f aca="false">E47*100/O47-100</f>
        <v>-0.479237463598381</v>
      </c>
      <c r="Q47" s="54" t="n">
        <f aca="false">D47*E47</f>
        <v>144987.31</v>
      </c>
      <c r="R47" s="56"/>
      <c r="T47" s="57" t="n">
        <f aca="false">ROUND(G47*100/O47-100,0)</f>
        <v>-6</v>
      </c>
      <c r="U47" s="57" t="n">
        <f aca="false">ROUND(J47*100/O47-100,0)</f>
        <v>1</v>
      </c>
      <c r="V47" s="57" t="n">
        <f aca="false">ROUND(M47*100/O47-100,0)</f>
        <v>6</v>
      </c>
    </row>
    <row r="48" s="43" customFormat="true" ht="73.5" hidden="false" customHeight="true" outlineLevel="0" collapsed="false">
      <c r="A48" s="45" t="n">
        <v>37</v>
      </c>
      <c r="B48" s="46" t="s">
        <v>87</v>
      </c>
      <c r="C48" s="47" t="s">
        <v>25</v>
      </c>
      <c r="D48" s="48" t="n">
        <v>14</v>
      </c>
      <c r="E48" s="50" t="n">
        <v>95</v>
      </c>
      <c r="F48" s="47" t="s">
        <v>27</v>
      </c>
      <c r="G48" s="52" t="n">
        <f aca="false">108.22/1.2</f>
        <v>90.1833333333333</v>
      </c>
      <c r="H48" s="53" t="n">
        <f aca="false">D48*G48</f>
        <v>1262.56666666667</v>
      </c>
      <c r="I48" s="53" t="s">
        <v>28</v>
      </c>
      <c r="J48" s="52" t="n">
        <v>92.03</v>
      </c>
      <c r="K48" s="53" t="n">
        <f aca="false">D48*J48</f>
        <v>1288.42</v>
      </c>
      <c r="L48" s="47" t="s">
        <v>29</v>
      </c>
      <c r="M48" s="52" t="n">
        <v>103.61</v>
      </c>
      <c r="N48" s="53" t="n">
        <f aca="false">D48*M48</f>
        <v>1450.54</v>
      </c>
      <c r="O48" s="54" t="n">
        <f aca="false">AVERAGE(G48,J48,M48)</f>
        <v>95.2744444444444</v>
      </c>
      <c r="P48" s="55" t="n">
        <f aca="false">E48*100/O48-100</f>
        <v>-0.288056725016617</v>
      </c>
      <c r="Q48" s="54" t="n">
        <f aca="false">D48*E48</f>
        <v>1330</v>
      </c>
      <c r="R48" s="56"/>
      <c r="T48" s="57" t="n">
        <f aca="false">ROUND(G48*100/O48-100,0)</f>
        <v>-5</v>
      </c>
      <c r="U48" s="57" t="n">
        <f aca="false">ROUND(J48*100/O48-100,0)</f>
        <v>-3</v>
      </c>
      <c r="V48" s="57" t="n">
        <f aca="false">ROUND(M48*100/O48-100,0)</f>
        <v>9</v>
      </c>
    </row>
    <row r="49" s="43" customFormat="true" ht="73.5" hidden="false" customHeight="true" outlineLevel="0" collapsed="false">
      <c r="A49" s="45" t="n">
        <v>38</v>
      </c>
      <c r="B49" s="46" t="s">
        <v>88</v>
      </c>
      <c r="C49" s="47" t="s">
        <v>25</v>
      </c>
      <c r="D49" s="48" t="n">
        <v>28</v>
      </c>
      <c r="E49" s="50" t="n">
        <v>73.01</v>
      </c>
      <c r="F49" s="47" t="s">
        <v>39</v>
      </c>
      <c r="G49" s="52" t="n">
        <v>67.09</v>
      </c>
      <c r="H49" s="53" t="n">
        <f aca="false">D49*G49</f>
        <v>1878.52</v>
      </c>
      <c r="I49" s="53" t="s">
        <v>68</v>
      </c>
      <c r="J49" s="52" t="n">
        <v>83</v>
      </c>
      <c r="K49" s="53" t="n">
        <f aca="false">D49*J49</f>
        <v>2324</v>
      </c>
      <c r="L49" s="53" t="s">
        <v>41</v>
      </c>
      <c r="M49" s="52" t="n">
        <v>72.34</v>
      </c>
      <c r="N49" s="53" t="n">
        <f aca="false">D49*M49</f>
        <v>2025.52</v>
      </c>
      <c r="O49" s="54" t="n">
        <f aca="false">AVERAGE(G49,J49,M49)</f>
        <v>74.1433333333333</v>
      </c>
      <c r="P49" s="55" t="n">
        <f aca="false">E49*100/O49-100</f>
        <v>-1.52857078631477</v>
      </c>
      <c r="Q49" s="54" t="n">
        <f aca="false">D49*E49</f>
        <v>2044.28</v>
      </c>
      <c r="R49" s="56"/>
      <c r="T49" s="57" t="n">
        <f aca="false">ROUND(G49*100/O49-100,0)</f>
        <v>-10</v>
      </c>
      <c r="U49" s="57" t="n">
        <f aca="false">ROUND(J49*100/O49-100,0)</f>
        <v>12</v>
      </c>
      <c r="V49" s="57" t="n">
        <f aca="false">ROUND(M49*100/O49-100,0)</f>
        <v>-2</v>
      </c>
    </row>
    <row r="50" s="43" customFormat="true" ht="73.5" hidden="false" customHeight="true" outlineLevel="0" collapsed="false">
      <c r="A50" s="45" t="n">
        <v>39</v>
      </c>
      <c r="B50" s="46" t="s">
        <v>89</v>
      </c>
      <c r="C50" s="47" t="s">
        <v>81</v>
      </c>
      <c r="D50" s="48" t="n">
        <v>72</v>
      </c>
      <c r="E50" s="50" t="n">
        <v>3120.3</v>
      </c>
      <c r="F50" s="47" t="s">
        <v>90</v>
      </c>
      <c r="G50" s="52" t="n">
        <f aca="false">3609.86/1.2</f>
        <v>3008.21666666667</v>
      </c>
      <c r="H50" s="53" t="n">
        <f aca="false">D50*G50</f>
        <v>216591.6</v>
      </c>
      <c r="I50" s="47" t="s">
        <v>46</v>
      </c>
      <c r="J50" s="52" t="n">
        <v>3152.91</v>
      </c>
      <c r="K50" s="53" t="n">
        <f aca="false">D50*J50</f>
        <v>227009.52</v>
      </c>
      <c r="L50" s="47" t="s">
        <v>58</v>
      </c>
      <c r="M50" s="52" t="n">
        <v>3256.66</v>
      </c>
      <c r="N50" s="53" t="n">
        <f aca="false">D50*M50</f>
        <v>234479.52</v>
      </c>
      <c r="O50" s="54" t="n">
        <f aca="false">AVERAGE(G50,J50,M50)</f>
        <v>3139.26222222222</v>
      </c>
      <c r="P50" s="55" t="n">
        <f aca="false">E50*100/O50-100</f>
        <v>-0.604034352020435</v>
      </c>
      <c r="Q50" s="54" t="n">
        <f aca="false">D50*E50</f>
        <v>224661.6</v>
      </c>
      <c r="R50" s="56"/>
      <c r="T50" s="57" t="n">
        <f aca="false">ROUND(G50*100/O50-100,0)</f>
        <v>-4</v>
      </c>
      <c r="U50" s="57" t="n">
        <f aca="false">ROUND(J50*100/O50-100,0)</f>
        <v>0</v>
      </c>
      <c r="V50" s="57" t="n">
        <f aca="false">ROUND(M50*100/O50-100,0)</f>
        <v>4</v>
      </c>
    </row>
    <row r="51" s="43" customFormat="true" ht="73.5" hidden="false" customHeight="true" outlineLevel="0" collapsed="false">
      <c r="A51" s="45" t="n">
        <v>40</v>
      </c>
      <c r="B51" s="46" t="s">
        <v>91</v>
      </c>
      <c r="C51" s="47" t="s">
        <v>25</v>
      </c>
      <c r="D51" s="48" t="n">
        <v>2</v>
      </c>
      <c r="E51" s="81" t="n">
        <v>198500</v>
      </c>
      <c r="F51" s="47" t="s">
        <v>27</v>
      </c>
      <c r="G51" s="52" t="n">
        <f aca="false">234758.4/1.2</f>
        <v>195632</v>
      </c>
      <c r="H51" s="53" t="n">
        <f aca="false">D51*G51</f>
        <v>391264</v>
      </c>
      <c r="I51" s="53" t="s">
        <v>28</v>
      </c>
      <c r="J51" s="52" t="n">
        <v>199452.67</v>
      </c>
      <c r="K51" s="53" t="n">
        <f aca="false">D51*J51</f>
        <v>398905.34</v>
      </c>
      <c r="L51" s="47" t="s">
        <v>29</v>
      </c>
      <c r="M51" s="52" t="n">
        <v>201347.8</v>
      </c>
      <c r="N51" s="53" t="n">
        <f aca="false">D51*M51</f>
        <v>402695.6</v>
      </c>
      <c r="O51" s="54" t="n">
        <f aca="false">AVERAGE(G51,J51,M51)</f>
        <v>198810.823333333</v>
      </c>
      <c r="P51" s="55" t="n">
        <f aca="false">E51*100/O51-100</f>
        <v>-0.156341253520282</v>
      </c>
      <c r="Q51" s="54" t="n">
        <f aca="false">D51*E51</f>
        <v>397000</v>
      </c>
      <c r="R51" s="83" t="s">
        <v>467</v>
      </c>
      <c r="T51" s="57" t="n">
        <f aca="false">ROUND(G51*100/O51-100,0)</f>
        <v>-2</v>
      </c>
      <c r="U51" s="57" t="n">
        <f aca="false">ROUND(J51*100/O51-100,0)</f>
        <v>0</v>
      </c>
      <c r="V51" s="57" t="n">
        <f aca="false">ROUND(M51*100/O51-100,0)</f>
        <v>1</v>
      </c>
    </row>
    <row r="52" s="43" customFormat="true" ht="73.5" hidden="false" customHeight="true" outlineLevel="0" collapsed="false">
      <c r="A52" s="45" t="n">
        <v>41</v>
      </c>
      <c r="B52" s="46" t="s">
        <v>92</v>
      </c>
      <c r="C52" s="47" t="s">
        <v>25</v>
      </c>
      <c r="D52" s="48" t="n">
        <v>2</v>
      </c>
      <c r="E52" s="50" t="n">
        <v>5754.2</v>
      </c>
      <c r="F52" s="47" t="s">
        <v>27</v>
      </c>
      <c r="G52" s="52" t="n">
        <f aca="false">6701.48/1.2</f>
        <v>5584.56666666667</v>
      </c>
      <c r="H52" s="53" t="n">
        <f aca="false">D52*G52</f>
        <v>11169.1333333333</v>
      </c>
      <c r="I52" s="53" t="s">
        <v>28</v>
      </c>
      <c r="J52" s="52" t="n">
        <v>5784.3</v>
      </c>
      <c r="K52" s="53" t="n">
        <f aca="false">D52*J52</f>
        <v>11568.6</v>
      </c>
      <c r="L52" s="47" t="s">
        <v>29</v>
      </c>
      <c r="M52" s="52" t="n">
        <v>5944.87</v>
      </c>
      <c r="N52" s="53" t="n">
        <f aca="false">D52*M52</f>
        <v>11889.74</v>
      </c>
      <c r="O52" s="54" t="n">
        <f aca="false">AVERAGE(G52,J52,M52)</f>
        <v>5771.24555555556</v>
      </c>
      <c r="P52" s="55" t="n">
        <f aca="false">E52*100/O52-100</f>
        <v>-0.29535315022504</v>
      </c>
      <c r="Q52" s="54" t="n">
        <f aca="false">D52*E52</f>
        <v>11508.4</v>
      </c>
      <c r="R52" s="56"/>
      <c r="T52" s="57" t="n">
        <f aca="false">ROUND(G52*100/O52-100,0)</f>
        <v>-3</v>
      </c>
      <c r="U52" s="57" t="n">
        <f aca="false">ROUND(J52*100/O52-100,0)</f>
        <v>0</v>
      </c>
      <c r="V52" s="57" t="n">
        <f aca="false">ROUND(M52*100/O52-100,0)</f>
        <v>3</v>
      </c>
    </row>
    <row r="53" s="43" customFormat="true" ht="73.5" hidden="false" customHeight="true" outlineLevel="0" collapsed="false">
      <c r="A53" s="45" t="n">
        <v>42</v>
      </c>
      <c r="B53" s="46" t="s">
        <v>93</v>
      </c>
      <c r="C53" s="47" t="s">
        <v>25</v>
      </c>
      <c r="D53" s="48" t="n">
        <v>10</v>
      </c>
      <c r="E53" s="50" t="n">
        <v>523.3</v>
      </c>
      <c r="F53" s="47" t="s">
        <v>27</v>
      </c>
      <c r="G53" s="52" t="n">
        <f aca="false">597.91/1.2</f>
        <v>498.258333333333</v>
      </c>
      <c r="H53" s="53" t="n">
        <f aca="false">D53*G53</f>
        <v>4982.58333333333</v>
      </c>
      <c r="I53" s="53" t="s">
        <v>28</v>
      </c>
      <c r="J53" s="52" t="n">
        <v>521.2</v>
      </c>
      <c r="K53" s="53" t="n">
        <f aca="false">D53*J53</f>
        <v>5212</v>
      </c>
      <c r="L53" s="47" t="s">
        <v>29</v>
      </c>
      <c r="M53" s="52" t="n">
        <v>554.34</v>
      </c>
      <c r="N53" s="53" t="n">
        <f aca="false">D53*M53</f>
        <v>5543.4</v>
      </c>
      <c r="O53" s="54" t="n">
        <f aca="false">AVERAGE(G53,J53,M53)</f>
        <v>524.599444444444</v>
      </c>
      <c r="P53" s="55" t="n">
        <f aca="false">E53*100/O53-100</f>
        <v>-0.247702215129223</v>
      </c>
      <c r="Q53" s="54" t="n">
        <f aca="false">D53*E53</f>
        <v>5233</v>
      </c>
      <c r="R53" s="56"/>
      <c r="T53" s="57" t="n">
        <f aca="false">ROUND(G53*100/O53-100,0)</f>
        <v>-5</v>
      </c>
      <c r="U53" s="57" t="n">
        <f aca="false">ROUND(J53*100/O53-100,0)</f>
        <v>-1</v>
      </c>
      <c r="V53" s="57" t="n">
        <f aca="false">ROUND(M53*100/O53-100,0)</f>
        <v>6</v>
      </c>
    </row>
    <row r="54" s="43" customFormat="true" ht="73.5" hidden="false" customHeight="true" outlineLevel="0" collapsed="false">
      <c r="A54" s="45" t="n">
        <v>43</v>
      </c>
      <c r="B54" s="46" t="s">
        <v>94</v>
      </c>
      <c r="C54" s="47" t="s">
        <v>25</v>
      </c>
      <c r="D54" s="48" t="s">
        <v>95</v>
      </c>
      <c r="E54" s="50" t="n">
        <v>517.11</v>
      </c>
      <c r="F54" s="47" t="s">
        <v>27</v>
      </c>
      <c r="G54" s="52" t="n">
        <f aca="false">583.14/1.2</f>
        <v>485.95</v>
      </c>
      <c r="H54" s="53" t="n">
        <f aca="false">D54*G54</f>
        <v>23325.6</v>
      </c>
      <c r="I54" s="53" t="s">
        <v>28</v>
      </c>
      <c r="J54" s="52" t="n">
        <v>519.3</v>
      </c>
      <c r="K54" s="53" t="n">
        <f aca="false">D54*J54</f>
        <v>24926.4</v>
      </c>
      <c r="L54" s="47" t="s">
        <v>29</v>
      </c>
      <c r="M54" s="52" t="n">
        <v>550.4</v>
      </c>
      <c r="N54" s="53" t="n">
        <f aca="false">D54*M54</f>
        <v>26419.2</v>
      </c>
      <c r="O54" s="54" t="n">
        <f aca="false">AVERAGE(G54,J54,M54)</f>
        <v>518.55</v>
      </c>
      <c r="P54" s="55" t="n">
        <f aca="false">E54*100/O54-100</f>
        <v>-0.277697425513438</v>
      </c>
      <c r="Q54" s="54" t="n">
        <f aca="false">D54*E54</f>
        <v>24821.28</v>
      </c>
      <c r="R54" s="56"/>
      <c r="T54" s="57" t="n">
        <f aca="false">ROUND(G54*100/O54-100,0)</f>
        <v>-6</v>
      </c>
      <c r="U54" s="57" t="n">
        <f aca="false">ROUND(J54*100/O54-100,0)</f>
        <v>0</v>
      </c>
      <c r="V54" s="57" t="n">
        <f aca="false">ROUND(M54*100/O54-100,0)</f>
        <v>6</v>
      </c>
    </row>
    <row r="55" s="43" customFormat="true" ht="73.5" hidden="false" customHeight="true" outlineLevel="0" collapsed="false">
      <c r="A55" s="45" t="n">
        <v>44</v>
      </c>
      <c r="B55" s="46" t="s">
        <v>96</v>
      </c>
      <c r="C55" s="47" t="s">
        <v>25</v>
      </c>
      <c r="D55" s="48" t="s">
        <v>97</v>
      </c>
      <c r="E55" s="50" t="n">
        <v>5116.7</v>
      </c>
      <c r="F55" s="47" t="s">
        <v>27</v>
      </c>
      <c r="G55" s="52" t="n">
        <f aca="false">5997.8/1.2</f>
        <v>4998.16666666667</v>
      </c>
      <c r="H55" s="53" t="n">
        <f aca="false">D55*G55</f>
        <v>4998.16666666667</v>
      </c>
      <c r="I55" s="53" t="s">
        <v>28</v>
      </c>
      <c r="J55" s="52" t="n">
        <v>5100.67</v>
      </c>
      <c r="K55" s="53" t="n">
        <f aca="false">D55*J55</f>
        <v>5100.67</v>
      </c>
      <c r="L55" s="47" t="s">
        <v>29</v>
      </c>
      <c r="M55" s="52" t="n">
        <v>5427.9</v>
      </c>
      <c r="N55" s="53" t="n">
        <f aca="false">D55*M55</f>
        <v>5427.9</v>
      </c>
      <c r="O55" s="54" t="n">
        <f aca="false">AVERAGE(G55,J55,M55)</f>
        <v>5175.57888888889</v>
      </c>
      <c r="P55" s="55" t="n">
        <f aca="false">E55*100/O55-100</f>
        <v>-1.13762904890297</v>
      </c>
      <c r="Q55" s="54" t="n">
        <f aca="false">D55*E55</f>
        <v>5116.7</v>
      </c>
      <c r="R55" s="56"/>
      <c r="T55" s="57" t="n">
        <f aca="false">ROUND(G55*100/O55-100,0)</f>
        <v>-3</v>
      </c>
      <c r="U55" s="57" t="n">
        <f aca="false">ROUND(J55*100/O55-100,0)</f>
        <v>-1</v>
      </c>
      <c r="V55" s="57" t="n">
        <f aca="false">ROUND(M55*100/O55-100,0)</f>
        <v>5</v>
      </c>
    </row>
    <row r="56" s="43" customFormat="true" ht="73.5" hidden="false" customHeight="true" outlineLevel="0" collapsed="false">
      <c r="A56" s="45" t="n">
        <v>45</v>
      </c>
      <c r="B56" s="46" t="s">
        <v>98</v>
      </c>
      <c r="C56" s="47" t="s">
        <v>25</v>
      </c>
      <c r="D56" s="48" t="n">
        <v>1</v>
      </c>
      <c r="E56" s="50" t="n">
        <v>5200.4</v>
      </c>
      <c r="F56" s="47" t="s">
        <v>27</v>
      </c>
      <c r="G56" s="52" t="n">
        <f aca="false">6038.66/1.2</f>
        <v>5032.21666666667</v>
      </c>
      <c r="H56" s="53" t="n">
        <f aca="false">D56*G56</f>
        <v>5032.21666666667</v>
      </c>
      <c r="I56" s="53" t="s">
        <v>28</v>
      </c>
      <c r="J56" s="52" t="n">
        <v>5201.7</v>
      </c>
      <c r="K56" s="53" t="n">
        <f aca="false">D56*J56</f>
        <v>5201.7</v>
      </c>
      <c r="L56" s="47" t="s">
        <v>29</v>
      </c>
      <c r="M56" s="52" t="n">
        <v>5504.9</v>
      </c>
      <c r="N56" s="53" t="n">
        <f aca="false">D56*M56</f>
        <v>5504.9</v>
      </c>
      <c r="O56" s="54" t="n">
        <f aca="false">AVERAGE(G56,J56,M56)</f>
        <v>5246.27222222222</v>
      </c>
      <c r="P56" s="55" t="n">
        <f aca="false">E56*100/O56-100</f>
        <v>-0.874377468022274</v>
      </c>
      <c r="Q56" s="54" t="n">
        <f aca="false">D56*E56</f>
        <v>5200.4</v>
      </c>
      <c r="R56" s="56"/>
      <c r="T56" s="57" t="n">
        <f aca="false">ROUND(G56*100/O56-100,0)</f>
        <v>-4</v>
      </c>
      <c r="U56" s="57" t="n">
        <f aca="false">ROUND(J56*100/O56-100,0)</f>
        <v>-1</v>
      </c>
      <c r="V56" s="57" t="n">
        <f aca="false">ROUND(M56*100/O56-100,0)</f>
        <v>5</v>
      </c>
    </row>
    <row r="57" s="43" customFormat="true" ht="73.5" hidden="false" customHeight="true" outlineLevel="0" collapsed="false">
      <c r="A57" s="45" t="n">
        <v>46</v>
      </c>
      <c r="B57" s="46" t="s">
        <v>99</v>
      </c>
      <c r="C57" s="47" t="s">
        <v>25</v>
      </c>
      <c r="D57" s="48" t="n">
        <v>3</v>
      </c>
      <c r="E57" s="50" t="n">
        <v>1796.4</v>
      </c>
      <c r="F57" s="47" t="s">
        <v>27</v>
      </c>
      <c r="G57" s="52" t="n">
        <f aca="false">2109.78/1.2</f>
        <v>1758.15</v>
      </c>
      <c r="H57" s="53" t="n">
        <f aca="false">D57*G57</f>
        <v>5274.45</v>
      </c>
      <c r="I57" s="53" t="s">
        <v>28</v>
      </c>
      <c r="J57" s="52" t="n">
        <v>1801.3</v>
      </c>
      <c r="K57" s="53" t="n">
        <f aca="false">D57*J57</f>
        <v>5403.9</v>
      </c>
      <c r="L57" s="47" t="s">
        <v>29</v>
      </c>
      <c r="M57" s="52" t="n">
        <v>1956.8</v>
      </c>
      <c r="N57" s="53" t="n">
        <f aca="false">D57*M57</f>
        <v>5870.4</v>
      </c>
      <c r="O57" s="54" t="n">
        <f aca="false">AVERAGE(G57,J57,M57)</f>
        <v>1838.75</v>
      </c>
      <c r="P57" s="55" t="n">
        <f aca="false">E57*100/O57-100</f>
        <v>-2.30319510537049</v>
      </c>
      <c r="Q57" s="54" t="n">
        <f aca="false">D57*E57</f>
        <v>5389.2</v>
      </c>
      <c r="R57" s="56"/>
      <c r="T57" s="57" t="n">
        <f aca="false">ROUND(G57*100/O57-100,0)</f>
        <v>-4</v>
      </c>
      <c r="U57" s="57" t="n">
        <f aca="false">ROUND(J57*100/O57-100,0)</f>
        <v>-2</v>
      </c>
      <c r="V57" s="57" t="n">
        <f aca="false">ROUND(M57*100/O57-100,0)</f>
        <v>6</v>
      </c>
    </row>
    <row r="58" s="43" customFormat="true" ht="73.5" hidden="false" customHeight="true" outlineLevel="0" collapsed="false">
      <c r="A58" s="45" t="n">
        <v>47</v>
      </c>
      <c r="B58" s="46" t="s">
        <v>100</v>
      </c>
      <c r="C58" s="47" t="s">
        <v>25</v>
      </c>
      <c r="D58" s="48" t="n">
        <v>11</v>
      </c>
      <c r="E58" s="50" t="n">
        <v>7180.45</v>
      </c>
      <c r="F58" s="47" t="s">
        <v>27</v>
      </c>
      <c r="G58" s="52" t="n">
        <f aca="false">8361.03/1.2</f>
        <v>6967.525</v>
      </c>
      <c r="H58" s="53" t="n">
        <f aca="false">D58*G58</f>
        <v>76642.775</v>
      </c>
      <c r="I58" s="53" t="s">
        <v>28</v>
      </c>
      <c r="J58" s="52" t="n">
        <v>7201.4</v>
      </c>
      <c r="K58" s="53" t="n">
        <f aca="false">D58*J58</f>
        <v>79215.4</v>
      </c>
      <c r="L58" s="47" t="s">
        <v>29</v>
      </c>
      <c r="M58" s="52" t="n">
        <v>7422.6</v>
      </c>
      <c r="N58" s="53" t="n">
        <f aca="false">D58*M58</f>
        <v>81648.6</v>
      </c>
      <c r="O58" s="54" t="n">
        <f aca="false">AVERAGE(G58,J58,M58)</f>
        <v>7197.175</v>
      </c>
      <c r="P58" s="55" t="n">
        <f aca="false">E58*100/O58-100</f>
        <v>-0.232382844657806</v>
      </c>
      <c r="Q58" s="54" t="n">
        <f aca="false">D58*E58</f>
        <v>78984.95</v>
      </c>
      <c r="R58" s="56"/>
      <c r="T58" s="57" t="n">
        <f aca="false">ROUND(G58*100/O58-100,0)</f>
        <v>-3</v>
      </c>
      <c r="U58" s="57" t="n">
        <f aca="false">ROUND(J58*100/O58-100,0)</f>
        <v>0</v>
      </c>
      <c r="V58" s="57" t="n">
        <f aca="false">ROUND(M58*100/O58-100,0)</f>
        <v>3</v>
      </c>
    </row>
    <row r="59" s="43" customFormat="true" ht="73.5" hidden="false" customHeight="true" outlineLevel="0" collapsed="false">
      <c r="A59" s="45" t="n">
        <v>48</v>
      </c>
      <c r="B59" s="46" t="s">
        <v>101</v>
      </c>
      <c r="C59" s="47" t="s">
        <v>25</v>
      </c>
      <c r="D59" s="48" t="n">
        <v>6</v>
      </c>
      <c r="E59" s="50" t="n">
        <v>138.5</v>
      </c>
      <c r="F59" s="47" t="s">
        <v>27</v>
      </c>
      <c r="G59" s="52" t="n">
        <f aca="false">159.22/1.2</f>
        <v>132.683333333333</v>
      </c>
      <c r="H59" s="53" t="n">
        <f aca="false">D59*G59</f>
        <v>796.1</v>
      </c>
      <c r="I59" s="53" t="s">
        <v>28</v>
      </c>
      <c r="J59" s="52" t="n">
        <v>139.87</v>
      </c>
      <c r="K59" s="53" t="n">
        <f aca="false">D59*J59</f>
        <v>839.22</v>
      </c>
      <c r="L59" s="47" t="s">
        <v>29</v>
      </c>
      <c r="M59" s="52" t="n">
        <v>145.24</v>
      </c>
      <c r="N59" s="53" t="n">
        <f aca="false">D59*M59</f>
        <v>871.44</v>
      </c>
      <c r="O59" s="54" t="n">
        <f aca="false">AVERAGE(G59,J59,M59)</f>
        <v>139.264444444444</v>
      </c>
      <c r="P59" s="55" t="n">
        <f aca="false">E59*100/O59-100</f>
        <v>-0.548915731861058</v>
      </c>
      <c r="Q59" s="54" t="n">
        <f aca="false">D59*E59</f>
        <v>831</v>
      </c>
      <c r="R59" s="56"/>
      <c r="T59" s="57" t="n">
        <f aca="false">ROUND(G59*100/O59-100,0)</f>
        <v>-5</v>
      </c>
      <c r="U59" s="57" t="n">
        <f aca="false">ROUND(J59*100/O59-100,0)</f>
        <v>0</v>
      </c>
      <c r="V59" s="57" t="n">
        <f aca="false">ROUND(M59*100/O59-100,0)</f>
        <v>4</v>
      </c>
    </row>
    <row r="60" s="43" customFormat="true" ht="73.5" hidden="false" customHeight="true" outlineLevel="0" collapsed="false">
      <c r="A60" s="45" t="n">
        <v>49</v>
      </c>
      <c r="B60" s="46" t="s">
        <v>102</v>
      </c>
      <c r="C60" s="47" t="s">
        <v>25</v>
      </c>
      <c r="D60" s="48" t="s">
        <v>103</v>
      </c>
      <c r="E60" s="50" t="n">
        <v>118.5</v>
      </c>
      <c r="F60" s="47" t="s">
        <v>27</v>
      </c>
      <c r="G60" s="52" t="n">
        <f aca="false">137.81/1.2</f>
        <v>114.841666666667</v>
      </c>
      <c r="H60" s="53" t="n">
        <f aca="false">D60*G60</f>
        <v>2871.04166666667</v>
      </c>
      <c r="I60" s="53" t="s">
        <v>28</v>
      </c>
      <c r="J60" s="52" t="n">
        <v>121.47</v>
      </c>
      <c r="K60" s="53" t="n">
        <f aca="false">D60*J60</f>
        <v>3036.75</v>
      </c>
      <c r="L60" s="47" t="s">
        <v>29</v>
      </c>
      <c r="M60" s="52" t="n">
        <v>119.8</v>
      </c>
      <c r="N60" s="53" t="n">
        <f aca="false">D60*M60</f>
        <v>2995</v>
      </c>
      <c r="O60" s="54" t="n">
        <f aca="false">AVERAGE(G60,J60,M60)</f>
        <v>118.703888888889</v>
      </c>
      <c r="P60" s="55" t="n">
        <f aca="false">E60*100/O60-100</f>
        <v>-0.171762602554452</v>
      </c>
      <c r="Q60" s="54" t="n">
        <f aca="false">D60*E60</f>
        <v>2962.5</v>
      </c>
      <c r="R60" s="56"/>
      <c r="T60" s="57" t="n">
        <f aca="false">ROUND(G60*100/O60-100,0)</f>
        <v>-3</v>
      </c>
      <c r="U60" s="57" t="n">
        <f aca="false">ROUND(J60*100/O60-100,0)</f>
        <v>2</v>
      </c>
      <c r="V60" s="57" t="n">
        <f aca="false">ROUND(M60*100/O60-100,0)</f>
        <v>1</v>
      </c>
    </row>
    <row r="61" s="43" customFormat="true" ht="73.5" hidden="false" customHeight="true" outlineLevel="0" collapsed="false">
      <c r="A61" s="45" t="n">
        <v>50</v>
      </c>
      <c r="B61" s="46" t="s">
        <v>104</v>
      </c>
      <c r="C61" s="47" t="s">
        <v>25</v>
      </c>
      <c r="D61" s="48" t="s">
        <v>105</v>
      </c>
      <c r="E61" s="50" t="n">
        <v>174.59</v>
      </c>
      <c r="F61" s="47" t="s">
        <v>27</v>
      </c>
      <c r="G61" s="52" t="n">
        <f aca="false">203.54/1.2</f>
        <v>169.616666666667</v>
      </c>
      <c r="H61" s="53" t="n">
        <f aca="false">D61*G61</f>
        <v>1356.93333333333</v>
      </c>
      <c r="I61" s="53" t="s">
        <v>28</v>
      </c>
      <c r="J61" s="52" t="n">
        <v>175.54</v>
      </c>
      <c r="K61" s="53" t="n">
        <f aca="false">D61*J61</f>
        <v>1404.32</v>
      </c>
      <c r="L61" s="47" t="s">
        <v>29</v>
      </c>
      <c r="M61" s="52" t="n">
        <v>181.7</v>
      </c>
      <c r="N61" s="53" t="n">
        <f aca="false">D61*M61</f>
        <v>1453.6</v>
      </c>
      <c r="O61" s="54" t="n">
        <f aca="false">AVERAGE(G61,J61,M61)</f>
        <v>175.618888888889</v>
      </c>
      <c r="P61" s="55" t="n">
        <f aca="false">E61*100/O61-100</f>
        <v>-0.585864593153119</v>
      </c>
      <c r="Q61" s="54" t="n">
        <f aca="false">D61*E61</f>
        <v>1396.72</v>
      </c>
      <c r="R61" s="56"/>
      <c r="T61" s="57" t="n">
        <f aca="false">ROUND(G61*100/O61-100,0)</f>
        <v>-3</v>
      </c>
      <c r="U61" s="57" t="n">
        <f aca="false">ROUND(J61*100/O61-100,0)</f>
        <v>-0</v>
      </c>
      <c r="V61" s="57" t="n">
        <f aca="false">ROUND(M61*100/O61-100,0)</f>
        <v>3</v>
      </c>
    </row>
    <row r="62" s="43" customFormat="true" ht="73.5" hidden="false" customHeight="true" outlineLevel="0" collapsed="false">
      <c r="A62" s="45" t="n">
        <v>51</v>
      </c>
      <c r="B62" s="46" t="s">
        <v>106</v>
      </c>
      <c r="C62" s="47" t="s">
        <v>25</v>
      </c>
      <c r="D62" s="48" t="n">
        <v>1</v>
      </c>
      <c r="E62" s="50" t="n">
        <v>800.12</v>
      </c>
      <c r="F62" s="47" t="s">
        <v>27</v>
      </c>
      <c r="G62" s="52" t="n">
        <f aca="false">945.37/1.2</f>
        <v>787.808333333333</v>
      </c>
      <c r="H62" s="53" t="n">
        <f aca="false">D62*G62</f>
        <v>787.808333333333</v>
      </c>
      <c r="I62" s="53" t="s">
        <v>28</v>
      </c>
      <c r="J62" s="52" t="n">
        <v>799.9</v>
      </c>
      <c r="K62" s="53" t="n">
        <f aca="false">D62*J62</f>
        <v>799.9</v>
      </c>
      <c r="L62" s="47" t="s">
        <v>29</v>
      </c>
      <c r="M62" s="52" t="n">
        <v>820.4</v>
      </c>
      <c r="N62" s="53" t="n">
        <f aca="false">D62*M62</f>
        <v>820.4</v>
      </c>
      <c r="O62" s="54" t="n">
        <f aca="false">AVERAGE(G62,J62,M62)</f>
        <v>802.702777777778</v>
      </c>
      <c r="P62" s="55" t="n">
        <f aca="false">E62*100/O62-100</f>
        <v>-0.321760164444441</v>
      </c>
      <c r="Q62" s="54" t="n">
        <f aca="false">D62*E62</f>
        <v>800.12</v>
      </c>
      <c r="R62" s="56"/>
      <c r="T62" s="57" t="n">
        <f aca="false">ROUND(G62*100/O62-100,0)</f>
        <v>-2</v>
      </c>
      <c r="U62" s="57" t="n">
        <f aca="false">ROUND(J62*100/O62-100,0)</f>
        <v>-0</v>
      </c>
      <c r="V62" s="57" t="n">
        <f aca="false">ROUND(M62*100/O62-100,0)</f>
        <v>2</v>
      </c>
    </row>
    <row r="63" s="43" customFormat="true" ht="73.5" hidden="false" customHeight="true" outlineLevel="0" collapsed="false">
      <c r="A63" s="45" t="n">
        <v>52</v>
      </c>
      <c r="B63" s="46" t="s">
        <v>107</v>
      </c>
      <c r="C63" s="47" t="s">
        <v>45</v>
      </c>
      <c r="D63" s="48" t="n">
        <v>30.2</v>
      </c>
      <c r="E63" s="81" t="n">
        <v>12456.8</v>
      </c>
      <c r="F63" s="47" t="s">
        <v>39</v>
      </c>
      <c r="G63" s="52" t="n">
        <f aca="false">5074.31*1000/400</f>
        <v>12685.775</v>
      </c>
      <c r="H63" s="53" t="n">
        <f aca="false">D63*G63</f>
        <v>383110.405</v>
      </c>
      <c r="I63" s="47" t="s">
        <v>40</v>
      </c>
      <c r="J63" s="52" t="n">
        <f aca="false">5560*1000/400/1.2</f>
        <v>11583.3333333333</v>
      </c>
      <c r="K63" s="53" t="n">
        <f aca="false">D63*J63</f>
        <v>349816.666666667</v>
      </c>
      <c r="L63" s="47" t="s">
        <v>108</v>
      </c>
      <c r="M63" s="52" t="n">
        <f aca="false">5299.17*1000/400</f>
        <v>13247.925</v>
      </c>
      <c r="N63" s="53" t="n">
        <f aca="false">D63*M63</f>
        <v>400087.335</v>
      </c>
      <c r="O63" s="54" t="n">
        <f aca="false">AVERAGE(G63,J63,M63)</f>
        <v>12505.6777777778</v>
      </c>
      <c r="P63" s="55" t="n">
        <f aca="false">E63*100/O63-100</f>
        <v>-0.390844691877732</v>
      </c>
      <c r="Q63" s="54" t="n">
        <f aca="false">D63*E63</f>
        <v>376195.36</v>
      </c>
      <c r="R63" s="83" t="s">
        <v>468</v>
      </c>
      <c r="T63" s="57" t="n">
        <f aca="false">ROUND(G63*100/O63-100,0)</f>
        <v>1</v>
      </c>
      <c r="U63" s="57" t="n">
        <f aca="false">ROUND(J63*100/O63-100,0)</f>
        <v>-7</v>
      </c>
      <c r="V63" s="57" t="n">
        <f aca="false">ROUND(M63*100/O63-100,0)</f>
        <v>6</v>
      </c>
    </row>
    <row r="64" s="43" customFormat="true" ht="73.5" hidden="false" customHeight="true" outlineLevel="0" collapsed="false">
      <c r="A64" s="45" t="n">
        <v>53</v>
      </c>
      <c r="B64" s="46" t="s">
        <v>109</v>
      </c>
      <c r="C64" s="47" t="s">
        <v>25</v>
      </c>
      <c r="D64" s="48" t="n">
        <v>40</v>
      </c>
      <c r="E64" s="50" t="n">
        <v>5.11</v>
      </c>
      <c r="F64" s="47" t="s">
        <v>39</v>
      </c>
      <c r="G64" s="52" t="n">
        <v>4.83</v>
      </c>
      <c r="H64" s="53" t="n">
        <f aca="false">D64*G64</f>
        <v>193.2</v>
      </c>
      <c r="I64" s="47" t="s">
        <v>54</v>
      </c>
      <c r="J64" s="52" t="n">
        <v>5.12</v>
      </c>
      <c r="K64" s="53" t="n">
        <f aca="false">D64*J64</f>
        <v>204.8</v>
      </c>
      <c r="L64" s="53" t="s">
        <v>41</v>
      </c>
      <c r="M64" s="52" t="n">
        <v>5.8</v>
      </c>
      <c r="N64" s="53" t="n">
        <f aca="false">D64*M64</f>
        <v>232</v>
      </c>
      <c r="O64" s="54" t="n">
        <f aca="false">AVERAGE(G64,J64,M64)</f>
        <v>5.25</v>
      </c>
      <c r="P64" s="55" t="n">
        <f aca="false">E64*100/O64-100</f>
        <v>-2.66666666666666</v>
      </c>
      <c r="Q64" s="54" t="n">
        <f aca="false">D64*E64</f>
        <v>204.4</v>
      </c>
      <c r="R64" s="56"/>
      <c r="T64" s="57" t="n">
        <f aca="false">ROUND(G64*100/O64-100,0)</f>
        <v>-8</v>
      </c>
      <c r="U64" s="57" t="n">
        <f aca="false">ROUND(J64*100/O64-100,0)</f>
        <v>-2</v>
      </c>
      <c r="V64" s="57" t="n">
        <f aca="false">ROUND(M64*100/O64-100,0)</f>
        <v>10</v>
      </c>
    </row>
    <row r="65" s="43" customFormat="true" ht="73.5" hidden="false" customHeight="true" outlineLevel="0" collapsed="false">
      <c r="A65" s="45" t="n">
        <v>54</v>
      </c>
      <c r="B65" s="46" t="s">
        <v>110</v>
      </c>
      <c r="C65" s="47" t="s">
        <v>25</v>
      </c>
      <c r="D65" s="48" t="n">
        <v>20</v>
      </c>
      <c r="E65" s="50" t="n">
        <v>7.08</v>
      </c>
      <c r="F65" s="47" t="s">
        <v>39</v>
      </c>
      <c r="G65" s="52" t="n">
        <v>6.95</v>
      </c>
      <c r="H65" s="53" t="n">
        <f aca="false">D65*G65</f>
        <v>139</v>
      </c>
      <c r="I65" s="47" t="s">
        <v>54</v>
      </c>
      <c r="J65" s="52" t="n">
        <v>7.32</v>
      </c>
      <c r="K65" s="53" t="n">
        <f aca="false">D65*J65</f>
        <v>146.4</v>
      </c>
      <c r="L65" s="53" t="s">
        <v>41</v>
      </c>
      <c r="M65" s="52" t="n">
        <v>7.13</v>
      </c>
      <c r="N65" s="53" t="n">
        <f aca="false">D65*M65</f>
        <v>142.6</v>
      </c>
      <c r="O65" s="54" t="n">
        <f aca="false">AVERAGE(G65,J65,M65)</f>
        <v>7.13333333333333</v>
      </c>
      <c r="P65" s="55" t="n">
        <f aca="false">E65*100/O65-100</f>
        <v>-0.747663551401857</v>
      </c>
      <c r="Q65" s="54" t="n">
        <f aca="false">D65*E65</f>
        <v>141.6</v>
      </c>
      <c r="R65" s="56"/>
      <c r="T65" s="57" t="n">
        <f aca="false">ROUND(G65*100/O65-100,0)</f>
        <v>-3</v>
      </c>
      <c r="U65" s="57" t="n">
        <f aca="false">ROUND(J65*100/O65-100,0)</f>
        <v>3</v>
      </c>
      <c r="V65" s="57" t="n">
        <f aca="false">ROUND(M65*100/O65-100,0)</f>
        <v>-0</v>
      </c>
    </row>
    <row r="66" s="43" customFormat="true" ht="73.5" hidden="false" customHeight="true" outlineLevel="0" collapsed="false">
      <c r="A66" s="45" t="n">
        <v>55</v>
      </c>
      <c r="B66" s="46" t="s">
        <v>111</v>
      </c>
      <c r="C66" s="47" t="s">
        <v>25</v>
      </c>
      <c r="D66" s="48" t="n">
        <v>480</v>
      </c>
      <c r="E66" s="50" t="n">
        <v>18.6</v>
      </c>
      <c r="F66" s="47" t="s">
        <v>39</v>
      </c>
      <c r="G66" s="52" t="n">
        <v>18.07</v>
      </c>
      <c r="H66" s="53" t="n">
        <f aca="false">D66*G66</f>
        <v>8673.6</v>
      </c>
      <c r="I66" s="47" t="s">
        <v>54</v>
      </c>
      <c r="J66" s="52" t="n">
        <v>17.59</v>
      </c>
      <c r="K66" s="53" t="n">
        <f aca="false">D66*J66</f>
        <v>8443.2</v>
      </c>
      <c r="L66" s="53" t="s">
        <v>41</v>
      </c>
      <c r="M66" s="52" t="n">
        <v>21.07</v>
      </c>
      <c r="N66" s="53" t="n">
        <f aca="false">D66*M66</f>
        <v>10113.6</v>
      </c>
      <c r="O66" s="54" t="n">
        <f aca="false">AVERAGE(G66,J66,M66)</f>
        <v>18.91</v>
      </c>
      <c r="P66" s="55" t="n">
        <f aca="false">E66*100/O66-100</f>
        <v>-1.63934426229507</v>
      </c>
      <c r="Q66" s="54" t="n">
        <f aca="false">D66*E66</f>
        <v>8928</v>
      </c>
      <c r="R66" s="56"/>
      <c r="T66" s="57" t="n">
        <f aca="false">ROUND(G66*100/O66-100,0)</f>
        <v>-4</v>
      </c>
      <c r="U66" s="57" t="n">
        <f aca="false">ROUND(J66*100/O66-100,0)</f>
        <v>-7</v>
      </c>
      <c r="V66" s="57" t="n">
        <f aca="false">ROUND(M66*100/O66-100,0)</f>
        <v>11</v>
      </c>
    </row>
    <row r="67" s="43" customFormat="true" ht="73.5" hidden="false" customHeight="true" outlineLevel="0" collapsed="false">
      <c r="A67" s="45" t="n">
        <v>56</v>
      </c>
      <c r="B67" s="46" t="s">
        <v>112</v>
      </c>
      <c r="C67" s="47" t="s">
        <v>25</v>
      </c>
      <c r="D67" s="48" t="n">
        <v>1200</v>
      </c>
      <c r="E67" s="50" t="n">
        <v>33.56</v>
      </c>
      <c r="F67" s="47" t="s">
        <v>39</v>
      </c>
      <c r="G67" s="52" t="n">
        <v>33.19</v>
      </c>
      <c r="H67" s="53" t="n">
        <f aca="false">D67*G67</f>
        <v>39828</v>
      </c>
      <c r="I67" s="47" t="s">
        <v>54</v>
      </c>
      <c r="J67" s="52" t="n">
        <v>36.54</v>
      </c>
      <c r="K67" s="53" t="n">
        <f aca="false">D67*J67</f>
        <v>43848</v>
      </c>
      <c r="L67" s="53" t="s">
        <v>41</v>
      </c>
      <c r="M67" s="52" t="n">
        <v>31.47</v>
      </c>
      <c r="N67" s="53" t="n">
        <f aca="false">D67*M67</f>
        <v>37764</v>
      </c>
      <c r="O67" s="54" t="n">
        <f aca="false">AVERAGE(G67,J67,M67)</f>
        <v>33.7333333333333</v>
      </c>
      <c r="P67" s="55" t="n">
        <f aca="false">E67*100/O67-100</f>
        <v>-0.513833992094845</v>
      </c>
      <c r="Q67" s="54" t="n">
        <f aca="false">D67*E67</f>
        <v>40272</v>
      </c>
      <c r="R67" s="56"/>
      <c r="T67" s="57" t="n">
        <f aca="false">ROUND(G67*100/O67-100,0)</f>
        <v>-2</v>
      </c>
      <c r="U67" s="57" t="n">
        <f aca="false">ROUND(J67*100/O67-100,0)</f>
        <v>8</v>
      </c>
      <c r="V67" s="57" t="n">
        <f aca="false">ROUND(M67*100/O67-100,0)</f>
        <v>-7</v>
      </c>
    </row>
    <row r="68" s="43" customFormat="true" ht="73.5" hidden="false" customHeight="true" outlineLevel="0" collapsed="false">
      <c r="A68" s="45" t="n">
        <v>57</v>
      </c>
      <c r="B68" s="46" t="s">
        <v>113</v>
      </c>
      <c r="C68" s="47" t="s">
        <v>25</v>
      </c>
      <c r="D68" s="48" t="n">
        <v>40</v>
      </c>
      <c r="E68" s="50" t="n">
        <v>1.5</v>
      </c>
      <c r="F68" s="47" t="s">
        <v>39</v>
      </c>
      <c r="G68" s="52" t="n">
        <v>1.47</v>
      </c>
      <c r="H68" s="53" t="n">
        <f aca="false">D68*G68</f>
        <v>58.8</v>
      </c>
      <c r="I68" s="47" t="s">
        <v>54</v>
      </c>
      <c r="J68" s="52" t="n">
        <v>1.4</v>
      </c>
      <c r="K68" s="53" t="n">
        <f aca="false">D68*J68</f>
        <v>56</v>
      </c>
      <c r="L68" s="53" t="s">
        <v>41</v>
      </c>
      <c r="M68" s="52" t="n">
        <v>1.65</v>
      </c>
      <c r="N68" s="53" t="n">
        <f aca="false">D68*M68</f>
        <v>66</v>
      </c>
      <c r="O68" s="54" t="n">
        <f aca="false">AVERAGE(G68,J68,M68)</f>
        <v>1.50666666666667</v>
      </c>
      <c r="P68" s="55" t="n">
        <f aca="false">E68*100/O68-100</f>
        <v>-0.442477876106196</v>
      </c>
      <c r="Q68" s="54" t="n">
        <f aca="false">D68*E68</f>
        <v>60</v>
      </c>
      <c r="R68" s="56"/>
      <c r="T68" s="57" t="n">
        <f aca="false">ROUND(G68*100/O68-100,0)</f>
        <v>-2</v>
      </c>
      <c r="U68" s="57" t="n">
        <f aca="false">ROUND(J68*100/O68-100,0)</f>
        <v>-7</v>
      </c>
      <c r="V68" s="57" t="n">
        <f aca="false">ROUND(M68*100/O68-100,0)</f>
        <v>10</v>
      </c>
    </row>
    <row r="69" s="43" customFormat="true" ht="73.5" hidden="false" customHeight="true" outlineLevel="0" collapsed="false">
      <c r="A69" s="45" t="n">
        <v>58</v>
      </c>
      <c r="B69" s="46" t="s">
        <v>114</v>
      </c>
      <c r="C69" s="47" t="s">
        <v>25</v>
      </c>
      <c r="D69" s="48" t="n">
        <v>30</v>
      </c>
      <c r="E69" s="50" t="n">
        <v>2.99</v>
      </c>
      <c r="F69" s="47" t="s">
        <v>39</v>
      </c>
      <c r="G69" s="52" t="n">
        <v>2.92</v>
      </c>
      <c r="H69" s="53" t="n">
        <f aca="false">D69*G69</f>
        <v>87.6</v>
      </c>
      <c r="I69" s="47" t="s">
        <v>54</v>
      </c>
      <c r="J69" s="52" t="n">
        <v>3.1</v>
      </c>
      <c r="K69" s="53" t="n">
        <f aca="false">D69*J69</f>
        <v>93</v>
      </c>
      <c r="L69" s="53" t="s">
        <v>41</v>
      </c>
      <c r="M69" s="52" t="n">
        <v>2.98</v>
      </c>
      <c r="N69" s="53" t="n">
        <f aca="false">D69*M69</f>
        <v>89.4</v>
      </c>
      <c r="O69" s="54" t="n">
        <f aca="false">AVERAGE(G69,J69,M69)</f>
        <v>3</v>
      </c>
      <c r="P69" s="55" t="n">
        <f aca="false">E69*100/O69-100</f>
        <v>-0.333333333333329</v>
      </c>
      <c r="Q69" s="54" t="n">
        <f aca="false">D69*E69</f>
        <v>89.7</v>
      </c>
      <c r="R69" s="56"/>
      <c r="T69" s="57" t="n">
        <f aca="false">ROUND(G69*100/O69-100,0)</f>
        <v>-3</v>
      </c>
      <c r="U69" s="57" t="n">
        <f aca="false">ROUND(J69*100/O69-100,0)</f>
        <v>3</v>
      </c>
      <c r="V69" s="57" t="n">
        <f aca="false">ROUND(M69*100/O69-100,0)</f>
        <v>-1</v>
      </c>
    </row>
    <row r="70" s="43" customFormat="true" ht="60" hidden="false" customHeight="true" outlineLevel="0" collapsed="false">
      <c r="A70" s="45" t="n">
        <v>59</v>
      </c>
      <c r="B70" s="46" t="s">
        <v>115</v>
      </c>
      <c r="C70" s="47" t="s">
        <v>25</v>
      </c>
      <c r="D70" s="48" t="n">
        <v>6</v>
      </c>
      <c r="E70" s="50" t="n">
        <v>235.6</v>
      </c>
      <c r="F70" s="47" t="s">
        <v>469</v>
      </c>
      <c r="G70" s="52" t="n">
        <v>214</v>
      </c>
      <c r="H70" s="53" t="n">
        <f aca="false">D70*G70</f>
        <v>1284</v>
      </c>
      <c r="I70" s="47" t="s">
        <v>470</v>
      </c>
      <c r="J70" s="52" t="n">
        <v>278.67</v>
      </c>
      <c r="K70" s="53" t="n">
        <f aca="false">D70*J70</f>
        <v>1672.02</v>
      </c>
      <c r="L70" s="53" t="s">
        <v>471</v>
      </c>
      <c r="M70" s="52" t="n">
        <v>221.08</v>
      </c>
      <c r="N70" s="53" t="n">
        <f aca="false">D70*M70</f>
        <v>1326.48</v>
      </c>
      <c r="O70" s="54" t="n">
        <f aca="false">AVERAGE(G70,J70,M70)</f>
        <v>237.916666666667</v>
      </c>
      <c r="P70" s="55" t="n">
        <f aca="false">E70*100/O70-100</f>
        <v>-0.973730297723293</v>
      </c>
      <c r="Q70" s="54" t="n">
        <f aca="false">D70*E70</f>
        <v>1413.6</v>
      </c>
      <c r="R70" s="62" t="s">
        <v>472</v>
      </c>
      <c r="T70" s="57" t="n">
        <f aca="false">ROUND(G70*100/O70-100,0)</f>
        <v>-10</v>
      </c>
      <c r="U70" s="57" t="n">
        <f aca="false">ROUND(J70*100/O70-100,0)</f>
        <v>17</v>
      </c>
      <c r="V70" s="57" t="n">
        <f aca="false">ROUND(M70*100/O70-100,0)</f>
        <v>-7</v>
      </c>
    </row>
    <row r="71" s="43" customFormat="true" ht="73.5" hidden="false" customHeight="true" outlineLevel="0" collapsed="false">
      <c r="A71" s="45" t="n">
        <v>60</v>
      </c>
      <c r="B71" s="46" t="s">
        <v>117</v>
      </c>
      <c r="C71" s="47" t="s">
        <v>118</v>
      </c>
      <c r="D71" s="48" t="n">
        <v>135</v>
      </c>
      <c r="E71" s="50" t="n">
        <v>203.5</v>
      </c>
      <c r="F71" s="47" t="s">
        <v>56</v>
      </c>
      <c r="G71" s="52" t="n">
        <v>197.36</v>
      </c>
      <c r="H71" s="53" t="n">
        <f aca="false">D71*G71</f>
        <v>26643.6</v>
      </c>
      <c r="I71" s="47" t="s">
        <v>57</v>
      </c>
      <c r="J71" s="52" t="n">
        <v>220.92</v>
      </c>
      <c r="K71" s="53" t="n">
        <f aca="false">D71*J71</f>
        <v>29824.2</v>
      </c>
      <c r="L71" s="47" t="s">
        <v>119</v>
      </c>
      <c r="M71" s="52" t="n">
        <v>193.78</v>
      </c>
      <c r="N71" s="53" t="n">
        <f aca="false">D71*M71</f>
        <v>26160.3</v>
      </c>
      <c r="O71" s="54" t="n">
        <f aca="false">AVERAGE(G71,J71,M71)</f>
        <v>204.02</v>
      </c>
      <c r="P71" s="55" t="n">
        <f aca="false">E71*100/O71-100</f>
        <v>-0.254876972845793</v>
      </c>
      <c r="Q71" s="54" t="n">
        <f aca="false">D71*E71</f>
        <v>27472.5</v>
      </c>
      <c r="R71" s="62"/>
      <c r="T71" s="57" t="n">
        <f aca="false">ROUND(G71*100/O71-100,0)</f>
        <v>-3</v>
      </c>
      <c r="U71" s="57" t="n">
        <f aca="false">ROUND(J71*100/O71-100,0)</f>
        <v>8</v>
      </c>
      <c r="V71" s="57" t="n">
        <f aca="false">ROUND(M71*100/O71-100,0)</f>
        <v>-5</v>
      </c>
    </row>
    <row r="72" s="43" customFormat="true" ht="71.25" hidden="false" customHeight="true" outlineLevel="0" collapsed="false">
      <c r="A72" s="45" t="n">
        <v>61</v>
      </c>
      <c r="B72" s="46" t="s">
        <v>120</v>
      </c>
      <c r="C72" s="47" t="s">
        <v>25</v>
      </c>
      <c r="D72" s="48" t="n">
        <v>6</v>
      </c>
      <c r="E72" s="50" t="n">
        <v>175500</v>
      </c>
      <c r="F72" s="47" t="s">
        <v>56</v>
      </c>
      <c r="G72" s="52" t="n">
        <v>167514.67</v>
      </c>
      <c r="H72" s="53" t="n">
        <f aca="false">D72*G72</f>
        <v>1005088.02</v>
      </c>
      <c r="I72" s="47" t="s">
        <v>57</v>
      </c>
      <c r="J72" s="52" t="n">
        <v>184511.4</v>
      </c>
      <c r="K72" s="53" t="n">
        <f aca="false">D72*J72</f>
        <v>1107068.4</v>
      </c>
      <c r="L72" s="47" t="s">
        <v>119</v>
      </c>
      <c r="M72" s="52" t="n">
        <v>175488.6</v>
      </c>
      <c r="N72" s="53" t="n">
        <f aca="false">D72*M72</f>
        <v>1052931.6</v>
      </c>
      <c r="O72" s="54" t="n">
        <f aca="false">AVERAGE(G72,J72,M72)</f>
        <v>175838.223333333</v>
      </c>
      <c r="P72" s="55" t="n">
        <f aca="false">E72*100/O72-100</f>
        <v>-0.192349153057691</v>
      </c>
      <c r="Q72" s="54" t="n">
        <f aca="false">D72*E72</f>
        <v>1053000</v>
      </c>
      <c r="R72" s="62" t="s">
        <v>116</v>
      </c>
      <c r="T72" s="57" t="n">
        <f aca="false">ROUND(G72*100/O72-100,0)</f>
        <v>-5</v>
      </c>
      <c r="U72" s="57" t="n">
        <f aca="false">ROUND(J72*100/O72-100,0)</f>
        <v>5</v>
      </c>
      <c r="V72" s="57" t="n">
        <f aca="false">ROUND(M72*100/O72-100,0)</f>
        <v>-0</v>
      </c>
    </row>
    <row r="73" s="43" customFormat="true" ht="73.5" hidden="false" customHeight="true" outlineLevel="0" collapsed="false">
      <c r="A73" s="45" t="n">
        <v>62</v>
      </c>
      <c r="B73" s="46" t="s">
        <v>121</v>
      </c>
      <c r="C73" s="47" t="s">
        <v>25</v>
      </c>
      <c r="D73" s="48" t="n">
        <v>2</v>
      </c>
      <c r="E73" s="50" t="n">
        <v>219</v>
      </c>
      <c r="F73" s="47" t="s">
        <v>27</v>
      </c>
      <c r="G73" s="52" t="n">
        <f aca="false">261.07/1.2</f>
        <v>217.558333333333</v>
      </c>
      <c r="H73" s="53" t="n">
        <f aca="false">D73*G73</f>
        <v>435.116666666667</v>
      </c>
      <c r="I73" s="53" t="s">
        <v>28</v>
      </c>
      <c r="J73" s="52" t="n">
        <v>221.09</v>
      </c>
      <c r="K73" s="53" t="n">
        <f aca="false">D73*J73</f>
        <v>442.18</v>
      </c>
      <c r="L73" s="47" t="s">
        <v>29</v>
      </c>
      <c r="M73" s="52" t="n">
        <v>220.74</v>
      </c>
      <c r="N73" s="53" t="n">
        <f aca="false">D73*M73</f>
        <v>441.48</v>
      </c>
      <c r="O73" s="54" t="n">
        <f aca="false">AVERAGE(G73,J73,M73)</f>
        <v>219.796111111111</v>
      </c>
      <c r="P73" s="55" t="n">
        <f aca="false">E73*100/O73-100</f>
        <v>-0.362204366167632</v>
      </c>
      <c r="Q73" s="54" t="n">
        <f aca="false">D73*E73</f>
        <v>438</v>
      </c>
      <c r="R73" s="62"/>
      <c r="T73" s="57" t="n">
        <f aca="false">ROUND(G73*100/O73-100,0)</f>
        <v>-1</v>
      </c>
      <c r="U73" s="57" t="n">
        <f aca="false">ROUND(J73*100/O73-100,0)</f>
        <v>1</v>
      </c>
      <c r="V73" s="57" t="n">
        <f aca="false">ROUND(M73*100/O73-100,0)</f>
        <v>0</v>
      </c>
    </row>
    <row r="74" s="43" customFormat="true" ht="73.5" hidden="false" customHeight="true" outlineLevel="0" collapsed="false">
      <c r="A74" s="45" t="n">
        <v>63</v>
      </c>
      <c r="B74" s="46" t="s">
        <v>122</v>
      </c>
      <c r="C74" s="47" t="s">
        <v>25</v>
      </c>
      <c r="D74" s="48" t="n">
        <v>12</v>
      </c>
      <c r="E74" s="50" t="n">
        <v>14005.5</v>
      </c>
      <c r="F74" s="53" t="s">
        <v>67</v>
      </c>
      <c r="G74" s="52" t="n">
        <f aca="false">16424.57/1.2</f>
        <v>13687.1416666667</v>
      </c>
      <c r="H74" s="53" t="n">
        <f aca="false">D74*G74</f>
        <v>164245.7</v>
      </c>
      <c r="I74" s="47" t="s">
        <v>46</v>
      </c>
      <c r="J74" s="52" t="n">
        <v>13897.5</v>
      </c>
      <c r="K74" s="53" t="n">
        <f aca="false">D74*J74</f>
        <v>166770</v>
      </c>
      <c r="L74" s="47" t="s">
        <v>119</v>
      </c>
      <c r="M74" s="52" t="n">
        <v>14510.42</v>
      </c>
      <c r="N74" s="53" t="n">
        <f aca="false">D74*M74</f>
        <v>174125.04</v>
      </c>
      <c r="O74" s="54" t="n">
        <f aca="false">AVERAGE(G74,J74,M74)</f>
        <v>14031.6872222222</v>
      </c>
      <c r="P74" s="55" t="n">
        <f aca="false">E74*100/O74-100</f>
        <v>-0.186629175860972</v>
      </c>
      <c r="Q74" s="54" t="n">
        <f aca="false">D74*E74</f>
        <v>168066</v>
      </c>
      <c r="R74" s="63"/>
      <c r="T74" s="57" t="n">
        <f aca="false">ROUND(G74*100/O74-100,0)</f>
        <v>-2</v>
      </c>
      <c r="U74" s="57" t="n">
        <f aca="false">ROUND(J74*100/O74-100,0)</f>
        <v>-1</v>
      </c>
      <c r="V74" s="57" t="n">
        <f aca="false">ROUND(M74*100/O74-100,0)</f>
        <v>3</v>
      </c>
    </row>
    <row r="75" s="43" customFormat="true" ht="73.5" hidden="false" customHeight="true" outlineLevel="0" collapsed="false">
      <c r="A75" s="45" t="n">
        <v>64</v>
      </c>
      <c r="B75" s="46" t="s">
        <v>123</v>
      </c>
      <c r="C75" s="47" t="s">
        <v>25</v>
      </c>
      <c r="D75" s="48" t="n">
        <v>10</v>
      </c>
      <c r="E75" s="50" t="n">
        <v>1705.6</v>
      </c>
      <c r="F75" s="47" t="s">
        <v>27</v>
      </c>
      <c r="G75" s="52" t="n">
        <f aca="false">2031.58/1.2</f>
        <v>1692.98333333333</v>
      </c>
      <c r="H75" s="53" t="n">
        <f aca="false">D75*G75</f>
        <v>16929.8333333333</v>
      </c>
      <c r="I75" s="53" t="s">
        <v>28</v>
      </c>
      <c r="J75" s="52" t="n">
        <v>1709.88</v>
      </c>
      <c r="K75" s="53" t="n">
        <f aca="false">D75*J75</f>
        <v>17098.8</v>
      </c>
      <c r="L75" s="47" t="s">
        <v>29</v>
      </c>
      <c r="M75" s="52" t="n">
        <v>1726.06</v>
      </c>
      <c r="N75" s="53" t="n">
        <f aca="false">D75*M75</f>
        <v>17260.6</v>
      </c>
      <c r="O75" s="54" t="n">
        <f aca="false">AVERAGE(G75,J75,M75)</f>
        <v>1709.64111111111</v>
      </c>
      <c r="P75" s="55" t="n">
        <f aca="false">E75*100/O75-100</f>
        <v>-0.236371896115941</v>
      </c>
      <c r="Q75" s="54" t="n">
        <f aca="false">D75*E75</f>
        <v>17056</v>
      </c>
      <c r="R75" s="63"/>
      <c r="T75" s="57" t="n">
        <f aca="false">ROUND(G75*100/O75-100,0)</f>
        <v>-1</v>
      </c>
      <c r="U75" s="57" t="n">
        <f aca="false">ROUND(J75*100/O75-100,0)</f>
        <v>0</v>
      </c>
      <c r="V75" s="57" t="n">
        <f aca="false">ROUND(M75*100/O75-100,0)</f>
        <v>1</v>
      </c>
    </row>
    <row r="76" s="43" customFormat="true" ht="73.5" hidden="false" customHeight="true" outlineLevel="0" collapsed="false">
      <c r="A76" s="45" t="n">
        <v>65</v>
      </c>
      <c r="B76" s="46" t="s">
        <v>124</v>
      </c>
      <c r="C76" s="47" t="s">
        <v>25</v>
      </c>
      <c r="D76" s="48" t="n">
        <v>3</v>
      </c>
      <c r="E76" s="50" t="n">
        <v>2340</v>
      </c>
      <c r="F76" s="47" t="s">
        <v>27</v>
      </c>
      <c r="G76" s="52" t="n">
        <f aca="false">2816.81/1.2</f>
        <v>2347.34166666667</v>
      </c>
      <c r="H76" s="53" t="n">
        <f aca="false">D76*G76</f>
        <v>7042.025</v>
      </c>
      <c r="I76" s="53" t="s">
        <v>28</v>
      </c>
      <c r="J76" s="52" t="n">
        <v>2317.52</v>
      </c>
      <c r="K76" s="53" t="n">
        <f aca="false">D76*J76</f>
        <v>6952.56</v>
      </c>
      <c r="L76" s="47" t="s">
        <v>29</v>
      </c>
      <c r="M76" s="52" t="n">
        <v>2358.33</v>
      </c>
      <c r="N76" s="53" t="n">
        <f aca="false">D76*M76</f>
        <v>7074.99</v>
      </c>
      <c r="O76" s="54" t="n">
        <f aca="false">AVERAGE(G76,J76,M76)</f>
        <v>2341.06388888889</v>
      </c>
      <c r="P76" s="55" t="n">
        <f aca="false">E76*100/O76-100</f>
        <v>-0.0454446755570501</v>
      </c>
      <c r="Q76" s="54" t="n">
        <f aca="false">D76*E76</f>
        <v>7020</v>
      </c>
      <c r="R76" s="56"/>
      <c r="T76" s="57" t="n">
        <f aca="false">ROUND(G76*100/O76-100,0)</f>
        <v>0</v>
      </c>
      <c r="U76" s="57" t="n">
        <f aca="false">ROUND(J76*100/O76-100,0)</f>
        <v>-1</v>
      </c>
      <c r="V76" s="57" t="n">
        <f aca="false">ROUND(M76*100/O76-100,0)</f>
        <v>1</v>
      </c>
    </row>
    <row r="77" s="43" customFormat="true" ht="73.5" hidden="false" customHeight="true" outlineLevel="0" collapsed="false">
      <c r="A77" s="45" t="n">
        <v>66</v>
      </c>
      <c r="B77" s="46" t="s">
        <v>125</v>
      </c>
      <c r="C77" s="47" t="s">
        <v>25</v>
      </c>
      <c r="D77" s="48" t="n">
        <v>15</v>
      </c>
      <c r="E77" s="50" t="n">
        <v>5605.6</v>
      </c>
      <c r="F77" s="47" t="s">
        <v>27</v>
      </c>
      <c r="G77" s="52" t="n">
        <f aca="false">6814.33/1.2</f>
        <v>5678.60833333333</v>
      </c>
      <c r="H77" s="53" t="n">
        <f aca="false">D77*G77</f>
        <v>85179.125</v>
      </c>
      <c r="I77" s="53" t="s">
        <v>28</v>
      </c>
      <c r="J77" s="52" t="n">
        <v>5594.41</v>
      </c>
      <c r="K77" s="53" t="n">
        <f aca="false">D77*J77</f>
        <v>83916.15</v>
      </c>
      <c r="L77" s="47" t="s">
        <v>29</v>
      </c>
      <c r="M77" s="52" t="n">
        <v>5611.85</v>
      </c>
      <c r="N77" s="53" t="n">
        <f aca="false">D77*M77</f>
        <v>84177.75</v>
      </c>
      <c r="O77" s="54" t="n">
        <f aca="false">AVERAGE(G77,J77,M77)</f>
        <v>5628.28944444444</v>
      </c>
      <c r="P77" s="55" t="n">
        <f aca="false">E77*100/O77-100</f>
        <v>-0.403132153532724</v>
      </c>
      <c r="Q77" s="54" t="n">
        <f aca="false">D77*E77</f>
        <v>84084</v>
      </c>
      <c r="R77" s="56"/>
      <c r="T77" s="57" t="n">
        <f aca="false">ROUND(G77*100/O77-100,0)</f>
        <v>1</v>
      </c>
      <c r="U77" s="57" t="n">
        <f aca="false">ROUND(J77*100/O77-100,0)</f>
        <v>-1</v>
      </c>
      <c r="V77" s="57" t="n">
        <f aca="false">ROUND(M77*100/O77-100,0)</f>
        <v>-0</v>
      </c>
    </row>
    <row r="78" s="43" customFormat="true" ht="73.5" hidden="false" customHeight="true" outlineLevel="0" collapsed="false">
      <c r="A78" s="45" t="n">
        <v>67</v>
      </c>
      <c r="B78" s="46" t="s">
        <v>126</v>
      </c>
      <c r="C78" s="47" t="s">
        <v>25</v>
      </c>
      <c r="D78" s="48" t="n">
        <v>14</v>
      </c>
      <c r="E78" s="50" t="n">
        <v>3200.5</v>
      </c>
      <c r="F78" s="47" t="s">
        <v>27</v>
      </c>
      <c r="G78" s="52" t="n">
        <f aca="false">3807.04/1.2</f>
        <v>3172.53333333333</v>
      </c>
      <c r="H78" s="53" t="n">
        <f aca="false">D78*G78</f>
        <v>44415.4666666667</v>
      </c>
      <c r="I78" s="53" t="s">
        <v>28</v>
      </c>
      <c r="J78" s="52" t="n">
        <v>3199.28</v>
      </c>
      <c r="K78" s="53" t="n">
        <f aca="false">D78*J78</f>
        <v>44789.92</v>
      </c>
      <c r="L78" s="47" t="s">
        <v>29</v>
      </c>
      <c r="M78" s="52" t="n">
        <v>3253.76</v>
      </c>
      <c r="N78" s="53" t="n">
        <f aca="false">D78*M78</f>
        <v>45552.64</v>
      </c>
      <c r="O78" s="54" t="n">
        <f aca="false">AVERAGE(G78,J78,M78)</f>
        <v>3208.52444444444</v>
      </c>
      <c r="P78" s="55" t="n">
        <f aca="false">E78*100/O78-100</f>
        <v>-0.250097656520552</v>
      </c>
      <c r="Q78" s="54" t="n">
        <f aca="false">D78*E78</f>
        <v>44807</v>
      </c>
      <c r="R78" s="56"/>
      <c r="T78" s="57" t="n">
        <f aca="false">ROUND(G78*100/O78-100,0)</f>
        <v>-1</v>
      </c>
      <c r="U78" s="57" t="n">
        <f aca="false">ROUND(J78*100/O78-100,0)</f>
        <v>-0</v>
      </c>
      <c r="V78" s="57" t="n">
        <f aca="false">ROUND(M78*100/O78-100,0)</f>
        <v>1</v>
      </c>
    </row>
    <row r="79" s="43" customFormat="true" ht="73.5" hidden="false" customHeight="true" outlineLevel="0" collapsed="false">
      <c r="A79" s="45" t="n">
        <v>68</v>
      </c>
      <c r="B79" s="46" t="s">
        <v>127</v>
      </c>
      <c r="C79" s="47" t="s">
        <v>25</v>
      </c>
      <c r="D79" s="48" t="n">
        <v>10</v>
      </c>
      <c r="E79" s="50" t="n">
        <v>5345.3</v>
      </c>
      <c r="F79" s="47" t="s">
        <v>27</v>
      </c>
      <c r="G79" s="52" t="n">
        <f aca="false">6364.89/1.2</f>
        <v>5304.075</v>
      </c>
      <c r="H79" s="53" t="n">
        <f aca="false">D79*G79</f>
        <v>53040.75</v>
      </c>
      <c r="I79" s="53" t="s">
        <v>28</v>
      </c>
      <c r="J79" s="52" t="n">
        <v>5388.67</v>
      </c>
      <c r="K79" s="53" t="n">
        <f aca="false">D79*J79</f>
        <v>53886.7</v>
      </c>
      <c r="L79" s="47" t="s">
        <v>29</v>
      </c>
      <c r="M79" s="52" t="n">
        <v>5357.13</v>
      </c>
      <c r="N79" s="53" t="n">
        <f aca="false">D79*M79</f>
        <v>53571.3</v>
      </c>
      <c r="O79" s="54" t="n">
        <f aca="false">AVERAGE(G79,J79,M79)</f>
        <v>5349.95833333333</v>
      </c>
      <c r="P79" s="55" t="n">
        <f aca="false">E79*100/O79-100</f>
        <v>-0.0870723292237443</v>
      </c>
      <c r="Q79" s="54" t="n">
        <f aca="false">D79*E79</f>
        <v>53453</v>
      </c>
      <c r="R79" s="56"/>
      <c r="T79" s="57" t="n">
        <f aca="false">ROUND(G79*100/O79-100,0)</f>
        <v>-1</v>
      </c>
      <c r="U79" s="57" t="n">
        <f aca="false">ROUND(J79*100/O79-100,0)</f>
        <v>1</v>
      </c>
      <c r="V79" s="57" t="n">
        <f aca="false">ROUND(M79*100/O79-100,0)</f>
        <v>0</v>
      </c>
    </row>
    <row r="80" s="43" customFormat="true" ht="73.5" hidden="false" customHeight="true" outlineLevel="0" collapsed="false">
      <c r="A80" s="45" t="n">
        <v>69</v>
      </c>
      <c r="B80" s="46" t="s">
        <v>128</v>
      </c>
      <c r="C80" s="47" t="s">
        <v>25</v>
      </c>
      <c r="D80" s="48" t="n">
        <v>76</v>
      </c>
      <c r="E80" s="50" t="n">
        <v>5560.15</v>
      </c>
      <c r="F80" s="47" t="s">
        <v>27</v>
      </c>
      <c r="G80" s="52" t="n">
        <f aca="false">6612.37/1.2</f>
        <v>5510.30833333333</v>
      </c>
      <c r="H80" s="53" t="n">
        <f aca="false">D80*G80</f>
        <v>418783.433333333</v>
      </c>
      <c r="I80" s="53" t="s">
        <v>28</v>
      </c>
      <c r="J80" s="52" t="n">
        <v>5580.04</v>
      </c>
      <c r="K80" s="53" t="n">
        <f aca="false">D80*J80</f>
        <v>424083.04</v>
      </c>
      <c r="L80" s="47" t="s">
        <v>29</v>
      </c>
      <c r="M80" s="52" t="n">
        <v>5607.97</v>
      </c>
      <c r="N80" s="53" t="n">
        <f aca="false">D80*M80</f>
        <v>426205.72</v>
      </c>
      <c r="O80" s="54" t="n">
        <f aca="false">AVERAGE(G80,J80,M80)</f>
        <v>5566.10611111111</v>
      </c>
      <c r="P80" s="55" t="n">
        <f aca="false">E80*100/O80-100</f>
        <v>-0.107006783417617</v>
      </c>
      <c r="Q80" s="54" t="n">
        <f aca="false">D80*E80</f>
        <v>422571.4</v>
      </c>
      <c r="R80" s="56"/>
      <c r="T80" s="57" t="n">
        <f aca="false">ROUND(G80*100/O80-100,0)</f>
        <v>-1</v>
      </c>
      <c r="U80" s="57" t="n">
        <f aca="false">ROUND(J80*100/O80-100,0)</f>
        <v>0</v>
      </c>
      <c r="V80" s="57" t="n">
        <f aca="false">ROUND(M80*100/O80-100,0)</f>
        <v>1</v>
      </c>
    </row>
    <row r="81" s="43" customFormat="true" ht="73.5" hidden="false" customHeight="true" outlineLevel="0" collapsed="false">
      <c r="A81" s="45" t="n">
        <v>70</v>
      </c>
      <c r="B81" s="46" t="s">
        <v>129</v>
      </c>
      <c r="C81" s="47" t="s">
        <v>25</v>
      </c>
      <c r="D81" s="48" t="n">
        <v>5</v>
      </c>
      <c r="E81" s="50" t="n">
        <v>543.5</v>
      </c>
      <c r="F81" s="47" t="s">
        <v>27</v>
      </c>
      <c r="G81" s="52" t="n">
        <f aca="false">638.2/1.2</f>
        <v>531.833333333333</v>
      </c>
      <c r="H81" s="53" t="n">
        <f aca="false">D81*G81</f>
        <v>2659.16666666667</v>
      </c>
      <c r="I81" s="53" t="s">
        <v>28</v>
      </c>
      <c r="J81" s="52" t="n">
        <f aca="false">671.58/1.2</f>
        <v>559.65</v>
      </c>
      <c r="K81" s="53" t="n">
        <f aca="false">D81*J81</f>
        <v>2798.25</v>
      </c>
      <c r="L81" s="47" t="s">
        <v>29</v>
      </c>
      <c r="M81" s="52" t="n">
        <v>541.09</v>
      </c>
      <c r="N81" s="53" t="n">
        <f aca="false">D81*M81</f>
        <v>2705.45</v>
      </c>
      <c r="O81" s="54" t="n">
        <f aca="false">AVERAGE(G81,J81,M81)</f>
        <v>544.191111111111</v>
      </c>
      <c r="P81" s="55" t="n">
        <f aca="false">E81*100/O81-100</f>
        <v>-0.126997868395904</v>
      </c>
      <c r="Q81" s="54" t="n">
        <f aca="false">D81*E81</f>
        <v>2717.5</v>
      </c>
      <c r="R81" s="56"/>
      <c r="T81" s="57" t="n">
        <f aca="false">ROUND(G81*100/O81-100,0)</f>
        <v>-2</v>
      </c>
      <c r="U81" s="57" t="n">
        <f aca="false">ROUND(J81*100/O81-100,0)</f>
        <v>3</v>
      </c>
      <c r="V81" s="57" t="n">
        <f aca="false">ROUND(M81*100/O81-100,0)</f>
        <v>-1</v>
      </c>
    </row>
    <row r="82" s="43" customFormat="true" ht="73.5" hidden="false" customHeight="true" outlineLevel="0" collapsed="false">
      <c r="A82" s="45" t="n">
        <v>71</v>
      </c>
      <c r="B82" s="46" t="s">
        <v>130</v>
      </c>
      <c r="C82" s="47" t="s">
        <v>25</v>
      </c>
      <c r="D82" s="48" t="s">
        <v>131</v>
      </c>
      <c r="E82" s="50" t="n">
        <v>0.94</v>
      </c>
      <c r="F82" s="47" t="s">
        <v>39</v>
      </c>
      <c r="G82" s="52" t="n">
        <f aca="false">88.7/100</f>
        <v>0.887</v>
      </c>
      <c r="H82" s="53" t="n">
        <f aca="false">D82*G82</f>
        <v>7096</v>
      </c>
      <c r="I82" s="47" t="s">
        <v>54</v>
      </c>
      <c r="J82" s="52" t="n">
        <v>0.94</v>
      </c>
      <c r="K82" s="53" t="n">
        <f aca="false">D82*J82</f>
        <v>7520</v>
      </c>
      <c r="L82" s="53" t="s">
        <v>41</v>
      </c>
      <c r="M82" s="52" t="n">
        <v>1.02</v>
      </c>
      <c r="N82" s="53" t="n">
        <f aca="false">D82*M82</f>
        <v>8160</v>
      </c>
      <c r="O82" s="54" t="n">
        <f aca="false">AVERAGE(G82,J82,M82)</f>
        <v>0.949</v>
      </c>
      <c r="P82" s="55" t="n">
        <f aca="false">E82*100/O82-100</f>
        <v>-0.948366701791358</v>
      </c>
      <c r="Q82" s="54" t="n">
        <f aca="false">D82*E82</f>
        <v>7520</v>
      </c>
      <c r="R82" s="56"/>
      <c r="T82" s="57" t="n">
        <f aca="false">ROUND(G82*100/O82-100,0)</f>
        <v>-7</v>
      </c>
      <c r="U82" s="57" t="n">
        <f aca="false">ROUND(J82*100/O82-100,0)</f>
        <v>-1</v>
      </c>
      <c r="V82" s="57" t="n">
        <f aca="false">ROUND(M82*100/O82-100,0)</f>
        <v>7</v>
      </c>
    </row>
    <row r="83" s="43" customFormat="true" ht="73.5" hidden="false" customHeight="true" outlineLevel="0" collapsed="false">
      <c r="A83" s="45" t="n">
        <v>72</v>
      </c>
      <c r="B83" s="46" t="s">
        <v>132</v>
      </c>
      <c r="C83" s="47" t="s">
        <v>25</v>
      </c>
      <c r="D83" s="48" t="n">
        <v>17</v>
      </c>
      <c r="E83" s="50" t="n">
        <v>542.5</v>
      </c>
      <c r="F83" s="47" t="s">
        <v>27</v>
      </c>
      <c r="G83" s="52" t="n">
        <f aca="false">609.85/1.2</f>
        <v>508.208333333333</v>
      </c>
      <c r="H83" s="53" t="n">
        <f aca="false">D83*G83</f>
        <v>8639.54166666667</v>
      </c>
      <c r="I83" s="53" t="s">
        <v>28</v>
      </c>
      <c r="J83" s="52" t="n">
        <v>553.87</v>
      </c>
      <c r="K83" s="53" t="n">
        <f aca="false">D83*J83</f>
        <v>9415.79</v>
      </c>
      <c r="L83" s="47" t="s">
        <v>29</v>
      </c>
      <c r="M83" s="52" t="n">
        <v>567.42</v>
      </c>
      <c r="N83" s="53" t="n">
        <f aca="false">D83*M83</f>
        <v>9646.14</v>
      </c>
      <c r="O83" s="54" t="n">
        <f aca="false">AVERAGE(G83,J83,M83)</f>
        <v>543.166111111111</v>
      </c>
      <c r="P83" s="55" t="n">
        <f aca="false">E83*100/O83-100</f>
        <v>-0.122634880469349</v>
      </c>
      <c r="Q83" s="54" t="n">
        <f aca="false">D83*E83</f>
        <v>9222.5</v>
      </c>
      <c r="R83" s="63"/>
      <c r="T83" s="57" t="n">
        <f aca="false">ROUND(G83*100/O83-100,0)</f>
        <v>-6</v>
      </c>
      <c r="U83" s="57" t="n">
        <f aca="false">ROUND(J83*100/O83-100,0)</f>
        <v>2</v>
      </c>
      <c r="V83" s="57" t="n">
        <f aca="false">ROUND(M83*100/O83-100,0)</f>
        <v>4</v>
      </c>
    </row>
    <row r="84" s="43" customFormat="true" ht="73.5" hidden="false" customHeight="true" outlineLevel="0" collapsed="false">
      <c r="A84" s="45" t="n">
        <v>73</v>
      </c>
      <c r="B84" s="46" t="s">
        <v>133</v>
      </c>
      <c r="C84" s="47" t="s">
        <v>25</v>
      </c>
      <c r="D84" s="48" t="n">
        <v>10</v>
      </c>
      <c r="E84" s="50" t="n">
        <v>37.5</v>
      </c>
      <c r="F84" s="47" t="s">
        <v>39</v>
      </c>
      <c r="G84" s="52" t="n">
        <v>33.14</v>
      </c>
      <c r="H84" s="53" t="n">
        <f aca="false">D84*G84</f>
        <v>331.4</v>
      </c>
      <c r="I84" s="47" t="s">
        <v>54</v>
      </c>
      <c r="J84" s="52" t="n">
        <v>39.51</v>
      </c>
      <c r="K84" s="53" t="n">
        <f aca="false">D84*J84</f>
        <v>395.1</v>
      </c>
      <c r="L84" s="47" t="s">
        <v>29</v>
      </c>
      <c r="M84" s="52" t="n">
        <v>40.06</v>
      </c>
      <c r="N84" s="53" t="n">
        <f aca="false">D84*M84</f>
        <v>400.6</v>
      </c>
      <c r="O84" s="54" t="n">
        <f aca="false">AVERAGE(G84,J84,M84)</f>
        <v>37.57</v>
      </c>
      <c r="P84" s="55" t="n">
        <f aca="false">E84*100/O84-100</f>
        <v>-0.18631887143998</v>
      </c>
      <c r="Q84" s="54" t="n">
        <f aca="false">D84*E84</f>
        <v>375</v>
      </c>
      <c r="R84" s="62" t="s">
        <v>116</v>
      </c>
      <c r="T84" s="57" t="n">
        <f aca="false">ROUND(G84*100/O84-100,0)</f>
        <v>-12</v>
      </c>
      <c r="U84" s="57" t="n">
        <f aca="false">ROUND(J84*100/O84-100,0)</f>
        <v>5</v>
      </c>
      <c r="V84" s="57" t="n">
        <f aca="false">ROUND(M84*100/O84-100,0)</f>
        <v>7</v>
      </c>
    </row>
    <row r="85" s="43" customFormat="true" ht="73.5" hidden="false" customHeight="true" outlineLevel="0" collapsed="false">
      <c r="A85" s="45" t="n">
        <v>74</v>
      </c>
      <c r="B85" s="46" t="s">
        <v>134</v>
      </c>
      <c r="C85" s="47" t="s">
        <v>25</v>
      </c>
      <c r="D85" s="48" t="n">
        <v>100</v>
      </c>
      <c r="E85" s="50" t="n">
        <v>139</v>
      </c>
      <c r="F85" s="47" t="s">
        <v>27</v>
      </c>
      <c r="G85" s="52" t="n">
        <f aca="false">159.86/1.2</f>
        <v>133.216666666667</v>
      </c>
      <c r="H85" s="53" t="n">
        <f aca="false">D85*G85</f>
        <v>13321.6666666667</v>
      </c>
      <c r="I85" s="53" t="s">
        <v>28</v>
      </c>
      <c r="J85" s="52" t="n">
        <v>140.09</v>
      </c>
      <c r="K85" s="53" t="n">
        <f aca="false">D85*J85</f>
        <v>14009</v>
      </c>
      <c r="L85" s="47" t="s">
        <v>29</v>
      </c>
      <c r="M85" s="52" t="n">
        <v>145.05</v>
      </c>
      <c r="N85" s="53" t="n">
        <f aca="false">D85*M85</f>
        <v>14505</v>
      </c>
      <c r="O85" s="54" t="n">
        <f aca="false">AVERAGE(G85,J85,M85)</f>
        <v>139.452222222222</v>
      </c>
      <c r="P85" s="55" t="n">
        <f aca="false">E85*100/O85-100</f>
        <v>-0.324284701251713</v>
      </c>
      <c r="Q85" s="54" t="n">
        <f aca="false">D85*E85</f>
        <v>13900</v>
      </c>
      <c r="R85" s="63"/>
      <c r="T85" s="57" t="n">
        <f aca="false">ROUND(G85*100/O85-100,0)</f>
        <v>-4</v>
      </c>
      <c r="U85" s="57" t="n">
        <f aca="false">ROUND(J85*100/O85-100,0)</f>
        <v>0</v>
      </c>
      <c r="V85" s="57" t="n">
        <f aca="false">ROUND(M85*100/O85-100,0)</f>
        <v>4</v>
      </c>
    </row>
    <row r="86" s="43" customFormat="true" ht="73.5" hidden="false" customHeight="true" outlineLevel="0" collapsed="false">
      <c r="A86" s="45" t="n">
        <v>75</v>
      </c>
      <c r="B86" s="46" t="s">
        <v>135</v>
      </c>
      <c r="C86" s="47" t="s">
        <v>25</v>
      </c>
      <c r="D86" s="48" t="n">
        <v>10</v>
      </c>
      <c r="E86" s="50" t="n">
        <v>2928.4</v>
      </c>
      <c r="F86" s="47" t="s">
        <v>27</v>
      </c>
      <c r="G86" s="52" t="n">
        <f aca="false">3373.67/1.2</f>
        <v>2811.39166666667</v>
      </c>
      <c r="H86" s="53" t="n">
        <f aca="false">D86*G86</f>
        <v>28113.9166666667</v>
      </c>
      <c r="I86" s="53" t="s">
        <v>28</v>
      </c>
      <c r="J86" s="52" t="n">
        <f aca="false">3608.66/1.2</f>
        <v>3007.21666666667</v>
      </c>
      <c r="K86" s="53" t="n">
        <f aca="false">D86*J86</f>
        <v>30072.1666666667</v>
      </c>
      <c r="L86" s="47" t="s">
        <v>29</v>
      </c>
      <c r="M86" s="52" t="n">
        <v>2973.43</v>
      </c>
      <c r="N86" s="53" t="n">
        <f aca="false">D86*M86</f>
        <v>29734.3</v>
      </c>
      <c r="O86" s="54" t="n">
        <f aca="false">AVERAGE(G86,J86,M86)</f>
        <v>2930.67944444444</v>
      </c>
      <c r="P86" s="55" t="n">
        <f aca="false">E86*100/O86-100</f>
        <v>-0.0777787024358929</v>
      </c>
      <c r="Q86" s="54" t="n">
        <f aca="false">D86*E86</f>
        <v>29284</v>
      </c>
      <c r="R86" s="63"/>
      <c r="T86" s="57" t="n">
        <f aca="false">ROUND(G86*100/O86-100,0)</f>
        <v>-4</v>
      </c>
      <c r="U86" s="57" t="n">
        <f aca="false">ROUND(J86*100/O86-100,0)</f>
        <v>3</v>
      </c>
      <c r="V86" s="57" t="n">
        <f aca="false">ROUND(M86*100/O86-100,0)</f>
        <v>1</v>
      </c>
    </row>
    <row r="87" s="43" customFormat="true" ht="73.5" hidden="false" customHeight="true" outlineLevel="0" collapsed="false">
      <c r="A87" s="45" t="n">
        <v>76</v>
      </c>
      <c r="B87" s="46" t="s">
        <v>136</v>
      </c>
      <c r="C87" s="47" t="s">
        <v>25</v>
      </c>
      <c r="D87" s="48" t="n">
        <v>31</v>
      </c>
      <c r="E87" s="50" t="n">
        <v>10103.6</v>
      </c>
      <c r="F87" s="47" t="s">
        <v>27</v>
      </c>
      <c r="G87" s="52" t="n">
        <f aca="false">12295.88/1.2</f>
        <v>10246.5666666667</v>
      </c>
      <c r="H87" s="53" t="n">
        <f aca="false">D87*G87</f>
        <v>317643.566666667</v>
      </c>
      <c r="I87" s="53" t="s">
        <v>28</v>
      </c>
      <c r="J87" s="52" t="n">
        <f aca="false">11961.83/1.2</f>
        <v>9968.19166666667</v>
      </c>
      <c r="K87" s="53" t="n">
        <f aca="false">D87*J87</f>
        <v>309013.941666667</v>
      </c>
      <c r="L87" s="47" t="s">
        <v>29</v>
      </c>
      <c r="M87" s="52" t="n">
        <v>10105.82</v>
      </c>
      <c r="N87" s="53" t="n">
        <f aca="false">D87*M87</f>
        <v>313280.42</v>
      </c>
      <c r="O87" s="54" t="n">
        <f aca="false">AVERAGE(G87,J87,M87)</f>
        <v>10106.8594444444</v>
      </c>
      <c r="P87" s="55" t="n">
        <f aca="false">E87*100/O87-100</f>
        <v>-0.032249824610318</v>
      </c>
      <c r="Q87" s="54" t="n">
        <f aca="false">D87*E87</f>
        <v>313211.6</v>
      </c>
      <c r="R87" s="63"/>
      <c r="T87" s="57" t="n">
        <f aca="false">ROUND(G87*100/O87-100,0)</f>
        <v>1</v>
      </c>
      <c r="U87" s="57" t="n">
        <f aca="false">ROUND(J87*100/O87-100,0)</f>
        <v>-1</v>
      </c>
      <c r="V87" s="57" t="n">
        <f aca="false">ROUND(M87*100/O87-100,0)</f>
        <v>-0</v>
      </c>
    </row>
    <row r="88" s="43" customFormat="true" ht="73.5" hidden="false" customHeight="true" outlineLevel="0" collapsed="false">
      <c r="A88" s="45" t="n">
        <v>77</v>
      </c>
      <c r="B88" s="46" t="s">
        <v>137</v>
      </c>
      <c r="C88" s="47" t="s">
        <v>25</v>
      </c>
      <c r="D88" s="48" t="n">
        <v>48</v>
      </c>
      <c r="E88" s="50" t="n">
        <v>1361.15</v>
      </c>
      <c r="F88" s="47" t="s">
        <v>27</v>
      </c>
      <c r="G88" s="52" t="n">
        <f aca="false">1705.33/1.2</f>
        <v>1421.10833333333</v>
      </c>
      <c r="H88" s="53" t="n">
        <f aca="false">D88*G88</f>
        <v>68213.2</v>
      </c>
      <c r="I88" s="53" t="s">
        <v>28</v>
      </c>
      <c r="J88" s="52" t="n">
        <f aca="false">1553.32/1.2</f>
        <v>1294.43333333333</v>
      </c>
      <c r="K88" s="53" t="n">
        <f aca="false">D88*J88</f>
        <v>62132.8</v>
      </c>
      <c r="L88" s="47" t="s">
        <v>29</v>
      </c>
      <c r="M88" s="52" t="n">
        <v>1382.77</v>
      </c>
      <c r="N88" s="53" t="n">
        <f aca="false">D88*M88</f>
        <v>66372.96</v>
      </c>
      <c r="O88" s="54" t="n">
        <f aca="false">AVERAGE(G88,J88,M88)</f>
        <v>1366.10388888889</v>
      </c>
      <c r="P88" s="55" t="n">
        <f aca="false">E88*100/O88-100</f>
        <v>-0.362629001291992</v>
      </c>
      <c r="Q88" s="54" t="n">
        <f aca="false">D88*E88</f>
        <v>65335.2</v>
      </c>
      <c r="R88" s="63"/>
      <c r="T88" s="57" t="n">
        <f aca="false">ROUND(G88*100/O88-100,0)</f>
        <v>4</v>
      </c>
      <c r="U88" s="57" t="n">
        <f aca="false">ROUND(J88*100/O88-100,0)</f>
        <v>-5</v>
      </c>
      <c r="V88" s="57" t="n">
        <f aca="false">ROUND(M88*100/O88-100,0)</f>
        <v>1</v>
      </c>
    </row>
    <row r="89" s="43" customFormat="true" ht="73.5" hidden="false" customHeight="true" outlineLevel="0" collapsed="false">
      <c r="A89" s="45" t="n">
        <v>78</v>
      </c>
      <c r="B89" s="46" t="s">
        <v>138</v>
      </c>
      <c r="C89" s="47" t="s">
        <v>25</v>
      </c>
      <c r="D89" s="48" t="n">
        <v>75</v>
      </c>
      <c r="E89" s="50" t="n">
        <v>163.1</v>
      </c>
      <c r="F89" s="47" t="s">
        <v>27</v>
      </c>
      <c r="G89" s="52" t="n">
        <f aca="false">194.31/1.2</f>
        <v>161.925</v>
      </c>
      <c r="H89" s="53" t="n">
        <f aca="false">D89*G89</f>
        <v>12144.375</v>
      </c>
      <c r="I89" s="53" t="s">
        <v>28</v>
      </c>
      <c r="J89" s="52" t="n">
        <v>159.03</v>
      </c>
      <c r="K89" s="53" t="n">
        <f aca="false">D89*J89</f>
        <v>11927.25</v>
      </c>
      <c r="L89" s="47" t="s">
        <v>29</v>
      </c>
      <c r="M89" s="52" t="n">
        <v>168.77</v>
      </c>
      <c r="N89" s="53" t="n">
        <f aca="false">D89*M89</f>
        <v>12657.75</v>
      </c>
      <c r="O89" s="54" t="n">
        <f aca="false">AVERAGE(G89,J89,M89)</f>
        <v>163.241666666667</v>
      </c>
      <c r="P89" s="55" t="n">
        <f aca="false">E89*100/O89-100</f>
        <v>-0.0867833988462934</v>
      </c>
      <c r="Q89" s="54" t="n">
        <f aca="false">D89*E89</f>
        <v>12232.5</v>
      </c>
      <c r="R89" s="63"/>
      <c r="T89" s="57" t="n">
        <f aca="false">ROUND(G89*100/O89-100,0)</f>
        <v>-1</v>
      </c>
      <c r="U89" s="57" t="n">
        <f aca="false">ROUND(J89*100/O89-100,0)</f>
        <v>-3</v>
      </c>
      <c r="V89" s="57" t="n">
        <f aca="false">ROUND(M89*100/O89-100,0)</f>
        <v>3</v>
      </c>
    </row>
    <row r="90" s="43" customFormat="true" ht="73.5" hidden="false" customHeight="true" outlineLevel="0" collapsed="false">
      <c r="A90" s="45" t="n">
        <v>79</v>
      </c>
      <c r="B90" s="46" t="s">
        <v>139</v>
      </c>
      <c r="C90" s="47" t="s">
        <v>25</v>
      </c>
      <c r="D90" s="48" t="n">
        <v>75</v>
      </c>
      <c r="E90" s="50" t="n">
        <v>134.2</v>
      </c>
      <c r="F90" s="47" t="s">
        <v>27</v>
      </c>
      <c r="G90" s="52" t="n">
        <f aca="false">157.25/1.2</f>
        <v>131.041666666667</v>
      </c>
      <c r="H90" s="53" t="n">
        <f aca="false">D90*G90</f>
        <v>9828.125</v>
      </c>
      <c r="I90" s="53" t="s">
        <v>28</v>
      </c>
      <c r="J90" s="52" t="n">
        <v>138.74</v>
      </c>
      <c r="K90" s="53" t="n">
        <f aca="false">D90*J90</f>
        <v>10405.5</v>
      </c>
      <c r="L90" s="47" t="s">
        <v>29</v>
      </c>
      <c r="M90" s="52" t="n">
        <v>135.51</v>
      </c>
      <c r="N90" s="53" t="n">
        <f aca="false">D90*M90</f>
        <v>10163.25</v>
      </c>
      <c r="O90" s="54" t="n">
        <f aca="false">AVERAGE(G90,J90,M90)</f>
        <v>135.097222222222</v>
      </c>
      <c r="P90" s="55" t="n">
        <f aca="false">E90*100/O90-100</f>
        <v>-0.664130770021615</v>
      </c>
      <c r="Q90" s="54" t="n">
        <f aca="false">D90*E90</f>
        <v>10065</v>
      </c>
      <c r="R90" s="56"/>
      <c r="T90" s="57" t="n">
        <f aca="false">ROUND(G90*100/O90-100,0)</f>
        <v>-3</v>
      </c>
      <c r="U90" s="57" t="n">
        <f aca="false">ROUND(J90*100/O90-100,0)</f>
        <v>3</v>
      </c>
      <c r="V90" s="57" t="n">
        <f aca="false">ROUND(M90*100/O90-100,0)</f>
        <v>0</v>
      </c>
    </row>
    <row r="91" s="43" customFormat="true" ht="73.5" hidden="false" customHeight="true" outlineLevel="0" collapsed="false">
      <c r="A91" s="45" t="n">
        <v>80</v>
      </c>
      <c r="B91" s="46" t="s">
        <v>140</v>
      </c>
      <c r="C91" s="47" t="s">
        <v>25</v>
      </c>
      <c r="D91" s="48" t="s">
        <v>141</v>
      </c>
      <c r="E91" s="50" t="n">
        <v>1361.34</v>
      </c>
      <c r="F91" s="47" t="s">
        <v>27</v>
      </c>
      <c r="G91" s="52" t="n">
        <f aca="false">1705.33/1.2</f>
        <v>1421.10833333333</v>
      </c>
      <c r="H91" s="53" t="n">
        <f aca="false">D91*G91</f>
        <v>29843.275</v>
      </c>
      <c r="I91" s="53" t="s">
        <v>28</v>
      </c>
      <c r="J91" s="52" t="n">
        <f aca="false">1553.32/1.2</f>
        <v>1294.43333333333</v>
      </c>
      <c r="K91" s="53" t="n">
        <f aca="false">D91*J91</f>
        <v>27183.1</v>
      </c>
      <c r="L91" s="47" t="s">
        <v>29</v>
      </c>
      <c r="M91" s="52" t="n">
        <v>1382.77</v>
      </c>
      <c r="N91" s="53" t="n">
        <f aca="false">D91*M91</f>
        <v>29038.17</v>
      </c>
      <c r="O91" s="54" t="n">
        <f aca="false">AVERAGE(G91,J91,M91)</f>
        <v>1366.10388888889</v>
      </c>
      <c r="P91" s="55" t="n">
        <f aca="false">E91*100/O91-100</f>
        <v>-0.348720835043039</v>
      </c>
      <c r="Q91" s="54" t="n">
        <f aca="false">D91*E91</f>
        <v>28588.14</v>
      </c>
      <c r="R91" s="56"/>
      <c r="T91" s="57" t="n">
        <f aca="false">ROUND(G91*100/O91-100,0)</f>
        <v>4</v>
      </c>
      <c r="U91" s="57" t="n">
        <f aca="false">ROUND(J91*100/O91-100,0)</f>
        <v>-5</v>
      </c>
      <c r="V91" s="57" t="n">
        <f aca="false">ROUND(M91*100/O91-100,0)</f>
        <v>1</v>
      </c>
    </row>
    <row r="92" s="43" customFormat="true" ht="73.5" hidden="false" customHeight="true" outlineLevel="0" collapsed="false">
      <c r="A92" s="45" t="n">
        <v>81</v>
      </c>
      <c r="B92" s="46" t="s">
        <v>143</v>
      </c>
      <c r="C92" s="47" t="s">
        <v>25</v>
      </c>
      <c r="D92" s="48" t="n">
        <v>274</v>
      </c>
      <c r="E92" s="50" t="n">
        <v>1765.2</v>
      </c>
      <c r="F92" s="47" t="s">
        <v>27</v>
      </c>
      <c r="G92" s="52" t="n">
        <f aca="false">2103.82/1.2</f>
        <v>1753.18333333333</v>
      </c>
      <c r="H92" s="53" t="n">
        <f aca="false">D92*G92</f>
        <v>480372.233333333</v>
      </c>
      <c r="I92" s="53" t="s">
        <v>28</v>
      </c>
      <c r="J92" s="52" t="n">
        <v>1799.62</v>
      </c>
      <c r="K92" s="53" t="n">
        <f aca="false">D92*J92</f>
        <v>493095.88</v>
      </c>
      <c r="L92" s="47" t="s">
        <v>29</v>
      </c>
      <c r="M92" s="52" t="n">
        <v>1751.94</v>
      </c>
      <c r="N92" s="53" t="n">
        <f aca="false">D92*M92</f>
        <v>480031.56</v>
      </c>
      <c r="O92" s="54" t="n">
        <f aca="false">AVERAGE(G92,J92,M92)</f>
        <v>1768.24777777778</v>
      </c>
      <c r="P92" s="55" t="n">
        <f aca="false">E92*100/O92-100</f>
        <v>-0.172361465179279</v>
      </c>
      <c r="Q92" s="54" t="n">
        <f aca="false">D92*E92</f>
        <v>483664.8</v>
      </c>
      <c r="R92" s="56"/>
      <c r="T92" s="57" t="n">
        <f aca="false">ROUND(G92*100/O92-100,0)</f>
        <v>-1</v>
      </c>
      <c r="U92" s="57" t="n">
        <f aca="false">ROUND(J92*100/O92-100,0)</f>
        <v>2</v>
      </c>
      <c r="V92" s="57" t="n">
        <f aca="false">ROUND(M92*100/O92-100,0)</f>
        <v>-1</v>
      </c>
    </row>
    <row r="93" s="43" customFormat="true" ht="73.5" hidden="false" customHeight="true" outlineLevel="0" collapsed="false">
      <c r="A93" s="45" t="n">
        <v>82</v>
      </c>
      <c r="B93" s="46" t="s">
        <v>144</v>
      </c>
      <c r="C93" s="47" t="s">
        <v>25</v>
      </c>
      <c r="D93" s="48" t="n">
        <v>50</v>
      </c>
      <c r="E93" s="50" t="n">
        <v>832</v>
      </c>
      <c r="F93" s="47" t="s">
        <v>27</v>
      </c>
      <c r="G93" s="52" t="n">
        <f aca="false">983.07/1.2</f>
        <v>819.225</v>
      </c>
      <c r="H93" s="53" t="n">
        <f aca="false">D93*G93</f>
        <v>40961.25</v>
      </c>
      <c r="I93" s="53" t="s">
        <v>28</v>
      </c>
      <c r="J93" s="52" t="n">
        <v>825.76</v>
      </c>
      <c r="K93" s="53" t="n">
        <f aca="false">D93*J93</f>
        <v>41288</v>
      </c>
      <c r="L93" s="47" t="s">
        <v>29</v>
      </c>
      <c r="M93" s="52" t="n">
        <v>857.11</v>
      </c>
      <c r="N93" s="53" t="n">
        <f aca="false">D93*M93</f>
        <v>42855.5</v>
      </c>
      <c r="O93" s="54" t="n">
        <f aca="false">AVERAGE(G93,J93,M93)</f>
        <v>834.031666666667</v>
      </c>
      <c r="P93" s="55" t="n">
        <f aca="false">E93*100/O93-100</f>
        <v>-0.243595866663739</v>
      </c>
      <c r="Q93" s="54" t="n">
        <f aca="false">D93*E93</f>
        <v>41600</v>
      </c>
      <c r="R93" s="56"/>
      <c r="T93" s="57" t="n">
        <f aca="false">ROUND(G93*100/O93-100,0)</f>
        <v>-2</v>
      </c>
      <c r="U93" s="57" t="n">
        <f aca="false">ROUND(J93*100/O93-100,0)</f>
        <v>-1</v>
      </c>
      <c r="V93" s="57" t="n">
        <f aca="false">ROUND(M93*100/O93-100,0)</f>
        <v>3</v>
      </c>
    </row>
    <row r="94" s="43" customFormat="true" ht="73.5" hidden="false" customHeight="true" outlineLevel="0" collapsed="false">
      <c r="A94" s="45" t="n">
        <v>83</v>
      </c>
      <c r="B94" s="46" t="s">
        <v>145</v>
      </c>
      <c r="C94" s="47" t="s">
        <v>25</v>
      </c>
      <c r="D94" s="48" t="n">
        <v>459</v>
      </c>
      <c r="E94" s="50" t="n">
        <v>1660.5</v>
      </c>
      <c r="F94" s="47" t="s">
        <v>27</v>
      </c>
      <c r="G94" s="52" t="n">
        <f aca="false">1972.84/1.2</f>
        <v>1644.03333333333</v>
      </c>
      <c r="H94" s="53" t="n">
        <f aca="false">D94*G94</f>
        <v>754611.3</v>
      </c>
      <c r="I94" s="53" t="s">
        <v>28</v>
      </c>
      <c r="J94" s="52" t="n">
        <v>1689.93</v>
      </c>
      <c r="K94" s="53" t="n">
        <f aca="false">D94*J94</f>
        <v>775677.87</v>
      </c>
      <c r="L94" s="47" t="s">
        <v>29</v>
      </c>
      <c r="M94" s="52" t="n">
        <v>1650.69</v>
      </c>
      <c r="N94" s="53" t="n">
        <f aca="false">D94*M94</f>
        <v>757666.71</v>
      </c>
      <c r="O94" s="54" t="n">
        <f aca="false">AVERAGE(G94,J94,M94)</f>
        <v>1661.55111111111</v>
      </c>
      <c r="P94" s="55" t="n">
        <f aca="false">E94*100/O94-100</f>
        <v>-0.0632608352570117</v>
      </c>
      <c r="Q94" s="54" t="n">
        <f aca="false">D94*E94</f>
        <v>762169.5</v>
      </c>
      <c r="R94" s="56"/>
      <c r="T94" s="57" t="n">
        <f aca="false">ROUND(G94*100/O94-100,0)</f>
        <v>-1</v>
      </c>
      <c r="U94" s="57" t="n">
        <f aca="false">ROUND(J94*100/O94-100,0)</f>
        <v>2</v>
      </c>
      <c r="V94" s="57" t="n">
        <f aca="false">ROUND(M94*100/O94-100,0)</f>
        <v>-1</v>
      </c>
    </row>
    <row r="95" s="43" customFormat="true" ht="73.5" hidden="false" customHeight="true" outlineLevel="0" collapsed="false">
      <c r="A95" s="45" t="n">
        <v>84</v>
      </c>
      <c r="B95" s="46" t="s">
        <v>146</v>
      </c>
      <c r="C95" s="47" t="s">
        <v>147</v>
      </c>
      <c r="D95" s="48" t="n">
        <v>50</v>
      </c>
      <c r="E95" s="50" t="n">
        <v>130.9</v>
      </c>
      <c r="F95" s="47" t="s">
        <v>90</v>
      </c>
      <c r="G95" s="52" t="n">
        <f aca="false">148.16/1.2</f>
        <v>123.466666666667</v>
      </c>
      <c r="H95" s="53" t="n">
        <f aca="false">G95*D95</f>
        <v>6173.33333333333</v>
      </c>
      <c r="I95" s="47" t="s">
        <v>148</v>
      </c>
      <c r="J95" s="52" t="n">
        <f aca="false">151.19/1.2</f>
        <v>125.991666666667</v>
      </c>
      <c r="K95" s="53" t="n">
        <f aca="false">D95*J95</f>
        <v>6299.58333333333</v>
      </c>
      <c r="L95" s="47" t="s">
        <v>149</v>
      </c>
      <c r="M95" s="52" t="n">
        <f aca="false">173.44/1.2</f>
        <v>144.533333333333</v>
      </c>
      <c r="N95" s="53" t="n">
        <f aca="false">D95*M95</f>
        <v>7226.66666666667</v>
      </c>
      <c r="O95" s="54" t="n">
        <f aca="false">AVERAGE(G95,J95,M95)</f>
        <v>131.330555555556</v>
      </c>
      <c r="P95" s="55" t="n">
        <f aca="false">E95*100/O95-100</f>
        <v>-0.327841113390718</v>
      </c>
      <c r="Q95" s="54" t="n">
        <f aca="false">D95*E95</f>
        <v>6545</v>
      </c>
      <c r="R95" s="56"/>
      <c r="T95" s="57" t="n">
        <f aca="false">ROUND(G95*100/O95-100,0)</f>
        <v>-6</v>
      </c>
      <c r="U95" s="57" t="n">
        <f aca="false">ROUND(J95*100/O95-100,0)</f>
        <v>-4</v>
      </c>
      <c r="V95" s="57" t="n">
        <f aca="false">ROUND(M95*100/O95-100,0)</f>
        <v>10</v>
      </c>
    </row>
    <row r="96" s="43" customFormat="true" ht="73.5" hidden="false" customHeight="true" outlineLevel="0" collapsed="false">
      <c r="A96" s="45" t="n">
        <v>85</v>
      </c>
      <c r="B96" s="46" t="s">
        <v>150</v>
      </c>
      <c r="C96" s="47" t="s">
        <v>147</v>
      </c>
      <c r="D96" s="48" t="n">
        <v>20</v>
      </c>
      <c r="E96" s="50" t="n">
        <v>256.7</v>
      </c>
      <c r="F96" s="47" t="s">
        <v>90</v>
      </c>
      <c r="G96" s="52" t="n">
        <f aca="false">327.19/1.2</f>
        <v>272.658333333333</v>
      </c>
      <c r="H96" s="53" t="n">
        <f aca="false">G96*D96</f>
        <v>5453.16666666667</v>
      </c>
      <c r="I96" s="47" t="s">
        <v>148</v>
      </c>
      <c r="J96" s="52" t="n">
        <f aca="false">297.67/1.2</f>
        <v>248.058333333333</v>
      </c>
      <c r="K96" s="53" t="n">
        <f aca="false">D96*J96</f>
        <v>4961.16666666667</v>
      </c>
      <c r="L96" s="47" t="s">
        <v>149</v>
      </c>
      <c r="M96" s="52" t="n">
        <f aca="false">305.74/1.2</f>
        <v>254.783333333333</v>
      </c>
      <c r="N96" s="53" t="n">
        <f aca="false">D96*M96</f>
        <v>5095.66666666667</v>
      </c>
      <c r="O96" s="54" t="n">
        <f aca="false">AVERAGE(G96,J96,M96)</f>
        <v>258.5</v>
      </c>
      <c r="P96" s="55" t="n">
        <f aca="false">E96*100/O96-100</f>
        <v>-0.696324951644129</v>
      </c>
      <c r="Q96" s="54" t="n">
        <f aca="false">D96*E96</f>
        <v>5134</v>
      </c>
      <c r="R96" s="56"/>
      <c r="T96" s="57" t="n">
        <f aca="false">ROUND(G96*100/O96-100,0)</f>
        <v>5</v>
      </c>
      <c r="U96" s="57" t="n">
        <f aca="false">ROUND(J96*100/O96-100,0)</f>
        <v>-4</v>
      </c>
      <c r="V96" s="57" t="n">
        <f aca="false">ROUND(M96*100/O96-100,0)</f>
        <v>-1</v>
      </c>
    </row>
    <row r="97" s="43" customFormat="true" ht="73.5" hidden="false" customHeight="true" outlineLevel="0" collapsed="false">
      <c r="A97" s="45" t="n">
        <v>86</v>
      </c>
      <c r="B97" s="46" t="s">
        <v>151</v>
      </c>
      <c r="C97" s="47" t="s">
        <v>147</v>
      </c>
      <c r="D97" s="48" t="n">
        <v>50</v>
      </c>
      <c r="E97" s="50" t="n">
        <v>3181.4</v>
      </c>
      <c r="F97" s="47" t="s">
        <v>90</v>
      </c>
      <c r="G97" s="52" t="n">
        <f aca="false">3780.88/1.2</f>
        <v>3150.73333333333</v>
      </c>
      <c r="H97" s="53" t="n">
        <f aca="false">G97*D97</f>
        <v>157536.666666667</v>
      </c>
      <c r="I97" s="47" t="s">
        <v>148</v>
      </c>
      <c r="J97" s="52" t="n">
        <f aca="false">3719.2/1.2</f>
        <v>3099.33333333333</v>
      </c>
      <c r="K97" s="53" t="n">
        <f aca="false">D97*J97</f>
        <v>154966.666666667</v>
      </c>
      <c r="L97" s="47" t="s">
        <v>149</v>
      </c>
      <c r="M97" s="52" t="n">
        <f aca="false">3960.29/1.2</f>
        <v>3300.24166666667</v>
      </c>
      <c r="N97" s="53" t="n">
        <f aca="false">D97*M97</f>
        <v>165012.083333333</v>
      </c>
      <c r="O97" s="54" t="n">
        <f aca="false">AVERAGE(G97,J97,M97)</f>
        <v>3183.43611111111</v>
      </c>
      <c r="P97" s="55" t="n">
        <f aca="false">E97*100/O97-100</f>
        <v>-0.0639595405733076</v>
      </c>
      <c r="Q97" s="54" t="n">
        <f aca="false">D97*E97</f>
        <v>159070</v>
      </c>
      <c r="R97" s="56"/>
      <c r="T97" s="57" t="n">
        <f aca="false">ROUND(G97*100/O97-100,0)</f>
        <v>-1</v>
      </c>
      <c r="U97" s="57" t="n">
        <f aca="false">ROUND(J97*100/O97-100,0)</f>
        <v>-3</v>
      </c>
      <c r="V97" s="57" t="n">
        <f aca="false">ROUND(M97*100/O97-100,0)</f>
        <v>4</v>
      </c>
    </row>
    <row r="98" s="43" customFormat="true" ht="73.5" hidden="false" customHeight="true" outlineLevel="0" collapsed="false">
      <c r="A98" s="45" t="n">
        <v>87</v>
      </c>
      <c r="B98" s="46" t="s">
        <v>152</v>
      </c>
      <c r="C98" s="47" t="s">
        <v>147</v>
      </c>
      <c r="D98" s="48" t="n">
        <v>20</v>
      </c>
      <c r="E98" s="50" t="n">
        <v>348.66</v>
      </c>
      <c r="F98" s="47" t="s">
        <v>90</v>
      </c>
      <c r="G98" s="52" t="n">
        <f aca="false">424.93/1.2</f>
        <v>354.108333333333</v>
      </c>
      <c r="H98" s="53" t="n">
        <f aca="false">G98*D98</f>
        <v>7082.16666666667</v>
      </c>
      <c r="I98" s="47" t="s">
        <v>148</v>
      </c>
      <c r="J98" s="52" t="n">
        <f aca="false">387.54/1.2</f>
        <v>322.95</v>
      </c>
      <c r="K98" s="53" t="n">
        <f aca="false">D98*J98</f>
        <v>6459</v>
      </c>
      <c r="L98" s="47" t="s">
        <v>149</v>
      </c>
      <c r="M98" s="52" t="n">
        <f aca="false">450.43/1.2</f>
        <v>375.358333333333</v>
      </c>
      <c r="N98" s="53" t="n">
        <f aca="false">D98*M98</f>
        <v>7507.16666666667</v>
      </c>
      <c r="O98" s="54" t="n">
        <f aca="false">AVERAGE(G98,J98,M98)</f>
        <v>350.805555555556</v>
      </c>
      <c r="P98" s="55" t="n">
        <f aca="false">E98*100/O98-100</f>
        <v>-0.611608203341532</v>
      </c>
      <c r="Q98" s="54" t="n">
        <f aca="false">D98*E98</f>
        <v>6973.2</v>
      </c>
      <c r="R98" s="56"/>
      <c r="T98" s="57" t="n">
        <f aca="false">ROUND(G98*100/O98-100,0)</f>
        <v>1</v>
      </c>
      <c r="U98" s="57" t="n">
        <f aca="false">ROUND(J98*100/O98-100,0)</f>
        <v>-8</v>
      </c>
      <c r="V98" s="57" t="n">
        <f aca="false">ROUND(M98*100/O98-100,0)</f>
        <v>7</v>
      </c>
    </row>
    <row r="99" s="43" customFormat="true" ht="92.25" hidden="false" customHeight="true" outlineLevel="0" collapsed="false">
      <c r="A99" s="45" t="n">
        <v>88</v>
      </c>
      <c r="B99" s="46" t="s">
        <v>153</v>
      </c>
      <c r="C99" s="47" t="s">
        <v>154</v>
      </c>
      <c r="D99" s="48" t="n">
        <v>0.5</v>
      </c>
      <c r="E99" s="50" t="n">
        <f aca="false">253.56*1000</f>
        <v>253560</v>
      </c>
      <c r="F99" s="47" t="s">
        <v>90</v>
      </c>
      <c r="G99" s="52" t="n">
        <f aca="false">327.58/1.2*1000</f>
        <v>272983.333333333</v>
      </c>
      <c r="H99" s="53" t="n">
        <f aca="false">G99*D99</f>
        <v>136491.666666667</v>
      </c>
      <c r="I99" s="47" t="s">
        <v>148</v>
      </c>
      <c r="J99" s="52" t="n">
        <f aca="false">286.76/1.2*1000</f>
        <v>238966.666666667</v>
      </c>
      <c r="K99" s="53" t="n">
        <f aca="false">D99*J99</f>
        <v>119483.333333333</v>
      </c>
      <c r="L99" s="47" t="s">
        <v>149</v>
      </c>
      <c r="M99" s="52" t="n">
        <f aca="false">300.53/1.2*1000</f>
        <v>250441.666666667</v>
      </c>
      <c r="N99" s="53" t="n">
        <f aca="false">D99*M99</f>
        <v>125220.833333333</v>
      </c>
      <c r="O99" s="54" t="n">
        <f aca="false">AVERAGE(G99,J99,M99)</f>
        <v>254130.555555556</v>
      </c>
      <c r="P99" s="55" t="n">
        <f aca="false">E99*100/O99-100</f>
        <v>-0.224512772306468</v>
      </c>
      <c r="Q99" s="54" t="n">
        <f aca="false">D99*E99</f>
        <v>126780</v>
      </c>
      <c r="R99" s="56"/>
      <c r="T99" s="57" t="n">
        <f aca="false">ROUND(G99*100/O99-100,0)</f>
        <v>7</v>
      </c>
      <c r="U99" s="57" t="n">
        <f aca="false">ROUND(J99*100/O99-100,0)</f>
        <v>-6</v>
      </c>
      <c r="V99" s="57" t="n">
        <f aca="false">ROUND(M99*100/O99-100,0)</f>
        <v>-1</v>
      </c>
    </row>
    <row r="100" s="43" customFormat="true" ht="73.5" hidden="false" customHeight="true" outlineLevel="0" collapsed="false">
      <c r="A100" s="45" t="n">
        <v>89</v>
      </c>
      <c r="B100" s="46" t="s">
        <v>155</v>
      </c>
      <c r="C100" s="47" t="s">
        <v>25</v>
      </c>
      <c r="D100" s="48" t="n">
        <v>4</v>
      </c>
      <c r="E100" s="50" t="n">
        <v>122.9</v>
      </c>
      <c r="F100" s="47" t="s">
        <v>27</v>
      </c>
      <c r="G100" s="52" t="n">
        <f aca="false">142.75/1.2</f>
        <v>118.958333333333</v>
      </c>
      <c r="H100" s="53" t="n">
        <f aca="false">D100*G100</f>
        <v>475.833333333333</v>
      </c>
      <c r="I100" s="53" t="s">
        <v>28</v>
      </c>
      <c r="J100" s="52" t="n">
        <v>122.36</v>
      </c>
      <c r="K100" s="53" t="n">
        <f aca="false">D100*J100</f>
        <v>489.44</v>
      </c>
      <c r="L100" s="47" t="s">
        <v>29</v>
      </c>
      <c r="M100" s="52" t="n">
        <v>129.47</v>
      </c>
      <c r="N100" s="53" t="n">
        <f aca="false">D100*M100</f>
        <v>517.88</v>
      </c>
      <c r="O100" s="54" t="n">
        <f aca="false">AVERAGE(G100,J100,M100)</f>
        <v>123.596111111111</v>
      </c>
      <c r="P100" s="55" t="n">
        <f aca="false">E100*100/O100-100</f>
        <v>-0.563214412535459</v>
      </c>
      <c r="Q100" s="54" t="n">
        <f aca="false">D100*E100</f>
        <v>491.6</v>
      </c>
      <c r="R100" s="56"/>
      <c r="T100" s="57" t="n">
        <f aca="false">ROUND(G100*100/O100-100,0)</f>
        <v>-4</v>
      </c>
      <c r="U100" s="57" t="n">
        <f aca="false">ROUND(J100*100/O100-100,0)</f>
        <v>-1</v>
      </c>
      <c r="V100" s="57" t="n">
        <f aca="false">ROUND(M100*100/O100-100,0)</f>
        <v>5</v>
      </c>
    </row>
    <row r="101" s="43" customFormat="true" ht="73.5" hidden="false" customHeight="true" outlineLevel="0" collapsed="false">
      <c r="A101" s="45" t="n">
        <v>90</v>
      </c>
      <c r="B101" s="46" t="s">
        <v>156</v>
      </c>
      <c r="C101" s="47" t="s">
        <v>25</v>
      </c>
      <c r="D101" s="48" t="s">
        <v>157</v>
      </c>
      <c r="E101" s="50" t="n">
        <v>296587.13</v>
      </c>
      <c r="F101" s="47" t="s">
        <v>56</v>
      </c>
      <c r="G101" s="52" t="n">
        <v>291473.5</v>
      </c>
      <c r="H101" s="53" t="n">
        <f aca="false">D101*G101</f>
        <v>1457367.5</v>
      </c>
      <c r="I101" s="47" t="s">
        <v>57</v>
      </c>
      <c r="J101" s="52" t="n">
        <v>301685</v>
      </c>
      <c r="K101" s="53" t="n">
        <f aca="false">D101*J101</f>
        <v>1508425</v>
      </c>
      <c r="L101" s="47" t="s">
        <v>119</v>
      </c>
      <c r="M101" s="52" t="n">
        <v>298069</v>
      </c>
      <c r="N101" s="53" t="n">
        <f aca="false">D101*M101</f>
        <v>1490345</v>
      </c>
      <c r="O101" s="54" t="n">
        <f aca="false">AVERAGE(G101,J101,M101)</f>
        <v>297075.833333333</v>
      </c>
      <c r="P101" s="55" t="n">
        <f aca="false">E101*100/O101-100</f>
        <v>-0.164504573748005</v>
      </c>
      <c r="Q101" s="54" t="n">
        <f aca="false">D101*E101</f>
        <v>1482935.65</v>
      </c>
      <c r="R101" s="56"/>
      <c r="T101" s="57" t="n">
        <f aca="false">ROUND(G101*100/O101-100,0)</f>
        <v>-2</v>
      </c>
      <c r="U101" s="57" t="n">
        <f aca="false">ROUND(J101*100/O101-100,0)</f>
        <v>2</v>
      </c>
      <c r="V101" s="57" t="n">
        <f aca="false">ROUND(M101*100/O101-100,0)</f>
        <v>0</v>
      </c>
    </row>
    <row r="102" s="43" customFormat="true" ht="73.5" hidden="false" customHeight="true" outlineLevel="0" collapsed="false">
      <c r="A102" s="45" t="n">
        <v>91</v>
      </c>
      <c r="B102" s="46" t="s">
        <v>158</v>
      </c>
      <c r="C102" s="47" t="s">
        <v>25</v>
      </c>
      <c r="D102" s="48" t="n">
        <v>39</v>
      </c>
      <c r="E102" s="50" t="n">
        <v>104.2</v>
      </c>
      <c r="F102" s="47" t="s">
        <v>27</v>
      </c>
      <c r="G102" s="52" t="n">
        <f aca="false">120.19/1.2</f>
        <v>100.158333333333</v>
      </c>
      <c r="H102" s="53" t="n">
        <f aca="false">D102*G102</f>
        <v>3906.175</v>
      </c>
      <c r="I102" s="53" t="s">
        <v>28</v>
      </c>
      <c r="J102" s="52" t="n">
        <v>97.82</v>
      </c>
      <c r="K102" s="53" t="n">
        <f aca="false">D102*J102</f>
        <v>3814.98</v>
      </c>
      <c r="L102" s="47" t="s">
        <v>29</v>
      </c>
      <c r="M102" s="52" t="n">
        <v>115.39</v>
      </c>
      <c r="N102" s="53" t="n">
        <f aca="false">D102*M102</f>
        <v>4500.21</v>
      </c>
      <c r="O102" s="54" t="n">
        <f aca="false">AVERAGE(G102,J102,M102)</f>
        <v>104.456111111111</v>
      </c>
      <c r="P102" s="55" t="n">
        <f aca="false">E102*100/O102-100</f>
        <v>-0.245185378229024</v>
      </c>
      <c r="Q102" s="54" t="n">
        <f aca="false">D102*E102</f>
        <v>4063.8</v>
      </c>
      <c r="R102" s="56"/>
      <c r="T102" s="57" t="n">
        <f aca="false">ROUND(G102*100/O102-100,0)</f>
        <v>-4</v>
      </c>
      <c r="U102" s="57" t="n">
        <f aca="false">ROUND(J102*100/O102-100,0)</f>
        <v>-6</v>
      </c>
      <c r="V102" s="57" t="n">
        <f aca="false">ROUND(M102*100/O102-100,0)</f>
        <v>10</v>
      </c>
    </row>
    <row r="103" s="43" customFormat="true" ht="73.5" hidden="false" customHeight="true" outlineLevel="0" collapsed="false">
      <c r="A103" s="45" t="n">
        <v>92</v>
      </c>
      <c r="B103" s="46" t="s">
        <v>159</v>
      </c>
      <c r="C103" s="47" t="s">
        <v>25</v>
      </c>
      <c r="D103" s="48" t="n">
        <v>65</v>
      </c>
      <c r="E103" s="50" t="n">
        <v>125.1</v>
      </c>
      <c r="F103" s="47" t="s">
        <v>27</v>
      </c>
      <c r="G103" s="52" t="n">
        <f aca="false">143.32/1.2</f>
        <v>119.433333333333</v>
      </c>
      <c r="H103" s="53" t="n">
        <f aca="false">D103*G103</f>
        <v>7763.16666666667</v>
      </c>
      <c r="I103" s="53" t="s">
        <v>28</v>
      </c>
      <c r="J103" s="52" t="n">
        <v>130.07</v>
      </c>
      <c r="K103" s="53" t="n">
        <f aca="false">D103*J103</f>
        <v>8454.55</v>
      </c>
      <c r="L103" s="47" t="s">
        <v>29</v>
      </c>
      <c r="M103" s="52" t="n">
        <v>127.08</v>
      </c>
      <c r="N103" s="53" t="n">
        <f aca="false">D103*M103</f>
        <v>8260.2</v>
      </c>
      <c r="O103" s="54" t="n">
        <f aca="false">AVERAGE(G103,J103,M103)</f>
        <v>125.527777777778</v>
      </c>
      <c r="P103" s="55" t="n">
        <f aca="false">E103*100/O103-100</f>
        <v>-0.340783359150251</v>
      </c>
      <c r="Q103" s="54" t="n">
        <f aca="false">D103*E103</f>
        <v>8131.5</v>
      </c>
      <c r="R103" s="56"/>
      <c r="T103" s="57" t="n">
        <f aca="false">ROUND(G103*100/O103-100,0)</f>
        <v>-5</v>
      </c>
      <c r="U103" s="57" t="n">
        <f aca="false">ROUND(J103*100/O103-100,0)</f>
        <v>4</v>
      </c>
      <c r="V103" s="57" t="n">
        <f aca="false">ROUND(M103*100/O103-100,0)</f>
        <v>1</v>
      </c>
    </row>
    <row r="104" s="43" customFormat="true" ht="73.5" hidden="false" customHeight="true" outlineLevel="0" collapsed="false">
      <c r="A104" s="45" t="n">
        <v>93</v>
      </c>
      <c r="B104" s="46" t="s">
        <v>160</v>
      </c>
      <c r="C104" s="47" t="s">
        <v>25</v>
      </c>
      <c r="D104" s="48" t="n">
        <v>8</v>
      </c>
      <c r="E104" s="50" t="n">
        <v>19.5</v>
      </c>
      <c r="F104" s="47" t="s">
        <v>27</v>
      </c>
      <c r="G104" s="52" t="n">
        <f aca="false">1097.79/50/1.2</f>
        <v>18.2965</v>
      </c>
      <c r="H104" s="53" t="n">
        <f aca="false">D104*G104</f>
        <v>146.372</v>
      </c>
      <c r="I104" s="53" t="s">
        <v>28</v>
      </c>
      <c r="J104" s="52" t="n">
        <v>20.51</v>
      </c>
      <c r="K104" s="53" t="n">
        <f aca="false">D104*J104</f>
        <v>164.08</v>
      </c>
      <c r="L104" s="47" t="s">
        <v>29</v>
      </c>
      <c r="M104" s="52" t="n">
        <v>21.22</v>
      </c>
      <c r="N104" s="53" t="n">
        <f aca="false">D104*M104</f>
        <v>169.76</v>
      </c>
      <c r="O104" s="54" t="n">
        <f aca="false">AVERAGE(G104,J104,M104)</f>
        <v>20.0088333333333</v>
      </c>
      <c r="P104" s="55" t="n">
        <f aca="false">E104*100/O104-100</f>
        <v>-2.54304348912562</v>
      </c>
      <c r="Q104" s="54" t="n">
        <f aca="false">D104*E104</f>
        <v>156</v>
      </c>
      <c r="R104" s="56"/>
      <c r="T104" s="57" t="n">
        <f aca="false">ROUND(G104*100/O104-100,0)</f>
        <v>-9</v>
      </c>
      <c r="U104" s="57" t="n">
        <f aca="false">ROUND(J104*100/O104-100,0)</f>
        <v>3</v>
      </c>
      <c r="V104" s="57" t="n">
        <f aca="false">ROUND(M104*100/O104-100,0)</f>
        <v>6</v>
      </c>
    </row>
    <row r="105" s="43" customFormat="true" ht="73.5" hidden="false" customHeight="true" outlineLevel="0" collapsed="false">
      <c r="A105" s="45" t="n">
        <v>94</v>
      </c>
      <c r="B105" s="46" t="s">
        <v>161</v>
      </c>
      <c r="C105" s="47" t="s">
        <v>25</v>
      </c>
      <c r="D105" s="48" t="n">
        <v>1190</v>
      </c>
      <c r="E105" s="50" t="n">
        <v>57.5</v>
      </c>
      <c r="F105" s="47" t="s">
        <v>27</v>
      </c>
      <c r="G105" s="52" t="n">
        <f aca="false">3253.27/1.2/50</f>
        <v>54.2211666666667</v>
      </c>
      <c r="H105" s="53" t="n">
        <f aca="false">D105*G105</f>
        <v>64523.1883333333</v>
      </c>
      <c r="I105" s="53" t="s">
        <v>28</v>
      </c>
      <c r="J105" s="52" t="n">
        <v>59.4</v>
      </c>
      <c r="K105" s="53" t="n">
        <f aca="false">D105*J105</f>
        <v>70686</v>
      </c>
      <c r="L105" s="47" t="s">
        <v>29</v>
      </c>
      <c r="M105" s="52" t="n">
        <v>60.13</v>
      </c>
      <c r="N105" s="53" t="n">
        <f aca="false">D105*M105</f>
        <v>71554.7</v>
      </c>
      <c r="O105" s="54" t="n">
        <f aca="false">AVERAGE(G105,J105,M105)</f>
        <v>57.9170555555556</v>
      </c>
      <c r="P105" s="55" t="n">
        <f aca="false">E105*100/O105-100</f>
        <v>-0.7200910881174</v>
      </c>
      <c r="Q105" s="54" t="n">
        <f aca="false">D105*E105</f>
        <v>68425</v>
      </c>
      <c r="R105" s="56"/>
      <c r="T105" s="57" t="n">
        <f aca="false">ROUND(G105*100/O105-100,0)</f>
        <v>-6</v>
      </c>
      <c r="U105" s="57" t="n">
        <f aca="false">ROUND(J105*100/O105-100,0)</f>
        <v>3</v>
      </c>
      <c r="V105" s="57" t="n">
        <f aca="false">ROUND(M105*100/O105-100,0)</f>
        <v>4</v>
      </c>
    </row>
    <row r="106" s="43" customFormat="true" ht="73.5" hidden="false" customHeight="true" outlineLevel="0" collapsed="false">
      <c r="A106" s="45" t="n">
        <v>95</v>
      </c>
      <c r="B106" s="46" t="s">
        <v>162</v>
      </c>
      <c r="C106" s="47" t="s">
        <v>25</v>
      </c>
      <c r="D106" s="48" t="n">
        <v>3</v>
      </c>
      <c r="E106" s="50" t="n">
        <v>444.12</v>
      </c>
      <c r="F106" s="47" t="s">
        <v>27</v>
      </c>
      <c r="G106" s="52" t="n">
        <f aca="false">528.04/1.2</f>
        <v>440.033333333333</v>
      </c>
      <c r="H106" s="53" t="n">
        <f aca="false">D106*G106</f>
        <v>1320.1</v>
      </c>
      <c r="I106" s="53" t="s">
        <v>28</v>
      </c>
      <c r="J106" s="52" t="n">
        <v>451.75</v>
      </c>
      <c r="K106" s="53" t="n">
        <f aca="false">D106*J106</f>
        <v>1355.25</v>
      </c>
      <c r="L106" s="47" t="s">
        <v>29</v>
      </c>
      <c r="M106" s="52" t="n">
        <v>442.56</v>
      </c>
      <c r="N106" s="53" t="n">
        <f aca="false">D106*M106</f>
        <v>1327.68</v>
      </c>
      <c r="O106" s="54" t="n">
        <f aca="false">AVERAGE(G106,J106,M106)</f>
        <v>444.781111111111</v>
      </c>
      <c r="P106" s="55" t="n">
        <f aca="false">E106*100/O106-100</f>
        <v>-0.148637407164074</v>
      </c>
      <c r="Q106" s="54" t="n">
        <f aca="false">D106*E106</f>
        <v>1332.36</v>
      </c>
      <c r="R106" s="56"/>
      <c r="T106" s="57" t="n">
        <f aca="false">ROUND(G106*100/O106-100,0)</f>
        <v>-1</v>
      </c>
      <c r="U106" s="57" t="n">
        <f aca="false">ROUND(J106*100/O106-100,0)</f>
        <v>2</v>
      </c>
      <c r="V106" s="57" t="n">
        <f aca="false">ROUND(M106*100/O106-100,0)</f>
        <v>-0</v>
      </c>
    </row>
    <row r="107" s="43" customFormat="true" ht="73.5" hidden="false" customHeight="true" outlineLevel="0" collapsed="false">
      <c r="A107" s="45" t="n">
        <v>96</v>
      </c>
      <c r="B107" s="46" t="s">
        <v>163</v>
      </c>
      <c r="C107" s="47" t="s">
        <v>25</v>
      </c>
      <c r="D107" s="48" t="n">
        <v>200</v>
      </c>
      <c r="E107" s="50" t="n">
        <v>2749.4</v>
      </c>
      <c r="F107" s="47" t="s">
        <v>56</v>
      </c>
      <c r="G107" s="52" t="n">
        <v>2816.22</v>
      </c>
      <c r="H107" s="53" t="n">
        <f aca="false">D107*G107</f>
        <v>563244</v>
      </c>
      <c r="I107" s="47" t="s">
        <v>57</v>
      </c>
      <c r="J107" s="52" t="n">
        <v>2697.03</v>
      </c>
      <c r="K107" s="53" t="n">
        <f aca="false">D107*J107</f>
        <v>539406</v>
      </c>
      <c r="L107" s="47" t="s">
        <v>119</v>
      </c>
      <c r="M107" s="52" t="n">
        <v>2755.11</v>
      </c>
      <c r="N107" s="53" t="n">
        <f aca="false">D107*M107</f>
        <v>551022</v>
      </c>
      <c r="O107" s="54" t="n">
        <f aca="false">AVERAGE(G107,J107,M107)</f>
        <v>2756.12</v>
      </c>
      <c r="P107" s="55" t="n">
        <f aca="false">E107*100/O107-100</f>
        <v>-0.243821023758045</v>
      </c>
      <c r="Q107" s="54" t="n">
        <f aca="false">D107*E107</f>
        <v>549880</v>
      </c>
      <c r="R107" s="56"/>
      <c r="T107" s="57" t="n">
        <f aca="false">ROUND(G107*100/O107-100,0)</f>
        <v>2</v>
      </c>
      <c r="U107" s="57" t="n">
        <f aca="false">ROUND(J107*100/O107-100,0)</f>
        <v>-2</v>
      </c>
      <c r="V107" s="57" t="n">
        <f aca="false">ROUND(M107*100/O107-100,0)</f>
        <v>-0</v>
      </c>
    </row>
    <row r="108" s="43" customFormat="true" ht="73.5" hidden="false" customHeight="true" outlineLevel="0" collapsed="false">
      <c r="A108" s="45" t="n">
        <v>97</v>
      </c>
      <c r="B108" s="46" t="s">
        <v>164</v>
      </c>
      <c r="C108" s="47" t="s">
        <v>25</v>
      </c>
      <c r="D108" s="48" t="n">
        <v>5</v>
      </c>
      <c r="E108" s="50" t="n">
        <v>455.3</v>
      </c>
      <c r="F108" s="47" t="s">
        <v>27</v>
      </c>
      <c r="G108" s="52" t="n">
        <f aca="false">531.76/1.2</f>
        <v>443.133333333333</v>
      </c>
      <c r="H108" s="53" t="n">
        <f aca="false">D108*G108</f>
        <v>2215.66666666667</v>
      </c>
      <c r="I108" s="53" t="s">
        <v>28</v>
      </c>
      <c r="J108" s="52" t="n">
        <v>458.14</v>
      </c>
      <c r="K108" s="53" t="n">
        <f aca="false">D108*J108</f>
        <v>2290.7</v>
      </c>
      <c r="L108" s="47" t="s">
        <v>29</v>
      </c>
      <c r="M108" s="52" t="n">
        <v>465.87</v>
      </c>
      <c r="N108" s="53" t="n">
        <f aca="false">D108*M108</f>
        <v>2329.35</v>
      </c>
      <c r="O108" s="54" t="n">
        <f aca="false">AVERAGE(G108,J108,M108)</f>
        <v>455.714444444445</v>
      </c>
      <c r="P108" s="55" t="n">
        <f aca="false">E108*100/O108-100</f>
        <v>-0.0909438903016877</v>
      </c>
      <c r="Q108" s="54" t="n">
        <f aca="false">D108*E108</f>
        <v>2276.5</v>
      </c>
      <c r="R108" s="56"/>
      <c r="T108" s="57" t="n">
        <f aca="false">ROUND(G108*100/O108-100,0)</f>
        <v>-3</v>
      </c>
      <c r="U108" s="57" t="n">
        <f aca="false">ROUND(J108*100/O108-100,0)</f>
        <v>1</v>
      </c>
      <c r="V108" s="57" t="n">
        <f aca="false">ROUND(M108*100/O108-100,0)</f>
        <v>2</v>
      </c>
    </row>
    <row r="109" s="43" customFormat="true" ht="73.5" hidden="false" customHeight="true" outlineLevel="0" collapsed="false">
      <c r="A109" s="45" t="n">
        <v>98</v>
      </c>
      <c r="B109" s="46" t="s">
        <v>165</v>
      </c>
      <c r="C109" s="47" t="s">
        <v>25</v>
      </c>
      <c r="D109" s="48" t="n">
        <v>2</v>
      </c>
      <c r="E109" s="50" t="n">
        <v>578.5</v>
      </c>
      <c r="F109" s="47" t="s">
        <v>27</v>
      </c>
      <c r="G109" s="52" t="n">
        <f aca="false">704.39/1.2</f>
        <v>586.991666666667</v>
      </c>
      <c r="H109" s="53" t="n">
        <f aca="false">D109*G109</f>
        <v>1173.98333333333</v>
      </c>
      <c r="I109" s="53" t="s">
        <v>28</v>
      </c>
      <c r="J109" s="52" t="n">
        <v>579.83</v>
      </c>
      <c r="K109" s="53" t="n">
        <f aca="false">D109*J109</f>
        <v>1159.66</v>
      </c>
      <c r="L109" s="47" t="s">
        <v>29</v>
      </c>
      <c r="M109" s="52" t="n">
        <v>572.21</v>
      </c>
      <c r="N109" s="53" t="n">
        <f aca="false">D109*M109</f>
        <v>1144.42</v>
      </c>
      <c r="O109" s="54" t="n">
        <f aca="false">AVERAGE(G109,J109,M109)</f>
        <v>579.677222222222</v>
      </c>
      <c r="P109" s="55" t="n">
        <f aca="false">E109*100/O109-100</f>
        <v>-0.203082366719414</v>
      </c>
      <c r="Q109" s="54" t="n">
        <f aca="false">D109*E109</f>
        <v>1157</v>
      </c>
      <c r="R109" s="56"/>
      <c r="T109" s="57" t="n">
        <f aca="false">ROUND(G109*100/O109-100,0)</f>
        <v>1</v>
      </c>
      <c r="U109" s="57" t="n">
        <f aca="false">ROUND(J109*100/O109-100,0)</f>
        <v>0</v>
      </c>
      <c r="V109" s="57" t="n">
        <f aca="false">ROUND(M109*100/O109-100,0)</f>
        <v>-1</v>
      </c>
    </row>
    <row r="110" s="43" customFormat="true" ht="73.5" hidden="false" customHeight="true" outlineLevel="0" collapsed="false">
      <c r="A110" s="45" t="n">
        <v>99</v>
      </c>
      <c r="B110" s="46" t="s">
        <v>166</v>
      </c>
      <c r="C110" s="47" t="s">
        <v>25</v>
      </c>
      <c r="D110" s="48" t="n">
        <v>2</v>
      </c>
      <c r="E110" s="50" t="n">
        <v>586.44</v>
      </c>
      <c r="F110" s="47" t="s">
        <v>27</v>
      </c>
      <c r="G110" s="52" t="n">
        <f aca="false">704.39/1.2</f>
        <v>586.991666666667</v>
      </c>
      <c r="H110" s="53" t="n">
        <f aca="false">D110*G110</f>
        <v>1173.98333333333</v>
      </c>
      <c r="I110" s="53" t="s">
        <v>28</v>
      </c>
      <c r="J110" s="52" t="n">
        <v>579.83</v>
      </c>
      <c r="K110" s="53" t="n">
        <f aca="false">D110*J110</f>
        <v>1159.66</v>
      </c>
      <c r="L110" s="47" t="s">
        <v>29</v>
      </c>
      <c r="M110" s="52" t="n">
        <v>594.08</v>
      </c>
      <c r="N110" s="53" t="n">
        <f aca="false">D110*M110</f>
        <v>1188.16</v>
      </c>
      <c r="O110" s="54" t="n">
        <f aca="false">AVERAGE(G110,J110,M110)</f>
        <v>586.967222222222</v>
      </c>
      <c r="P110" s="55" t="n">
        <f aca="false">E110*100/O110-100</f>
        <v>-0.0898214077825514</v>
      </c>
      <c r="Q110" s="54" t="n">
        <f aca="false">D110*E110</f>
        <v>1172.88</v>
      </c>
      <c r="R110" s="56"/>
      <c r="T110" s="57" t="n">
        <f aca="false">ROUND(G110*100/O110-100,0)</f>
        <v>0</v>
      </c>
      <c r="U110" s="57" t="n">
        <f aca="false">ROUND(J110*100/O110-100,0)</f>
        <v>-1</v>
      </c>
      <c r="V110" s="57" t="n">
        <f aca="false">ROUND(M110*100/O110-100,0)</f>
        <v>1</v>
      </c>
    </row>
    <row r="111" s="43" customFormat="true" ht="73.5" hidden="false" customHeight="true" outlineLevel="0" collapsed="false">
      <c r="A111" s="45" t="n">
        <v>100</v>
      </c>
      <c r="B111" s="46" t="s">
        <v>167</v>
      </c>
      <c r="C111" s="47" t="s">
        <v>25</v>
      </c>
      <c r="D111" s="48" t="n">
        <v>4</v>
      </c>
      <c r="E111" s="81" t="n">
        <v>105450</v>
      </c>
      <c r="F111" s="47" t="s">
        <v>66</v>
      </c>
      <c r="G111" s="52" t="n">
        <f aca="false">122928.34/1.2</f>
        <v>102440.283333333</v>
      </c>
      <c r="H111" s="53" t="n">
        <f aca="false">D111*G111</f>
        <v>409761.133333333</v>
      </c>
      <c r="I111" s="53" t="s">
        <v>67</v>
      </c>
      <c r="J111" s="52" t="n">
        <f aca="false">126572.83/1.2</f>
        <v>105477.358333333</v>
      </c>
      <c r="K111" s="53" t="n">
        <f aca="false">D111*J111</f>
        <v>421909.433333333</v>
      </c>
      <c r="L111" s="53" t="s">
        <v>68</v>
      </c>
      <c r="M111" s="52" t="n">
        <v>108459.11</v>
      </c>
      <c r="N111" s="53" t="n">
        <f aca="false">D111*M111</f>
        <v>433836.44</v>
      </c>
      <c r="O111" s="54" t="n">
        <f aca="false">AVERAGE(G111,J111,M111)</f>
        <v>105458.917222222</v>
      </c>
      <c r="P111" s="55" t="n">
        <f aca="false">E111*100/O111-100</f>
        <v>-0.00845563604967481</v>
      </c>
      <c r="Q111" s="54" t="n">
        <f aca="false">D111*E111</f>
        <v>421800</v>
      </c>
      <c r="R111" s="83" t="s">
        <v>473</v>
      </c>
      <c r="T111" s="57" t="n">
        <f aca="false">ROUND(G111*100/O111-100,0)</f>
        <v>-3</v>
      </c>
      <c r="U111" s="57" t="n">
        <f aca="false">ROUND(J111*100/O111-100,0)</f>
        <v>0</v>
      </c>
      <c r="V111" s="57" t="n">
        <f aca="false">ROUND(M111*100/O111-100,0)</f>
        <v>3</v>
      </c>
    </row>
    <row r="112" s="43" customFormat="true" ht="73.5" hidden="false" customHeight="true" outlineLevel="0" collapsed="false">
      <c r="A112" s="45" t="n">
        <v>101</v>
      </c>
      <c r="B112" s="46" t="s">
        <v>168</v>
      </c>
      <c r="C112" s="47" t="s">
        <v>25</v>
      </c>
      <c r="D112" s="48" t="n">
        <v>9</v>
      </c>
      <c r="E112" s="81" t="n">
        <v>115250.4</v>
      </c>
      <c r="F112" s="47" t="s">
        <v>66</v>
      </c>
      <c r="G112" s="52" t="n">
        <f aca="false">134032.46/1.2</f>
        <v>111693.716666667</v>
      </c>
      <c r="H112" s="53" t="n">
        <f aca="false">D112*G112</f>
        <v>1005243.45</v>
      </c>
      <c r="I112" s="53" t="s">
        <v>67</v>
      </c>
      <c r="J112" s="52" t="n">
        <f aca="false">142081.19/1.2</f>
        <v>118400.991666667</v>
      </c>
      <c r="K112" s="53" t="n">
        <f aca="false">D112*J112</f>
        <v>1065608.925</v>
      </c>
      <c r="L112" s="53" t="s">
        <v>68</v>
      </c>
      <c r="M112" s="52" t="n">
        <v>115771.47</v>
      </c>
      <c r="N112" s="53" t="n">
        <f aca="false">D112*M112</f>
        <v>1041943.23</v>
      </c>
      <c r="O112" s="54" t="n">
        <f aca="false">AVERAGE(G112,J112,M112)</f>
        <v>115288.726111111</v>
      </c>
      <c r="P112" s="55" t="n">
        <f aca="false">E112*100/O112-100</f>
        <v>-0.0332435897280874</v>
      </c>
      <c r="Q112" s="54" t="n">
        <f aca="false">D112*E112</f>
        <v>1037253.6</v>
      </c>
      <c r="R112" s="83" t="s">
        <v>474</v>
      </c>
      <c r="T112" s="57" t="n">
        <f aca="false">ROUND(G112*100/O112-100,0)</f>
        <v>-3</v>
      </c>
      <c r="U112" s="57" t="n">
        <f aca="false">ROUND(J112*100/O112-100,0)</f>
        <v>3</v>
      </c>
      <c r="V112" s="57" t="n">
        <f aca="false">ROUND(M112*100/O112-100,0)</f>
        <v>0</v>
      </c>
    </row>
    <row r="113" s="43" customFormat="true" ht="73.5" hidden="false" customHeight="true" outlineLevel="0" collapsed="false">
      <c r="A113" s="45" t="n">
        <v>102</v>
      </c>
      <c r="B113" s="46" t="s">
        <v>169</v>
      </c>
      <c r="C113" s="47" t="s">
        <v>25</v>
      </c>
      <c r="D113" s="48" t="n">
        <v>4</v>
      </c>
      <c r="E113" s="81" t="n">
        <v>105203.9</v>
      </c>
      <c r="F113" s="47" t="s">
        <v>66</v>
      </c>
      <c r="G113" s="52" t="n">
        <f aca="false">121610.29/1.2</f>
        <v>101341.908333333</v>
      </c>
      <c r="H113" s="53" t="n">
        <f aca="false">D113*G113</f>
        <v>405367.633333333</v>
      </c>
      <c r="I113" s="53" t="s">
        <v>67</v>
      </c>
      <c r="J113" s="52" t="n">
        <f aca="false">125484.62/1.2</f>
        <v>104570.516666667</v>
      </c>
      <c r="K113" s="53" t="n">
        <f aca="false">D113*J113</f>
        <v>418282.066666667</v>
      </c>
      <c r="L113" s="53" t="s">
        <v>68</v>
      </c>
      <c r="M113" s="52" t="n">
        <v>109702.63</v>
      </c>
      <c r="N113" s="53" t="n">
        <f aca="false">D113*M113</f>
        <v>438810.52</v>
      </c>
      <c r="O113" s="54" t="n">
        <f aca="false">AVERAGE(G113,J113,M113)</f>
        <v>105205.018333333</v>
      </c>
      <c r="P113" s="55" t="n">
        <f aca="false">E113*100/O113-100</f>
        <v>-0.00106300379111701</v>
      </c>
      <c r="Q113" s="54" t="n">
        <f aca="false">D113*E113</f>
        <v>420815.6</v>
      </c>
      <c r="R113" s="83" t="s">
        <v>475</v>
      </c>
      <c r="T113" s="57" t="n">
        <f aca="false">ROUND(G113*100/O113-100,0)</f>
        <v>-4</v>
      </c>
      <c r="U113" s="57" t="n">
        <f aca="false">ROUND(J113*100/O113-100,0)</f>
        <v>-1</v>
      </c>
      <c r="V113" s="57" t="n">
        <f aca="false">ROUND(M113*100/O113-100,0)</f>
        <v>4</v>
      </c>
    </row>
    <row r="114" s="43" customFormat="true" ht="73.5" hidden="false" customHeight="true" outlineLevel="0" collapsed="false">
      <c r="A114" s="45" t="n">
        <v>103</v>
      </c>
      <c r="B114" s="46" t="s">
        <v>170</v>
      </c>
      <c r="C114" s="47" t="s">
        <v>25</v>
      </c>
      <c r="D114" s="48" t="n">
        <v>96</v>
      </c>
      <c r="E114" s="81" t="n">
        <v>23801.47</v>
      </c>
      <c r="F114" s="47" t="s">
        <v>56</v>
      </c>
      <c r="G114" s="52" t="n">
        <v>23917.54</v>
      </c>
      <c r="H114" s="53" t="n">
        <f aca="false">D114*G114</f>
        <v>2296083.84</v>
      </c>
      <c r="I114" s="47" t="s">
        <v>57</v>
      </c>
      <c r="J114" s="52" t="n">
        <v>24571.36</v>
      </c>
      <c r="K114" s="53" t="n">
        <f aca="false">D114*J114</f>
        <v>2358850.56</v>
      </c>
      <c r="L114" s="47" t="s">
        <v>119</v>
      </c>
      <c r="M114" s="52" t="n">
        <v>22927.08</v>
      </c>
      <c r="N114" s="53" t="n">
        <f aca="false">D114*M114</f>
        <v>2200999.68</v>
      </c>
      <c r="O114" s="54" t="n">
        <f aca="false">AVERAGE(G114,J114,M114)</f>
        <v>23805.3266666667</v>
      </c>
      <c r="P114" s="55" t="n">
        <f aca="false">E114*100/O114-100</f>
        <v>-0.0162008558868934</v>
      </c>
      <c r="Q114" s="54" t="n">
        <f aca="false">D114*E114</f>
        <v>2284941.12</v>
      </c>
      <c r="R114" s="83" t="s">
        <v>476</v>
      </c>
      <c r="T114" s="57" t="n">
        <f aca="false">ROUND(G114*100/O114-100,0)</f>
        <v>0</v>
      </c>
      <c r="U114" s="57" t="n">
        <f aca="false">ROUND(J114*100/O114-100,0)</f>
        <v>3</v>
      </c>
      <c r="V114" s="57" t="n">
        <f aca="false">ROUND(M114*100/O114-100,0)</f>
        <v>-4</v>
      </c>
    </row>
    <row r="115" s="43" customFormat="true" ht="73.5" hidden="false" customHeight="true" outlineLevel="0" collapsed="false">
      <c r="A115" s="45" t="n">
        <v>104</v>
      </c>
      <c r="B115" s="46" t="s">
        <v>171</v>
      </c>
      <c r="C115" s="47" t="s">
        <v>25</v>
      </c>
      <c r="D115" s="48" t="n">
        <v>2</v>
      </c>
      <c r="E115" s="50" t="n">
        <v>26380.87</v>
      </c>
      <c r="F115" s="47" t="s">
        <v>27</v>
      </c>
      <c r="G115" s="52" t="n">
        <f aca="false">29485.22/1.2</f>
        <v>24571.0166666667</v>
      </c>
      <c r="H115" s="53" t="n">
        <f aca="false">D115*G115</f>
        <v>49142.0333333333</v>
      </c>
      <c r="I115" s="53" t="s">
        <v>28</v>
      </c>
      <c r="J115" s="52" t="n">
        <f aca="false">33229.52/1.2</f>
        <v>27691.2666666667</v>
      </c>
      <c r="K115" s="53" t="n">
        <f aca="false">D115*J115</f>
        <v>55382.5333333333</v>
      </c>
      <c r="L115" s="47" t="s">
        <v>29</v>
      </c>
      <c r="M115" s="66" t="n">
        <v>26942.36</v>
      </c>
      <c r="N115" s="53" t="n">
        <f aca="false">D115*M115</f>
        <v>53884.72</v>
      </c>
      <c r="O115" s="54" t="n">
        <f aca="false">AVERAGE(G115,J115,M115)</f>
        <v>26401.5477777778</v>
      </c>
      <c r="P115" s="55" t="n">
        <f aca="false">E115*100/O115-100</f>
        <v>-0.0783203240651886</v>
      </c>
      <c r="Q115" s="54" t="n">
        <f aca="false">D115*E115</f>
        <v>52761.74</v>
      </c>
      <c r="R115" s="47"/>
      <c r="T115" s="57" t="n">
        <f aca="false">ROUND(G115*100/O115-100,0)</f>
        <v>-7</v>
      </c>
      <c r="U115" s="57" t="n">
        <f aca="false">ROUND(J115*100/O115-100,0)</f>
        <v>5</v>
      </c>
      <c r="V115" s="57" t="n">
        <f aca="false">ROUND(M115*100/O115-100,0)</f>
        <v>2</v>
      </c>
    </row>
    <row r="116" s="43" customFormat="true" ht="73.5" hidden="false" customHeight="true" outlineLevel="0" collapsed="false">
      <c r="A116" s="45" t="n">
        <v>105</v>
      </c>
      <c r="B116" s="46" t="s">
        <v>172</v>
      </c>
      <c r="C116" s="47" t="s">
        <v>25</v>
      </c>
      <c r="D116" s="48" t="n">
        <v>105</v>
      </c>
      <c r="E116" s="50" t="n">
        <v>16</v>
      </c>
      <c r="F116" s="47" t="s">
        <v>27</v>
      </c>
      <c r="G116" s="52" t="n">
        <f aca="false">15.68/1.2</f>
        <v>13.0666666666667</v>
      </c>
      <c r="H116" s="53" t="n">
        <f aca="false">D116*G116</f>
        <v>1372</v>
      </c>
      <c r="I116" s="53" t="s">
        <v>28</v>
      </c>
      <c r="J116" s="52" t="n">
        <f aca="false">23.17/1.2</f>
        <v>19.3083333333333</v>
      </c>
      <c r="K116" s="53" t="n">
        <f aca="false">D116*J116</f>
        <v>2027.375</v>
      </c>
      <c r="L116" s="47" t="s">
        <v>29</v>
      </c>
      <c r="M116" s="52" t="n">
        <v>15.88</v>
      </c>
      <c r="N116" s="53" t="n">
        <f aca="false">D116*M116</f>
        <v>1667.4</v>
      </c>
      <c r="O116" s="54" t="n">
        <f aca="false">AVERAGE(G116,J116,M116)</f>
        <v>16.085</v>
      </c>
      <c r="P116" s="55" t="n">
        <f aca="false">E116*100/O116-100</f>
        <v>-0.528442648430215</v>
      </c>
      <c r="Q116" s="54" t="n">
        <f aca="false">D116*E116</f>
        <v>1680</v>
      </c>
      <c r="R116" s="56"/>
      <c r="T116" s="57" t="n">
        <f aca="false">ROUND(G116*100/O116-100,0)</f>
        <v>-19</v>
      </c>
      <c r="U116" s="57" t="n">
        <f aca="false">ROUND(J116*100/O116-100,0)</f>
        <v>20</v>
      </c>
      <c r="V116" s="57" t="n">
        <f aca="false">ROUND(M116*100/O116-100,0)</f>
        <v>-1</v>
      </c>
    </row>
    <row r="117" s="43" customFormat="true" ht="73.5" hidden="false" customHeight="true" outlineLevel="0" collapsed="false">
      <c r="A117" s="45" t="n">
        <v>106</v>
      </c>
      <c r="B117" s="46" t="s">
        <v>173</v>
      </c>
      <c r="C117" s="47" t="s">
        <v>25</v>
      </c>
      <c r="D117" s="48" t="n">
        <v>4</v>
      </c>
      <c r="E117" s="50" t="n">
        <v>10739.64</v>
      </c>
      <c r="F117" s="53" t="s">
        <v>67</v>
      </c>
      <c r="G117" s="52" t="n">
        <f aca="false">12321.9/1.2</f>
        <v>10268.25</v>
      </c>
      <c r="H117" s="53" t="n">
        <f aca="false">D117*G117</f>
        <v>41073</v>
      </c>
      <c r="I117" s="47" t="s">
        <v>46</v>
      </c>
      <c r="J117" s="52" t="n">
        <v>11095.36</v>
      </c>
      <c r="K117" s="53" t="n">
        <f aca="false">D117*J117</f>
        <v>44381.44</v>
      </c>
      <c r="L117" s="53" t="s">
        <v>68</v>
      </c>
      <c r="M117" s="52" t="n">
        <v>10873.97</v>
      </c>
      <c r="N117" s="53" t="n">
        <f aca="false">D117*M117</f>
        <v>43495.88</v>
      </c>
      <c r="O117" s="54" t="n">
        <f aca="false">AVERAGE(G117,J117,M117)</f>
        <v>10745.86</v>
      </c>
      <c r="P117" s="55" t="n">
        <f aca="false">E117*100/O117-100</f>
        <v>-0.0578827567081675</v>
      </c>
      <c r="Q117" s="54" t="n">
        <f aca="false">D117*E117</f>
        <v>42958.56</v>
      </c>
      <c r="R117" s="56"/>
      <c r="T117" s="57" t="n">
        <f aca="false">ROUND(G117*100/O117-100,0)</f>
        <v>-4</v>
      </c>
      <c r="U117" s="57" t="n">
        <f aca="false">ROUND(J117*100/O117-100,0)</f>
        <v>3</v>
      </c>
      <c r="V117" s="57" t="n">
        <f aca="false">ROUND(M117*100/O117-100,0)</f>
        <v>1</v>
      </c>
    </row>
    <row r="118" s="43" customFormat="true" ht="73.5" hidden="false" customHeight="true" outlineLevel="0" collapsed="false">
      <c r="A118" s="45" t="n">
        <v>107</v>
      </c>
      <c r="B118" s="46" t="s">
        <v>174</v>
      </c>
      <c r="C118" s="47" t="s">
        <v>25</v>
      </c>
      <c r="D118" s="48" t="n">
        <v>15</v>
      </c>
      <c r="E118" s="50" t="n">
        <v>11759.65</v>
      </c>
      <c r="F118" s="53" t="s">
        <v>67</v>
      </c>
      <c r="G118" s="52" t="n">
        <f aca="false">13514.04/1.2</f>
        <v>11261.7</v>
      </c>
      <c r="H118" s="53" t="n">
        <f aca="false">D118*G118</f>
        <v>168925.5</v>
      </c>
      <c r="I118" s="47" t="s">
        <v>46</v>
      </c>
      <c r="J118" s="52" t="n">
        <v>11983.18</v>
      </c>
      <c r="K118" s="53" t="n">
        <f aca="false">D118*J118</f>
        <v>179747.7</v>
      </c>
      <c r="L118" s="53" t="s">
        <v>68</v>
      </c>
      <c r="M118" s="52" t="n">
        <v>12054.31</v>
      </c>
      <c r="N118" s="53" t="n">
        <f aca="false">D118*M118</f>
        <v>180814.65</v>
      </c>
      <c r="O118" s="54" t="n">
        <f aca="false">AVERAGE(G118,J118,M118)</f>
        <v>11766.3966666667</v>
      </c>
      <c r="P118" s="55" t="n">
        <f aca="false">E118*100/O118-100</f>
        <v>-0.0573384261791858</v>
      </c>
      <c r="Q118" s="54" t="n">
        <f aca="false">D118*E118</f>
        <v>176394.75</v>
      </c>
      <c r="R118" s="56"/>
      <c r="T118" s="57" t="n">
        <f aca="false">ROUND(G118*100/O118-100,0)</f>
        <v>-4</v>
      </c>
      <c r="U118" s="57" t="n">
        <f aca="false">ROUND(J118*100/O118-100,0)</f>
        <v>2</v>
      </c>
      <c r="V118" s="57" t="n">
        <f aca="false">ROUND(M118*100/O118-100,0)</f>
        <v>2</v>
      </c>
    </row>
    <row r="119" s="43" customFormat="true" ht="73.5" hidden="false" customHeight="true" outlineLevel="0" collapsed="false">
      <c r="A119" s="45" t="n">
        <v>108</v>
      </c>
      <c r="B119" s="46" t="s">
        <v>175</v>
      </c>
      <c r="C119" s="47" t="s">
        <v>25</v>
      </c>
      <c r="D119" s="48" t="n">
        <v>9</v>
      </c>
      <c r="E119" s="50" t="n">
        <v>853.15</v>
      </c>
      <c r="F119" s="47" t="s">
        <v>27</v>
      </c>
      <c r="G119" s="52" t="n">
        <f aca="false">961.27/1.2</f>
        <v>801.058333333333</v>
      </c>
      <c r="H119" s="53" t="n">
        <f aca="false">D119*G119</f>
        <v>7209.525</v>
      </c>
      <c r="I119" s="53" t="s">
        <v>28</v>
      </c>
      <c r="J119" s="52" t="n">
        <f aca="false">1027.26/1.2</f>
        <v>856.05</v>
      </c>
      <c r="K119" s="53" t="n">
        <f aca="false">D119*J119</f>
        <v>7704.45</v>
      </c>
      <c r="L119" s="47" t="s">
        <v>29</v>
      </c>
      <c r="M119" s="52" t="n">
        <v>911.61</v>
      </c>
      <c r="N119" s="53" t="n">
        <f aca="false">D119*M119</f>
        <v>8204.49</v>
      </c>
      <c r="O119" s="54" t="n">
        <f aca="false">AVERAGE(G119,J119,M119)</f>
        <v>856.239444444444</v>
      </c>
      <c r="P119" s="55" t="n">
        <f aca="false">E119*100/O119-100</f>
        <v>-0.360815478017244</v>
      </c>
      <c r="Q119" s="54" t="n">
        <f aca="false">D119*E119</f>
        <v>7678.35</v>
      </c>
      <c r="R119" s="56"/>
      <c r="T119" s="57" t="n">
        <f aca="false">ROUND(G119*100/O119-100,0)</f>
        <v>-6</v>
      </c>
      <c r="U119" s="57" t="n">
        <f aca="false">ROUND(J119*100/O119-100,0)</f>
        <v>-0</v>
      </c>
      <c r="V119" s="57" t="n">
        <f aca="false">ROUND(M119*100/O119-100,0)</f>
        <v>6</v>
      </c>
    </row>
    <row r="120" s="43" customFormat="true" ht="73.5" hidden="false" customHeight="true" outlineLevel="0" collapsed="false">
      <c r="A120" s="45" t="n">
        <v>109</v>
      </c>
      <c r="B120" s="46" t="s">
        <v>176</v>
      </c>
      <c r="C120" s="47" t="s">
        <v>25</v>
      </c>
      <c r="D120" s="48" t="n">
        <v>6</v>
      </c>
      <c r="E120" s="50" t="n">
        <v>1193.4</v>
      </c>
      <c r="F120" s="47" t="s">
        <v>27</v>
      </c>
      <c r="G120" s="52" t="n">
        <f aca="false">1229.06/1.2</f>
        <v>1024.21666666667</v>
      </c>
      <c r="H120" s="53" t="n">
        <f aca="false">D120*G120</f>
        <v>6145.3</v>
      </c>
      <c r="I120" s="53" t="s">
        <v>28</v>
      </c>
      <c r="J120" s="52" t="n">
        <f aca="false">1512.89/1.2</f>
        <v>1260.74166666667</v>
      </c>
      <c r="K120" s="53" t="n">
        <f aca="false">D120*J120</f>
        <v>7564.45</v>
      </c>
      <c r="L120" s="47" t="s">
        <v>29</v>
      </c>
      <c r="M120" s="52" t="n">
        <v>1302.32</v>
      </c>
      <c r="N120" s="53" t="n">
        <f aca="false">D120*M120</f>
        <v>7813.92</v>
      </c>
      <c r="O120" s="54" t="n">
        <f aca="false">AVERAGE(G120,J120,M120)</f>
        <v>1195.75944444444</v>
      </c>
      <c r="P120" s="55" t="n">
        <f aca="false">E120*100/O120-100</f>
        <v>-0.197317650753803</v>
      </c>
      <c r="Q120" s="54" t="n">
        <f aca="false">D120*E120</f>
        <v>7160.4</v>
      </c>
      <c r="R120" s="56"/>
      <c r="T120" s="57" t="n">
        <f aca="false">ROUND(G120*100/O120-100,0)</f>
        <v>-14</v>
      </c>
      <c r="U120" s="57" t="n">
        <f aca="false">ROUND(J120*100/O120-100,0)</f>
        <v>5</v>
      </c>
      <c r="V120" s="57" t="n">
        <f aca="false">ROUND(M120*100/O120-100,0)</f>
        <v>9</v>
      </c>
    </row>
    <row r="121" s="43" customFormat="true" ht="73.5" hidden="false" customHeight="true" outlineLevel="0" collapsed="false">
      <c r="A121" s="45" t="n">
        <v>110</v>
      </c>
      <c r="B121" s="46" t="s">
        <v>177</v>
      </c>
      <c r="C121" s="47" t="s">
        <v>25</v>
      </c>
      <c r="D121" s="48" t="n">
        <v>1</v>
      </c>
      <c r="E121" s="50" t="n">
        <v>1120.3</v>
      </c>
      <c r="F121" s="47" t="s">
        <v>27</v>
      </c>
      <c r="G121" s="52" t="n">
        <f aca="false">1283.51/1.2</f>
        <v>1069.59166666667</v>
      </c>
      <c r="H121" s="53" t="n">
        <f aca="false">D121*G121</f>
        <v>1069.59166666667</v>
      </c>
      <c r="I121" s="53" t="s">
        <v>28</v>
      </c>
      <c r="J121" s="52" t="n">
        <f aca="false">1330.68/1.2</f>
        <v>1108.9</v>
      </c>
      <c r="K121" s="53" t="n">
        <f aca="false">D121*J121</f>
        <v>1108.9</v>
      </c>
      <c r="L121" s="47" t="s">
        <v>29</v>
      </c>
      <c r="M121" s="52" t="n">
        <v>1187.84</v>
      </c>
      <c r="N121" s="53" t="n">
        <f aca="false">D121*M121</f>
        <v>1187.84</v>
      </c>
      <c r="O121" s="54" t="n">
        <f aca="false">AVERAGE(G121,J121,M121)</f>
        <v>1122.11055555556</v>
      </c>
      <c r="P121" s="55" t="n">
        <f aca="false">E121*100/O121-100</f>
        <v>-0.161352689054723</v>
      </c>
      <c r="Q121" s="54" t="n">
        <f aca="false">D121*E121</f>
        <v>1120.3</v>
      </c>
      <c r="R121" s="56"/>
      <c r="T121" s="57" t="n">
        <f aca="false">ROUND(G121*100/O121-100,0)</f>
        <v>-5</v>
      </c>
      <c r="U121" s="57" t="n">
        <f aca="false">ROUND(J121*100/O121-100,0)</f>
        <v>-1</v>
      </c>
      <c r="V121" s="57" t="n">
        <f aca="false">ROUND(M121*100/O121-100,0)</f>
        <v>6</v>
      </c>
    </row>
    <row r="122" s="43" customFormat="true" ht="73.5" hidden="false" customHeight="true" outlineLevel="0" collapsed="false">
      <c r="A122" s="45" t="n">
        <v>111</v>
      </c>
      <c r="B122" s="46" t="s">
        <v>178</v>
      </c>
      <c r="C122" s="47" t="s">
        <v>25</v>
      </c>
      <c r="D122" s="48" t="n">
        <v>1</v>
      </c>
      <c r="E122" s="50" t="n">
        <v>3390.15</v>
      </c>
      <c r="F122" s="47" t="s">
        <v>27</v>
      </c>
      <c r="G122" s="52" t="n">
        <f aca="false">3848.77/1.2</f>
        <v>3207.30833333333</v>
      </c>
      <c r="H122" s="53" t="n">
        <f aca="false">D122*G122</f>
        <v>3207.30833333333</v>
      </c>
      <c r="I122" s="53" t="s">
        <v>28</v>
      </c>
      <c r="J122" s="52" t="n">
        <f aca="false">4213.88/1.2</f>
        <v>3511.56666666667</v>
      </c>
      <c r="K122" s="53" t="n">
        <f aca="false">D122*J122</f>
        <v>3511.56666666667</v>
      </c>
      <c r="L122" s="47" t="s">
        <v>29</v>
      </c>
      <c r="M122" s="52" t="n">
        <v>3461.03</v>
      </c>
      <c r="N122" s="53" t="n">
        <f aca="false">D122*M122</f>
        <v>3461.03</v>
      </c>
      <c r="O122" s="54" t="n">
        <f aca="false">AVERAGE(G122,J122,M122)</f>
        <v>3393.30166666667</v>
      </c>
      <c r="P122" s="55" t="n">
        <f aca="false">E122*100/O122-100</f>
        <v>-0.092879059283959</v>
      </c>
      <c r="Q122" s="54" t="n">
        <f aca="false">D122*E122</f>
        <v>3390.15</v>
      </c>
      <c r="R122" s="56"/>
      <c r="T122" s="57" t="n">
        <f aca="false">ROUND(G122*100/O122-100,0)</f>
        <v>-5</v>
      </c>
      <c r="U122" s="57" t="n">
        <f aca="false">ROUND(J122*100/O122-100,0)</f>
        <v>3</v>
      </c>
      <c r="V122" s="57" t="n">
        <f aca="false">ROUND(M122*100/O122-100,0)</f>
        <v>2</v>
      </c>
    </row>
    <row r="123" s="43" customFormat="true" ht="73.5" hidden="false" customHeight="true" outlineLevel="0" collapsed="false">
      <c r="A123" s="45" t="n">
        <v>112</v>
      </c>
      <c r="B123" s="46" t="s">
        <v>179</v>
      </c>
      <c r="C123" s="47" t="s">
        <v>25</v>
      </c>
      <c r="D123" s="48" t="n">
        <v>3</v>
      </c>
      <c r="E123" s="50" t="n">
        <v>2777.4</v>
      </c>
      <c r="F123" s="47" t="s">
        <v>27</v>
      </c>
      <c r="G123" s="52" t="n">
        <f aca="false">3306.94/1.2</f>
        <v>2755.78333333333</v>
      </c>
      <c r="H123" s="53" t="n">
        <f aca="false">D123*G123</f>
        <v>8267.35</v>
      </c>
      <c r="I123" s="53" t="s">
        <v>28</v>
      </c>
      <c r="J123" s="52" t="n">
        <f aca="false">3452.2/1.2</f>
        <v>2876.83333333333</v>
      </c>
      <c r="K123" s="53" t="n">
        <f aca="false">D123*J123</f>
        <v>8630.5</v>
      </c>
      <c r="L123" s="47" t="s">
        <v>29</v>
      </c>
      <c r="M123" s="52" t="n">
        <v>2703.98</v>
      </c>
      <c r="N123" s="53" t="n">
        <f aca="false">D123*M123</f>
        <v>8111.94</v>
      </c>
      <c r="O123" s="54" t="n">
        <f aca="false">AVERAGE(G123,J123,M123)</f>
        <v>2778.86555555556</v>
      </c>
      <c r="P123" s="55" t="n">
        <f aca="false">E123*100/O123-100</f>
        <v>-0.0527393472716113</v>
      </c>
      <c r="Q123" s="54" t="n">
        <f aca="false">D123*E123</f>
        <v>8332.2</v>
      </c>
      <c r="R123" s="56"/>
      <c r="T123" s="57" t="n">
        <f aca="false">ROUND(G123*100/O123-100,0)</f>
        <v>-1</v>
      </c>
      <c r="U123" s="57" t="n">
        <f aca="false">ROUND(J123*100/O123-100,0)</f>
        <v>4</v>
      </c>
      <c r="V123" s="57" t="n">
        <f aca="false">ROUND(M123*100/O123-100,0)</f>
        <v>-3</v>
      </c>
    </row>
    <row r="124" s="43" customFormat="true" ht="73.5" hidden="false" customHeight="true" outlineLevel="0" collapsed="false">
      <c r="A124" s="45" t="n">
        <v>113</v>
      </c>
      <c r="B124" s="46" t="s">
        <v>180</v>
      </c>
      <c r="C124" s="47" t="s">
        <v>25</v>
      </c>
      <c r="D124" s="48" t="s">
        <v>181</v>
      </c>
      <c r="E124" s="50" t="n">
        <v>5200</v>
      </c>
      <c r="F124" s="47" t="s">
        <v>27</v>
      </c>
      <c r="G124" s="52" t="n">
        <f aca="false">6026.51/1.2</f>
        <v>5022.09166666667</v>
      </c>
      <c r="H124" s="53" t="n">
        <f aca="false">D124*G124</f>
        <v>140618.566666667</v>
      </c>
      <c r="I124" s="53" t="s">
        <v>28</v>
      </c>
      <c r="J124" s="52" t="n">
        <f aca="false">6712.45/1.2</f>
        <v>5593.70833333333</v>
      </c>
      <c r="K124" s="53" t="n">
        <f aca="false">D124*J124</f>
        <v>156623.833333333</v>
      </c>
      <c r="L124" s="47" t="s">
        <v>29</v>
      </c>
      <c r="M124" s="52" t="n">
        <v>5007.33</v>
      </c>
      <c r="N124" s="53" t="n">
        <f aca="false">D124*M124</f>
        <v>140205.24</v>
      </c>
      <c r="O124" s="54" t="n">
        <f aca="false">AVERAGE(G124,J124,M124)</f>
        <v>5207.71</v>
      </c>
      <c r="P124" s="55" t="n">
        <f aca="false">E124*100/O124-100</f>
        <v>-0.148049718590315</v>
      </c>
      <c r="Q124" s="54" t="n">
        <f aca="false">D124*E124</f>
        <v>145600</v>
      </c>
      <c r="R124" s="56"/>
      <c r="T124" s="57" t="n">
        <f aca="false">ROUND(G124*100/O124-100,0)</f>
        <v>-4</v>
      </c>
      <c r="U124" s="57" t="n">
        <f aca="false">ROUND(J124*100/O124-100,0)</f>
        <v>7</v>
      </c>
      <c r="V124" s="57" t="n">
        <f aca="false">ROUND(M124*100/O124-100,0)</f>
        <v>-4</v>
      </c>
    </row>
    <row r="125" s="43" customFormat="true" ht="73.5" hidden="false" customHeight="true" outlineLevel="0" collapsed="false">
      <c r="A125" s="45" t="n">
        <v>114</v>
      </c>
      <c r="B125" s="46" t="s">
        <v>182</v>
      </c>
      <c r="C125" s="47" t="s">
        <v>25</v>
      </c>
      <c r="D125" s="48" t="n">
        <v>1</v>
      </c>
      <c r="E125" s="50" t="n">
        <v>3320.5</v>
      </c>
      <c r="F125" s="47" t="s">
        <v>27</v>
      </c>
      <c r="G125" s="52" t="n">
        <f aca="false">3946.52/1.2</f>
        <v>3288.76666666667</v>
      </c>
      <c r="H125" s="53" t="n">
        <f aca="false">D125*G125</f>
        <v>3288.76666666667</v>
      </c>
      <c r="I125" s="53" t="s">
        <v>28</v>
      </c>
      <c r="J125" s="52" t="n">
        <f aca="false">3861.14/1.2</f>
        <v>3217.61666666667</v>
      </c>
      <c r="K125" s="53" t="n">
        <f aca="false">D125*J125</f>
        <v>3217.61666666667</v>
      </c>
      <c r="L125" s="47" t="s">
        <v>29</v>
      </c>
      <c r="M125" s="52" t="n">
        <v>3471.09</v>
      </c>
      <c r="N125" s="53" t="n">
        <f aca="false">D125*M125</f>
        <v>3471.09</v>
      </c>
      <c r="O125" s="54" t="n">
        <f aca="false">AVERAGE(G125,J125,M125)</f>
        <v>3325.82444444444</v>
      </c>
      <c r="P125" s="55" t="n">
        <f aca="false">E125*100/O125-100</f>
        <v>-0.160093971686891</v>
      </c>
      <c r="Q125" s="54" t="n">
        <f aca="false">D125*E125</f>
        <v>3320.5</v>
      </c>
      <c r="R125" s="56"/>
      <c r="T125" s="57" t="n">
        <f aca="false">ROUND(G125*100/O125-100,0)</f>
        <v>-1</v>
      </c>
      <c r="U125" s="57" t="n">
        <f aca="false">ROUND(J125*100/O125-100,0)</f>
        <v>-3</v>
      </c>
      <c r="V125" s="57" t="n">
        <f aca="false">ROUND(M125*100/O125-100,0)</f>
        <v>4</v>
      </c>
    </row>
    <row r="126" s="43" customFormat="true" ht="73.5" hidden="false" customHeight="true" outlineLevel="0" collapsed="false">
      <c r="A126" s="45" t="n">
        <v>115</v>
      </c>
      <c r="B126" s="46" t="s">
        <v>183</v>
      </c>
      <c r="C126" s="47" t="s">
        <v>25</v>
      </c>
      <c r="D126" s="48" t="n">
        <v>60</v>
      </c>
      <c r="E126" s="81" t="n">
        <v>13200.55</v>
      </c>
      <c r="F126" s="47" t="s">
        <v>27</v>
      </c>
      <c r="G126" s="52" t="n">
        <f aca="false">15720.65/1.2</f>
        <v>13100.5416666667</v>
      </c>
      <c r="H126" s="53" t="n">
        <f aca="false">D126*G126</f>
        <v>786032.5</v>
      </c>
      <c r="I126" s="53" t="s">
        <v>28</v>
      </c>
      <c r="J126" s="52" t="n">
        <f aca="false">16167.67/1.2</f>
        <v>13473.0583333333</v>
      </c>
      <c r="K126" s="53" t="n">
        <f aca="false">D126*J126</f>
        <v>808383.5</v>
      </c>
      <c r="L126" s="47" t="s">
        <v>29</v>
      </c>
      <c r="M126" s="52" t="n">
        <v>13042.21</v>
      </c>
      <c r="N126" s="53" t="n">
        <f aca="false">D126*M126</f>
        <v>782532.6</v>
      </c>
      <c r="O126" s="54" t="n">
        <f aca="false">AVERAGE(G126,J126,M126)</f>
        <v>13205.27</v>
      </c>
      <c r="P126" s="55" t="n">
        <f aca="false">E126*100/O126-100</f>
        <v>-0.0357433055136198</v>
      </c>
      <c r="Q126" s="54" t="n">
        <f aca="false">D126*E126</f>
        <v>792033</v>
      </c>
      <c r="R126" s="83" t="s">
        <v>477</v>
      </c>
      <c r="T126" s="57" t="n">
        <f aca="false">ROUND(G126*100/O126-100,0)</f>
        <v>-1</v>
      </c>
      <c r="U126" s="57" t="n">
        <f aca="false">ROUND(J126*100/O126-100,0)</f>
        <v>2</v>
      </c>
      <c r="V126" s="57" t="n">
        <f aca="false">ROUND(M126*100/O126-100,0)</f>
        <v>-1</v>
      </c>
    </row>
    <row r="127" s="43" customFormat="true" ht="73.5" hidden="false" customHeight="true" outlineLevel="0" collapsed="false">
      <c r="A127" s="45" t="n">
        <v>116</v>
      </c>
      <c r="B127" s="46" t="s">
        <v>184</v>
      </c>
      <c r="C127" s="47" t="s">
        <v>25</v>
      </c>
      <c r="D127" s="48" t="n">
        <v>5</v>
      </c>
      <c r="E127" s="50" t="n">
        <v>1825</v>
      </c>
      <c r="F127" s="47" t="s">
        <v>27</v>
      </c>
      <c r="G127" s="52" t="n">
        <f aca="false">2172.67/1.2</f>
        <v>1810.55833333333</v>
      </c>
      <c r="H127" s="53" t="n">
        <f aca="false">D127*G127</f>
        <v>9052.79166666667</v>
      </c>
      <c r="I127" s="53" t="s">
        <v>28</v>
      </c>
      <c r="J127" s="52" t="n">
        <f aca="false">2232.5/1.2</f>
        <v>1860.41666666667</v>
      </c>
      <c r="K127" s="53" t="n">
        <f aca="false">D127*J127</f>
        <v>9302.08333333333</v>
      </c>
      <c r="L127" s="47" t="s">
        <v>29</v>
      </c>
      <c r="M127" s="52" t="n">
        <v>1807.53</v>
      </c>
      <c r="N127" s="53" t="n">
        <f aca="false">D127*M127</f>
        <v>9037.65</v>
      </c>
      <c r="O127" s="54" t="n">
        <f aca="false">AVERAGE(G127,J127,M127)</f>
        <v>1826.16833333333</v>
      </c>
      <c r="P127" s="55" t="n">
        <f aca="false">E127*100/O127-100</f>
        <v>-0.0639773076779164</v>
      </c>
      <c r="Q127" s="54" t="n">
        <f aca="false">D127*E127</f>
        <v>9125</v>
      </c>
      <c r="R127" s="56"/>
      <c r="T127" s="57" t="n">
        <f aca="false">ROUND(G127*100/O127-100,0)</f>
        <v>-1</v>
      </c>
      <c r="U127" s="57" t="n">
        <f aca="false">ROUND(J127*100/O127-100,0)</f>
        <v>2</v>
      </c>
      <c r="V127" s="57" t="n">
        <f aca="false">ROUND(M127*100/O127-100,0)</f>
        <v>-1</v>
      </c>
    </row>
    <row r="128" s="43" customFormat="true" ht="73.5" hidden="false" customHeight="true" outlineLevel="0" collapsed="false">
      <c r="A128" s="45" t="n">
        <v>117</v>
      </c>
      <c r="B128" s="46" t="s">
        <v>185</v>
      </c>
      <c r="C128" s="47" t="s">
        <v>25</v>
      </c>
      <c r="D128" s="48" t="n">
        <v>4</v>
      </c>
      <c r="E128" s="50" t="n">
        <v>65.3</v>
      </c>
      <c r="F128" s="47" t="s">
        <v>27</v>
      </c>
      <c r="G128" s="52" t="n">
        <f aca="false">76.58/1.2</f>
        <v>63.8166666666667</v>
      </c>
      <c r="H128" s="53" t="n">
        <f aca="false">D128*G128</f>
        <v>255.266666666667</v>
      </c>
      <c r="I128" s="53" t="s">
        <v>28</v>
      </c>
      <c r="J128" s="52" t="n">
        <f aca="false">75.56/1.2</f>
        <v>62.9666666666667</v>
      </c>
      <c r="K128" s="53" t="n">
        <f aca="false">D128*J128</f>
        <v>251.866666666667</v>
      </c>
      <c r="L128" s="47" t="s">
        <v>29</v>
      </c>
      <c r="M128" s="52" t="n">
        <v>70.62</v>
      </c>
      <c r="N128" s="53" t="n">
        <f aca="false">D128*M128</f>
        <v>282.48</v>
      </c>
      <c r="O128" s="54" t="n">
        <f aca="false">AVERAGE(G128,J128,M128)</f>
        <v>65.8011111111111</v>
      </c>
      <c r="P128" s="55" t="n">
        <f aca="false">E128*100/O128-100</f>
        <v>-0.761554178416446</v>
      </c>
      <c r="Q128" s="54" t="n">
        <f aca="false">D128*E128</f>
        <v>261.2</v>
      </c>
      <c r="R128" s="56"/>
      <c r="T128" s="57" t="n">
        <f aca="false">ROUND(G128*100/O128-100,0)</f>
        <v>-3</v>
      </c>
      <c r="U128" s="57" t="n">
        <f aca="false">ROUND(J128*100/O128-100,0)</f>
        <v>-4</v>
      </c>
      <c r="V128" s="57" t="n">
        <f aca="false">ROUND(M128*100/O128-100,0)</f>
        <v>7</v>
      </c>
    </row>
    <row r="129" s="43" customFormat="true" ht="73.5" hidden="false" customHeight="true" outlineLevel="0" collapsed="false">
      <c r="A129" s="45" t="n">
        <v>118</v>
      </c>
      <c r="B129" s="46" t="s">
        <v>186</v>
      </c>
      <c r="C129" s="47" t="s">
        <v>25</v>
      </c>
      <c r="D129" s="48" t="n">
        <v>2</v>
      </c>
      <c r="E129" s="50" t="n">
        <v>65.01</v>
      </c>
      <c r="F129" s="47" t="s">
        <v>27</v>
      </c>
      <c r="G129" s="52" t="n">
        <f aca="false">74.03/1.2</f>
        <v>61.6916666666667</v>
      </c>
      <c r="H129" s="53" t="n">
        <f aca="false">D129*G129</f>
        <v>123.383333333333</v>
      </c>
      <c r="I129" s="53" t="s">
        <v>28</v>
      </c>
      <c r="J129" s="52" t="n">
        <f aca="false">76.66/1.2</f>
        <v>63.8833333333333</v>
      </c>
      <c r="K129" s="53" t="n">
        <f aca="false">D129*J129</f>
        <v>127.766666666667</v>
      </c>
      <c r="L129" s="47" t="s">
        <v>29</v>
      </c>
      <c r="M129" s="52" t="n">
        <v>69.74</v>
      </c>
      <c r="N129" s="53" t="n">
        <f aca="false">D129*M129</f>
        <v>139.48</v>
      </c>
      <c r="O129" s="54" t="n">
        <f aca="false">AVERAGE(G129,J129,M129)</f>
        <v>65.105</v>
      </c>
      <c r="P129" s="55" t="n">
        <f aca="false">E129*100/O129-100</f>
        <v>-0.1459181322479</v>
      </c>
      <c r="Q129" s="54" t="n">
        <f aca="false">D129*E129</f>
        <v>130.02</v>
      </c>
      <c r="R129" s="56"/>
      <c r="T129" s="57" t="n">
        <f aca="false">ROUND(G129*100/O129-100,0)</f>
        <v>-5</v>
      </c>
      <c r="U129" s="57" t="n">
        <f aca="false">ROUND(J129*100/O129-100,0)</f>
        <v>-2</v>
      </c>
      <c r="V129" s="57" t="n">
        <f aca="false">ROUND(M129*100/O129-100,0)</f>
        <v>7</v>
      </c>
    </row>
    <row r="130" s="43" customFormat="true" ht="73.5" hidden="false" customHeight="true" outlineLevel="0" collapsed="false">
      <c r="A130" s="45" t="n">
        <v>119</v>
      </c>
      <c r="B130" s="46" t="s">
        <v>187</v>
      </c>
      <c r="C130" s="47" t="s">
        <v>25</v>
      </c>
      <c r="D130" s="48" t="n">
        <v>4</v>
      </c>
      <c r="E130" s="50" t="n">
        <v>133.1</v>
      </c>
      <c r="F130" s="47" t="s">
        <v>27</v>
      </c>
      <c r="G130" s="52" t="n">
        <f aca="false">149.48/1.2</f>
        <v>124.566666666667</v>
      </c>
      <c r="H130" s="53" t="n">
        <f aca="false">D130*G130</f>
        <v>498.266666666667</v>
      </c>
      <c r="I130" s="53" t="s">
        <v>28</v>
      </c>
      <c r="J130" s="52" t="n">
        <f aca="false">167.56/1.2</f>
        <v>139.633333333333</v>
      </c>
      <c r="K130" s="53" t="n">
        <f aca="false">D130*J130</f>
        <v>558.533333333333</v>
      </c>
      <c r="L130" s="47" t="s">
        <v>29</v>
      </c>
      <c r="M130" s="52" t="n">
        <v>136.08</v>
      </c>
      <c r="N130" s="53" t="n">
        <f aca="false">D130*M130</f>
        <v>544.32</v>
      </c>
      <c r="O130" s="54" t="n">
        <f aca="false">AVERAGE(G130,J130,M130)</f>
        <v>133.426666666667</v>
      </c>
      <c r="P130" s="55" t="n">
        <f aca="false">E130*100/O130-100</f>
        <v>-0.244828619966029</v>
      </c>
      <c r="Q130" s="54" t="n">
        <f aca="false">D130*E130</f>
        <v>532.4</v>
      </c>
      <c r="R130" s="56"/>
      <c r="T130" s="57" t="n">
        <f aca="false">ROUND(G130*100/O130-100,0)</f>
        <v>-7</v>
      </c>
      <c r="U130" s="57" t="n">
        <f aca="false">ROUND(J130*100/O130-100,0)</f>
        <v>5</v>
      </c>
      <c r="V130" s="57" t="n">
        <f aca="false">ROUND(M130*100/O130-100,0)</f>
        <v>2</v>
      </c>
    </row>
    <row r="131" s="43" customFormat="true" ht="73.5" hidden="false" customHeight="true" outlineLevel="0" collapsed="false">
      <c r="A131" s="45" t="n">
        <v>120</v>
      </c>
      <c r="B131" s="46" t="s">
        <v>188</v>
      </c>
      <c r="C131" s="47" t="s">
        <v>53</v>
      </c>
      <c r="D131" s="48" t="n">
        <v>58.65</v>
      </c>
      <c r="E131" s="50" t="n">
        <v>1090.4</v>
      </c>
      <c r="F131" s="47" t="s">
        <v>90</v>
      </c>
      <c r="G131" s="52" t="n">
        <f aca="false">1238.89/1.2</f>
        <v>1032.40833333333</v>
      </c>
      <c r="H131" s="53" t="n">
        <f aca="false">D131*G131</f>
        <v>60550.74875</v>
      </c>
      <c r="I131" s="47" t="s">
        <v>189</v>
      </c>
      <c r="J131" s="52" t="n">
        <f aca="false">1320.83/1.2</f>
        <v>1100.69166666667</v>
      </c>
      <c r="K131" s="53" t="n">
        <f aca="false">D131*J131</f>
        <v>64555.56625</v>
      </c>
      <c r="L131" s="47" t="s">
        <v>149</v>
      </c>
      <c r="M131" s="52" t="n">
        <f aca="false">1385.5/1.2</f>
        <v>1154.58333333333</v>
      </c>
      <c r="N131" s="53" t="n">
        <f aca="false">D131*M131</f>
        <v>67716.3125</v>
      </c>
      <c r="O131" s="54" t="n">
        <f aca="false">AVERAGE(G131,J131,M131)</f>
        <v>1095.89444444444</v>
      </c>
      <c r="P131" s="55" t="n">
        <f aca="false">E131*100/O131-100</f>
        <v>-0.501366210249344</v>
      </c>
      <c r="Q131" s="54" t="n">
        <f aca="false">D131*E131</f>
        <v>63951.96</v>
      </c>
      <c r="R131" s="67"/>
      <c r="S131" s="68"/>
      <c r="T131" s="57" t="n">
        <f aca="false">ROUND(G131*100/O131-100,0)</f>
        <v>-6</v>
      </c>
      <c r="U131" s="57" t="n">
        <f aca="false">ROUND(J131*100/O131-100,0)</f>
        <v>0</v>
      </c>
      <c r="V131" s="57" t="n">
        <f aca="false">ROUND(M131*100/O131-100,0)</f>
        <v>5</v>
      </c>
    </row>
    <row r="132" s="43" customFormat="true" ht="73.5" hidden="false" customHeight="true" outlineLevel="0" collapsed="false">
      <c r="A132" s="45" t="n">
        <v>121</v>
      </c>
      <c r="B132" s="46" t="s">
        <v>190</v>
      </c>
      <c r="C132" s="47" t="s">
        <v>53</v>
      </c>
      <c r="D132" s="48" t="s">
        <v>191</v>
      </c>
      <c r="E132" s="50" t="n">
        <v>2710.82</v>
      </c>
      <c r="F132" s="47" t="s">
        <v>90</v>
      </c>
      <c r="G132" s="52" t="n">
        <f aca="false">3111.11/1.2</f>
        <v>2592.59166666667</v>
      </c>
      <c r="H132" s="53" t="n">
        <f aca="false">D132*G132</f>
        <v>2851.85083333333</v>
      </c>
      <c r="I132" s="47" t="s">
        <v>189</v>
      </c>
      <c r="J132" s="52" t="n">
        <f aca="false">3185.77/1.2</f>
        <v>2654.80833333333</v>
      </c>
      <c r="K132" s="53" t="n">
        <f aca="false">D132*J132</f>
        <v>2920.28916666667</v>
      </c>
      <c r="L132" s="47" t="s">
        <v>149</v>
      </c>
      <c r="M132" s="52" t="n">
        <f aca="false">3480.8/1.2</f>
        <v>2900.66666666667</v>
      </c>
      <c r="N132" s="53" t="n">
        <f aca="false">D132*M132</f>
        <v>3190.73333333333</v>
      </c>
      <c r="O132" s="54" t="n">
        <f aca="false">AVERAGE(G132,J132,M132)</f>
        <v>2716.02222222222</v>
      </c>
      <c r="P132" s="55" t="n">
        <f aca="false">E132*100/O132-100</f>
        <v>-0.191538279019156</v>
      </c>
      <c r="Q132" s="54" t="n">
        <f aca="false">D132*E132</f>
        <v>2981.902</v>
      </c>
      <c r="R132" s="67"/>
      <c r="T132" s="57" t="n">
        <f aca="false">ROUND(G132*100/O132-100,0)</f>
        <v>-5</v>
      </c>
      <c r="U132" s="57" t="n">
        <f aca="false">ROUND(J132*100/O132-100,0)</f>
        <v>-2</v>
      </c>
      <c r="V132" s="57" t="n">
        <f aca="false">ROUND(M132*100/O132-100,0)</f>
        <v>7</v>
      </c>
    </row>
    <row r="133" s="43" customFormat="true" ht="73.5" hidden="false" customHeight="true" outlineLevel="0" collapsed="false">
      <c r="A133" s="45" t="n">
        <v>122</v>
      </c>
      <c r="B133" s="46" t="s">
        <v>192</v>
      </c>
      <c r="C133" s="47" t="s">
        <v>53</v>
      </c>
      <c r="D133" s="48" t="s">
        <v>193</v>
      </c>
      <c r="E133" s="50" t="n">
        <v>2701.65</v>
      </c>
      <c r="F133" s="47" t="s">
        <v>90</v>
      </c>
      <c r="G133" s="52" t="n">
        <f aca="false">3166.67/1.2</f>
        <v>2638.89166666667</v>
      </c>
      <c r="H133" s="53" t="n">
        <f aca="false">D133*G133</f>
        <v>8180.56416666667</v>
      </c>
      <c r="I133" s="47" t="s">
        <v>189</v>
      </c>
      <c r="J133" s="52" t="n">
        <f aca="false">3135.29/1.2</f>
        <v>2612.74166666667</v>
      </c>
      <c r="K133" s="53" t="n">
        <f aca="false">D133*J133</f>
        <v>8099.49916666667</v>
      </c>
      <c r="L133" s="47" t="s">
        <v>149</v>
      </c>
      <c r="M133" s="52" t="n">
        <f aca="false">3514.09/1.2</f>
        <v>2928.40833333333</v>
      </c>
      <c r="N133" s="53" t="n">
        <f aca="false">D133*M133</f>
        <v>9078.06583333333</v>
      </c>
      <c r="O133" s="54" t="n">
        <f aca="false">AVERAGE(G133,J133,M133)</f>
        <v>2726.68055555556</v>
      </c>
      <c r="P133" s="55" t="n">
        <f aca="false">E133*100/O133-100</f>
        <v>-0.917986359075215</v>
      </c>
      <c r="Q133" s="54" t="n">
        <f aca="false">D133*E133</f>
        <v>8375.115</v>
      </c>
      <c r="R133" s="67"/>
      <c r="T133" s="57" t="n">
        <f aca="false">ROUND(G133*100/O133-100,0)</f>
        <v>-3</v>
      </c>
      <c r="U133" s="57" t="n">
        <f aca="false">ROUND(J133*100/O133-100,0)</f>
        <v>-4</v>
      </c>
      <c r="V133" s="57" t="n">
        <f aca="false">ROUND(M133*100/O133-100,0)</f>
        <v>7</v>
      </c>
    </row>
    <row r="134" s="43" customFormat="true" ht="73.5" hidden="false" customHeight="true" outlineLevel="0" collapsed="false">
      <c r="A134" s="45" t="n">
        <v>123</v>
      </c>
      <c r="B134" s="46" t="s">
        <v>194</v>
      </c>
      <c r="C134" s="47" t="s">
        <v>53</v>
      </c>
      <c r="D134" s="48" t="n">
        <v>10</v>
      </c>
      <c r="E134" s="50" t="n">
        <v>1478.6</v>
      </c>
      <c r="F134" s="47" t="s">
        <v>90</v>
      </c>
      <c r="G134" s="52" t="n">
        <f aca="false">1725.55/1.2</f>
        <v>1437.95833333333</v>
      </c>
      <c r="H134" s="53" t="n">
        <f aca="false">D134*G134</f>
        <v>14379.5833333333</v>
      </c>
      <c r="I134" s="47" t="s">
        <v>189</v>
      </c>
      <c r="J134" s="52" t="n">
        <f aca="false">1741.12/1.2</f>
        <v>1450.93333333333</v>
      </c>
      <c r="K134" s="53" t="n">
        <f aca="false">D134*J134</f>
        <v>14509.3333333333</v>
      </c>
      <c r="L134" s="47" t="s">
        <v>149</v>
      </c>
      <c r="M134" s="52" t="n">
        <f aca="false">1865.66/1.2</f>
        <v>1554.71666666667</v>
      </c>
      <c r="N134" s="53" t="n">
        <f aca="false">D134*M134</f>
        <v>15547.1666666667</v>
      </c>
      <c r="O134" s="54" t="n">
        <f aca="false">AVERAGE(G134,J134,M134)</f>
        <v>1481.20277777778</v>
      </c>
      <c r="P134" s="55" t="n">
        <f aca="false">E134*100/O134-100</f>
        <v>-0.175720557429869</v>
      </c>
      <c r="Q134" s="54" t="n">
        <f aca="false">D134*E134</f>
        <v>14786</v>
      </c>
      <c r="R134" s="67"/>
      <c r="T134" s="57" t="n">
        <f aca="false">ROUND(G134*100/O134-100,0)</f>
        <v>-3</v>
      </c>
      <c r="U134" s="57" t="n">
        <f aca="false">ROUND(J134*100/O134-100,0)</f>
        <v>-2</v>
      </c>
      <c r="V134" s="57" t="n">
        <f aca="false">ROUND(M134*100/O134-100,0)</f>
        <v>5</v>
      </c>
    </row>
    <row r="135" s="43" customFormat="true" ht="73.5" hidden="false" customHeight="true" outlineLevel="0" collapsed="false">
      <c r="A135" s="45" t="n">
        <v>124</v>
      </c>
      <c r="B135" s="46" t="s">
        <v>195</v>
      </c>
      <c r="C135" s="47" t="s">
        <v>53</v>
      </c>
      <c r="D135" s="48" t="n">
        <v>15</v>
      </c>
      <c r="E135" s="50" t="n">
        <v>1369.87</v>
      </c>
      <c r="F135" s="47" t="s">
        <v>90</v>
      </c>
      <c r="G135" s="52" t="n">
        <f aca="false">1505.56/1.2</f>
        <v>1254.63333333333</v>
      </c>
      <c r="H135" s="53" t="n">
        <f aca="false">D135*G135</f>
        <v>18819.5</v>
      </c>
      <c r="I135" s="47" t="s">
        <v>189</v>
      </c>
      <c r="J135" s="52" t="n">
        <f aca="false">1637.46/1.2</f>
        <v>1364.55</v>
      </c>
      <c r="K135" s="53" t="n">
        <f aca="false">D135*J135</f>
        <v>20468.25</v>
      </c>
      <c r="L135" s="47" t="s">
        <v>149</v>
      </c>
      <c r="M135" s="52" t="n">
        <f aca="false">1805.2/1.2</f>
        <v>1504.33333333333</v>
      </c>
      <c r="N135" s="53" t="n">
        <f aca="false">D135*M135</f>
        <v>22565</v>
      </c>
      <c r="O135" s="54" t="n">
        <f aca="false">AVERAGE(G135,J135,M135)</f>
        <v>1374.50555555556</v>
      </c>
      <c r="P135" s="55" t="n">
        <f aca="false">E135*100/O135-100</f>
        <v>-0.337252587799256</v>
      </c>
      <c r="Q135" s="54" t="n">
        <f aca="false">D135*E135</f>
        <v>20548.05</v>
      </c>
      <c r="R135" s="67"/>
      <c r="T135" s="57" t="n">
        <f aca="false">ROUND(G135*100/O135-100,0)</f>
        <v>-9</v>
      </c>
      <c r="U135" s="57" t="n">
        <f aca="false">ROUND(J135*100/O135-100,0)</f>
        <v>-1</v>
      </c>
      <c r="V135" s="57" t="n">
        <f aca="false">ROUND(M135*100/O135-100,0)</f>
        <v>9</v>
      </c>
    </row>
    <row r="136" s="43" customFormat="true" ht="73.5" hidden="false" customHeight="true" outlineLevel="0" collapsed="false">
      <c r="A136" s="45" t="n">
        <v>125</v>
      </c>
      <c r="B136" s="46" t="s">
        <v>196</v>
      </c>
      <c r="C136" s="47" t="s">
        <v>53</v>
      </c>
      <c r="D136" s="48" t="s">
        <v>191</v>
      </c>
      <c r="E136" s="50" t="n">
        <v>1878.3</v>
      </c>
      <c r="F136" s="47" t="s">
        <v>90</v>
      </c>
      <c r="G136" s="52" t="n">
        <f aca="false">2222.22/1.2</f>
        <v>1851.85</v>
      </c>
      <c r="H136" s="53" t="n">
        <f aca="false">D136*G136</f>
        <v>2037.035</v>
      </c>
      <c r="I136" s="47" t="s">
        <v>189</v>
      </c>
      <c r="J136" s="52" t="n">
        <f aca="false">2269.73/1.2</f>
        <v>1891.44166666667</v>
      </c>
      <c r="K136" s="53" t="n">
        <f aca="false">D136*J136</f>
        <v>2080.58583333333</v>
      </c>
      <c r="L136" s="47" t="s">
        <v>149</v>
      </c>
      <c r="M136" s="52" t="n">
        <f aca="false">2294.14/1.2</f>
        <v>1911.78333333333</v>
      </c>
      <c r="N136" s="53" t="n">
        <f aca="false">D136*M136</f>
        <v>2102.96166666667</v>
      </c>
      <c r="O136" s="54" t="n">
        <f aca="false">AVERAGE(G136,J136,M136)</f>
        <v>1885.025</v>
      </c>
      <c r="P136" s="55" t="n">
        <f aca="false">E136*100/O136-100</f>
        <v>-0.35675919417514</v>
      </c>
      <c r="Q136" s="54" t="n">
        <f aca="false">D136*E136</f>
        <v>2066.13</v>
      </c>
      <c r="R136" s="67"/>
      <c r="T136" s="57" t="n">
        <f aca="false">ROUND(G136*100/O136-100,0)</f>
        <v>-2</v>
      </c>
      <c r="U136" s="57" t="n">
        <f aca="false">ROUND(J136*100/O136-100,0)</f>
        <v>0</v>
      </c>
      <c r="V136" s="57" t="n">
        <f aca="false">ROUND(M136*100/O136-100,0)</f>
        <v>1</v>
      </c>
    </row>
    <row r="137" s="43" customFormat="true" ht="73.5" hidden="false" customHeight="true" outlineLevel="0" collapsed="false">
      <c r="A137" s="45" t="n">
        <v>126</v>
      </c>
      <c r="B137" s="46" t="s">
        <v>197</v>
      </c>
      <c r="C137" s="47" t="s">
        <v>45</v>
      </c>
      <c r="D137" s="48" t="n">
        <v>450</v>
      </c>
      <c r="E137" s="50" t="n">
        <v>452.31</v>
      </c>
      <c r="F137" s="47" t="s">
        <v>198</v>
      </c>
      <c r="G137" s="52" t="n">
        <f aca="false">12465/1.2/25</f>
        <v>415.5</v>
      </c>
      <c r="H137" s="53" t="n">
        <f aca="false">D137*G137</f>
        <v>186975</v>
      </c>
      <c r="I137" s="47" t="s">
        <v>189</v>
      </c>
      <c r="J137" s="52" t="n">
        <f aca="false">526.16/1.2</f>
        <v>438.466666666667</v>
      </c>
      <c r="K137" s="53" t="n">
        <f aca="false">D137*J137</f>
        <v>197310</v>
      </c>
      <c r="L137" s="53" t="s">
        <v>41</v>
      </c>
      <c r="M137" s="52" t="n">
        <v>509.48</v>
      </c>
      <c r="N137" s="53" t="n">
        <f aca="false">D137*M137</f>
        <v>229266</v>
      </c>
      <c r="O137" s="54" t="n">
        <f aca="false">AVERAGE(G137,J137,M137)</f>
        <v>454.482222222222</v>
      </c>
      <c r="P137" s="55" t="n">
        <f aca="false">E137*100/O137-100</f>
        <v>-0.477955377792554</v>
      </c>
      <c r="Q137" s="54" t="n">
        <f aca="false">D137*E137</f>
        <v>203539.5</v>
      </c>
      <c r="R137" s="56"/>
      <c r="T137" s="57" t="n">
        <f aca="false">ROUND(G137*100/O137-100,0)</f>
        <v>-9</v>
      </c>
      <c r="U137" s="57" t="n">
        <f aca="false">ROUND(J137*100/O137-100,0)</f>
        <v>-4</v>
      </c>
      <c r="V137" s="57" t="n">
        <f aca="false">ROUND(M137*100/O137-100,0)</f>
        <v>12</v>
      </c>
    </row>
    <row r="138" s="43" customFormat="true" ht="73.5" hidden="false" customHeight="true" outlineLevel="0" collapsed="false">
      <c r="A138" s="45" t="n">
        <v>127</v>
      </c>
      <c r="B138" s="46" t="s">
        <v>199</v>
      </c>
      <c r="C138" s="47" t="s">
        <v>25</v>
      </c>
      <c r="D138" s="48" t="n">
        <v>2</v>
      </c>
      <c r="E138" s="50" t="n">
        <v>789.34</v>
      </c>
      <c r="F138" s="47" t="s">
        <v>27</v>
      </c>
      <c r="G138" s="52" t="n">
        <f aca="false">898.07/1.2</f>
        <v>748.391666666667</v>
      </c>
      <c r="H138" s="53" t="n">
        <f aca="false">D138*G138</f>
        <v>1496.78333333333</v>
      </c>
      <c r="I138" s="53" t="s">
        <v>28</v>
      </c>
      <c r="J138" s="52" t="n">
        <f aca="false">987.35/1.2</f>
        <v>822.791666666667</v>
      </c>
      <c r="K138" s="53" t="n">
        <f aca="false">D138*J138</f>
        <v>1645.58333333333</v>
      </c>
      <c r="L138" s="47" t="s">
        <v>29</v>
      </c>
      <c r="M138" s="52" t="n">
        <v>801.16</v>
      </c>
      <c r="N138" s="53" t="n">
        <f aca="false">D138*M138</f>
        <v>1602.32</v>
      </c>
      <c r="O138" s="54" t="n">
        <f aca="false">AVERAGE(G138,J138,M138)</f>
        <v>790.781111111111</v>
      </c>
      <c r="P138" s="55" t="n">
        <f aca="false">E138*100/O138-100</f>
        <v>-0.182238939557649</v>
      </c>
      <c r="Q138" s="54" t="n">
        <f aca="false">D138*E138</f>
        <v>1578.68</v>
      </c>
      <c r="R138" s="56"/>
      <c r="T138" s="57" t="n">
        <f aca="false">ROUND(G138*100/O138-100,0)</f>
        <v>-5</v>
      </c>
      <c r="U138" s="57" t="n">
        <f aca="false">ROUND(J138*100/O138-100,0)</f>
        <v>4</v>
      </c>
      <c r="V138" s="57" t="n">
        <f aca="false">ROUND(M138*100/O138-100,0)</f>
        <v>1</v>
      </c>
    </row>
    <row r="139" s="43" customFormat="true" ht="73.5" hidden="false" customHeight="true" outlineLevel="0" collapsed="false">
      <c r="A139" s="45" t="n">
        <v>128</v>
      </c>
      <c r="B139" s="46" t="s">
        <v>200</v>
      </c>
      <c r="C139" s="47" t="s">
        <v>25</v>
      </c>
      <c r="D139" s="48" t="n">
        <v>36</v>
      </c>
      <c r="E139" s="50" t="n">
        <v>329.75</v>
      </c>
      <c r="F139" s="47" t="s">
        <v>27</v>
      </c>
      <c r="G139" s="52" t="n">
        <f aca="false">356.62/1.2</f>
        <v>297.183333333333</v>
      </c>
      <c r="H139" s="53" t="n">
        <f aca="false">D139*G139</f>
        <v>10698.6</v>
      </c>
      <c r="I139" s="53" t="s">
        <v>28</v>
      </c>
      <c r="J139" s="52" t="n">
        <f aca="false">442.12/1.2</f>
        <v>368.433333333333</v>
      </c>
      <c r="K139" s="53" t="n">
        <f aca="false">D139*J139</f>
        <v>13263.6</v>
      </c>
      <c r="L139" s="47" t="s">
        <v>29</v>
      </c>
      <c r="M139" s="52" t="n">
        <v>335.45</v>
      </c>
      <c r="N139" s="53" t="n">
        <f aca="false">D139*M139</f>
        <v>12076.2</v>
      </c>
      <c r="O139" s="54" t="n">
        <f aca="false">AVERAGE(G139,J139,M139)</f>
        <v>333.688888888889</v>
      </c>
      <c r="P139" s="55" t="n">
        <f aca="false">E139*100/O139-100</f>
        <v>-1.18040756526371</v>
      </c>
      <c r="Q139" s="54" t="n">
        <f aca="false">D139*E139</f>
        <v>11871</v>
      </c>
      <c r="R139" s="56"/>
      <c r="T139" s="57" t="n">
        <f aca="false">ROUND(G139*100/O139-100,0)</f>
        <v>-11</v>
      </c>
      <c r="U139" s="57" t="n">
        <f aca="false">ROUND(J139*100/O139-100,0)</f>
        <v>10</v>
      </c>
      <c r="V139" s="57" t="n">
        <f aca="false">ROUND(M139*100/O139-100,0)</f>
        <v>1</v>
      </c>
    </row>
    <row r="140" s="43" customFormat="true" ht="99.75" hidden="false" customHeight="true" outlineLevel="0" collapsed="false">
      <c r="A140" s="45" t="n">
        <v>129</v>
      </c>
      <c r="B140" s="46" t="s">
        <v>201</v>
      </c>
      <c r="C140" s="47" t="s">
        <v>45</v>
      </c>
      <c r="D140" s="48" t="n">
        <v>140</v>
      </c>
      <c r="E140" s="50" t="n">
        <v>429.98</v>
      </c>
      <c r="F140" s="47" t="s">
        <v>202</v>
      </c>
      <c r="G140" s="52" t="n">
        <f aca="false">10220/25</f>
        <v>408.8</v>
      </c>
      <c r="H140" s="53" t="n">
        <f aca="false">D140*G140</f>
        <v>57232</v>
      </c>
      <c r="I140" s="47" t="s">
        <v>46</v>
      </c>
      <c r="J140" s="52" t="n">
        <v>456.73</v>
      </c>
      <c r="K140" s="53" t="n">
        <f aca="false">D140*J140</f>
        <v>63942.2</v>
      </c>
      <c r="L140" s="47" t="s">
        <v>57</v>
      </c>
      <c r="M140" s="52" t="n">
        <v>428.41</v>
      </c>
      <c r="N140" s="53" t="n">
        <f aca="false">D140*M140</f>
        <v>59977.4</v>
      </c>
      <c r="O140" s="54" t="n">
        <f aca="false">AVERAGE(G140,J140,M140)</f>
        <v>431.313333333333</v>
      </c>
      <c r="P140" s="55" t="n">
        <f aca="false">E140*100/O140-100</f>
        <v>-0.309133344668226</v>
      </c>
      <c r="Q140" s="54" t="n">
        <f aca="false">D140*E140</f>
        <v>60197.2</v>
      </c>
      <c r="R140" s="56"/>
      <c r="T140" s="57" t="n">
        <f aca="false">ROUND(G140*100/O140-100,0)</f>
        <v>-5</v>
      </c>
      <c r="U140" s="57" t="n">
        <f aca="false">ROUND(J140*100/O140-100,0)</f>
        <v>6</v>
      </c>
      <c r="V140" s="57" t="n">
        <f aca="false">ROUND(M140*100/O140-100,0)</f>
        <v>-1</v>
      </c>
    </row>
    <row r="141" s="43" customFormat="true" ht="95.25" hidden="false" customHeight="true" outlineLevel="0" collapsed="false">
      <c r="A141" s="45" t="n">
        <v>130</v>
      </c>
      <c r="B141" s="46" t="s">
        <v>203</v>
      </c>
      <c r="C141" s="47" t="s">
        <v>45</v>
      </c>
      <c r="D141" s="48" t="n">
        <v>12</v>
      </c>
      <c r="E141" s="50" t="n">
        <v>905.66</v>
      </c>
      <c r="F141" s="47" t="s">
        <v>202</v>
      </c>
      <c r="G141" s="52" t="n">
        <f aca="false">21931.67/25</f>
        <v>877.2668</v>
      </c>
      <c r="H141" s="53" t="n">
        <f aca="false">D141*G141</f>
        <v>10527.2016</v>
      </c>
      <c r="I141" s="47" t="s">
        <v>46</v>
      </c>
      <c r="J141" s="52" t="n">
        <v>954.02</v>
      </c>
      <c r="K141" s="53" t="n">
        <f aca="false">D141*J141</f>
        <v>11448.24</v>
      </c>
      <c r="L141" s="47" t="s">
        <v>57</v>
      </c>
      <c r="M141" s="52" t="n">
        <v>893.4</v>
      </c>
      <c r="N141" s="53" t="n">
        <f aca="false">D141*M141</f>
        <v>10720.8</v>
      </c>
      <c r="O141" s="54" t="n">
        <f aca="false">AVERAGE(G141,J141,M141)</f>
        <v>908.228933333333</v>
      </c>
      <c r="P141" s="55" t="n">
        <f aca="false">E141*100/O141-100</f>
        <v>-0.282850858307825</v>
      </c>
      <c r="Q141" s="54" t="n">
        <f aca="false">D141*E141</f>
        <v>10867.92</v>
      </c>
      <c r="R141" s="56"/>
      <c r="T141" s="57" t="n">
        <f aca="false">ROUND(G141*100/O141-100,0)</f>
        <v>-3</v>
      </c>
      <c r="U141" s="57" t="n">
        <f aca="false">ROUND(J141*100/O141-100,0)</f>
        <v>5</v>
      </c>
      <c r="V141" s="57" t="n">
        <f aca="false">ROUND(M141*100/O141-100,0)</f>
        <v>-2</v>
      </c>
    </row>
    <row r="142" s="43" customFormat="true" ht="73.5" hidden="false" customHeight="true" outlineLevel="0" collapsed="false">
      <c r="A142" s="45" t="n">
        <v>131</v>
      </c>
      <c r="B142" s="46" t="s">
        <v>204</v>
      </c>
      <c r="C142" s="47" t="s">
        <v>25</v>
      </c>
      <c r="D142" s="48" t="n">
        <v>12</v>
      </c>
      <c r="E142" s="50" t="n">
        <v>653.71</v>
      </c>
      <c r="F142" s="47" t="s">
        <v>27</v>
      </c>
      <c r="G142" s="52" t="n">
        <f aca="false">723.24/1.2</f>
        <v>602.7</v>
      </c>
      <c r="H142" s="53" t="n">
        <f aca="false">D142*G142</f>
        <v>7232.4</v>
      </c>
      <c r="I142" s="53" t="s">
        <v>28</v>
      </c>
      <c r="J142" s="52" t="n">
        <f aca="false">857.27/1.2</f>
        <v>714.391666666667</v>
      </c>
      <c r="K142" s="53" t="n">
        <f aca="false">D142*J142</f>
        <v>8572.7</v>
      </c>
      <c r="L142" s="47" t="s">
        <v>29</v>
      </c>
      <c r="M142" s="52" t="n">
        <v>652.02</v>
      </c>
      <c r="N142" s="53" t="n">
        <f aca="false">D142*M142</f>
        <v>7824.24</v>
      </c>
      <c r="O142" s="54" t="n">
        <f aca="false">AVERAGE(G142,J142,M142)</f>
        <v>656.370555555556</v>
      </c>
      <c r="P142" s="55" t="n">
        <f aca="false">E142*100/O142-100</f>
        <v>-0.405343526310944</v>
      </c>
      <c r="Q142" s="54" t="n">
        <f aca="false">D142*E142</f>
        <v>7844.52</v>
      </c>
      <c r="R142" s="56"/>
      <c r="T142" s="57" t="n">
        <f aca="false">ROUND(G142*100/O142-100,0)</f>
        <v>-8</v>
      </c>
      <c r="U142" s="57" t="n">
        <f aca="false">ROUND(J142*100/O142-100,0)</f>
        <v>9</v>
      </c>
      <c r="V142" s="57" t="n">
        <f aca="false">ROUND(M142*100/O142-100,0)</f>
        <v>-1</v>
      </c>
    </row>
    <row r="143" s="43" customFormat="true" ht="73.5" hidden="false" customHeight="true" outlineLevel="0" collapsed="false">
      <c r="A143" s="45" t="n">
        <v>132</v>
      </c>
      <c r="B143" s="46" t="s">
        <v>205</v>
      </c>
      <c r="C143" s="47" t="s">
        <v>25</v>
      </c>
      <c r="D143" s="48" t="n">
        <v>35</v>
      </c>
      <c r="E143" s="50" t="n">
        <v>113.54</v>
      </c>
      <c r="F143" s="47" t="s">
        <v>27</v>
      </c>
      <c r="G143" s="52" t="n">
        <f aca="false">118.77/1.2</f>
        <v>98.975</v>
      </c>
      <c r="H143" s="53" t="n">
        <f aca="false">D143*G143</f>
        <v>3464.125</v>
      </c>
      <c r="I143" s="53" t="s">
        <v>28</v>
      </c>
      <c r="J143" s="52" t="n">
        <f aca="false">135.22/1.2</f>
        <v>112.683333333333</v>
      </c>
      <c r="K143" s="53" t="n">
        <f aca="false">D143*J143</f>
        <v>3943.91666666667</v>
      </c>
      <c r="L143" s="47" t="s">
        <v>29</v>
      </c>
      <c r="M143" s="52" t="n">
        <v>135.37</v>
      </c>
      <c r="N143" s="53" t="n">
        <f aca="false">D143*M143</f>
        <v>4737.95</v>
      </c>
      <c r="O143" s="54" t="n">
        <f aca="false">AVERAGE(G143,J143,M143)</f>
        <v>115.676111111111</v>
      </c>
      <c r="P143" s="55" t="n">
        <f aca="false">E143*100/O143-100</f>
        <v>-1.84663115883909</v>
      </c>
      <c r="Q143" s="54" t="n">
        <f aca="false">D143*E143</f>
        <v>3973.9</v>
      </c>
      <c r="R143" s="56"/>
      <c r="T143" s="57" t="n">
        <f aca="false">ROUND(G143*100/O143-100,0)</f>
        <v>-14</v>
      </c>
      <c r="U143" s="57" t="n">
        <f aca="false">ROUND(J143*100/O143-100,0)</f>
        <v>-3</v>
      </c>
      <c r="V143" s="57" t="n">
        <f aca="false">ROUND(M143*100/O143-100,0)</f>
        <v>17</v>
      </c>
    </row>
    <row r="144" s="43" customFormat="true" ht="73.5" hidden="false" customHeight="true" outlineLevel="0" collapsed="false">
      <c r="A144" s="45" t="n">
        <v>133</v>
      </c>
      <c r="B144" s="46" t="s">
        <v>206</v>
      </c>
      <c r="C144" s="47" t="s">
        <v>25</v>
      </c>
      <c r="D144" s="48" t="n">
        <v>20</v>
      </c>
      <c r="E144" s="50" t="n">
        <v>242.64</v>
      </c>
      <c r="F144" s="47" t="s">
        <v>27</v>
      </c>
      <c r="G144" s="52" t="n">
        <f aca="false">283.32/1.2</f>
        <v>236.1</v>
      </c>
      <c r="H144" s="53" t="n">
        <f aca="false">D144*G144</f>
        <v>4722</v>
      </c>
      <c r="I144" s="53" t="s">
        <v>28</v>
      </c>
      <c r="J144" s="52" t="n">
        <f aca="false">320.12/1.2</f>
        <v>266.766666666667</v>
      </c>
      <c r="K144" s="53" t="n">
        <f aca="false">D144*J144</f>
        <v>5335.33333333333</v>
      </c>
      <c r="L144" s="47" t="s">
        <v>29</v>
      </c>
      <c r="M144" s="52" t="n">
        <v>231.89</v>
      </c>
      <c r="N144" s="53" t="n">
        <f aca="false">D144*M144</f>
        <v>4637.8</v>
      </c>
      <c r="O144" s="54" t="n">
        <f aca="false">AVERAGE(G144,J144,M144)</f>
        <v>244.918888888889</v>
      </c>
      <c r="P144" s="55" t="n">
        <f aca="false">E144*100/O144-100</f>
        <v>-0.930466775848686</v>
      </c>
      <c r="Q144" s="54" t="n">
        <f aca="false">D144*E144</f>
        <v>4852.8</v>
      </c>
      <c r="R144" s="56"/>
      <c r="T144" s="57" t="n">
        <f aca="false">ROUND(G144*100/O144-100,0)</f>
        <v>-4</v>
      </c>
      <c r="U144" s="57" t="n">
        <f aca="false">ROUND(J144*100/O144-100,0)</f>
        <v>9</v>
      </c>
      <c r="V144" s="57" t="n">
        <f aca="false">ROUND(M144*100/O144-100,0)</f>
        <v>-5</v>
      </c>
    </row>
    <row r="145" s="43" customFormat="true" ht="73.5" hidden="false" customHeight="true" outlineLevel="0" collapsed="false">
      <c r="A145" s="45" t="n">
        <v>134</v>
      </c>
      <c r="B145" s="46" t="s">
        <v>207</v>
      </c>
      <c r="C145" s="47" t="s">
        <v>25</v>
      </c>
      <c r="D145" s="48" t="n">
        <v>356</v>
      </c>
      <c r="E145" s="50" t="n">
        <v>228.33</v>
      </c>
      <c r="F145" s="47" t="s">
        <v>27</v>
      </c>
      <c r="G145" s="52" t="n">
        <f aca="false">219.61/1.2</f>
        <v>183.008333333333</v>
      </c>
      <c r="H145" s="53" t="n">
        <f aca="false">D145*G145</f>
        <v>65150.9666666667</v>
      </c>
      <c r="I145" s="53" t="s">
        <v>28</v>
      </c>
      <c r="J145" s="52" t="n">
        <f aca="false">287.78/1.2</f>
        <v>239.816666666667</v>
      </c>
      <c r="K145" s="53" t="n">
        <f aca="false">D145*J145</f>
        <v>85374.7333333333</v>
      </c>
      <c r="L145" s="47" t="s">
        <v>29</v>
      </c>
      <c r="M145" s="52" t="n">
        <v>266.51</v>
      </c>
      <c r="N145" s="53" t="n">
        <f aca="false">D145*M145</f>
        <v>94877.56</v>
      </c>
      <c r="O145" s="54" t="n">
        <f aca="false">AVERAGE(G145,J145,M145)</f>
        <v>229.778333333333</v>
      </c>
      <c r="P145" s="55" t="n">
        <f aca="false">E145*100/O145-100</f>
        <v>-0.630317624957385</v>
      </c>
      <c r="Q145" s="54" t="n">
        <f aca="false">D145*E145</f>
        <v>81285.48</v>
      </c>
      <c r="R145" s="56"/>
      <c r="T145" s="57" t="n">
        <f aca="false">ROUND(G145*100/O145-100,0)</f>
        <v>-20</v>
      </c>
      <c r="U145" s="57" t="n">
        <f aca="false">ROUND(J145*100/O145-100,0)</f>
        <v>4</v>
      </c>
      <c r="V145" s="57" t="n">
        <f aca="false">ROUND(M145*100/O145-100,0)</f>
        <v>16</v>
      </c>
    </row>
    <row r="146" s="43" customFormat="true" ht="73.5" hidden="false" customHeight="true" outlineLevel="0" collapsed="false">
      <c r="A146" s="45" t="n">
        <v>135</v>
      </c>
      <c r="B146" s="46" t="s">
        <v>208</v>
      </c>
      <c r="C146" s="47" t="s">
        <v>25</v>
      </c>
      <c r="D146" s="48" t="s">
        <v>209</v>
      </c>
      <c r="E146" s="50" t="n">
        <v>233.64</v>
      </c>
      <c r="F146" s="47" t="s">
        <v>27</v>
      </c>
      <c r="G146" s="52" t="n">
        <f aca="false">276.58/1.2</f>
        <v>230.483333333333</v>
      </c>
      <c r="H146" s="53" t="n">
        <f aca="false">D146*G146</f>
        <v>61769.5333333333</v>
      </c>
      <c r="I146" s="53" t="s">
        <v>28</v>
      </c>
      <c r="J146" s="52" t="n">
        <f aca="false">267.66/1.2</f>
        <v>223.05</v>
      </c>
      <c r="K146" s="53" t="n">
        <f aca="false">D146*J146</f>
        <v>59777.4</v>
      </c>
      <c r="L146" s="47" t="s">
        <v>29</v>
      </c>
      <c r="M146" s="52" t="n">
        <v>248.97</v>
      </c>
      <c r="N146" s="53" t="n">
        <f aca="false">D146*M146</f>
        <v>66723.96</v>
      </c>
      <c r="O146" s="54" t="n">
        <f aca="false">AVERAGE(G146,J146,M146)</f>
        <v>234.167777777778</v>
      </c>
      <c r="P146" s="55" t="n">
        <f aca="false">E146*100/O146-100</f>
        <v>-0.225384458436736</v>
      </c>
      <c r="Q146" s="54" t="n">
        <f aca="false">D146*E146</f>
        <v>62615.52</v>
      </c>
      <c r="R146" s="56"/>
      <c r="T146" s="57" t="n">
        <f aca="false">ROUND(G146*100/O146-100,0)</f>
        <v>-2</v>
      </c>
      <c r="U146" s="57" t="n">
        <f aca="false">ROUND(J146*100/O146-100,0)</f>
        <v>-5</v>
      </c>
      <c r="V146" s="57" t="n">
        <f aca="false">ROUND(M146*100/O146-100,0)</f>
        <v>6</v>
      </c>
    </row>
    <row r="147" s="43" customFormat="true" ht="73.5" hidden="false" customHeight="true" outlineLevel="0" collapsed="false">
      <c r="A147" s="45" t="n">
        <v>136</v>
      </c>
      <c r="B147" s="46" t="s">
        <v>210</v>
      </c>
      <c r="C147" s="47" t="s">
        <v>25</v>
      </c>
      <c r="D147" s="48" t="n">
        <v>200</v>
      </c>
      <c r="E147" s="50" t="n">
        <v>325.78</v>
      </c>
      <c r="F147" s="47" t="s">
        <v>27</v>
      </c>
      <c r="G147" s="52" t="n">
        <f aca="false">364.29/1.2</f>
        <v>303.575</v>
      </c>
      <c r="H147" s="53" t="n">
        <f aca="false">D147*G147</f>
        <v>60715</v>
      </c>
      <c r="I147" s="53" t="s">
        <v>28</v>
      </c>
      <c r="J147" s="52" t="n">
        <f aca="false">361.37/1.2</f>
        <v>301.141666666667</v>
      </c>
      <c r="K147" s="53" t="n">
        <f aca="false">D147*J147</f>
        <v>60228.3333333333</v>
      </c>
      <c r="L147" s="47" t="s">
        <v>29</v>
      </c>
      <c r="M147" s="52" t="n">
        <v>374.02</v>
      </c>
      <c r="N147" s="53" t="n">
        <f aca="false">D147*M147</f>
        <v>74804</v>
      </c>
      <c r="O147" s="54" t="n">
        <f aca="false">AVERAGE(G147,J147,M147)</f>
        <v>326.245555555556</v>
      </c>
      <c r="P147" s="55" t="n">
        <f aca="false">E147*100/O147-100</f>
        <v>-0.142700964849254</v>
      </c>
      <c r="Q147" s="54" t="n">
        <f aca="false">D147*E147</f>
        <v>65156</v>
      </c>
      <c r="R147" s="56"/>
      <c r="T147" s="57" t="n">
        <f aca="false">ROUND(G147*100/O147-100,0)</f>
        <v>-7</v>
      </c>
      <c r="U147" s="57" t="n">
        <f aca="false">ROUND(J147*100/O147-100,0)</f>
        <v>-8</v>
      </c>
      <c r="V147" s="57" t="n">
        <f aca="false">ROUND(M147*100/O147-100,0)</f>
        <v>15</v>
      </c>
    </row>
    <row r="148" s="43" customFormat="true" ht="73.5" hidden="false" customHeight="true" outlineLevel="0" collapsed="false">
      <c r="A148" s="45" t="n">
        <v>137</v>
      </c>
      <c r="B148" s="46" t="s">
        <v>211</v>
      </c>
      <c r="C148" s="47" t="s">
        <v>25</v>
      </c>
      <c r="D148" s="48" t="n">
        <v>40</v>
      </c>
      <c r="E148" s="50" t="n">
        <v>1233.75</v>
      </c>
      <c r="F148" s="47" t="s">
        <v>27</v>
      </c>
      <c r="G148" s="52" t="n">
        <f aca="false">1201.84/1.2</f>
        <v>1001.53333333333</v>
      </c>
      <c r="H148" s="53" t="n">
        <f aca="false">D148*G148</f>
        <v>40061.3333333333</v>
      </c>
      <c r="I148" s="53" t="s">
        <v>28</v>
      </c>
      <c r="J148" s="52" t="n">
        <f aca="false">1674.32/1.2</f>
        <v>1395.26666666667</v>
      </c>
      <c r="K148" s="53" t="n">
        <f aca="false">D148*J148</f>
        <v>55810.6666666667</v>
      </c>
      <c r="L148" s="47" t="s">
        <v>29</v>
      </c>
      <c r="M148" s="52" t="n">
        <v>1306.33</v>
      </c>
      <c r="N148" s="53" t="n">
        <f aca="false">D148*M148</f>
        <v>52253.2</v>
      </c>
      <c r="O148" s="54" t="n">
        <f aca="false">AVERAGE(G148,J148,M148)</f>
        <v>1234.37666666667</v>
      </c>
      <c r="P148" s="55" t="n">
        <f aca="false">E148*100/O148-100</f>
        <v>-0.0507678639421272</v>
      </c>
      <c r="Q148" s="54" t="n">
        <f aca="false">D148*E148</f>
        <v>49350</v>
      </c>
      <c r="R148" s="56"/>
      <c r="T148" s="57" t="n">
        <f aca="false">ROUND(G148*100/O148-100,0)</f>
        <v>-19</v>
      </c>
      <c r="U148" s="57" t="n">
        <f aca="false">ROUND(J148*100/O148-100,0)</f>
        <v>13</v>
      </c>
      <c r="V148" s="57" t="n">
        <f aca="false">ROUND(M148*100/O148-100,0)</f>
        <v>6</v>
      </c>
    </row>
    <row r="149" s="43" customFormat="true" ht="73.5" hidden="false" customHeight="true" outlineLevel="0" collapsed="false">
      <c r="A149" s="45" t="n">
        <v>138</v>
      </c>
      <c r="B149" s="46" t="s">
        <v>212</v>
      </c>
      <c r="C149" s="47" t="s">
        <v>25</v>
      </c>
      <c r="D149" s="48" t="n">
        <v>30</v>
      </c>
      <c r="E149" s="50" t="n">
        <v>1098.76</v>
      </c>
      <c r="F149" s="47" t="s">
        <v>27</v>
      </c>
      <c r="G149" s="52" t="n">
        <f aca="false">1199.31/1.2</f>
        <v>999.425</v>
      </c>
      <c r="H149" s="53" t="n">
        <f aca="false">D149*G149</f>
        <v>29982.75</v>
      </c>
      <c r="I149" s="53" t="s">
        <v>28</v>
      </c>
      <c r="J149" s="52" t="n">
        <f aca="false">1269.16/1.2</f>
        <v>1057.63333333333</v>
      </c>
      <c r="K149" s="53" t="n">
        <f aca="false">D149*J149</f>
        <v>31729</v>
      </c>
      <c r="L149" s="47" t="s">
        <v>29</v>
      </c>
      <c r="M149" s="52" t="n">
        <v>1244.25</v>
      </c>
      <c r="N149" s="53" t="n">
        <f aca="false">D149*M149</f>
        <v>37327.5</v>
      </c>
      <c r="O149" s="54" t="n">
        <f aca="false">AVERAGE(G149,J149,M149)</f>
        <v>1100.43611111111</v>
      </c>
      <c r="P149" s="55" t="n">
        <f aca="false">E149*100/O149-100</f>
        <v>-0.152313350515072</v>
      </c>
      <c r="Q149" s="54" t="n">
        <f aca="false">D149*E149</f>
        <v>32962.8</v>
      </c>
      <c r="R149" s="56"/>
      <c r="T149" s="57" t="n">
        <f aca="false">ROUND(G149*100/O149-100,0)</f>
        <v>-9</v>
      </c>
      <c r="U149" s="57" t="n">
        <f aca="false">ROUND(J149*100/O149-100,0)</f>
        <v>-4</v>
      </c>
      <c r="V149" s="57" t="n">
        <f aca="false">ROUND(M149*100/O149-100,0)</f>
        <v>13</v>
      </c>
    </row>
    <row r="150" s="43" customFormat="true" ht="73.5" hidden="false" customHeight="true" outlineLevel="0" collapsed="false">
      <c r="A150" s="45" t="n">
        <v>139</v>
      </c>
      <c r="B150" s="46" t="s">
        <v>213</v>
      </c>
      <c r="C150" s="47" t="s">
        <v>25</v>
      </c>
      <c r="D150" s="48" t="n">
        <v>118</v>
      </c>
      <c r="E150" s="50" t="n">
        <v>951.47</v>
      </c>
      <c r="F150" s="47" t="s">
        <v>27</v>
      </c>
      <c r="G150" s="52" t="n">
        <f aca="false">1115.69/1.2</f>
        <v>929.741666666667</v>
      </c>
      <c r="H150" s="53" t="n">
        <f aca="false">D150*G150</f>
        <v>109709.516666667</v>
      </c>
      <c r="I150" s="53" t="s">
        <v>28</v>
      </c>
      <c r="J150" s="52" t="n">
        <f aca="false">1208.38/1.2</f>
        <v>1006.98333333333</v>
      </c>
      <c r="K150" s="53" t="n">
        <f aca="false">D150*J150</f>
        <v>118824.033333333</v>
      </c>
      <c r="L150" s="47" t="s">
        <v>29</v>
      </c>
      <c r="M150" s="52" t="n">
        <v>921.17</v>
      </c>
      <c r="N150" s="53" t="n">
        <f aca="false">D150*M150</f>
        <v>108698.06</v>
      </c>
      <c r="O150" s="54" t="n">
        <f aca="false">AVERAGE(G150,J150,M150)</f>
        <v>952.631666666667</v>
      </c>
      <c r="P150" s="55" t="n">
        <f aca="false">E150*100/O150-100</f>
        <v>-0.121942898531969</v>
      </c>
      <c r="Q150" s="54" t="n">
        <f aca="false">D150*E150</f>
        <v>112273.46</v>
      </c>
      <c r="R150" s="56"/>
      <c r="T150" s="57" t="n">
        <f aca="false">ROUND(G150*100/O150-100,0)</f>
        <v>-2</v>
      </c>
      <c r="U150" s="57" t="n">
        <f aca="false">ROUND(J150*100/O150-100,0)</f>
        <v>6</v>
      </c>
      <c r="V150" s="57" t="n">
        <f aca="false">ROUND(M150*100/O150-100,0)</f>
        <v>-3</v>
      </c>
    </row>
    <row r="151" s="43" customFormat="true" ht="73.5" hidden="false" customHeight="true" outlineLevel="0" collapsed="false">
      <c r="A151" s="45" t="n">
        <v>140</v>
      </c>
      <c r="B151" s="46" t="s">
        <v>214</v>
      </c>
      <c r="C151" s="47" t="s">
        <v>25</v>
      </c>
      <c r="D151" s="48" t="n">
        <v>425</v>
      </c>
      <c r="E151" s="50" t="n">
        <v>1254.32</v>
      </c>
      <c r="F151" s="47" t="s">
        <v>27</v>
      </c>
      <c r="G151" s="52" t="n">
        <f aca="false">1382.75/1.2</f>
        <v>1152.29166666667</v>
      </c>
      <c r="H151" s="53" t="n">
        <f aca="false">D151*G151</f>
        <v>489723.958333333</v>
      </c>
      <c r="I151" s="53" t="s">
        <v>28</v>
      </c>
      <c r="J151" s="52" t="n">
        <f aca="false">1595.17/1.2</f>
        <v>1329.30833333333</v>
      </c>
      <c r="K151" s="53" t="n">
        <f aca="false">D151*J151</f>
        <v>564956.041666667</v>
      </c>
      <c r="L151" s="47" t="s">
        <v>29</v>
      </c>
      <c r="M151" s="52" t="n">
        <v>1288.63</v>
      </c>
      <c r="N151" s="53" t="n">
        <f aca="false">D151*M151</f>
        <v>547667.75</v>
      </c>
      <c r="O151" s="54" t="n">
        <f aca="false">AVERAGE(G151,J151,M151)</f>
        <v>1256.74333333333</v>
      </c>
      <c r="P151" s="55" t="n">
        <f aca="false">E151*100/O151-100</f>
        <v>-0.192826432339686</v>
      </c>
      <c r="Q151" s="54" t="n">
        <f aca="false">D151*E151</f>
        <v>533086</v>
      </c>
      <c r="R151" s="56"/>
      <c r="T151" s="57" t="n">
        <f aca="false">ROUND(G151*100/O151-100,0)</f>
        <v>-8</v>
      </c>
      <c r="U151" s="57" t="n">
        <f aca="false">ROUND(J151*100/O151-100,0)</f>
        <v>6</v>
      </c>
      <c r="V151" s="57" t="n">
        <f aca="false">ROUND(M151*100/O151-100,0)</f>
        <v>3</v>
      </c>
    </row>
    <row r="152" s="43" customFormat="true" ht="73.5" hidden="false" customHeight="true" outlineLevel="0" collapsed="false">
      <c r="A152" s="45" t="n">
        <v>141</v>
      </c>
      <c r="B152" s="46" t="s">
        <v>215</v>
      </c>
      <c r="C152" s="47" t="s">
        <v>25</v>
      </c>
      <c r="D152" s="48" t="n">
        <v>20</v>
      </c>
      <c r="E152" s="50" t="n">
        <v>1529.66</v>
      </c>
      <c r="F152" s="47" t="s">
        <v>27</v>
      </c>
      <c r="G152" s="52" t="n">
        <f aca="false">1801.3/1.2</f>
        <v>1501.08333333333</v>
      </c>
      <c r="H152" s="53" t="n">
        <f aca="false">D152*G152</f>
        <v>30021.6666666667</v>
      </c>
      <c r="I152" s="53" t="s">
        <v>28</v>
      </c>
      <c r="J152" s="52" t="n">
        <f aca="false">1933.26/1.2</f>
        <v>1611.05</v>
      </c>
      <c r="K152" s="53" t="n">
        <f aca="false">D152*J152</f>
        <v>32221</v>
      </c>
      <c r="L152" s="47" t="s">
        <v>29</v>
      </c>
      <c r="M152" s="52" t="n">
        <v>1482.09</v>
      </c>
      <c r="N152" s="53" t="n">
        <f aca="false">D152*M152</f>
        <v>29641.8</v>
      </c>
      <c r="O152" s="54" t="n">
        <f aca="false">AVERAGE(G152,J152,M152)</f>
        <v>1531.40777777778</v>
      </c>
      <c r="P152" s="55" t="n">
        <f aca="false">E152*100/O152-100</f>
        <v>-0.114128829900153</v>
      </c>
      <c r="Q152" s="54" t="n">
        <f aca="false">D152*E152</f>
        <v>30593.2</v>
      </c>
      <c r="R152" s="56"/>
      <c r="T152" s="57" t="n">
        <f aca="false">ROUND(G152*100/O152-100,0)</f>
        <v>-2</v>
      </c>
      <c r="U152" s="57" t="n">
        <f aca="false">ROUND(J152*100/O152-100,0)</f>
        <v>5</v>
      </c>
      <c r="V152" s="57" t="n">
        <f aca="false">ROUND(M152*100/O152-100,0)</f>
        <v>-3</v>
      </c>
    </row>
    <row r="153" s="43" customFormat="true" ht="73.5" hidden="false" customHeight="true" outlineLevel="0" collapsed="false">
      <c r="A153" s="45" t="n">
        <v>142</v>
      </c>
      <c r="B153" s="46" t="s">
        <v>216</v>
      </c>
      <c r="C153" s="47" t="s">
        <v>25</v>
      </c>
      <c r="D153" s="48" t="n">
        <v>250</v>
      </c>
      <c r="E153" s="50" t="n">
        <v>469.64</v>
      </c>
      <c r="F153" s="47" t="s">
        <v>27</v>
      </c>
      <c r="G153" s="52" t="n">
        <f aca="false">508.15/1.2</f>
        <v>423.458333333333</v>
      </c>
      <c r="H153" s="53" t="n">
        <f aca="false">D153*G153</f>
        <v>105864.583333333</v>
      </c>
      <c r="I153" s="53" t="s">
        <v>28</v>
      </c>
      <c r="J153" s="52" t="n">
        <f aca="false">585.8/1.2</f>
        <v>488.166666666667</v>
      </c>
      <c r="K153" s="53" t="n">
        <f aca="false">D153*J153</f>
        <v>122041.666666667</v>
      </c>
      <c r="L153" s="47" t="s">
        <v>29</v>
      </c>
      <c r="M153" s="52" t="n">
        <v>501.33</v>
      </c>
      <c r="N153" s="53" t="n">
        <f aca="false">D153*M153</f>
        <v>125332.5</v>
      </c>
      <c r="O153" s="54" t="n">
        <f aca="false">AVERAGE(G153,J153,M153)</f>
        <v>470.985</v>
      </c>
      <c r="P153" s="55" t="n">
        <f aca="false">E153*100/O153-100</f>
        <v>-0.285571727337384</v>
      </c>
      <c r="Q153" s="54" t="n">
        <f aca="false">D153*E153</f>
        <v>117410</v>
      </c>
      <c r="R153" s="56"/>
      <c r="T153" s="57" t="n">
        <f aca="false">ROUND(G153*100/O153-100,0)</f>
        <v>-10</v>
      </c>
      <c r="U153" s="57" t="n">
        <f aca="false">ROUND(J153*100/O153-100,0)</f>
        <v>4</v>
      </c>
      <c r="V153" s="57" t="n">
        <f aca="false">ROUND(M153*100/O153-100,0)</f>
        <v>6</v>
      </c>
    </row>
    <row r="154" s="43" customFormat="true" ht="73.5" hidden="false" customHeight="true" outlineLevel="0" collapsed="false">
      <c r="A154" s="45" t="n">
        <v>143</v>
      </c>
      <c r="B154" s="46" t="s">
        <v>217</v>
      </c>
      <c r="C154" s="47" t="s">
        <v>25</v>
      </c>
      <c r="D154" s="48" t="n">
        <v>15</v>
      </c>
      <c r="E154" s="50" t="n">
        <v>1847.48</v>
      </c>
      <c r="F154" s="47" t="s">
        <v>27</v>
      </c>
      <c r="G154" s="52" t="n">
        <f aca="false">2200.3/1.2</f>
        <v>1833.58333333333</v>
      </c>
      <c r="H154" s="53" t="n">
        <f aca="false">D154*G154</f>
        <v>27503.75</v>
      </c>
      <c r="I154" s="53" t="s">
        <v>28</v>
      </c>
      <c r="J154" s="52" t="n">
        <f aca="false">2162.38/1.2</f>
        <v>1801.98333333333</v>
      </c>
      <c r="K154" s="53" t="n">
        <f aca="false">D154*J154</f>
        <v>27029.75</v>
      </c>
      <c r="L154" s="47" t="s">
        <v>29</v>
      </c>
      <c r="M154" s="52" t="n">
        <v>1912.41</v>
      </c>
      <c r="N154" s="53" t="n">
        <f aca="false">D154*M154</f>
        <v>28686.15</v>
      </c>
      <c r="O154" s="54" t="n">
        <f aca="false">AVERAGE(G154,J154,M154)</f>
        <v>1849.32555555556</v>
      </c>
      <c r="P154" s="55" t="n">
        <f aca="false">E154*100/O154-100</f>
        <v>-0.099796141896789</v>
      </c>
      <c r="Q154" s="54" t="n">
        <f aca="false">D154*E154</f>
        <v>27712.2</v>
      </c>
      <c r="R154" s="56"/>
      <c r="T154" s="57" t="n">
        <f aca="false">ROUND(G154*100/O154-100,0)</f>
        <v>-1</v>
      </c>
      <c r="U154" s="57" t="n">
        <f aca="false">ROUND(J154*100/O154-100,0)</f>
        <v>-3</v>
      </c>
      <c r="V154" s="57" t="n">
        <f aca="false">ROUND(M154*100/O154-100,0)</f>
        <v>3</v>
      </c>
    </row>
    <row r="155" s="43" customFormat="true" ht="73.5" hidden="false" customHeight="true" outlineLevel="0" collapsed="false">
      <c r="A155" s="45" t="n">
        <v>144</v>
      </c>
      <c r="B155" s="46" t="s">
        <v>218</v>
      </c>
      <c r="C155" s="47" t="s">
        <v>25</v>
      </c>
      <c r="D155" s="48" t="n">
        <v>14</v>
      </c>
      <c r="E155" s="50" t="n">
        <v>130.55</v>
      </c>
      <c r="F155" s="47" t="s">
        <v>27</v>
      </c>
      <c r="G155" s="52" t="n">
        <f aca="false">149.23/1.2</f>
        <v>124.358333333333</v>
      </c>
      <c r="H155" s="53" t="n">
        <f aca="false">D155*G155</f>
        <v>1741.01666666667</v>
      </c>
      <c r="I155" s="53" t="s">
        <v>28</v>
      </c>
      <c r="J155" s="52" t="n">
        <f aca="false">144.07/1.2</f>
        <v>120.058333333333</v>
      </c>
      <c r="K155" s="53" t="n">
        <f aca="false">D155*J155</f>
        <v>1680.81666666667</v>
      </c>
      <c r="L155" s="47" t="s">
        <v>29</v>
      </c>
      <c r="M155" s="52" t="n">
        <v>151.36</v>
      </c>
      <c r="N155" s="53" t="n">
        <f aca="false">D155*M155</f>
        <v>2119.04</v>
      </c>
      <c r="O155" s="54" t="n">
        <f aca="false">AVERAGE(G155,J155,M155)</f>
        <v>131.925555555556</v>
      </c>
      <c r="P155" s="55" t="n">
        <f aca="false">E155*100/O155-100</f>
        <v>-1.04267558303084</v>
      </c>
      <c r="Q155" s="54" t="n">
        <f aca="false">D155*E155</f>
        <v>1827.7</v>
      </c>
      <c r="R155" s="56"/>
      <c r="T155" s="57" t="n">
        <f aca="false">ROUND(G155*100/O155-100,0)</f>
        <v>-6</v>
      </c>
      <c r="U155" s="57" t="n">
        <f aca="false">ROUND(J155*100/O155-100,0)</f>
        <v>-9</v>
      </c>
      <c r="V155" s="57" t="n">
        <f aca="false">ROUND(M155*100/O155-100,0)</f>
        <v>15</v>
      </c>
    </row>
    <row r="156" s="43" customFormat="true" ht="73.5" hidden="false" customHeight="true" outlineLevel="0" collapsed="false">
      <c r="A156" s="45" t="n">
        <v>145</v>
      </c>
      <c r="B156" s="46" t="s">
        <v>219</v>
      </c>
      <c r="C156" s="47" t="s">
        <v>25</v>
      </c>
      <c r="D156" s="48" t="s">
        <v>220</v>
      </c>
      <c r="E156" s="81" t="n">
        <v>275.68</v>
      </c>
      <c r="F156" s="47" t="s">
        <v>27</v>
      </c>
      <c r="G156" s="52" t="n">
        <f aca="false">326.58/1.2</f>
        <v>272.15</v>
      </c>
      <c r="H156" s="53" t="n">
        <f aca="false">D156*G156</f>
        <v>339643.2</v>
      </c>
      <c r="I156" s="53" t="s">
        <v>28</v>
      </c>
      <c r="J156" s="52" t="n">
        <f aca="false">350.12/1.2</f>
        <v>291.766666666667</v>
      </c>
      <c r="K156" s="53" t="n">
        <f aca="false">D156*J156</f>
        <v>364124.8</v>
      </c>
      <c r="L156" s="47" t="s">
        <v>29</v>
      </c>
      <c r="M156" s="52" t="n">
        <v>265.09</v>
      </c>
      <c r="N156" s="53" t="n">
        <f aca="false">D156*M156</f>
        <v>330832.32</v>
      </c>
      <c r="O156" s="54" t="n">
        <f aca="false">AVERAGE(G156,J156,M156)</f>
        <v>276.335555555556</v>
      </c>
      <c r="P156" s="55" t="n">
        <f aca="false">E156*100/O156-100</f>
        <v>-0.237231707022872</v>
      </c>
      <c r="Q156" s="54" t="n">
        <f aca="false">D156*E156</f>
        <v>344048.64</v>
      </c>
      <c r="R156" s="83" t="s">
        <v>478</v>
      </c>
      <c r="T156" s="57" t="n">
        <f aca="false">ROUND(G156*100/O156-100,0)</f>
        <v>-2</v>
      </c>
      <c r="U156" s="57" t="n">
        <f aca="false">ROUND(J156*100/O156-100,0)</f>
        <v>6</v>
      </c>
      <c r="V156" s="57" t="n">
        <f aca="false">ROUND(M156*100/O156-100,0)</f>
        <v>-4</v>
      </c>
    </row>
    <row r="157" s="43" customFormat="true" ht="73.5" hidden="false" customHeight="true" outlineLevel="0" collapsed="false">
      <c r="A157" s="45" t="n">
        <v>146</v>
      </c>
      <c r="B157" s="46" t="s">
        <v>221</v>
      </c>
      <c r="C157" s="47" t="s">
        <v>25</v>
      </c>
      <c r="D157" s="48" t="n">
        <v>20</v>
      </c>
      <c r="E157" s="50" t="n">
        <v>264.47</v>
      </c>
      <c r="F157" s="47" t="s">
        <v>27</v>
      </c>
      <c r="G157" s="52" t="n">
        <f aca="false">307.21/1.2</f>
        <v>256.008333333333</v>
      </c>
      <c r="H157" s="53" t="n">
        <f aca="false">D157*G157</f>
        <v>5120.16666666667</v>
      </c>
      <c r="I157" s="53" t="s">
        <v>28</v>
      </c>
      <c r="J157" s="52" t="n">
        <f aca="false">304.61/1.2</f>
        <v>253.841666666667</v>
      </c>
      <c r="K157" s="53" t="n">
        <f aca="false">D157*J157</f>
        <v>5076.83333333333</v>
      </c>
      <c r="L157" s="47" t="s">
        <v>29</v>
      </c>
      <c r="M157" s="52" t="n">
        <v>287.67</v>
      </c>
      <c r="N157" s="53" t="n">
        <f aca="false">D157*M157</f>
        <v>5753.4</v>
      </c>
      <c r="O157" s="54" t="n">
        <f aca="false">AVERAGE(G157,J157,M157)</f>
        <v>265.84</v>
      </c>
      <c r="P157" s="55" t="n">
        <f aca="false">E157*100/O157-100</f>
        <v>-0.515347577490203</v>
      </c>
      <c r="Q157" s="54" t="n">
        <f aca="false">D157*E157</f>
        <v>5289.4</v>
      </c>
      <c r="R157" s="56"/>
      <c r="T157" s="57" t="n">
        <f aca="false">ROUND(G157*100/O157-100,0)</f>
        <v>-4</v>
      </c>
      <c r="U157" s="57" t="n">
        <f aca="false">ROUND(J157*100/O157-100,0)</f>
        <v>-5</v>
      </c>
      <c r="V157" s="57" t="n">
        <f aca="false">ROUND(M157*100/O157-100,0)</f>
        <v>8</v>
      </c>
    </row>
    <row r="158" s="43" customFormat="true" ht="73.5" hidden="false" customHeight="true" outlineLevel="0" collapsed="false">
      <c r="A158" s="45" t="n">
        <v>147</v>
      </c>
      <c r="B158" s="46" t="s">
        <v>222</v>
      </c>
      <c r="C158" s="47" t="s">
        <v>25</v>
      </c>
      <c r="D158" s="48" t="n">
        <v>100</v>
      </c>
      <c r="E158" s="50" t="n">
        <v>398.01</v>
      </c>
      <c r="F158" s="47" t="s">
        <v>27</v>
      </c>
      <c r="G158" s="52" t="n">
        <f aca="false">463.67/1.2</f>
        <v>386.391666666667</v>
      </c>
      <c r="H158" s="53" t="n">
        <f aca="false">D158*G158</f>
        <v>38639.1666666667</v>
      </c>
      <c r="I158" s="53" t="s">
        <v>28</v>
      </c>
      <c r="J158" s="52" t="n">
        <f aca="false">475.33/1.2</f>
        <v>396.108333333333</v>
      </c>
      <c r="K158" s="53" t="n">
        <f aca="false">D158*J158</f>
        <v>39610.8333333333</v>
      </c>
      <c r="L158" s="47" t="s">
        <v>29</v>
      </c>
      <c r="M158" s="52" t="n">
        <v>412.28</v>
      </c>
      <c r="N158" s="53" t="n">
        <f aca="false">D158*M158</f>
        <v>41228</v>
      </c>
      <c r="O158" s="54" t="n">
        <f aca="false">AVERAGE(G158,J158,M158)</f>
        <v>398.26</v>
      </c>
      <c r="P158" s="55" t="n">
        <f aca="false">E158*100/O158-100</f>
        <v>-0.0627730628232825</v>
      </c>
      <c r="Q158" s="54" t="n">
        <f aca="false">D158*E158</f>
        <v>39801</v>
      </c>
      <c r="R158" s="56"/>
      <c r="T158" s="57" t="n">
        <f aca="false">ROUND(G158*100/O158-100,0)</f>
        <v>-3</v>
      </c>
      <c r="U158" s="57" t="n">
        <f aca="false">ROUND(J158*100/O158-100,0)</f>
        <v>-1</v>
      </c>
      <c r="V158" s="57" t="n">
        <f aca="false">ROUND(M158*100/O158-100,0)</f>
        <v>4</v>
      </c>
    </row>
    <row r="159" s="43" customFormat="true" ht="73.5" hidden="false" customHeight="true" outlineLevel="0" collapsed="false">
      <c r="A159" s="45" t="n">
        <v>148</v>
      </c>
      <c r="B159" s="46" t="s">
        <v>223</v>
      </c>
      <c r="C159" s="47" t="s">
        <v>25</v>
      </c>
      <c r="D159" s="48" t="n">
        <v>35</v>
      </c>
      <c r="E159" s="50" t="n">
        <v>560.24</v>
      </c>
      <c r="F159" s="47" t="s">
        <v>27</v>
      </c>
      <c r="G159" s="52" t="n">
        <f aca="false">628.4/1.2</f>
        <v>523.666666666667</v>
      </c>
      <c r="H159" s="53" t="n">
        <f aca="false">D159*G159</f>
        <v>18328.3333333333</v>
      </c>
      <c r="I159" s="53" t="s">
        <v>28</v>
      </c>
      <c r="J159" s="52" t="n">
        <f aca="false">707.8/1.2</f>
        <v>589.833333333333</v>
      </c>
      <c r="K159" s="53" t="n">
        <f aca="false">D159*J159</f>
        <v>20644.1666666667</v>
      </c>
      <c r="L159" s="47" t="s">
        <v>29</v>
      </c>
      <c r="M159" s="52" t="n">
        <v>574.41</v>
      </c>
      <c r="N159" s="53" t="n">
        <f aca="false">D159*M159</f>
        <v>20104.35</v>
      </c>
      <c r="O159" s="54" t="n">
        <f aca="false">AVERAGE(G159,J159,M159)</f>
        <v>562.636666666667</v>
      </c>
      <c r="P159" s="55" t="n">
        <f aca="false">E159*100/O159-100</f>
        <v>-0.425970579000065</v>
      </c>
      <c r="Q159" s="54" t="n">
        <f aca="false">D159*E159</f>
        <v>19608.4</v>
      </c>
      <c r="R159" s="56"/>
      <c r="T159" s="57" t="n">
        <f aca="false">ROUND(G159*100/O159-100,0)</f>
        <v>-7</v>
      </c>
      <c r="U159" s="57" t="n">
        <f aca="false">ROUND(J159*100/O159-100,0)</f>
        <v>5</v>
      </c>
      <c r="V159" s="57" t="n">
        <f aca="false">ROUND(M159*100/O159-100,0)</f>
        <v>2</v>
      </c>
    </row>
    <row r="160" s="43" customFormat="true" ht="73.5" hidden="false" customHeight="true" outlineLevel="0" collapsed="false">
      <c r="A160" s="45" t="n">
        <v>149</v>
      </c>
      <c r="B160" s="46" t="s">
        <v>224</v>
      </c>
      <c r="C160" s="47" t="s">
        <v>25</v>
      </c>
      <c r="D160" s="48" t="n">
        <v>20</v>
      </c>
      <c r="E160" s="50" t="n">
        <v>662.34</v>
      </c>
      <c r="F160" s="47" t="s">
        <v>27</v>
      </c>
      <c r="G160" s="52" t="n">
        <f aca="false">786.17/1.2</f>
        <v>655.141666666667</v>
      </c>
      <c r="H160" s="53" t="n">
        <f aca="false">D160*G160</f>
        <v>13102.8333333333</v>
      </c>
      <c r="I160" s="53" t="s">
        <v>28</v>
      </c>
      <c r="J160" s="52" t="n">
        <f aca="false">780.48/1.2</f>
        <v>650.4</v>
      </c>
      <c r="K160" s="53" t="n">
        <f aca="false">D160*J160</f>
        <v>13008</v>
      </c>
      <c r="L160" s="47" t="s">
        <v>29</v>
      </c>
      <c r="M160" s="52" t="n">
        <v>688.63</v>
      </c>
      <c r="N160" s="53" t="n">
        <f aca="false">D160*M160</f>
        <v>13772.6</v>
      </c>
      <c r="O160" s="54" t="n">
        <f aca="false">AVERAGE(G160,J160,M160)</f>
        <v>664.723888888889</v>
      </c>
      <c r="P160" s="55" t="n">
        <f aca="false">E160*100/O160-100</f>
        <v>-0.358628436368306</v>
      </c>
      <c r="Q160" s="54" t="n">
        <f aca="false">D160*E160</f>
        <v>13246.8</v>
      </c>
      <c r="R160" s="56"/>
      <c r="T160" s="57" t="n">
        <f aca="false">ROUND(G160*100/O160-100,0)</f>
        <v>-1</v>
      </c>
      <c r="U160" s="57" t="n">
        <f aca="false">ROUND(J160*100/O160-100,0)</f>
        <v>-2</v>
      </c>
      <c r="V160" s="57" t="n">
        <f aca="false">ROUND(M160*100/O160-100,0)</f>
        <v>4</v>
      </c>
    </row>
    <row r="161" s="43" customFormat="true" ht="73.5" hidden="false" customHeight="true" outlineLevel="0" collapsed="false">
      <c r="A161" s="45" t="n">
        <v>150</v>
      </c>
      <c r="B161" s="46" t="s">
        <v>225</v>
      </c>
      <c r="C161" s="47" t="s">
        <v>25</v>
      </c>
      <c r="D161" s="48" t="n">
        <v>40</v>
      </c>
      <c r="E161" s="50" t="n">
        <v>244.58</v>
      </c>
      <c r="F161" s="47" t="s">
        <v>27</v>
      </c>
      <c r="G161" s="52" t="n">
        <f aca="false">242.87/1.2</f>
        <v>202.391666666667</v>
      </c>
      <c r="H161" s="53" t="n">
        <f aca="false">D161*G161</f>
        <v>8095.66666666667</v>
      </c>
      <c r="I161" s="53" t="s">
        <v>28</v>
      </c>
      <c r="J161" s="52" t="n">
        <f aca="false">341.51/1.2</f>
        <v>284.591666666667</v>
      </c>
      <c r="K161" s="53" t="n">
        <f aca="false">D161*J161</f>
        <v>11383.6666666667</v>
      </c>
      <c r="L161" s="47" t="s">
        <v>29</v>
      </c>
      <c r="M161" s="52" t="n">
        <v>251.07</v>
      </c>
      <c r="N161" s="53" t="n">
        <f aca="false">D161*M161</f>
        <v>10042.8</v>
      </c>
      <c r="O161" s="54" t="n">
        <f aca="false">AVERAGE(G161,J161,M161)</f>
        <v>246.017777777778</v>
      </c>
      <c r="P161" s="55" t="n">
        <f aca="false">E161*100/O161-100</f>
        <v>-0.584420276764107</v>
      </c>
      <c r="Q161" s="54" t="n">
        <f aca="false">D161*E161</f>
        <v>9783.2</v>
      </c>
      <c r="R161" s="56"/>
      <c r="T161" s="57" t="n">
        <f aca="false">ROUND(G161*100/O161-100,0)</f>
        <v>-18</v>
      </c>
      <c r="U161" s="57" t="n">
        <f aca="false">ROUND(J161*100/O161-100,0)</f>
        <v>16</v>
      </c>
      <c r="V161" s="57" t="n">
        <f aca="false">ROUND(M161*100/O161-100,0)</f>
        <v>2</v>
      </c>
    </row>
    <row r="162" s="43" customFormat="true" ht="73.5" hidden="false" customHeight="true" outlineLevel="0" collapsed="false">
      <c r="A162" s="45" t="n">
        <v>151</v>
      </c>
      <c r="B162" s="46" t="s">
        <v>226</v>
      </c>
      <c r="C162" s="47" t="s">
        <v>25</v>
      </c>
      <c r="D162" s="48" t="n">
        <v>25</v>
      </c>
      <c r="E162" s="50" t="n">
        <v>205.99</v>
      </c>
      <c r="F162" s="47" t="s">
        <v>27</v>
      </c>
      <c r="G162" s="52" t="n">
        <f aca="false">222.01/1.2</f>
        <v>185.008333333333</v>
      </c>
      <c r="H162" s="53" t="n">
        <f aca="false">D162*G162</f>
        <v>4625.20833333333</v>
      </c>
      <c r="I162" s="53" t="s">
        <v>28</v>
      </c>
      <c r="J162" s="52" t="n">
        <f aca="false">280.49/1.2</f>
        <v>233.741666666667</v>
      </c>
      <c r="K162" s="53" t="n">
        <f aca="false">D162*J162</f>
        <v>5843.54166666667</v>
      </c>
      <c r="L162" s="47" t="s">
        <v>29</v>
      </c>
      <c r="M162" s="52" t="n">
        <v>203.98</v>
      </c>
      <c r="N162" s="53" t="n">
        <f aca="false">D162*M162</f>
        <v>5099.5</v>
      </c>
      <c r="O162" s="54" t="n">
        <f aca="false">AVERAGE(G162,J162,M162)</f>
        <v>207.576666666667</v>
      </c>
      <c r="P162" s="55" t="n">
        <f aca="false">E162*100/O162-100</f>
        <v>-0.764376214410746</v>
      </c>
      <c r="Q162" s="54" t="n">
        <f aca="false">D162*E162</f>
        <v>5149.75</v>
      </c>
      <c r="R162" s="56"/>
      <c r="T162" s="57" t="n">
        <f aca="false">ROUND(G162*100/O162-100,0)</f>
        <v>-11</v>
      </c>
      <c r="U162" s="57" t="n">
        <f aca="false">ROUND(J162*100/O162-100,0)</f>
        <v>13</v>
      </c>
      <c r="V162" s="57" t="n">
        <f aca="false">ROUND(M162*100/O162-100,0)</f>
        <v>-2</v>
      </c>
    </row>
    <row r="163" s="43" customFormat="true" ht="73.5" hidden="false" customHeight="true" outlineLevel="0" collapsed="false">
      <c r="A163" s="45" t="n">
        <v>152</v>
      </c>
      <c r="B163" s="46" t="s">
        <v>227</v>
      </c>
      <c r="C163" s="47" t="s">
        <v>25</v>
      </c>
      <c r="D163" s="48" t="n">
        <v>60</v>
      </c>
      <c r="E163" s="50" t="n">
        <v>48.03</v>
      </c>
      <c r="F163" s="47" t="s">
        <v>27</v>
      </c>
      <c r="G163" s="52" t="n">
        <f aca="false">48.91/1.2</f>
        <v>40.7583333333333</v>
      </c>
      <c r="H163" s="53" t="n">
        <f aca="false">D163*G163</f>
        <v>2445.5</v>
      </c>
      <c r="I163" s="53" t="s">
        <v>28</v>
      </c>
      <c r="J163" s="52" t="n">
        <f aca="false">69.67/1.2</f>
        <v>58.0583333333333</v>
      </c>
      <c r="K163" s="53" t="n">
        <f aca="false">D163*J163</f>
        <v>3483.5</v>
      </c>
      <c r="L163" s="47" t="s">
        <v>29</v>
      </c>
      <c r="M163" s="52" t="n">
        <v>49.5</v>
      </c>
      <c r="N163" s="53" t="n">
        <f aca="false">D163*M163</f>
        <v>2970</v>
      </c>
      <c r="O163" s="54" t="n">
        <f aca="false">AVERAGE(G163,J163,M163)</f>
        <v>49.4388888888889</v>
      </c>
      <c r="P163" s="55" t="n">
        <f aca="false">E163*100/O163-100</f>
        <v>-2.8497583998202</v>
      </c>
      <c r="Q163" s="54" t="n">
        <f aca="false">D163*E163</f>
        <v>2881.8</v>
      </c>
      <c r="R163" s="56"/>
      <c r="T163" s="57" t="n">
        <f aca="false">ROUND(G163*100/O163-100,0)</f>
        <v>-18</v>
      </c>
      <c r="U163" s="57" t="n">
        <f aca="false">ROUND(J163*100/O163-100,0)</f>
        <v>17</v>
      </c>
      <c r="V163" s="57" t="n">
        <f aca="false">ROUND(M163*100/O163-100,0)</f>
        <v>0</v>
      </c>
    </row>
    <row r="164" s="43" customFormat="true" ht="73.5" hidden="false" customHeight="true" outlineLevel="0" collapsed="false">
      <c r="A164" s="45" t="n">
        <v>153</v>
      </c>
      <c r="B164" s="46" t="s">
        <v>228</v>
      </c>
      <c r="C164" s="47" t="s">
        <v>25</v>
      </c>
      <c r="D164" s="48" t="n">
        <v>19</v>
      </c>
      <c r="E164" s="50" t="n">
        <v>321.56</v>
      </c>
      <c r="F164" s="47" t="s">
        <v>27</v>
      </c>
      <c r="G164" s="52" t="n">
        <f aca="false">369.48/1.2</f>
        <v>307.9</v>
      </c>
      <c r="H164" s="53" t="n">
        <f aca="false">D164*G164</f>
        <v>5850.1</v>
      </c>
      <c r="I164" s="53" t="s">
        <v>28</v>
      </c>
      <c r="J164" s="52" t="n">
        <f aca="false">366.65/1.2</f>
        <v>305.541666666667</v>
      </c>
      <c r="K164" s="53" t="n">
        <f aca="false">D164*J164</f>
        <v>5805.29166666667</v>
      </c>
      <c r="L164" s="47" t="s">
        <v>29</v>
      </c>
      <c r="M164" s="52" t="n">
        <v>361.22</v>
      </c>
      <c r="N164" s="53" t="n">
        <f aca="false">D164*M164</f>
        <v>6863.18</v>
      </c>
      <c r="O164" s="54" t="n">
        <f aca="false">AVERAGE(G164,J164,M164)</f>
        <v>324.887222222222</v>
      </c>
      <c r="P164" s="55" t="n">
        <f aca="false">E164*100/O164-100</f>
        <v>-1.02411606078691</v>
      </c>
      <c r="Q164" s="54" t="n">
        <f aca="false">D164*E164</f>
        <v>6109.64</v>
      </c>
      <c r="R164" s="56"/>
      <c r="T164" s="57" t="n">
        <f aca="false">ROUND(G164*100/O164-100,0)</f>
        <v>-5</v>
      </c>
      <c r="U164" s="57" t="n">
        <f aca="false">ROUND(J164*100/O164-100,0)</f>
        <v>-6</v>
      </c>
      <c r="V164" s="57" t="n">
        <f aca="false">ROUND(M164*100/O164-100,0)</f>
        <v>11</v>
      </c>
    </row>
    <row r="165" s="43" customFormat="true" ht="73.5" hidden="false" customHeight="true" outlineLevel="0" collapsed="false">
      <c r="A165" s="45" t="n">
        <v>154</v>
      </c>
      <c r="B165" s="46" t="s">
        <v>229</v>
      </c>
      <c r="C165" s="47" t="s">
        <v>45</v>
      </c>
      <c r="D165" s="48" t="s">
        <v>230</v>
      </c>
      <c r="E165" s="50" t="n">
        <v>8050.5</v>
      </c>
      <c r="F165" s="47" t="s">
        <v>231</v>
      </c>
      <c r="G165" s="52" t="n">
        <f aca="false">9362.18/1.2</f>
        <v>7801.81666666667</v>
      </c>
      <c r="H165" s="53" t="n">
        <f aca="false">D165*G165</f>
        <v>429099.916666667</v>
      </c>
      <c r="I165" s="47" t="s">
        <v>46</v>
      </c>
      <c r="J165" s="52" t="n">
        <v>7956.2</v>
      </c>
      <c r="K165" s="53" t="n">
        <f aca="false">D165*J165</f>
        <v>437591</v>
      </c>
      <c r="L165" s="47" t="s">
        <v>58</v>
      </c>
      <c r="M165" s="52" t="n">
        <v>8400.3</v>
      </c>
      <c r="N165" s="53" t="n">
        <f aca="false">D165*M165</f>
        <v>462016.5</v>
      </c>
      <c r="O165" s="54" t="n">
        <f aca="false">AVERAGE(G165,J165,M165)</f>
        <v>8052.77222222222</v>
      </c>
      <c r="P165" s="55" t="n">
        <f aca="false">E165*100/O165-100</f>
        <v>-0.0282166458893727</v>
      </c>
      <c r="Q165" s="54" t="n">
        <f aca="false">D165*E165</f>
        <v>442777.5</v>
      </c>
      <c r="R165" s="56"/>
      <c r="T165" s="57" t="n">
        <f aca="false">ROUND(G165*100/O165-100,0)</f>
        <v>-3</v>
      </c>
      <c r="U165" s="57" t="n">
        <f aca="false">ROUND(J165*100/O165-100,0)</f>
        <v>-1</v>
      </c>
      <c r="V165" s="57" t="n">
        <f aca="false">ROUND(M165*100/O165-100,0)</f>
        <v>4</v>
      </c>
    </row>
    <row r="166" s="43" customFormat="true" ht="73.5" hidden="false" customHeight="true" outlineLevel="0" collapsed="false">
      <c r="A166" s="45" t="n">
        <v>155</v>
      </c>
      <c r="B166" s="46" t="s">
        <v>232</v>
      </c>
      <c r="C166" s="47" t="s">
        <v>25</v>
      </c>
      <c r="D166" s="48" t="s">
        <v>233</v>
      </c>
      <c r="E166" s="50" t="n">
        <v>164.05</v>
      </c>
      <c r="F166" s="47" t="s">
        <v>39</v>
      </c>
      <c r="G166" s="52" t="n">
        <v>153.05</v>
      </c>
      <c r="H166" s="53" t="n">
        <f aca="false">D166*G166</f>
        <v>26324.6</v>
      </c>
      <c r="I166" s="53" t="s">
        <v>28</v>
      </c>
      <c r="J166" s="52" t="n">
        <v>159.37</v>
      </c>
      <c r="K166" s="53" t="n">
        <f aca="false">D166*J166</f>
        <v>27411.64</v>
      </c>
      <c r="L166" s="53" t="s">
        <v>46</v>
      </c>
      <c r="M166" s="52" t="n">
        <v>181.06</v>
      </c>
      <c r="N166" s="53" t="n">
        <f aca="false">D166*M166</f>
        <v>31142.32</v>
      </c>
      <c r="O166" s="54" t="n">
        <f aca="false">AVERAGE(G166,J166,M166)</f>
        <v>164.493333333333</v>
      </c>
      <c r="P166" s="55" t="n">
        <f aca="false">E166*100/O166-100</f>
        <v>-0.269514468671474</v>
      </c>
      <c r="Q166" s="54" t="n">
        <f aca="false">D166*E166</f>
        <v>28216.6</v>
      </c>
      <c r="R166" s="56"/>
      <c r="T166" s="57" t="n">
        <f aca="false">ROUND(G166*100/O166-100,0)</f>
        <v>-7</v>
      </c>
      <c r="U166" s="57" t="n">
        <f aca="false">ROUND(J166*100/O166-100,0)</f>
        <v>-3</v>
      </c>
      <c r="V166" s="57" t="n">
        <f aca="false">ROUND(M166*100/O166-100,0)</f>
        <v>10</v>
      </c>
    </row>
    <row r="167" s="43" customFormat="true" ht="73.5" hidden="false" customHeight="true" outlineLevel="0" collapsed="false">
      <c r="A167" s="45" t="n">
        <v>156</v>
      </c>
      <c r="B167" s="46" t="s">
        <v>234</v>
      </c>
      <c r="C167" s="47" t="s">
        <v>45</v>
      </c>
      <c r="D167" s="48" t="s">
        <v>235</v>
      </c>
      <c r="E167" s="50" t="n">
        <v>6388.4</v>
      </c>
      <c r="F167" s="47" t="s">
        <v>231</v>
      </c>
      <c r="G167" s="52" t="n">
        <f aca="false">7648.2/1.2</f>
        <v>6373.5</v>
      </c>
      <c r="H167" s="53" t="n">
        <f aca="false">D167*G167</f>
        <v>236456.85</v>
      </c>
      <c r="I167" s="47" t="s">
        <v>236</v>
      </c>
      <c r="J167" s="52" t="n">
        <f aca="false">7548/1.2</f>
        <v>6290</v>
      </c>
      <c r="K167" s="53" t="n">
        <f aca="false">D167*J167</f>
        <v>233359</v>
      </c>
      <c r="L167" s="47" t="s">
        <v>58</v>
      </c>
      <c r="M167" s="52" t="n">
        <v>6504.5</v>
      </c>
      <c r="N167" s="53" t="n">
        <f aca="false">D167*M167</f>
        <v>241316.95</v>
      </c>
      <c r="O167" s="54" t="n">
        <f aca="false">AVERAGE(G167,J167,M167)</f>
        <v>6389.33333333333</v>
      </c>
      <c r="P167" s="55" t="n">
        <f aca="false">E167*100/O167-100</f>
        <v>-0.0146076794657688</v>
      </c>
      <c r="Q167" s="54" t="n">
        <f aca="false">D167*E167</f>
        <v>237009.64</v>
      </c>
      <c r="R167" s="56"/>
      <c r="T167" s="57" t="n">
        <f aca="false">ROUND(G167*100/O167-100,0)</f>
        <v>-0</v>
      </c>
      <c r="U167" s="57" t="n">
        <f aca="false">ROUND(J167*100/O167-100,0)</f>
        <v>-2</v>
      </c>
      <c r="V167" s="57" t="n">
        <f aca="false">ROUND(M167*100/O167-100,0)</f>
        <v>2</v>
      </c>
    </row>
    <row r="168" s="43" customFormat="true" ht="73.5" hidden="false" customHeight="true" outlineLevel="0" collapsed="false">
      <c r="A168" s="45" t="n">
        <v>157</v>
      </c>
      <c r="B168" s="46" t="s">
        <v>237</v>
      </c>
      <c r="C168" s="47" t="s">
        <v>147</v>
      </c>
      <c r="D168" s="48" t="s">
        <v>238</v>
      </c>
      <c r="E168" s="50" t="n">
        <v>14.72</v>
      </c>
      <c r="F168" s="47" t="s">
        <v>231</v>
      </c>
      <c r="G168" s="52" t="n">
        <f aca="false">18.73/1.2</f>
        <v>15.6083333333333</v>
      </c>
      <c r="H168" s="53" t="n">
        <f aca="false">D168*G168</f>
        <v>38240.4166666667</v>
      </c>
      <c r="I168" s="47" t="s">
        <v>236</v>
      </c>
      <c r="J168" s="52" t="n">
        <f aca="false">16.5/1.2</f>
        <v>13.75</v>
      </c>
      <c r="K168" s="53" t="n">
        <f aca="false">D168*J168</f>
        <v>33687.5</v>
      </c>
      <c r="L168" s="47" t="s">
        <v>58</v>
      </c>
      <c r="M168" s="52" t="n">
        <v>15.03</v>
      </c>
      <c r="N168" s="53" t="n">
        <f aca="false">D168*M168</f>
        <v>36823.5</v>
      </c>
      <c r="O168" s="54" t="n">
        <f aca="false">AVERAGE(G168,J168,M168)</f>
        <v>14.7961111111111</v>
      </c>
      <c r="P168" s="55" t="n">
        <f aca="false">E168*100/O168-100</f>
        <v>-0.514399429279465</v>
      </c>
      <c r="Q168" s="54" t="n">
        <f aca="false">D168*E168</f>
        <v>36064</v>
      </c>
      <c r="R168" s="56"/>
      <c r="T168" s="57" t="n">
        <f aca="false">ROUND(G168*100/O168-100,0)</f>
        <v>5</v>
      </c>
      <c r="U168" s="57" t="n">
        <f aca="false">ROUND(J168*100/O168-100,0)</f>
        <v>-7</v>
      </c>
      <c r="V168" s="57" t="n">
        <f aca="false">ROUND(M168*100/O168-100,0)</f>
        <v>2</v>
      </c>
    </row>
    <row r="169" s="43" customFormat="true" ht="73.5" hidden="false" customHeight="true" outlineLevel="0" collapsed="false">
      <c r="A169" s="45" t="n">
        <v>158</v>
      </c>
      <c r="B169" s="46" t="s">
        <v>239</v>
      </c>
      <c r="C169" s="47" t="s">
        <v>147</v>
      </c>
      <c r="D169" s="48" t="n">
        <v>65</v>
      </c>
      <c r="E169" s="50" t="n">
        <v>6</v>
      </c>
      <c r="F169" s="47" t="s">
        <v>231</v>
      </c>
      <c r="G169" s="52" t="n">
        <f aca="false">7.12/1.2</f>
        <v>5.93333333333333</v>
      </c>
      <c r="H169" s="53" t="n">
        <f aca="false">D169*G169</f>
        <v>385.666666666667</v>
      </c>
      <c r="I169" s="47" t="s">
        <v>236</v>
      </c>
      <c r="J169" s="52" t="n">
        <f aca="false">6.91/1.2</f>
        <v>5.75833333333333</v>
      </c>
      <c r="K169" s="53" t="n">
        <f aca="false">D169*J169</f>
        <v>374.291666666667</v>
      </c>
      <c r="L169" s="47" t="s">
        <v>58</v>
      </c>
      <c r="M169" s="52" t="n">
        <v>6.37</v>
      </c>
      <c r="N169" s="53" t="n">
        <f aca="false">D169*M169</f>
        <v>414.05</v>
      </c>
      <c r="O169" s="54" t="n">
        <f aca="false">AVERAGE(G169,J169,M169)</f>
        <v>6.02055555555556</v>
      </c>
      <c r="P169" s="55" t="n">
        <f aca="false">E169*100/O169-100</f>
        <v>-0.341422903017445</v>
      </c>
      <c r="Q169" s="54" t="n">
        <f aca="false">D169*E169</f>
        <v>390</v>
      </c>
      <c r="R169" s="56"/>
      <c r="T169" s="57" t="n">
        <f aca="false">ROUND(G169*100/O169-100,0)</f>
        <v>-1</v>
      </c>
      <c r="U169" s="57" t="n">
        <f aca="false">ROUND(J169*100/O169-100,0)</f>
        <v>-4</v>
      </c>
      <c r="V169" s="57" t="n">
        <f aca="false">ROUND(M169*100/O169-100,0)</f>
        <v>6</v>
      </c>
    </row>
    <row r="170" s="43" customFormat="true" ht="73.5" hidden="false" customHeight="true" outlineLevel="0" collapsed="false">
      <c r="A170" s="45" t="n">
        <v>159</v>
      </c>
      <c r="B170" s="46" t="s">
        <v>240</v>
      </c>
      <c r="C170" s="47" t="s">
        <v>147</v>
      </c>
      <c r="D170" s="48" t="s">
        <v>241</v>
      </c>
      <c r="E170" s="50" t="n">
        <v>7.6</v>
      </c>
      <c r="F170" s="47" t="s">
        <v>231</v>
      </c>
      <c r="G170" s="52" t="n">
        <f aca="false">8.7/1.2</f>
        <v>7.25</v>
      </c>
      <c r="H170" s="53" t="n">
        <f aca="false">D170*G170</f>
        <v>2900</v>
      </c>
      <c r="I170" s="47" t="s">
        <v>236</v>
      </c>
      <c r="J170" s="52" t="n">
        <f aca="false">9.03/1.2</f>
        <v>7.525</v>
      </c>
      <c r="K170" s="53" t="n">
        <f aca="false">D170*J170</f>
        <v>3010</v>
      </c>
      <c r="L170" s="47" t="s">
        <v>58</v>
      </c>
      <c r="M170" s="52" t="n">
        <v>8.12</v>
      </c>
      <c r="N170" s="53" t="n">
        <f aca="false">D170*M170</f>
        <v>3248</v>
      </c>
      <c r="O170" s="54" t="n">
        <f aca="false">AVERAGE(G170,J170,M170)</f>
        <v>7.63166666666667</v>
      </c>
      <c r="P170" s="55" t="n">
        <f aca="false">E170*100/O170-100</f>
        <v>-0.414937759336098</v>
      </c>
      <c r="Q170" s="54" t="n">
        <f aca="false">D170*E170</f>
        <v>3040</v>
      </c>
      <c r="R170" s="56"/>
      <c r="T170" s="57" t="n">
        <f aca="false">ROUND(G170*100/O170-100,0)</f>
        <v>-5</v>
      </c>
      <c r="U170" s="57" t="n">
        <f aca="false">ROUND(J170*100/O170-100,0)</f>
        <v>-1</v>
      </c>
      <c r="V170" s="57" t="n">
        <f aca="false">ROUND(M170*100/O170-100,0)</f>
        <v>6</v>
      </c>
    </row>
    <row r="171" s="43" customFormat="true" ht="73.5" hidden="false" customHeight="true" outlineLevel="0" collapsed="false">
      <c r="A171" s="45" t="n">
        <v>160</v>
      </c>
      <c r="B171" s="46" t="s">
        <v>242</v>
      </c>
      <c r="C171" s="47" t="s">
        <v>147</v>
      </c>
      <c r="D171" s="48" t="s">
        <v>243</v>
      </c>
      <c r="E171" s="50" t="n">
        <v>9.52</v>
      </c>
      <c r="F171" s="47" t="s">
        <v>231</v>
      </c>
      <c r="G171" s="52" t="n">
        <f aca="false">11.28/1.2</f>
        <v>9.4</v>
      </c>
      <c r="H171" s="53" t="n">
        <f aca="false">D171*G171</f>
        <v>188</v>
      </c>
      <c r="I171" s="47" t="s">
        <v>236</v>
      </c>
      <c r="J171" s="52" t="n">
        <f aca="false">11.14/1.2</f>
        <v>9.28333333333334</v>
      </c>
      <c r="K171" s="53" t="n">
        <f aca="false">D171*J171</f>
        <v>185.666666666667</v>
      </c>
      <c r="L171" s="47" t="s">
        <v>58</v>
      </c>
      <c r="M171" s="52" t="n">
        <v>9.97</v>
      </c>
      <c r="N171" s="53" t="n">
        <f aca="false">D171*M171</f>
        <v>199.4</v>
      </c>
      <c r="O171" s="54" t="n">
        <f aca="false">AVERAGE(G171,J171,M171)</f>
        <v>9.55111111111111</v>
      </c>
      <c r="P171" s="55" t="n">
        <f aca="false">E171*100/O171-100</f>
        <v>-0.32573289902281</v>
      </c>
      <c r="Q171" s="54" t="n">
        <f aca="false">D171*E171</f>
        <v>190.4</v>
      </c>
      <c r="R171" s="56"/>
      <c r="T171" s="57" t="n">
        <f aca="false">ROUND(G171*100/O171-100,0)</f>
        <v>-2</v>
      </c>
      <c r="U171" s="57" t="n">
        <f aca="false">ROUND(J171*100/O171-100,0)</f>
        <v>-3</v>
      </c>
      <c r="V171" s="57" t="n">
        <f aca="false">ROUND(M171*100/O171-100,0)</f>
        <v>4</v>
      </c>
    </row>
    <row r="172" s="43" customFormat="true" ht="73.5" hidden="false" customHeight="true" outlineLevel="0" collapsed="false">
      <c r="A172" s="45" t="n">
        <v>161</v>
      </c>
      <c r="B172" s="46" t="s">
        <v>244</v>
      </c>
      <c r="C172" s="47" t="s">
        <v>147</v>
      </c>
      <c r="D172" s="48" t="s">
        <v>245</v>
      </c>
      <c r="E172" s="50" t="n">
        <v>6.79</v>
      </c>
      <c r="F172" s="47" t="s">
        <v>231</v>
      </c>
      <c r="G172" s="52" t="n">
        <f aca="false">6.62/1.2</f>
        <v>5.51666666666667</v>
      </c>
      <c r="H172" s="53" t="n">
        <f aca="false">D172*G172</f>
        <v>3310</v>
      </c>
      <c r="I172" s="47" t="s">
        <v>236</v>
      </c>
      <c r="J172" s="52" t="n">
        <f aca="false">8.58/1.2</f>
        <v>7.15</v>
      </c>
      <c r="K172" s="53" t="n">
        <f aca="false">D172*J172</f>
        <v>4290</v>
      </c>
      <c r="L172" s="47" t="s">
        <v>58</v>
      </c>
      <c r="M172" s="52" t="n">
        <v>7.83</v>
      </c>
      <c r="N172" s="53" t="n">
        <f aca="false">D172*M172</f>
        <v>4698</v>
      </c>
      <c r="O172" s="54" t="n">
        <f aca="false">AVERAGE(G172,J172,M172)</f>
        <v>6.83222222222222</v>
      </c>
      <c r="P172" s="55" t="n">
        <f aca="false">E172*100/O172-100</f>
        <v>-0.617986664498289</v>
      </c>
      <c r="Q172" s="54" t="n">
        <f aca="false">D172*E172</f>
        <v>4074</v>
      </c>
      <c r="R172" s="56"/>
      <c r="T172" s="57" t="n">
        <f aca="false">ROUND(G172*100/O172-100,0)</f>
        <v>-19</v>
      </c>
      <c r="U172" s="57" t="n">
        <f aca="false">ROUND(J172*100/O172-100,0)</f>
        <v>5</v>
      </c>
      <c r="V172" s="57" t="n">
        <f aca="false">ROUND(M172*100/O172-100,0)</f>
        <v>15</v>
      </c>
    </row>
    <row r="173" s="43" customFormat="true" ht="73.5" hidden="false" customHeight="true" outlineLevel="0" collapsed="false">
      <c r="A173" s="45" t="n">
        <v>162</v>
      </c>
      <c r="B173" s="46" t="s">
        <v>246</v>
      </c>
      <c r="C173" s="47" t="s">
        <v>45</v>
      </c>
      <c r="D173" s="48" t="s">
        <v>247</v>
      </c>
      <c r="E173" s="50" t="n">
        <v>2210.44</v>
      </c>
      <c r="F173" s="47" t="s">
        <v>248</v>
      </c>
      <c r="G173" s="52" t="n">
        <f aca="false">8990/4</f>
        <v>2247.5</v>
      </c>
      <c r="H173" s="53" t="n">
        <f aca="false">D173*G173</f>
        <v>26970</v>
      </c>
      <c r="I173" s="47" t="s">
        <v>249</v>
      </c>
      <c r="J173" s="52" t="n">
        <f aca="false">10015/4</f>
        <v>2503.75</v>
      </c>
      <c r="K173" s="53" t="n">
        <f aca="false">D173*J173</f>
        <v>30045</v>
      </c>
      <c r="L173" s="47" t="s">
        <v>250</v>
      </c>
      <c r="M173" s="52" t="n">
        <v>1898.75</v>
      </c>
      <c r="N173" s="53" t="n">
        <f aca="false">D173*M173</f>
        <v>22785</v>
      </c>
      <c r="O173" s="54" t="n">
        <f aca="false">AVERAGE(G173,J173,M173)</f>
        <v>2216.66666666667</v>
      </c>
      <c r="P173" s="55" t="n">
        <f aca="false">E173*100/O173-100</f>
        <v>-0.280902255639091</v>
      </c>
      <c r="Q173" s="54" t="n">
        <f aca="false">D173*E173</f>
        <v>26525.28</v>
      </c>
      <c r="R173" s="56"/>
      <c r="T173" s="57" t="n">
        <f aca="false">ROUND(G173*100/O173-100,0)</f>
        <v>1</v>
      </c>
      <c r="U173" s="57" t="n">
        <f aca="false">ROUND(J173*100/O173-100,0)</f>
        <v>13</v>
      </c>
      <c r="V173" s="57" t="n">
        <f aca="false">ROUND(M173*100/O173-100,0)</f>
        <v>-14</v>
      </c>
    </row>
    <row r="174" s="43" customFormat="true" ht="64.5" hidden="false" customHeight="true" outlineLevel="0" collapsed="false">
      <c r="A174" s="45" t="n">
        <v>163</v>
      </c>
      <c r="B174" s="46" t="s">
        <v>251</v>
      </c>
      <c r="C174" s="47" t="s">
        <v>147</v>
      </c>
      <c r="D174" s="48" t="n">
        <v>60</v>
      </c>
      <c r="E174" s="50" t="n">
        <v>480.56</v>
      </c>
      <c r="F174" s="47" t="s">
        <v>27</v>
      </c>
      <c r="G174" s="52" t="n">
        <f aca="false">542.05/1.2</f>
        <v>451.708333333333</v>
      </c>
      <c r="H174" s="53" t="n">
        <f aca="false">D174*G174</f>
        <v>27102.5</v>
      </c>
      <c r="I174" s="53" t="s">
        <v>28</v>
      </c>
      <c r="J174" s="52" t="n">
        <f aca="false">586.87/1.2</f>
        <v>489.058333333333</v>
      </c>
      <c r="K174" s="53" t="n">
        <f aca="false">D174*J174</f>
        <v>29343.5</v>
      </c>
      <c r="L174" s="53" t="s">
        <v>29</v>
      </c>
      <c r="M174" s="52" t="n">
        <v>506.22</v>
      </c>
      <c r="N174" s="53" t="n">
        <f aca="false">D174*M174</f>
        <v>30373.2</v>
      </c>
      <c r="O174" s="54" t="n">
        <f aca="false">AVERAGE(G174,J174,M174)</f>
        <v>482.328888888889</v>
      </c>
      <c r="P174" s="55" t="n">
        <f aca="false">E174*100/O174-100</f>
        <v>-0.366739154472754</v>
      </c>
      <c r="Q174" s="54" t="n">
        <f aca="false">D174*E174</f>
        <v>28833.6</v>
      </c>
      <c r="R174" s="62" t="s">
        <v>116</v>
      </c>
      <c r="T174" s="57" t="n">
        <f aca="false">ROUND(G174*100/O174-100,0)</f>
        <v>-6</v>
      </c>
      <c r="U174" s="57" t="n">
        <f aca="false">ROUND(J174*100/O174-100,0)</f>
        <v>1</v>
      </c>
      <c r="V174" s="57" t="n">
        <f aca="false">ROUND(M174*100/O174-100,0)</f>
        <v>5</v>
      </c>
    </row>
    <row r="175" s="43" customFormat="true" ht="73.5" hidden="false" customHeight="true" outlineLevel="0" collapsed="false">
      <c r="A175" s="45" t="n">
        <v>164</v>
      </c>
      <c r="B175" s="46" t="s">
        <v>252</v>
      </c>
      <c r="C175" s="47" t="s">
        <v>45</v>
      </c>
      <c r="D175" s="48" t="n">
        <v>180</v>
      </c>
      <c r="E175" s="50" t="n">
        <v>383.82</v>
      </c>
      <c r="F175" s="47" t="s">
        <v>253</v>
      </c>
      <c r="G175" s="52" t="n">
        <v>385.11</v>
      </c>
      <c r="H175" s="53" t="n">
        <f aca="false">D175*G175</f>
        <v>69319.8</v>
      </c>
      <c r="I175" s="47" t="s">
        <v>254</v>
      </c>
      <c r="J175" s="52" t="n">
        <f aca="false">462/1.2</f>
        <v>385</v>
      </c>
      <c r="K175" s="53" t="n">
        <f aca="false">D175*J175</f>
        <v>69300</v>
      </c>
      <c r="L175" s="47" t="s">
        <v>255</v>
      </c>
      <c r="M175" s="52" t="n">
        <f aca="false">462.13/1.2</f>
        <v>385.108333333333</v>
      </c>
      <c r="N175" s="53" t="n">
        <f aca="false">D175*M175</f>
        <v>69319.5</v>
      </c>
      <c r="O175" s="54" t="n">
        <f aca="false">AVERAGE(G175,J175,M175)</f>
        <v>385.072777777778</v>
      </c>
      <c r="P175" s="55" t="n">
        <f aca="false">E175*100/O175-100</f>
        <v>-0.325335326222586</v>
      </c>
      <c r="Q175" s="54" t="n">
        <f aca="false">D175*E175</f>
        <v>69087.6</v>
      </c>
      <c r="R175" s="56"/>
      <c r="T175" s="57" t="n">
        <f aca="false">ROUND(G175*100/O175-100,0)</f>
        <v>0</v>
      </c>
      <c r="U175" s="57" t="n">
        <f aca="false">ROUND(J175*100/O175-100,0)</f>
        <v>-0</v>
      </c>
      <c r="V175" s="57" t="n">
        <f aca="false">ROUND(M175*100/O175-100,0)</f>
        <v>0</v>
      </c>
    </row>
    <row r="176" s="43" customFormat="true" ht="73.5" hidden="false" customHeight="true" outlineLevel="0" collapsed="false">
      <c r="A176" s="45" t="n">
        <v>165</v>
      </c>
      <c r="B176" s="46" t="s">
        <v>256</v>
      </c>
      <c r="C176" s="47" t="s">
        <v>25</v>
      </c>
      <c r="D176" s="48" t="n">
        <v>1580</v>
      </c>
      <c r="E176" s="81" t="n">
        <v>254.67</v>
      </c>
      <c r="F176" s="47" t="s">
        <v>27</v>
      </c>
      <c r="G176" s="52" t="n">
        <f aca="false">246.91/1.2</f>
        <v>205.758333333333</v>
      </c>
      <c r="H176" s="53" t="n">
        <f aca="false">D176*G176</f>
        <v>325098.166666667</v>
      </c>
      <c r="I176" s="53" t="s">
        <v>28</v>
      </c>
      <c r="J176" s="52" t="n">
        <f aca="false">350.39/1.2</f>
        <v>291.991666666667</v>
      </c>
      <c r="K176" s="53" t="n">
        <f aca="false">D176*J176</f>
        <v>461346.833333333</v>
      </c>
      <c r="L176" s="53" t="s">
        <v>29</v>
      </c>
      <c r="M176" s="52" t="n">
        <v>268.85</v>
      </c>
      <c r="N176" s="53" t="n">
        <f aca="false">D176*M176</f>
        <v>424783</v>
      </c>
      <c r="O176" s="54" t="n">
        <f aca="false">AVERAGE(G176,J176,M176)</f>
        <v>255.533333333333</v>
      </c>
      <c r="P176" s="55" t="n">
        <f aca="false">E176*100/O176-100</f>
        <v>-0.33785546569267</v>
      </c>
      <c r="Q176" s="54" t="n">
        <f aca="false">D176*E176</f>
        <v>402378.6</v>
      </c>
      <c r="R176" s="83" t="s">
        <v>479</v>
      </c>
      <c r="T176" s="57" t="n">
        <f aca="false">ROUND(G176*100/O176-100,0)</f>
        <v>-19</v>
      </c>
      <c r="U176" s="57" t="n">
        <f aca="false">ROUND(J176*100/O176-100,0)</f>
        <v>14</v>
      </c>
      <c r="V176" s="57" t="n">
        <f aca="false">ROUND(M176*100/O176-100,0)</f>
        <v>5</v>
      </c>
    </row>
    <row r="177" s="43" customFormat="true" ht="73.5" hidden="false" customHeight="true" outlineLevel="0" collapsed="false">
      <c r="A177" s="45" t="n">
        <v>166</v>
      </c>
      <c r="B177" s="46" t="s">
        <v>257</v>
      </c>
      <c r="C177" s="47" t="s">
        <v>45</v>
      </c>
      <c r="D177" s="48" t="n">
        <v>13</v>
      </c>
      <c r="E177" s="50" t="n">
        <v>98.56</v>
      </c>
      <c r="F177" s="47" t="s">
        <v>258</v>
      </c>
      <c r="G177" s="52" t="n">
        <v>98.67</v>
      </c>
      <c r="H177" s="53" t="n">
        <f aca="false">D177*G177</f>
        <v>1282.71</v>
      </c>
      <c r="I177" s="47" t="s">
        <v>259</v>
      </c>
      <c r="J177" s="52" t="n">
        <f aca="false">117.62/1.2</f>
        <v>98.0166666666667</v>
      </c>
      <c r="K177" s="53" t="n">
        <f aca="false">D177*J177</f>
        <v>1274.21666666667</v>
      </c>
      <c r="L177" s="53" t="s">
        <v>68</v>
      </c>
      <c r="M177" s="52" t="n">
        <v>100.23</v>
      </c>
      <c r="N177" s="53" t="n">
        <f aca="false">D177*M177</f>
        <v>1302.99</v>
      </c>
      <c r="O177" s="54" t="n">
        <f aca="false">AVERAGE(G177,J177,M177)</f>
        <v>98.9722222222222</v>
      </c>
      <c r="P177" s="55" t="n">
        <f aca="false">E177*100/O177-100</f>
        <v>-0.416502946954822</v>
      </c>
      <c r="Q177" s="54" t="n">
        <f aca="false">D177*E177</f>
        <v>1281.28</v>
      </c>
      <c r="R177" s="56"/>
      <c r="T177" s="57" t="n">
        <f aca="false">ROUND(G177*100/O177-100,0)</f>
        <v>-0</v>
      </c>
      <c r="U177" s="57" t="n">
        <f aca="false">ROUND(J177*100/O177-100,0)</f>
        <v>-1</v>
      </c>
      <c r="V177" s="57" t="n">
        <f aca="false">ROUND(M177*100/O177-100,0)</f>
        <v>1</v>
      </c>
    </row>
    <row r="178" s="43" customFormat="true" ht="73.5" hidden="false" customHeight="true" outlineLevel="0" collapsed="false">
      <c r="A178" s="45" t="n">
        <v>167</v>
      </c>
      <c r="B178" s="46" t="s">
        <v>260</v>
      </c>
      <c r="C178" s="47" t="s">
        <v>45</v>
      </c>
      <c r="D178" s="48" t="n">
        <v>3</v>
      </c>
      <c r="E178" s="50" t="n">
        <v>395.42</v>
      </c>
      <c r="F178" s="47" t="s">
        <v>261</v>
      </c>
      <c r="G178" s="52" t="n">
        <f aca="false">460/1.2</f>
        <v>383.333333333333</v>
      </c>
      <c r="H178" s="53" t="n">
        <f aca="false">D178*G178</f>
        <v>1150</v>
      </c>
      <c r="I178" s="47" t="s">
        <v>46</v>
      </c>
      <c r="J178" s="52" t="n">
        <v>426.92</v>
      </c>
      <c r="K178" s="53" t="n">
        <f aca="false">D178*J178</f>
        <v>1280.76</v>
      </c>
      <c r="L178" s="47" t="s">
        <v>57</v>
      </c>
      <c r="M178" s="52" t="n">
        <v>378.8</v>
      </c>
      <c r="N178" s="53" t="n">
        <f aca="false">D178*M178</f>
        <v>1136.4</v>
      </c>
      <c r="O178" s="54" t="n">
        <f aca="false">AVERAGE(G178,J178,M178)</f>
        <v>396.351111111111</v>
      </c>
      <c r="P178" s="55" t="n">
        <f aca="false">E178*100/O178-100</f>
        <v>-0.234920777313036</v>
      </c>
      <c r="Q178" s="54" t="n">
        <f aca="false">D178*E178</f>
        <v>1186.26</v>
      </c>
      <c r="R178" s="56"/>
      <c r="T178" s="57" t="n">
        <f aca="false">ROUND(G178*100/O178-100,0)</f>
        <v>-3</v>
      </c>
      <c r="U178" s="57" t="n">
        <f aca="false">ROUND(J178*100/O178-100,0)</f>
        <v>8</v>
      </c>
      <c r="V178" s="57" t="n">
        <f aca="false">ROUND(M178*100/O178-100,0)</f>
        <v>-4</v>
      </c>
    </row>
    <row r="179" s="43" customFormat="true" ht="73.5" hidden="false" customHeight="true" outlineLevel="0" collapsed="false">
      <c r="A179" s="45" t="n">
        <v>168</v>
      </c>
      <c r="B179" s="46" t="s">
        <v>262</v>
      </c>
      <c r="C179" s="47" t="s">
        <v>45</v>
      </c>
      <c r="D179" s="48" t="n">
        <v>26.4</v>
      </c>
      <c r="E179" s="50" t="n">
        <v>12311.49</v>
      </c>
      <c r="F179" s="47" t="s">
        <v>90</v>
      </c>
      <c r="G179" s="52" t="n">
        <f aca="false">13658.48/1.2</f>
        <v>11382.0666666667</v>
      </c>
      <c r="H179" s="53" t="n">
        <f aca="false">D179*G179</f>
        <v>300486.56</v>
      </c>
      <c r="I179" s="47" t="s">
        <v>46</v>
      </c>
      <c r="J179" s="52" t="n">
        <v>13004.1</v>
      </c>
      <c r="K179" s="53" t="n">
        <f aca="false">D179*J179</f>
        <v>343308.24</v>
      </c>
      <c r="L179" s="47" t="s">
        <v>58</v>
      </c>
      <c r="M179" s="52" t="n">
        <v>12560.4</v>
      </c>
      <c r="N179" s="53" t="n">
        <f aca="false">D179*M179</f>
        <v>331594.56</v>
      </c>
      <c r="O179" s="54" t="n">
        <f aca="false">AVERAGE(G179,J179,M179)</f>
        <v>12315.5222222222</v>
      </c>
      <c r="P179" s="55" t="n">
        <f aca="false">E179*100/O179-100</f>
        <v>-0.0327409763830104</v>
      </c>
      <c r="Q179" s="54" t="n">
        <f aca="false">D179*E179</f>
        <v>325023.336</v>
      </c>
      <c r="R179" s="56"/>
      <c r="T179" s="57" t="n">
        <f aca="false">ROUND(G179*100/O179-100,0)</f>
        <v>-8</v>
      </c>
      <c r="U179" s="57" t="n">
        <f aca="false">ROUND(J179*100/O179-100,0)</f>
        <v>6</v>
      </c>
      <c r="V179" s="57" t="n">
        <f aca="false">ROUND(M179*100/O179-100,0)</f>
        <v>2</v>
      </c>
    </row>
    <row r="180" s="43" customFormat="true" ht="73.5" hidden="false" customHeight="true" outlineLevel="0" collapsed="false">
      <c r="A180" s="45" t="n">
        <v>169</v>
      </c>
      <c r="B180" s="46" t="s">
        <v>263</v>
      </c>
      <c r="C180" s="47" t="s">
        <v>25</v>
      </c>
      <c r="D180" s="48" t="n">
        <v>69</v>
      </c>
      <c r="E180" s="50" t="n">
        <v>1431.87</v>
      </c>
      <c r="F180" s="47" t="s">
        <v>27</v>
      </c>
      <c r="G180" s="52" t="n">
        <f aca="false">1609.9/1.2</f>
        <v>1341.58333333333</v>
      </c>
      <c r="H180" s="53" t="n">
        <f aca="false">D180*G180</f>
        <v>92569.25</v>
      </c>
      <c r="I180" s="53" t="s">
        <v>28</v>
      </c>
      <c r="J180" s="52" t="n">
        <f aca="false">1748.87/1.2</f>
        <v>1457.39166666667</v>
      </c>
      <c r="K180" s="53" t="n">
        <f aca="false">D180*J180</f>
        <v>100560.025</v>
      </c>
      <c r="L180" s="53" t="s">
        <v>29</v>
      </c>
      <c r="M180" s="52" t="n">
        <v>1503.09</v>
      </c>
      <c r="N180" s="53" t="n">
        <f aca="false">D180*M180</f>
        <v>103713.21</v>
      </c>
      <c r="O180" s="54" t="n">
        <f aca="false">AVERAGE(G180,J180,M180)</f>
        <v>1434.02166666667</v>
      </c>
      <c r="P180" s="55" t="n">
        <f aca="false">E180*100/O180-100</f>
        <v>-0.15004422294875</v>
      </c>
      <c r="Q180" s="54" t="n">
        <f aca="false">D180*E180</f>
        <v>98799.03</v>
      </c>
      <c r="R180" s="56"/>
      <c r="T180" s="57" t="n">
        <f aca="false">ROUND(G180*100/O180-100,0)</f>
        <v>-6</v>
      </c>
      <c r="U180" s="57" t="n">
        <f aca="false">ROUND(J180*100/O180-100,0)</f>
        <v>2</v>
      </c>
      <c r="V180" s="57" t="n">
        <f aca="false">ROUND(M180*100/O180-100,0)</f>
        <v>5</v>
      </c>
    </row>
    <row r="181" s="43" customFormat="true" ht="73.5" hidden="false" customHeight="true" outlineLevel="0" collapsed="false">
      <c r="A181" s="84" t="n">
        <v>170</v>
      </c>
      <c r="B181" s="85" t="s">
        <v>264</v>
      </c>
      <c r="C181" s="86" t="s">
        <v>25</v>
      </c>
      <c r="D181" s="87" t="n">
        <v>78</v>
      </c>
      <c r="E181" s="88" t="n">
        <v>40.01</v>
      </c>
      <c r="F181" s="86" t="s">
        <v>27</v>
      </c>
      <c r="G181" s="89" t="n">
        <f aca="false">45.64/1.2</f>
        <v>38.0333333333333</v>
      </c>
      <c r="H181" s="90" t="n">
        <f aca="false">D181*G181</f>
        <v>2966.6</v>
      </c>
      <c r="I181" s="90" t="s">
        <v>28</v>
      </c>
      <c r="J181" s="89" t="n">
        <f aca="false">44.54/1.2</f>
        <v>37.1166666666667</v>
      </c>
      <c r="K181" s="90" t="n">
        <f aca="false">D181*J181</f>
        <v>2895.1</v>
      </c>
      <c r="L181" s="90" t="s">
        <v>29</v>
      </c>
      <c r="M181" s="89" t="n">
        <v>45.47</v>
      </c>
      <c r="N181" s="90" t="n">
        <f aca="false">D181*M181</f>
        <v>3546.66</v>
      </c>
      <c r="O181" s="91" t="n">
        <f aca="false">AVERAGE(G181,J181,M181)</f>
        <v>40.2066666666667</v>
      </c>
      <c r="P181" s="92" t="n">
        <f aca="false">E181*100/O181-100</f>
        <v>-0.48913944619467</v>
      </c>
      <c r="Q181" s="91" t="n">
        <f aca="false">D181*E181</f>
        <v>3120.78</v>
      </c>
      <c r="R181" s="47" t="s">
        <v>480</v>
      </c>
      <c r="T181" s="57" t="n">
        <f aca="false">ROUND(G181*100/O181-100,0)</f>
        <v>-5</v>
      </c>
      <c r="U181" s="57" t="n">
        <f aca="false">ROUND(J181*100/O181-100,0)</f>
        <v>-8</v>
      </c>
      <c r="V181" s="57" t="n">
        <f aca="false">ROUND(M181*100/O181-100,0)</f>
        <v>13</v>
      </c>
    </row>
    <row r="182" s="43" customFormat="true" ht="73.5" hidden="false" customHeight="true" outlineLevel="0" collapsed="false">
      <c r="A182" s="45" t="n">
        <v>171</v>
      </c>
      <c r="B182" s="46" t="s">
        <v>265</v>
      </c>
      <c r="C182" s="47" t="s">
        <v>25</v>
      </c>
      <c r="D182" s="48" t="n">
        <v>1</v>
      </c>
      <c r="E182" s="50" t="n">
        <v>539.74</v>
      </c>
      <c r="F182" s="47" t="s">
        <v>27</v>
      </c>
      <c r="G182" s="52" t="n">
        <f aca="false">628.74/1.2</f>
        <v>523.95</v>
      </c>
      <c r="H182" s="53" t="n">
        <f aca="false">D182*G182</f>
        <v>523.95</v>
      </c>
      <c r="I182" s="53" t="s">
        <v>28</v>
      </c>
      <c r="J182" s="52" t="n">
        <f aca="false">697.44/1.2</f>
        <v>581.2</v>
      </c>
      <c r="K182" s="53" t="n">
        <f aca="false">D182*J182</f>
        <v>581.2</v>
      </c>
      <c r="L182" s="53" t="s">
        <v>29</v>
      </c>
      <c r="M182" s="52" t="n">
        <v>520.81</v>
      </c>
      <c r="N182" s="53" t="n">
        <f aca="false">D182*M182</f>
        <v>520.81</v>
      </c>
      <c r="O182" s="54" t="n">
        <f aca="false">AVERAGE(G182,J182,M182)</f>
        <v>541.986666666667</v>
      </c>
      <c r="P182" s="55" t="n">
        <f aca="false">E182*100/O182-100</f>
        <v>-0.414524342542251</v>
      </c>
      <c r="Q182" s="54" t="n">
        <f aca="false">D182*E182</f>
        <v>539.74</v>
      </c>
      <c r="R182" s="56"/>
      <c r="T182" s="57" t="n">
        <f aca="false">ROUND(G182*100/O182-100,0)</f>
        <v>-3</v>
      </c>
      <c r="U182" s="57" t="n">
        <f aca="false">ROUND(J182*100/O182-100,0)</f>
        <v>7</v>
      </c>
      <c r="V182" s="57" t="n">
        <f aca="false">ROUND(M182*100/O182-100,0)</f>
        <v>-4</v>
      </c>
    </row>
    <row r="183" s="43" customFormat="true" ht="73.5" hidden="false" customHeight="true" outlineLevel="0" collapsed="false">
      <c r="A183" s="45" t="n">
        <v>172</v>
      </c>
      <c r="B183" s="46" t="s">
        <v>266</v>
      </c>
      <c r="C183" s="47" t="s">
        <v>25</v>
      </c>
      <c r="D183" s="48" t="n">
        <v>100</v>
      </c>
      <c r="E183" s="50" t="n">
        <v>1.28</v>
      </c>
      <c r="F183" s="47" t="s">
        <v>27</v>
      </c>
      <c r="G183" s="52" t="n">
        <f aca="false">62.47/50/1.2</f>
        <v>1.04116666666667</v>
      </c>
      <c r="H183" s="53" t="n">
        <f aca="false">D183*G183</f>
        <v>104.116666666667</v>
      </c>
      <c r="I183" s="53" t="s">
        <v>28</v>
      </c>
      <c r="J183" s="52" t="n">
        <f aca="false">1.66/1.2</f>
        <v>1.38333333333333</v>
      </c>
      <c r="K183" s="53" t="n">
        <f aca="false">D183*J183</f>
        <v>138.333333333333</v>
      </c>
      <c r="L183" s="53" t="s">
        <v>29</v>
      </c>
      <c r="M183" s="52" t="n">
        <v>1.46</v>
      </c>
      <c r="N183" s="53" t="n">
        <f aca="false">D183*M183</f>
        <v>146</v>
      </c>
      <c r="O183" s="54" t="n">
        <f aca="false">AVERAGE(G183,J183,M183)</f>
        <v>1.29483333333333</v>
      </c>
      <c r="P183" s="55" t="n">
        <f aca="false">E183*100/O183-100</f>
        <v>-1.14557858154203</v>
      </c>
      <c r="Q183" s="54" t="n">
        <f aca="false">D183*E183</f>
        <v>128</v>
      </c>
      <c r="R183" s="56"/>
      <c r="T183" s="57" t="n">
        <f aca="false">ROUND(G183*100/O183-100,0)</f>
        <v>-20</v>
      </c>
      <c r="U183" s="57" t="n">
        <f aca="false">ROUND(J183*100/O183-100,0)</f>
        <v>7</v>
      </c>
      <c r="V183" s="57" t="n">
        <f aca="false">ROUND(M183*100/O183-100,0)</f>
        <v>13</v>
      </c>
    </row>
    <row r="184" s="43" customFormat="true" ht="73.5" hidden="false" customHeight="true" outlineLevel="0" collapsed="false">
      <c r="A184" s="45" t="n">
        <v>173</v>
      </c>
      <c r="B184" s="46" t="s">
        <v>267</v>
      </c>
      <c r="C184" s="47" t="s">
        <v>25</v>
      </c>
      <c r="D184" s="48" t="n">
        <v>26</v>
      </c>
      <c r="E184" s="50" t="n">
        <v>22.15</v>
      </c>
      <c r="F184" s="47" t="s">
        <v>27</v>
      </c>
      <c r="G184" s="52" t="n">
        <f aca="false">21.83/1.2</f>
        <v>18.1916666666667</v>
      </c>
      <c r="H184" s="53" t="n">
        <f aca="false">D184*G184</f>
        <v>472.983333333333</v>
      </c>
      <c r="I184" s="53" t="s">
        <v>28</v>
      </c>
      <c r="J184" s="52" t="n">
        <f aca="false">27.18/1.2</f>
        <v>22.65</v>
      </c>
      <c r="K184" s="53" t="n">
        <f aca="false">D184*J184</f>
        <v>588.9</v>
      </c>
      <c r="L184" s="53" t="s">
        <v>29</v>
      </c>
      <c r="M184" s="52" t="n">
        <v>26.07</v>
      </c>
      <c r="N184" s="53" t="n">
        <f aca="false">D184*M184</f>
        <v>677.82</v>
      </c>
      <c r="O184" s="54" t="n">
        <f aca="false">AVERAGE(G184,J184,M184)</f>
        <v>22.3038888888889</v>
      </c>
      <c r="P184" s="55" t="n">
        <f aca="false">E184*100/O184-100</f>
        <v>-0.689964380900193</v>
      </c>
      <c r="Q184" s="54" t="n">
        <f aca="false">D184*E184</f>
        <v>575.9</v>
      </c>
      <c r="R184" s="56"/>
      <c r="T184" s="57" t="n">
        <f aca="false">ROUND(G184*100/O184-100,0)</f>
        <v>-18</v>
      </c>
      <c r="U184" s="57" t="n">
        <f aca="false">ROUND(J184*100/O184-100,0)</f>
        <v>2</v>
      </c>
      <c r="V184" s="57" t="n">
        <f aca="false">ROUND(M184*100/O184-100,0)</f>
        <v>17</v>
      </c>
    </row>
    <row r="185" s="43" customFormat="true" ht="73.5" hidden="false" customHeight="true" outlineLevel="0" collapsed="false">
      <c r="A185" s="45" t="n">
        <v>174</v>
      </c>
      <c r="B185" s="46" t="s">
        <v>268</v>
      </c>
      <c r="C185" s="47" t="s">
        <v>25</v>
      </c>
      <c r="D185" s="48" t="n">
        <v>8</v>
      </c>
      <c r="E185" s="50" t="n">
        <v>569.91</v>
      </c>
      <c r="F185" s="47" t="s">
        <v>57</v>
      </c>
      <c r="G185" s="52" t="n">
        <v>518.54</v>
      </c>
      <c r="H185" s="53" t="n">
        <f aca="false">D185*G185</f>
        <v>4148.32</v>
      </c>
      <c r="I185" s="47" t="s">
        <v>46</v>
      </c>
      <c r="J185" s="52" t="n">
        <v>554.7</v>
      </c>
      <c r="K185" s="53" t="n">
        <f aca="false">D185*J185</f>
        <v>4437.6</v>
      </c>
      <c r="L185" s="53" t="s">
        <v>41</v>
      </c>
      <c r="M185" s="52" t="n">
        <v>640.8</v>
      </c>
      <c r="N185" s="53" t="n">
        <f aca="false">D185*M185</f>
        <v>5126.4</v>
      </c>
      <c r="O185" s="54" t="n">
        <f aca="false">AVERAGE(G185,J185,M185)</f>
        <v>571.346666666667</v>
      </c>
      <c r="P185" s="55" t="n">
        <f aca="false">E185*100/O185-100</f>
        <v>-0.251452708221521</v>
      </c>
      <c r="Q185" s="54" t="n">
        <f aca="false">D185*E185</f>
        <v>4559.28</v>
      </c>
      <c r="R185" s="56"/>
      <c r="T185" s="57" t="n">
        <f aca="false">ROUND(G185*100/O185-100,0)</f>
        <v>-9</v>
      </c>
      <c r="U185" s="57" t="n">
        <f aca="false">ROUND(J185*100/O185-100,0)</f>
        <v>-3</v>
      </c>
      <c r="V185" s="57" t="n">
        <f aca="false">ROUND(M185*100/O185-100,0)</f>
        <v>12</v>
      </c>
    </row>
    <row r="186" s="43" customFormat="true" ht="73.5" hidden="false" customHeight="true" outlineLevel="0" collapsed="false">
      <c r="A186" s="45" t="n">
        <v>175</v>
      </c>
      <c r="B186" s="46" t="s">
        <v>269</v>
      </c>
      <c r="C186" s="47" t="s">
        <v>45</v>
      </c>
      <c r="D186" s="48" t="n">
        <v>48</v>
      </c>
      <c r="E186" s="50" t="n">
        <v>4556.94</v>
      </c>
      <c r="F186" s="47" t="s">
        <v>270</v>
      </c>
      <c r="G186" s="52" t="n">
        <v>4125</v>
      </c>
      <c r="H186" s="53" t="n">
        <f aca="false">D186*G186</f>
        <v>198000</v>
      </c>
      <c r="I186" s="47" t="s">
        <v>271</v>
      </c>
      <c r="J186" s="52" t="n">
        <v>4583.33</v>
      </c>
      <c r="K186" s="53" t="n">
        <f aca="false">D186*J186</f>
        <v>219999.84</v>
      </c>
      <c r="L186" s="47" t="s">
        <v>272</v>
      </c>
      <c r="M186" s="52" t="n">
        <v>4970.33</v>
      </c>
      <c r="N186" s="53" t="n">
        <f aca="false">D186*M186</f>
        <v>238575.84</v>
      </c>
      <c r="O186" s="54" t="n">
        <f aca="false">AVERAGE(G186,J186,M186)</f>
        <v>4559.55333333333</v>
      </c>
      <c r="P186" s="55" t="n">
        <f aca="false">E186*100/O186-100</f>
        <v>-0.057315555763509</v>
      </c>
      <c r="Q186" s="54" t="n">
        <f aca="false">D186*E186</f>
        <v>218733.12</v>
      </c>
      <c r="R186" s="56"/>
      <c r="T186" s="57" t="n">
        <f aca="false">ROUND(G186*100/O186-100,0)</f>
        <v>-10</v>
      </c>
      <c r="U186" s="57" t="n">
        <f aca="false">ROUND(J186*100/O186-100,0)</f>
        <v>1</v>
      </c>
      <c r="V186" s="57" t="n">
        <f aca="false">ROUND(M186*100/O186-100,0)</f>
        <v>9</v>
      </c>
    </row>
    <row r="187" s="43" customFormat="true" ht="73.5" hidden="false" customHeight="true" outlineLevel="0" collapsed="false">
      <c r="A187" s="45" t="n">
        <v>176</v>
      </c>
      <c r="B187" s="46" t="s">
        <v>273</v>
      </c>
      <c r="C187" s="47" t="s">
        <v>45</v>
      </c>
      <c r="D187" s="48" t="n">
        <v>16</v>
      </c>
      <c r="E187" s="50" t="n">
        <v>1229.54</v>
      </c>
      <c r="F187" s="47" t="s">
        <v>274</v>
      </c>
      <c r="G187" s="52" t="n">
        <v>980</v>
      </c>
      <c r="H187" s="53" t="n">
        <f aca="false">D187*G187</f>
        <v>15680</v>
      </c>
      <c r="I187" s="47" t="s">
        <v>275</v>
      </c>
      <c r="J187" s="52" t="n">
        <v>1450</v>
      </c>
      <c r="K187" s="53" t="n">
        <f aca="false">D187*J187</f>
        <v>23200</v>
      </c>
      <c r="L187" s="53" t="s">
        <v>41</v>
      </c>
      <c r="M187" s="52" t="n">
        <v>1263</v>
      </c>
      <c r="N187" s="53" t="n">
        <f aca="false">D187*M187</f>
        <v>20208</v>
      </c>
      <c r="O187" s="54" t="n">
        <f aca="false">AVERAGE(G187,J187,M187)</f>
        <v>1231</v>
      </c>
      <c r="P187" s="55" t="n">
        <f aca="false">E187*100/O187-100</f>
        <v>-0.118602761982132</v>
      </c>
      <c r="Q187" s="54" t="n">
        <f aca="false">D187*E187</f>
        <v>19672.64</v>
      </c>
      <c r="R187" s="56"/>
      <c r="T187" s="57" t="n">
        <f aca="false">ROUND(G187*100/O187-100,0)</f>
        <v>-20</v>
      </c>
      <c r="U187" s="57" t="n">
        <f aca="false">ROUND(J187*100/O187-100,0)</f>
        <v>18</v>
      </c>
      <c r="V187" s="57" t="n">
        <f aca="false">ROUND(M187*100/O187-100,0)</f>
        <v>3</v>
      </c>
    </row>
    <row r="188" s="43" customFormat="true" ht="73.5" hidden="false" customHeight="true" outlineLevel="0" collapsed="false">
      <c r="A188" s="45" t="n">
        <v>177</v>
      </c>
      <c r="B188" s="46" t="s">
        <v>276</v>
      </c>
      <c r="C188" s="47" t="s">
        <v>53</v>
      </c>
      <c r="D188" s="48" t="n">
        <v>500</v>
      </c>
      <c r="E188" s="81" t="n">
        <v>482.37</v>
      </c>
      <c r="F188" s="47" t="s">
        <v>277</v>
      </c>
      <c r="G188" s="52" t="n">
        <f aca="false">625/1.2</f>
        <v>520.833333333333</v>
      </c>
      <c r="H188" s="53" t="n">
        <f aca="false">D188*G188</f>
        <v>260416.666666667</v>
      </c>
      <c r="I188" s="47" t="s">
        <v>46</v>
      </c>
      <c r="J188" s="52" t="n">
        <v>479</v>
      </c>
      <c r="K188" s="53" t="n">
        <f aca="false">D188*J188</f>
        <v>239500</v>
      </c>
      <c r="L188" s="47" t="s">
        <v>278</v>
      </c>
      <c r="M188" s="52" t="n">
        <f aca="false">10800/20/1.2</f>
        <v>450</v>
      </c>
      <c r="N188" s="53" t="n">
        <f aca="false">D188*M188</f>
        <v>225000</v>
      </c>
      <c r="O188" s="54" t="n">
        <f aca="false">AVERAGE(G188,J188,M188)</f>
        <v>483.277777777778</v>
      </c>
      <c r="P188" s="55" t="n">
        <f aca="false">E188*100/O188-100</f>
        <v>-0.187837682492244</v>
      </c>
      <c r="Q188" s="54" t="n">
        <f aca="false">D188*E188</f>
        <v>241185</v>
      </c>
      <c r="R188" s="83" t="s">
        <v>481</v>
      </c>
      <c r="T188" s="57" t="n">
        <f aca="false">ROUND(G188*100/O188-100,0)</f>
        <v>8</v>
      </c>
      <c r="U188" s="57" t="n">
        <f aca="false">ROUND(J188*100/O188-100,0)</f>
        <v>-1</v>
      </c>
      <c r="V188" s="57" t="n">
        <f aca="false">ROUND(M188*100/O188-100,0)</f>
        <v>-7</v>
      </c>
    </row>
    <row r="189" s="43" customFormat="true" ht="73.5" hidden="false" customHeight="true" outlineLevel="0" collapsed="false">
      <c r="A189" s="45" t="n">
        <v>178</v>
      </c>
      <c r="B189" s="46" t="s">
        <v>279</v>
      </c>
      <c r="C189" s="47" t="s">
        <v>45</v>
      </c>
      <c r="D189" s="48" t="s">
        <v>280</v>
      </c>
      <c r="E189" s="50" t="n">
        <v>28855.3</v>
      </c>
      <c r="F189" s="47" t="s">
        <v>281</v>
      </c>
      <c r="G189" s="52" t="n">
        <f aca="false">(1630*1000/50)/1.2</f>
        <v>27166.6666666667</v>
      </c>
      <c r="H189" s="53" t="n">
        <f aca="false">D189*G189</f>
        <v>13583.3333333333</v>
      </c>
      <c r="I189" s="47" t="s">
        <v>58</v>
      </c>
      <c r="J189" s="52" t="n">
        <v>30052.39</v>
      </c>
      <c r="K189" s="69" t="n">
        <f aca="false">D189*J189</f>
        <v>15026.195</v>
      </c>
      <c r="L189" s="53" t="s">
        <v>29</v>
      </c>
      <c r="M189" s="52" t="n">
        <v>29361.09</v>
      </c>
      <c r="N189" s="53" t="n">
        <f aca="false">D189*M189</f>
        <v>14680.545</v>
      </c>
      <c r="O189" s="54" t="n">
        <f aca="false">AVERAGE(G189,J189,M189)</f>
        <v>28860.0488888889</v>
      </c>
      <c r="P189" s="55" t="n">
        <f aca="false">E189*100/O189-100</f>
        <v>-0.0164548885803129</v>
      </c>
      <c r="Q189" s="54" t="n">
        <f aca="false">D189*E189</f>
        <v>14427.65</v>
      </c>
      <c r="R189" s="56"/>
      <c r="T189" s="57" t="n">
        <f aca="false">ROUND(G189*100/O189-100,0)</f>
        <v>-6</v>
      </c>
      <c r="U189" s="57" t="n">
        <f aca="false">ROUND(J189*100/O189-100,0)</f>
        <v>4</v>
      </c>
      <c r="V189" s="57" t="n">
        <f aca="false">ROUND(M189*100/O189-100,0)</f>
        <v>2</v>
      </c>
    </row>
    <row r="190" s="43" customFormat="true" ht="73.5" hidden="false" customHeight="true" outlineLevel="0" collapsed="false">
      <c r="A190" s="45" t="n">
        <v>179</v>
      </c>
      <c r="B190" s="46" t="s">
        <v>282</v>
      </c>
      <c r="C190" s="47" t="s">
        <v>25</v>
      </c>
      <c r="D190" s="48" t="n">
        <v>10</v>
      </c>
      <c r="E190" s="50" t="n">
        <v>154.38</v>
      </c>
      <c r="F190" s="47" t="s">
        <v>27</v>
      </c>
      <c r="G190" s="52" t="n">
        <f aca="false">159.09/1.2</f>
        <v>132.575</v>
      </c>
      <c r="H190" s="53" t="n">
        <f aca="false">D190*G190</f>
        <v>1325.75</v>
      </c>
      <c r="I190" s="53" t="s">
        <v>28</v>
      </c>
      <c r="J190" s="52" t="n">
        <v>173.53</v>
      </c>
      <c r="K190" s="53" t="n">
        <f aca="false">D190*J190</f>
        <v>1735.3</v>
      </c>
      <c r="L190" s="53" t="s">
        <v>29</v>
      </c>
      <c r="M190" s="52" t="n">
        <v>159.82</v>
      </c>
      <c r="N190" s="53" t="n">
        <f aca="false">D190*M190</f>
        <v>1598.2</v>
      </c>
      <c r="O190" s="54" t="n">
        <f aca="false">AVERAGE(G190,J190,M190)</f>
        <v>155.308333333333</v>
      </c>
      <c r="P190" s="55" t="n">
        <f aca="false">E190*100/O190-100</f>
        <v>-0.597735687074106</v>
      </c>
      <c r="Q190" s="54" t="n">
        <f aca="false">D190*E190</f>
        <v>1543.8</v>
      </c>
      <c r="R190" s="56"/>
      <c r="T190" s="57" t="n">
        <f aca="false">ROUND(G190*100/O190-100,0)</f>
        <v>-15</v>
      </c>
      <c r="U190" s="57" t="n">
        <f aca="false">ROUND(J190*100/O190-100,0)</f>
        <v>12</v>
      </c>
      <c r="V190" s="57" t="n">
        <f aca="false">ROUND(M190*100/O190-100,0)</f>
        <v>3</v>
      </c>
    </row>
    <row r="191" s="43" customFormat="true" ht="73.5" hidden="false" customHeight="true" outlineLevel="0" collapsed="false">
      <c r="A191" s="45" t="n">
        <v>180</v>
      </c>
      <c r="B191" s="46" t="s">
        <v>283</v>
      </c>
      <c r="C191" s="47" t="s">
        <v>25</v>
      </c>
      <c r="D191" s="48" t="n">
        <v>5</v>
      </c>
      <c r="E191" s="50" t="n">
        <v>38.66</v>
      </c>
      <c r="F191" s="47" t="s">
        <v>27</v>
      </c>
      <c r="G191" s="52" t="n">
        <f aca="false">41.96/1.2</f>
        <v>34.9666666666667</v>
      </c>
      <c r="H191" s="53" t="n">
        <f aca="false">D191*G191</f>
        <v>174.833333333333</v>
      </c>
      <c r="I191" s="53" t="s">
        <v>28</v>
      </c>
      <c r="J191" s="52" t="n">
        <v>40.11</v>
      </c>
      <c r="K191" s="53" t="n">
        <f aca="false">D191*J191</f>
        <v>200.55</v>
      </c>
      <c r="L191" s="53" t="s">
        <v>29</v>
      </c>
      <c r="M191" s="52" t="n">
        <v>42.43</v>
      </c>
      <c r="N191" s="53" t="n">
        <f aca="false">D191*M191</f>
        <v>212.15</v>
      </c>
      <c r="O191" s="54" t="n">
        <f aca="false">AVERAGE(G191,J191,M191)</f>
        <v>39.1688888888889</v>
      </c>
      <c r="P191" s="55" t="n">
        <f aca="false">E191*100/O191-100</f>
        <v>-1.2992170656984</v>
      </c>
      <c r="Q191" s="54" t="n">
        <f aca="false">D191*E191</f>
        <v>193.3</v>
      </c>
      <c r="R191" s="56"/>
      <c r="T191" s="57" t="n">
        <f aca="false">ROUND(G191*100/O191-100,0)</f>
        <v>-11</v>
      </c>
      <c r="U191" s="57" t="n">
        <f aca="false">ROUND(J191*100/O191-100,0)</f>
        <v>2</v>
      </c>
      <c r="V191" s="57" t="n">
        <f aca="false">ROUND(M191*100/O191-100,0)</f>
        <v>8</v>
      </c>
    </row>
    <row r="192" s="43" customFormat="true" ht="73.5" hidden="false" customHeight="true" outlineLevel="0" collapsed="false">
      <c r="A192" s="45" t="n">
        <v>181</v>
      </c>
      <c r="B192" s="46" t="s">
        <v>284</v>
      </c>
      <c r="C192" s="47" t="s">
        <v>25</v>
      </c>
      <c r="D192" s="48" t="n">
        <v>51</v>
      </c>
      <c r="E192" s="50" t="n">
        <v>37.02</v>
      </c>
      <c r="F192" s="47" t="s">
        <v>27</v>
      </c>
      <c r="G192" s="52" t="n">
        <f aca="false">42.95/1.2</f>
        <v>35.7916666666667</v>
      </c>
      <c r="H192" s="53" t="n">
        <f aca="false">D192*G192</f>
        <v>1825.375</v>
      </c>
      <c r="I192" s="53" t="s">
        <v>28</v>
      </c>
      <c r="J192" s="52" t="n">
        <v>42.57</v>
      </c>
      <c r="K192" s="53" t="n">
        <f aca="false">D192*J192</f>
        <v>2171.07</v>
      </c>
      <c r="L192" s="53" t="s">
        <v>29</v>
      </c>
      <c r="M192" s="52" t="n">
        <v>34.21</v>
      </c>
      <c r="N192" s="53" t="n">
        <f aca="false">D192*M192</f>
        <v>1744.71</v>
      </c>
      <c r="O192" s="54" t="n">
        <f aca="false">AVERAGE(G192,J192,M192)</f>
        <v>37.5238888888889</v>
      </c>
      <c r="P192" s="55" t="n">
        <f aca="false">E192*100/O192-100</f>
        <v>-1.34284825962719</v>
      </c>
      <c r="Q192" s="54" t="n">
        <f aca="false">D192*E192</f>
        <v>1888.02</v>
      </c>
      <c r="R192" s="56"/>
      <c r="T192" s="57" t="n">
        <f aca="false">ROUND(G192*100/O192-100,0)</f>
        <v>-5</v>
      </c>
      <c r="U192" s="57" t="n">
        <f aca="false">ROUND(J192*100/O192-100,0)</f>
        <v>13</v>
      </c>
      <c r="V192" s="57" t="n">
        <f aca="false">ROUND(M192*100/O192-100,0)</f>
        <v>-9</v>
      </c>
    </row>
    <row r="193" s="43" customFormat="true" ht="73.5" hidden="false" customHeight="true" outlineLevel="0" collapsed="false">
      <c r="A193" s="45" t="n">
        <v>182</v>
      </c>
      <c r="B193" s="46" t="s">
        <v>285</v>
      </c>
      <c r="C193" s="47" t="s">
        <v>25</v>
      </c>
      <c r="D193" s="48" t="n">
        <v>65</v>
      </c>
      <c r="E193" s="50" t="n">
        <v>128.98</v>
      </c>
      <c r="F193" s="47" t="s">
        <v>27</v>
      </c>
      <c r="G193" s="52" t="n">
        <f aca="false">152.58/1.2</f>
        <v>127.15</v>
      </c>
      <c r="H193" s="53" t="n">
        <f aca="false">D193*G193</f>
        <v>8264.75</v>
      </c>
      <c r="I193" s="53" t="s">
        <v>28</v>
      </c>
      <c r="J193" s="52" t="n">
        <v>124.64</v>
      </c>
      <c r="K193" s="53" t="n">
        <f aca="false">D193*J193</f>
        <v>8101.6</v>
      </c>
      <c r="L193" s="53" t="s">
        <v>29</v>
      </c>
      <c r="M193" s="52" t="n">
        <v>140.51</v>
      </c>
      <c r="N193" s="53" t="n">
        <f aca="false">D193*M193</f>
        <v>9133.15</v>
      </c>
      <c r="O193" s="54" t="n">
        <f aca="false">AVERAGE(G193,J193,M193)</f>
        <v>130.766666666667</v>
      </c>
      <c r="P193" s="55" t="n">
        <f aca="false">E193*100/O193-100</f>
        <v>-1.36630130002551</v>
      </c>
      <c r="Q193" s="54" t="n">
        <f aca="false">D193*E193</f>
        <v>8383.7</v>
      </c>
      <c r="R193" s="56"/>
      <c r="T193" s="57" t="n">
        <f aca="false">ROUND(G193*100/O193-100,0)</f>
        <v>-3</v>
      </c>
      <c r="U193" s="57" t="n">
        <f aca="false">ROUND(J193*100/O193-100,0)</f>
        <v>-5</v>
      </c>
      <c r="V193" s="57" t="n">
        <f aca="false">ROUND(M193*100/O193-100,0)</f>
        <v>7</v>
      </c>
    </row>
    <row r="194" s="43" customFormat="true" ht="73.5" hidden="false" customHeight="true" outlineLevel="0" collapsed="false">
      <c r="A194" s="45" t="n">
        <v>183</v>
      </c>
      <c r="B194" s="46" t="s">
        <v>286</v>
      </c>
      <c r="C194" s="47" t="s">
        <v>25</v>
      </c>
      <c r="D194" s="48" t="n">
        <v>17</v>
      </c>
      <c r="E194" s="50" t="n">
        <v>825.64</v>
      </c>
      <c r="F194" s="47" t="s">
        <v>27</v>
      </c>
      <c r="G194" s="52" t="n">
        <f aca="false">964.79/1.2</f>
        <v>803.991666666667</v>
      </c>
      <c r="H194" s="53" t="n">
        <f aca="false">D194*G194</f>
        <v>13667.8583333333</v>
      </c>
      <c r="I194" s="53" t="s">
        <v>28</v>
      </c>
      <c r="J194" s="52" t="n">
        <v>800.97</v>
      </c>
      <c r="K194" s="53" t="n">
        <f aca="false">D194*J194</f>
        <v>13616.49</v>
      </c>
      <c r="L194" s="53" t="s">
        <v>29</v>
      </c>
      <c r="M194" s="52" t="n">
        <v>877.17</v>
      </c>
      <c r="N194" s="53" t="n">
        <f aca="false">D194*M194</f>
        <v>14911.89</v>
      </c>
      <c r="O194" s="54" t="n">
        <f aca="false">AVERAGE(G194,J194,M194)</f>
        <v>827.377222222222</v>
      </c>
      <c r="P194" s="55" t="n">
        <f aca="false">E194*100/O194-100</f>
        <v>-0.209967373474015</v>
      </c>
      <c r="Q194" s="54" t="n">
        <f aca="false">D194*E194</f>
        <v>14035.88</v>
      </c>
      <c r="R194" s="56"/>
      <c r="T194" s="57" t="n">
        <f aca="false">ROUND(G194*100/O194-100,0)</f>
        <v>-3</v>
      </c>
      <c r="U194" s="57" t="n">
        <f aca="false">ROUND(J194*100/O194-100,0)</f>
        <v>-3</v>
      </c>
      <c r="V194" s="57" t="n">
        <f aca="false">ROUND(M194*100/O194-100,0)</f>
        <v>6</v>
      </c>
    </row>
    <row r="195" s="43" customFormat="true" ht="73.5" hidden="false" customHeight="true" outlineLevel="0" collapsed="false">
      <c r="A195" s="45" t="n">
        <v>184</v>
      </c>
      <c r="B195" s="46" t="s">
        <v>287</v>
      </c>
      <c r="C195" s="47" t="s">
        <v>25</v>
      </c>
      <c r="D195" s="48" t="n">
        <v>1</v>
      </c>
      <c r="E195" s="50" t="n">
        <v>1705.34</v>
      </c>
      <c r="F195" s="47" t="s">
        <v>27</v>
      </c>
      <c r="G195" s="52" t="n">
        <f aca="false">1922.48/1.2</f>
        <v>1602.06666666667</v>
      </c>
      <c r="H195" s="53" t="n">
        <f aca="false">D195*G195</f>
        <v>1602.06666666667</v>
      </c>
      <c r="I195" s="53" t="s">
        <v>28</v>
      </c>
      <c r="J195" s="52" t="n">
        <v>1722.42</v>
      </c>
      <c r="K195" s="53" t="n">
        <f aca="false">D195*J195</f>
        <v>1722.42</v>
      </c>
      <c r="L195" s="53" t="s">
        <v>29</v>
      </c>
      <c r="M195" s="52" t="n">
        <v>1806.95</v>
      </c>
      <c r="N195" s="53" t="n">
        <f aca="false">D195*M195</f>
        <v>1806.95</v>
      </c>
      <c r="O195" s="54" t="n">
        <f aca="false">AVERAGE(G195,J195,M195)</f>
        <v>1710.47888888889</v>
      </c>
      <c r="P195" s="55" t="n">
        <f aca="false">E195*100/O195-100</f>
        <v>-0.300435680455962</v>
      </c>
      <c r="Q195" s="54" t="n">
        <f aca="false">D195*E195</f>
        <v>1705.34</v>
      </c>
      <c r="R195" s="56"/>
      <c r="T195" s="57" t="n">
        <f aca="false">ROUND(G195*100/O195-100,0)</f>
        <v>-6</v>
      </c>
      <c r="U195" s="57" t="n">
        <f aca="false">ROUND(J195*100/O195-100,0)</f>
        <v>1</v>
      </c>
      <c r="V195" s="57" t="n">
        <f aca="false">ROUND(M195*100/O195-100,0)</f>
        <v>6</v>
      </c>
    </row>
    <row r="196" s="43" customFormat="true" ht="73.5" hidden="false" customHeight="true" outlineLevel="0" collapsed="false">
      <c r="A196" s="45" t="n">
        <v>185</v>
      </c>
      <c r="B196" s="46" t="s">
        <v>288</v>
      </c>
      <c r="C196" s="47" t="s">
        <v>25</v>
      </c>
      <c r="D196" s="48" t="n">
        <v>1</v>
      </c>
      <c r="E196" s="50" t="n">
        <v>246.37</v>
      </c>
      <c r="F196" s="47" t="s">
        <v>27</v>
      </c>
      <c r="G196" s="52" t="n">
        <f aca="false">272.92/1.2</f>
        <v>227.433333333333</v>
      </c>
      <c r="H196" s="53" t="n">
        <f aca="false">D196*G196</f>
        <v>227.433333333333</v>
      </c>
      <c r="I196" s="53" t="s">
        <v>28</v>
      </c>
      <c r="J196" s="52" t="n">
        <v>218.37</v>
      </c>
      <c r="K196" s="53" t="n">
        <f aca="false">D196*J196</f>
        <v>218.37</v>
      </c>
      <c r="L196" s="53" t="s">
        <v>29</v>
      </c>
      <c r="M196" s="52" t="n">
        <v>299.05</v>
      </c>
      <c r="N196" s="53" t="n">
        <f aca="false">D196*M196</f>
        <v>299.05</v>
      </c>
      <c r="O196" s="54" t="n">
        <f aca="false">AVERAGE(G196,J196,M196)</f>
        <v>248.284444444444</v>
      </c>
      <c r="P196" s="55" t="n">
        <f aca="false">E196*100/O196-100</f>
        <v>-0.771069024774462</v>
      </c>
      <c r="Q196" s="54" t="n">
        <f aca="false">D196*E196</f>
        <v>246.37</v>
      </c>
      <c r="R196" s="56"/>
      <c r="T196" s="57" t="n">
        <f aca="false">ROUND(G196*100/O196-100,0)</f>
        <v>-8</v>
      </c>
      <c r="U196" s="57" t="n">
        <f aca="false">ROUND(J196*100/O196-100,0)</f>
        <v>-12</v>
      </c>
      <c r="V196" s="57" t="n">
        <f aca="false">ROUND(M196*100/O196-100,0)</f>
        <v>20</v>
      </c>
    </row>
    <row r="197" s="43" customFormat="true" ht="73.5" hidden="false" customHeight="true" outlineLevel="0" collapsed="false">
      <c r="A197" s="45" t="n">
        <v>186</v>
      </c>
      <c r="B197" s="46" t="s">
        <v>289</v>
      </c>
      <c r="C197" s="47" t="s">
        <v>25</v>
      </c>
      <c r="D197" s="48" t="n">
        <v>36</v>
      </c>
      <c r="E197" s="50" t="n">
        <v>39.04</v>
      </c>
      <c r="F197" s="47" t="s">
        <v>27</v>
      </c>
      <c r="G197" s="52" t="n">
        <f aca="false">42.98/1.2</f>
        <v>35.8166666666667</v>
      </c>
      <c r="H197" s="53" t="n">
        <f aca="false">D197*G197</f>
        <v>1289.4</v>
      </c>
      <c r="I197" s="53" t="s">
        <v>28</v>
      </c>
      <c r="J197" s="52" t="n">
        <v>44.2</v>
      </c>
      <c r="K197" s="53" t="n">
        <f aca="false">D197*J197</f>
        <v>1591.2</v>
      </c>
      <c r="L197" s="53" t="s">
        <v>29</v>
      </c>
      <c r="M197" s="52" t="n">
        <v>38.46</v>
      </c>
      <c r="N197" s="53" t="n">
        <f aca="false">D197*M197</f>
        <v>1384.56</v>
      </c>
      <c r="O197" s="54" t="n">
        <f aca="false">AVERAGE(G197,J197,M197)</f>
        <v>39.4922222222222</v>
      </c>
      <c r="P197" s="55" t="n">
        <f aca="false">E197*100/O197-100</f>
        <v>-1.14509186056326</v>
      </c>
      <c r="Q197" s="54" t="n">
        <f aca="false">D197*E197</f>
        <v>1405.44</v>
      </c>
      <c r="R197" s="56"/>
      <c r="T197" s="57" t="n">
        <f aca="false">ROUND(G197*100/O197-100,0)</f>
        <v>-9</v>
      </c>
      <c r="U197" s="57" t="n">
        <f aca="false">ROUND(J197*100/O197-100,0)</f>
        <v>12</v>
      </c>
      <c r="V197" s="57" t="n">
        <f aca="false">ROUND(M197*100/O197-100,0)</f>
        <v>-3</v>
      </c>
    </row>
    <row r="198" s="43" customFormat="true" ht="73.5" hidden="false" customHeight="true" outlineLevel="0" collapsed="false">
      <c r="A198" s="45" t="n">
        <v>187</v>
      </c>
      <c r="B198" s="46" t="s">
        <v>290</v>
      </c>
      <c r="C198" s="47" t="s">
        <v>45</v>
      </c>
      <c r="D198" s="48" t="n">
        <v>8</v>
      </c>
      <c r="E198" s="50" t="n">
        <v>592.47</v>
      </c>
      <c r="F198" s="47" t="s">
        <v>56</v>
      </c>
      <c r="G198" s="52" t="n">
        <v>597.5</v>
      </c>
      <c r="H198" s="53" t="n">
        <f aca="false">D198*G198</f>
        <v>4780</v>
      </c>
      <c r="I198" s="53" t="s">
        <v>57</v>
      </c>
      <c r="J198" s="52" t="n">
        <v>549.78</v>
      </c>
      <c r="K198" s="53" t="n">
        <f aca="false">D198*J198</f>
        <v>4398.24</v>
      </c>
      <c r="L198" s="47" t="s">
        <v>58</v>
      </c>
      <c r="M198" s="52" t="n">
        <v>634.45</v>
      </c>
      <c r="N198" s="53" t="n">
        <f aca="false">D198*M198</f>
        <v>5075.6</v>
      </c>
      <c r="O198" s="54" t="n">
        <f aca="false">AVERAGE(G198,J198,M198)</f>
        <v>593.91</v>
      </c>
      <c r="P198" s="55" t="n">
        <f aca="false">E198*100/O198-100</f>
        <v>-0.242460978936194</v>
      </c>
      <c r="Q198" s="54" t="n">
        <f aca="false">D198*E198</f>
        <v>4739.76</v>
      </c>
      <c r="R198" s="56"/>
      <c r="T198" s="57" t="n">
        <f aca="false">ROUND(G198*100/O198-100,0)</f>
        <v>1</v>
      </c>
      <c r="U198" s="57" t="n">
        <f aca="false">ROUND(J198*100/O198-100,0)</f>
        <v>-7</v>
      </c>
      <c r="V198" s="57" t="n">
        <f aca="false">ROUND(M198*100/O198-100,0)</f>
        <v>7</v>
      </c>
    </row>
    <row r="199" s="43" customFormat="true" ht="73.5" hidden="false" customHeight="true" outlineLevel="0" collapsed="false">
      <c r="A199" s="45" t="n">
        <v>188</v>
      </c>
      <c r="B199" s="46" t="s">
        <v>291</v>
      </c>
      <c r="C199" s="47" t="s">
        <v>292</v>
      </c>
      <c r="D199" s="48" t="n">
        <v>532</v>
      </c>
      <c r="E199" s="50" t="n">
        <v>53.08</v>
      </c>
      <c r="F199" s="47" t="s">
        <v>90</v>
      </c>
      <c r="G199" s="52" t="n">
        <f aca="false">61.72/1.2</f>
        <v>51.4333333333333</v>
      </c>
      <c r="H199" s="53" t="n">
        <f aca="false">D199*G199</f>
        <v>27362.5333333333</v>
      </c>
      <c r="I199" s="47" t="s">
        <v>46</v>
      </c>
      <c r="J199" s="52" t="n">
        <v>55.09</v>
      </c>
      <c r="K199" s="53" t="n">
        <f aca="false">D199*J199</f>
        <v>29307.88</v>
      </c>
      <c r="L199" s="47" t="s">
        <v>58</v>
      </c>
      <c r="M199" s="52" t="n">
        <v>53.87</v>
      </c>
      <c r="N199" s="53" t="n">
        <f aca="false">D199*M199</f>
        <v>28658.84</v>
      </c>
      <c r="O199" s="54" t="n">
        <f aca="false">AVERAGE(G199,J199,M199)</f>
        <v>53.4644444444444</v>
      </c>
      <c r="P199" s="55" t="n">
        <f aca="false">E199*100/O199-100</f>
        <v>-0.71906563032546</v>
      </c>
      <c r="Q199" s="54" t="n">
        <f aca="false">D199*E199</f>
        <v>28238.56</v>
      </c>
      <c r="R199" s="56"/>
      <c r="T199" s="57" t="n">
        <f aca="false">ROUND(G199*100/O199-100,0)</f>
        <v>-4</v>
      </c>
      <c r="U199" s="57" t="n">
        <f aca="false">ROUND(J199*100/O199-100,0)</f>
        <v>3</v>
      </c>
      <c r="V199" s="57" t="n">
        <f aca="false">ROUND(M199*100/O199-100,0)</f>
        <v>1</v>
      </c>
    </row>
    <row r="200" s="43" customFormat="true" ht="73.5" hidden="false" customHeight="true" outlineLevel="0" collapsed="false">
      <c r="A200" s="45" t="n">
        <v>189</v>
      </c>
      <c r="B200" s="46" t="s">
        <v>293</v>
      </c>
      <c r="C200" s="47" t="s">
        <v>25</v>
      </c>
      <c r="D200" s="48" t="n">
        <v>8</v>
      </c>
      <c r="E200" s="50" t="n">
        <v>394.7</v>
      </c>
      <c r="F200" s="47" t="s">
        <v>294</v>
      </c>
      <c r="G200" s="52" t="n">
        <v>357.28</v>
      </c>
      <c r="H200" s="53" t="n">
        <f aca="false">D200*G200</f>
        <v>2858.24</v>
      </c>
      <c r="I200" s="47" t="s">
        <v>295</v>
      </c>
      <c r="J200" s="52" t="n">
        <v>380</v>
      </c>
      <c r="K200" s="53" t="n">
        <f aca="false">D200*J200</f>
        <v>3040</v>
      </c>
      <c r="L200" s="53" t="s">
        <v>41</v>
      </c>
      <c r="M200" s="52" t="n">
        <v>450.14</v>
      </c>
      <c r="N200" s="53" t="n">
        <f aca="false">D200*M200</f>
        <v>3601.12</v>
      </c>
      <c r="O200" s="54" t="n">
        <f aca="false">AVERAGE(G200,J200,M200)</f>
        <v>395.806666666667</v>
      </c>
      <c r="P200" s="55" t="n">
        <f aca="false">E200*100/O200-100</f>
        <v>-0.279597783429622</v>
      </c>
      <c r="Q200" s="54" t="n">
        <f aca="false">D200*E200</f>
        <v>3157.6</v>
      </c>
      <c r="R200" s="56"/>
      <c r="T200" s="57" t="n">
        <f aca="false">ROUND(G200*100/O200-100,0)</f>
        <v>-10</v>
      </c>
      <c r="U200" s="57" t="n">
        <f aca="false">ROUND(J200*100/O200-100,0)</f>
        <v>-4</v>
      </c>
      <c r="V200" s="57" t="n">
        <f aca="false">ROUND(M200*100/O200-100,0)</f>
        <v>14</v>
      </c>
    </row>
    <row r="201" s="43" customFormat="true" ht="73.5" hidden="false" customHeight="true" outlineLevel="0" collapsed="false">
      <c r="A201" s="45" t="n">
        <v>190</v>
      </c>
      <c r="B201" s="46" t="s">
        <v>296</v>
      </c>
      <c r="C201" s="47" t="s">
        <v>25</v>
      </c>
      <c r="D201" s="48" t="n">
        <v>28</v>
      </c>
      <c r="E201" s="50" t="n">
        <v>402.64</v>
      </c>
      <c r="F201" s="47" t="s">
        <v>294</v>
      </c>
      <c r="G201" s="52" t="n">
        <v>395.38</v>
      </c>
      <c r="H201" s="53" t="n">
        <f aca="false">D201*G201</f>
        <v>11070.64</v>
      </c>
      <c r="I201" s="47" t="s">
        <v>295</v>
      </c>
      <c r="J201" s="52" t="n">
        <v>395</v>
      </c>
      <c r="K201" s="53" t="n">
        <f aca="false">D201*J201</f>
        <v>11060</v>
      </c>
      <c r="L201" s="53" t="s">
        <v>41</v>
      </c>
      <c r="M201" s="52" t="n">
        <v>420.11</v>
      </c>
      <c r="N201" s="53" t="n">
        <f aca="false">D201*M201</f>
        <v>11763.08</v>
      </c>
      <c r="O201" s="54" t="n">
        <f aca="false">AVERAGE(G201,J201,M201)</f>
        <v>403.496666666667</v>
      </c>
      <c r="P201" s="55" t="n">
        <f aca="false">E201*100/O201-100</f>
        <v>-0.212310717147602</v>
      </c>
      <c r="Q201" s="54" t="n">
        <f aca="false">D201*E201</f>
        <v>11273.92</v>
      </c>
      <c r="R201" s="56"/>
      <c r="T201" s="57" t="n">
        <f aca="false">ROUND(G201*100/O201-100,0)</f>
        <v>-2</v>
      </c>
      <c r="U201" s="57" t="n">
        <f aca="false">ROUND(J201*100/O201-100,0)</f>
        <v>-2</v>
      </c>
      <c r="V201" s="57" t="n">
        <f aca="false">ROUND(M201*100/O201-100,0)</f>
        <v>4</v>
      </c>
    </row>
    <row r="202" s="43" customFormat="true" ht="73.5" hidden="false" customHeight="true" outlineLevel="0" collapsed="false">
      <c r="A202" s="45" t="n">
        <v>191</v>
      </c>
      <c r="B202" s="46" t="s">
        <v>297</v>
      </c>
      <c r="C202" s="47" t="s">
        <v>25</v>
      </c>
      <c r="D202" s="48" t="n">
        <v>2</v>
      </c>
      <c r="E202" s="50" t="n">
        <v>990.1</v>
      </c>
      <c r="F202" s="47" t="s">
        <v>294</v>
      </c>
      <c r="G202" s="52" t="n">
        <v>984.06</v>
      </c>
      <c r="H202" s="53" t="n">
        <f aca="false">D202*G202</f>
        <v>1968.12</v>
      </c>
      <c r="I202" s="47" t="s">
        <v>295</v>
      </c>
      <c r="J202" s="52" t="n">
        <v>956</v>
      </c>
      <c r="K202" s="53" t="n">
        <f aca="false">D202*J202</f>
        <v>1912</v>
      </c>
      <c r="L202" s="53" t="s">
        <v>41</v>
      </c>
      <c r="M202" s="52" t="n">
        <v>1040.46</v>
      </c>
      <c r="N202" s="53" t="n">
        <f aca="false">D202*M202</f>
        <v>2080.92</v>
      </c>
      <c r="O202" s="54" t="n">
        <f aca="false">AVERAGE(G202,J202,M202)</f>
        <v>993.506666666667</v>
      </c>
      <c r="P202" s="55" t="n">
        <f aca="false">E202*100/O202-100</f>
        <v>-0.342893186423851</v>
      </c>
      <c r="Q202" s="54" t="n">
        <f aca="false">D202*E202</f>
        <v>1980.2</v>
      </c>
      <c r="R202" s="56"/>
      <c r="T202" s="57" t="n">
        <f aca="false">ROUND(G202*100/O202-100,0)</f>
        <v>-1</v>
      </c>
      <c r="U202" s="57" t="n">
        <f aca="false">ROUND(J202*100/O202-100,0)</f>
        <v>-4</v>
      </c>
      <c r="V202" s="57" t="n">
        <f aca="false">ROUND(M202*100/O202-100,0)</f>
        <v>5</v>
      </c>
    </row>
    <row r="203" s="43" customFormat="true" ht="73.5" hidden="false" customHeight="true" outlineLevel="0" collapsed="false">
      <c r="A203" s="45" t="n">
        <v>192</v>
      </c>
      <c r="B203" s="46" t="s">
        <v>298</v>
      </c>
      <c r="C203" s="47" t="s">
        <v>25</v>
      </c>
      <c r="D203" s="48" t="n">
        <v>8</v>
      </c>
      <c r="E203" s="50" t="n">
        <v>487.56</v>
      </c>
      <c r="F203" s="47" t="s">
        <v>294</v>
      </c>
      <c r="G203" s="52" t="n">
        <v>465.05</v>
      </c>
      <c r="H203" s="53" t="n">
        <f aca="false">D203*G203</f>
        <v>3720.4</v>
      </c>
      <c r="I203" s="47" t="s">
        <v>295</v>
      </c>
      <c r="J203" s="52" t="n">
        <v>482</v>
      </c>
      <c r="K203" s="53" t="n">
        <f aca="false">D203*J203</f>
        <v>3856</v>
      </c>
      <c r="L203" s="53" t="s">
        <v>41</v>
      </c>
      <c r="M203" s="52" t="n">
        <v>521.12</v>
      </c>
      <c r="N203" s="53" t="n">
        <f aca="false">D203*M203</f>
        <v>4168.96</v>
      </c>
      <c r="O203" s="54" t="n">
        <f aca="false">AVERAGE(G203,J203,M203)</f>
        <v>489.39</v>
      </c>
      <c r="P203" s="55" t="n">
        <f aca="false">E203*100/O203-100</f>
        <v>-0.373934898547176</v>
      </c>
      <c r="Q203" s="54" t="n">
        <f aca="false">D203*E203</f>
        <v>3900.48</v>
      </c>
      <c r="R203" s="56"/>
      <c r="T203" s="57" t="n">
        <f aca="false">ROUND(G203*100/O203-100,0)</f>
        <v>-5</v>
      </c>
      <c r="U203" s="57" t="n">
        <f aca="false">ROUND(J203*100/O203-100,0)</f>
        <v>-2</v>
      </c>
      <c r="V203" s="57" t="n">
        <f aca="false">ROUND(M203*100/O203-100,0)</f>
        <v>6</v>
      </c>
    </row>
    <row r="204" s="43" customFormat="true" ht="73.5" hidden="false" customHeight="true" outlineLevel="0" collapsed="false">
      <c r="A204" s="45" t="n">
        <v>193</v>
      </c>
      <c r="B204" s="46" t="s">
        <v>299</v>
      </c>
      <c r="C204" s="47" t="s">
        <v>25</v>
      </c>
      <c r="D204" s="48" t="n">
        <v>10</v>
      </c>
      <c r="E204" s="50" t="n">
        <v>578.8</v>
      </c>
      <c r="F204" s="47" t="s">
        <v>294</v>
      </c>
      <c r="G204" s="52" t="n">
        <v>557.81</v>
      </c>
      <c r="H204" s="53" t="n">
        <f aca="false">D204*G204</f>
        <v>5578.1</v>
      </c>
      <c r="I204" s="47" t="s">
        <v>295</v>
      </c>
      <c r="J204" s="52" t="n">
        <v>560</v>
      </c>
      <c r="K204" s="53" t="n">
        <f aca="false">D204*J204</f>
        <v>5600</v>
      </c>
      <c r="L204" s="53" t="s">
        <v>41</v>
      </c>
      <c r="M204" s="52" t="n">
        <v>620.64</v>
      </c>
      <c r="N204" s="53" t="n">
        <f aca="false">D204*M204</f>
        <v>6206.4</v>
      </c>
      <c r="O204" s="54" t="n">
        <f aca="false">AVERAGE(G204,J204,M204)</f>
        <v>579.483333333333</v>
      </c>
      <c r="P204" s="55" t="n">
        <f aca="false">E204*100/O204-100</f>
        <v>-0.117921136644711</v>
      </c>
      <c r="Q204" s="54" t="n">
        <f aca="false">D204*E204</f>
        <v>5788</v>
      </c>
      <c r="R204" s="56"/>
      <c r="T204" s="57" t="n">
        <f aca="false">ROUND(G204*100/O204-100,0)</f>
        <v>-4</v>
      </c>
      <c r="U204" s="57" t="n">
        <f aca="false">ROUND(J204*100/O204-100,0)</f>
        <v>-3</v>
      </c>
      <c r="V204" s="57" t="n">
        <f aca="false">ROUND(M204*100/O204-100,0)</f>
        <v>7</v>
      </c>
    </row>
    <row r="205" s="43" customFormat="true" ht="73.5" hidden="false" customHeight="true" outlineLevel="0" collapsed="false">
      <c r="A205" s="45" t="n">
        <v>194</v>
      </c>
      <c r="B205" s="46" t="s">
        <v>300</v>
      </c>
      <c r="C205" s="47" t="s">
        <v>25</v>
      </c>
      <c r="D205" s="48" t="n">
        <v>46</v>
      </c>
      <c r="E205" s="50" t="n">
        <v>841.2</v>
      </c>
      <c r="F205" s="47" t="s">
        <v>294</v>
      </c>
      <c r="G205" s="52" t="n">
        <v>766.01</v>
      </c>
      <c r="H205" s="53" t="n">
        <f aca="false">D205*G205</f>
        <v>35236.46</v>
      </c>
      <c r="I205" s="47" t="s">
        <v>295</v>
      </c>
      <c r="J205" s="52" t="n">
        <v>840</v>
      </c>
      <c r="K205" s="53" t="n">
        <f aca="false">D205*J205</f>
        <v>38640</v>
      </c>
      <c r="L205" s="53" t="s">
        <v>41</v>
      </c>
      <c r="M205" s="52" t="n">
        <v>921.5</v>
      </c>
      <c r="N205" s="53" t="n">
        <f aca="false">D205*M205</f>
        <v>42389</v>
      </c>
      <c r="O205" s="54" t="n">
        <f aca="false">AVERAGE(G205,J205,M205)</f>
        <v>842.503333333333</v>
      </c>
      <c r="P205" s="55" t="n">
        <f aca="false">E205*100/O205-100</f>
        <v>-0.15469770643837</v>
      </c>
      <c r="Q205" s="54" t="n">
        <f aca="false">D205*E205</f>
        <v>38695.2</v>
      </c>
      <c r="R205" s="56"/>
      <c r="T205" s="57" t="n">
        <f aca="false">ROUND(G205*100/O205-100,0)</f>
        <v>-9</v>
      </c>
      <c r="U205" s="57" t="n">
        <f aca="false">ROUND(J205*100/O205-100,0)</f>
        <v>-0</v>
      </c>
      <c r="V205" s="57" t="n">
        <f aca="false">ROUND(M205*100/O205-100,0)</f>
        <v>9</v>
      </c>
    </row>
    <row r="206" s="43" customFormat="true" ht="73.5" hidden="false" customHeight="true" outlineLevel="0" collapsed="false">
      <c r="A206" s="45" t="n">
        <v>195</v>
      </c>
      <c r="B206" s="46" t="s">
        <v>301</v>
      </c>
      <c r="C206" s="47" t="s">
        <v>25</v>
      </c>
      <c r="D206" s="48" t="n">
        <v>24</v>
      </c>
      <c r="E206" s="50" t="n">
        <v>1017.48</v>
      </c>
      <c r="F206" s="47" t="s">
        <v>294</v>
      </c>
      <c r="G206" s="52" t="n">
        <v>995.81</v>
      </c>
      <c r="H206" s="53" t="n">
        <f aca="false">D206*G206</f>
        <v>23899.44</v>
      </c>
      <c r="I206" s="47" t="s">
        <v>295</v>
      </c>
      <c r="J206" s="52" t="n">
        <v>960</v>
      </c>
      <c r="K206" s="53" t="n">
        <f aca="false">D206*J206</f>
        <v>23040</v>
      </c>
      <c r="L206" s="53" t="s">
        <v>41</v>
      </c>
      <c r="M206" s="52" t="n">
        <v>1102.7</v>
      </c>
      <c r="N206" s="53" t="n">
        <f aca="false">D206*M206</f>
        <v>26464.8</v>
      </c>
      <c r="O206" s="54" t="n">
        <f aca="false">AVERAGE(G206,J206,M206)</f>
        <v>1019.50333333333</v>
      </c>
      <c r="P206" s="55" t="n">
        <f aca="false">E206*100/O206-100</f>
        <v>-0.198462650113953</v>
      </c>
      <c r="Q206" s="54" t="n">
        <f aca="false">D206*E206</f>
        <v>24419.52</v>
      </c>
      <c r="R206" s="56"/>
      <c r="T206" s="57" t="n">
        <f aca="false">ROUND(G206*100/O206-100,0)</f>
        <v>-2</v>
      </c>
      <c r="U206" s="57" t="n">
        <f aca="false">ROUND(J206*100/O206-100,0)</f>
        <v>-6</v>
      </c>
      <c r="V206" s="57" t="n">
        <f aca="false">ROUND(M206*100/O206-100,0)</f>
        <v>8</v>
      </c>
    </row>
    <row r="207" s="43" customFormat="true" ht="73.5" hidden="false" customHeight="true" outlineLevel="0" collapsed="false">
      <c r="A207" s="45" t="n">
        <v>196</v>
      </c>
      <c r="B207" s="46" t="s">
        <v>302</v>
      </c>
      <c r="C207" s="47" t="s">
        <v>25</v>
      </c>
      <c r="D207" s="48" t="n">
        <v>2</v>
      </c>
      <c r="E207" s="50" t="n">
        <v>1897.42</v>
      </c>
      <c r="F207" s="47" t="s">
        <v>294</v>
      </c>
      <c r="G207" s="52" t="n">
        <v>1850.62</v>
      </c>
      <c r="H207" s="53" t="n">
        <f aca="false">D207*G207</f>
        <v>3701.24</v>
      </c>
      <c r="I207" s="47" t="s">
        <v>295</v>
      </c>
      <c r="J207" s="52" t="n">
        <v>1890</v>
      </c>
      <c r="K207" s="53" t="n">
        <f aca="false">D207*J207</f>
        <v>3780</v>
      </c>
      <c r="L207" s="53" t="s">
        <v>41</v>
      </c>
      <c r="M207" s="52" t="n">
        <v>1954.93</v>
      </c>
      <c r="N207" s="53" t="n">
        <f aca="false">D207*M207</f>
        <v>3909.86</v>
      </c>
      <c r="O207" s="54" t="n">
        <f aca="false">AVERAGE(G207,J207,M207)</f>
        <v>1898.51666666667</v>
      </c>
      <c r="P207" s="55" t="n">
        <f aca="false">E207*100/O207-100</f>
        <v>-0.057764395010139</v>
      </c>
      <c r="Q207" s="54" t="n">
        <f aca="false">D207*E207</f>
        <v>3794.84</v>
      </c>
      <c r="R207" s="56"/>
      <c r="T207" s="57" t="n">
        <f aca="false">ROUND(G207*100/O207-100,0)</f>
        <v>-3</v>
      </c>
      <c r="U207" s="57" t="n">
        <f aca="false">ROUND(J207*100/O207-100,0)</f>
        <v>-0</v>
      </c>
      <c r="V207" s="57" t="n">
        <f aca="false">ROUND(M207*100/O207-100,0)</f>
        <v>3</v>
      </c>
    </row>
    <row r="208" s="43" customFormat="true" ht="73.5" hidden="false" customHeight="true" outlineLevel="0" collapsed="false">
      <c r="A208" s="45" t="n">
        <v>197</v>
      </c>
      <c r="B208" s="46" t="s">
        <v>303</v>
      </c>
      <c r="C208" s="47" t="s">
        <v>25</v>
      </c>
      <c r="D208" s="48" t="n">
        <v>26</v>
      </c>
      <c r="E208" s="50" t="n">
        <v>2441.24</v>
      </c>
      <c r="F208" s="47" t="s">
        <v>294</v>
      </c>
      <c r="G208" s="52" t="n">
        <v>2411.34</v>
      </c>
      <c r="H208" s="53" t="n">
        <f aca="false">D208*G208</f>
        <v>62694.84</v>
      </c>
      <c r="I208" s="47" t="s">
        <v>295</v>
      </c>
      <c r="J208" s="52" t="n">
        <v>2400</v>
      </c>
      <c r="K208" s="53" t="n">
        <f aca="false">D208*J208</f>
        <v>62400</v>
      </c>
      <c r="L208" s="53" t="s">
        <v>41</v>
      </c>
      <c r="M208" s="52" t="n">
        <v>2515.5</v>
      </c>
      <c r="N208" s="53" t="n">
        <f aca="false">D208*M208</f>
        <v>65403</v>
      </c>
      <c r="O208" s="54" t="n">
        <f aca="false">AVERAGE(G208,J208,M208)</f>
        <v>2442.28</v>
      </c>
      <c r="P208" s="55" t="n">
        <f aca="false">E208*100/O208-100</f>
        <v>-0.0425831599980597</v>
      </c>
      <c r="Q208" s="54" t="n">
        <f aca="false">D208*E208</f>
        <v>63472.24</v>
      </c>
      <c r="R208" s="56"/>
      <c r="T208" s="57" t="n">
        <f aca="false">ROUND(G208*100/O208-100,0)</f>
        <v>-1</v>
      </c>
      <c r="U208" s="57" t="n">
        <f aca="false">ROUND(J208*100/O208-100,0)</f>
        <v>-2</v>
      </c>
      <c r="V208" s="57" t="n">
        <f aca="false">ROUND(M208*100/O208-100,0)</f>
        <v>3</v>
      </c>
    </row>
    <row r="209" s="43" customFormat="true" ht="73.5" hidden="false" customHeight="true" outlineLevel="0" collapsed="false">
      <c r="A209" s="45" t="n">
        <v>198</v>
      </c>
      <c r="B209" s="46" t="s">
        <v>304</v>
      </c>
      <c r="C209" s="47" t="s">
        <v>25</v>
      </c>
      <c r="D209" s="48" t="n">
        <v>24</v>
      </c>
      <c r="E209" s="50" t="n">
        <v>3222.7</v>
      </c>
      <c r="F209" s="47" t="s">
        <v>294</v>
      </c>
      <c r="G209" s="52" t="n">
        <v>3132.1</v>
      </c>
      <c r="H209" s="53" t="n">
        <f aca="false">D209*G209</f>
        <v>75170.4</v>
      </c>
      <c r="I209" s="47" t="s">
        <v>295</v>
      </c>
      <c r="J209" s="52" t="n">
        <v>3200</v>
      </c>
      <c r="K209" s="53" t="n">
        <f aca="false">D209*J209</f>
        <v>76800</v>
      </c>
      <c r="L209" s="53" t="s">
        <v>41</v>
      </c>
      <c r="M209" s="52" t="n">
        <v>3340.7</v>
      </c>
      <c r="N209" s="53" t="n">
        <f aca="false">D209*M209</f>
        <v>80176.8</v>
      </c>
      <c r="O209" s="54" t="n">
        <f aca="false">AVERAGE(G209,J209,M209)</f>
        <v>3224.26666666667</v>
      </c>
      <c r="P209" s="55" t="n">
        <f aca="false">E209*100/O209-100</f>
        <v>-0.0485898602266133</v>
      </c>
      <c r="Q209" s="54" t="n">
        <f aca="false">D209*E209</f>
        <v>77344.8</v>
      </c>
      <c r="R209" s="56"/>
      <c r="T209" s="57" t="n">
        <f aca="false">ROUND(G209*100/O209-100,0)</f>
        <v>-3</v>
      </c>
      <c r="U209" s="57" t="n">
        <f aca="false">ROUND(J209*100/O209-100,0)</f>
        <v>-1</v>
      </c>
      <c r="V209" s="57" t="n">
        <f aca="false">ROUND(M209*100/O209-100,0)</f>
        <v>4</v>
      </c>
    </row>
    <row r="210" s="43" customFormat="true" ht="73.5" hidden="false" customHeight="true" outlineLevel="0" collapsed="false">
      <c r="A210" s="45" t="n">
        <v>199</v>
      </c>
      <c r="B210" s="46" t="s">
        <v>305</v>
      </c>
      <c r="C210" s="47" t="s">
        <v>25</v>
      </c>
      <c r="D210" s="48" t="n">
        <v>2</v>
      </c>
      <c r="E210" s="50" t="n">
        <v>5075.3</v>
      </c>
      <c r="F210" s="47" t="s">
        <v>294</v>
      </c>
      <c r="G210" s="52" t="n">
        <v>5058.01</v>
      </c>
      <c r="H210" s="53" t="n">
        <f aca="false">D210*G210</f>
        <v>10116.02</v>
      </c>
      <c r="I210" s="47" t="s">
        <v>295</v>
      </c>
      <c r="J210" s="52" t="n">
        <v>5070</v>
      </c>
      <c r="K210" s="53" t="n">
        <f aca="false">D210*J210</f>
        <v>10140</v>
      </c>
      <c r="L210" s="53" t="s">
        <v>41</v>
      </c>
      <c r="M210" s="52" t="n">
        <v>5108.77</v>
      </c>
      <c r="N210" s="53" t="n">
        <f aca="false">D210*M210</f>
        <v>10217.54</v>
      </c>
      <c r="O210" s="54" t="n">
        <f aca="false">AVERAGE(G210,J210,M210)</f>
        <v>5078.92666666667</v>
      </c>
      <c r="P210" s="55" t="n">
        <f aca="false">E210*100/O210-100</f>
        <v>-0.0714061632444754</v>
      </c>
      <c r="Q210" s="54" t="n">
        <f aca="false">D210*E210</f>
        <v>10150.6</v>
      </c>
      <c r="R210" s="56"/>
      <c r="T210" s="57" t="n">
        <f aca="false">ROUND(G210*100/O210-100,0)</f>
        <v>-0</v>
      </c>
      <c r="U210" s="57" t="n">
        <f aca="false">ROUND(J210*100/O210-100,0)</f>
        <v>-0</v>
      </c>
      <c r="V210" s="57" t="n">
        <f aca="false">ROUND(M210*100/O210-100,0)</f>
        <v>1</v>
      </c>
    </row>
    <row r="211" s="43" customFormat="true" ht="73.5" hidden="false" customHeight="true" outlineLevel="0" collapsed="false">
      <c r="A211" s="45" t="n">
        <v>200</v>
      </c>
      <c r="B211" s="46" t="s">
        <v>461</v>
      </c>
      <c r="C211" s="47" t="s">
        <v>25</v>
      </c>
      <c r="D211" s="48" t="s">
        <v>462</v>
      </c>
      <c r="E211" s="50" t="n">
        <v>6988</v>
      </c>
      <c r="F211" s="47" t="s">
        <v>482</v>
      </c>
      <c r="G211" s="52" t="n">
        <v>6827.65</v>
      </c>
      <c r="H211" s="53" t="n">
        <f aca="false">D211*G211</f>
        <v>13655.3</v>
      </c>
      <c r="I211" s="47" t="s">
        <v>483</v>
      </c>
      <c r="J211" s="52" t="n">
        <v>7133.28</v>
      </c>
      <c r="K211" s="53" t="n">
        <f aca="false">D211*J211</f>
        <v>14266.56</v>
      </c>
      <c r="L211" s="53" t="s">
        <v>484</v>
      </c>
      <c r="M211" s="52" t="n">
        <f aca="false">8403.76/1.2</f>
        <v>7003.13333333333</v>
      </c>
      <c r="N211" s="53" t="n">
        <f aca="false">D211*M211</f>
        <v>14006.2666666667</v>
      </c>
      <c r="O211" s="54" t="n">
        <f aca="false">AVERAGE(G211,J211,M211)</f>
        <v>6988.02111111111</v>
      </c>
      <c r="P211" s="55" t="n">
        <f aca="false">E211*100/O211-100</f>
        <v>-0.000302104283520066</v>
      </c>
      <c r="Q211" s="54" t="n">
        <f aca="false">D211*E211</f>
        <v>13976</v>
      </c>
      <c r="R211" s="47" t="s">
        <v>485</v>
      </c>
      <c r="T211" s="57" t="n">
        <f aca="false">ROUND(G211*100/O211-100,0)</f>
        <v>-2</v>
      </c>
      <c r="U211" s="57" t="n">
        <f aca="false">ROUND(J211*100/O211-100,0)</f>
        <v>2</v>
      </c>
      <c r="V211" s="57" t="n">
        <f aca="false">ROUND(M211*100/O211-100,0)</f>
        <v>0</v>
      </c>
    </row>
    <row r="212" s="43" customFormat="true" ht="73.5" hidden="false" customHeight="true" outlineLevel="0" collapsed="false">
      <c r="A212" s="45" t="n">
        <v>201</v>
      </c>
      <c r="B212" s="46" t="s">
        <v>464</v>
      </c>
      <c r="C212" s="47" t="s">
        <v>25</v>
      </c>
      <c r="D212" s="48" t="s">
        <v>465</v>
      </c>
      <c r="E212" s="50" t="n">
        <v>20175.78</v>
      </c>
      <c r="F212" s="47" t="s">
        <v>482</v>
      </c>
      <c r="G212" s="52" t="n">
        <v>19683.77</v>
      </c>
      <c r="H212" s="53" t="n">
        <f aca="false">D212*G212</f>
        <v>78735.08</v>
      </c>
      <c r="I212" s="47" t="s">
        <v>483</v>
      </c>
      <c r="J212" s="52" t="n">
        <v>20795.03</v>
      </c>
      <c r="K212" s="53" t="n">
        <f aca="false">D212*J212</f>
        <v>83180.12</v>
      </c>
      <c r="L212" s="53" t="s">
        <v>484</v>
      </c>
      <c r="M212" s="52" t="n">
        <f aca="false">24058.31/1.2</f>
        <v>20048.5916666667</v>
      </c>
      <c r="N212" s="53" t="n">
        <f aca="false">D212*M212</f>
        <v>80194.3666666667</v>
      </c>
      <c r="O212" s="54" t="n">
        <f aca="false">AVERAGE(G212,J212,M212)</f>
        <v>20175.7972222222</v>
      </c>
      <c r="P212" s="55" t="n">
        <f aca="false">E212*100/O212-100</f>
        <v>-8.53608015063401E-005</v>
      </c>
      <c r="Q212" s="54" t="n">
        <f aca="false">D212*E212</f>
        <v>80703.12</v>
      </c>
      <c r="R212" s="47" t="s">
        <v>485</v>
      </c>
      <c r="T212" s="57" t="n">
        <f aca="false">ROUND(G212*100/O212-100,0)</f>
        <v>-2</v>
      </c>
      <c r="U212" s="57" t="n">
        <f aca="false">ROUND(J212*100/O212-100,0)</f>
        <v>3</v>
      </c>
      <c r="V212" s="57" t="n">
        <f aca="false">ROUND(M212*100/O212-100,0)</f>
        <v>-1</v>
      </c>
    </row>
    <row r="213" s="43" customFormat="true" ht="73.5" hidden="false" customHeight="true" outlineLevel="0" collapsed="false">
      <c r="A213" s="45" t="n">
        <v>202</v>
      </c>
      <c r="B213" s="46" t="s">
        <v>306</v>
      </c>
      <c r="C213" s="47" t="s">
        <v>25</v>
      </c>
      <c r="D213" s="48" t="s">
        <v>307</v>
      </c>
      <c r="E213" s="81" t="n">
        <v>19950.74</v>
      </c>
      <c r="F213" s="47" t="s">
        <v>294</v>
      </c>
      <c r="G213" s="52" t="n">
        <v>19822.95</v>
      </c>
      <c r="H213" s="53" t="n">
        <f aca="false">D213*G213</f>
        <v>892032.75</v>
      </c>
      <c r="I213" s="47" t="s">
        <v>295</v>
      </c>
      <c r="J213" s="52" t="n">
        <v>19903</v>
      </c>
      <c r="K213" s="53" t="n">
        <f aca="false">D213*J213</f>
        <v>895635</v>
      </c>
      <c r="L213" s="53" t="s">
        <v>41</v>
      </c>
      <c r="M213" s="52" t="n">
        <v>20154.88</v>
      </c>
      <c r="N213" s="53" t="n">
        <f aca="false">D213*M213</f>
        <v>906969.6</v>
      </c>
      <c r="O213" s="54" t="n">
        <f aca="false">AVERAGE(G213,J213,M213)</f>
        <v>19960.2766666667</v>
      </c>
      <c r="P213" s="55" t="n">
        <f aca="false">E213*100/O213-100</f>
        <v>-0.0477782288588884</v>
      </c>
      <c r="Q213" s="54" t="n">
        <f aca="false">D213*E213</f>
        <v>897783.3</v>
      </c>
      <c r="R213" s="83" t="s">
        <v>486</v>
      </c>
      <c r="T213" s="57" t="n">
        <f aca="false">ROUND(G213*100/O213-100,0)</f>
        <v>-1</v>
      </c>
      <c r="U213" s="57" t="n">
        <f aca="false">ROUND(J213*100/O213-100,0)</f>
        <v>-0</v>
      </c>
      <c r="V213" s="57" t="n">
        <f aca="false">ROUND(M213*100/O213-100,0)</f>
        <v>1</v>
      </c>
    </row>
    <row r="214" s="43" customFormat="true" ht="73.5" hidden="false" customHeight="true" outlineLevel="0" collapsed="false">
      <c r="A214" s="45" t="n">
        <v>203</v>
      </c>
      <c r="B214" s="46" t="s">
        <v>308</v>
      </c>
      <c r="C214" s="47" t="s">
        <v>25</v>
      </c>
      <c r="D214" s="48" t="n">
        <v>4</v>
      </c>
      <c r="E214" s="50" t="n">
        <v>301.5</v>
      </c>
      <c r="F214" s="47" t="s">
        <v>294</v>
      </c>
      <c r="G214" s="52" t="n">
        <v>299.49</v>
      </c>
      <c r="H214" s="53" t="n">
        <f aca="false">D214*G214</f>
        <v>1197.96</v>
      </c>
      <c r="I214" s="47" t="s">
        <v>295</v>
      </c>
      <c r="J214" s="52" t="n">
        <v>295</v>
      </c>
      <c r="K214" s="53" t="n">
        <f aca="false">D214*J214</f>
        <v>1180</v>
      </c>
      <c r="L214" s="53" t="s">
        <v>41</v>
      </c>
      <c r="M214" s="52" t="n">
        <v>320.14</v>
      </c>
      <c r="N214" s="53" t="n">
        <f aca="false">D214*M214</f>
        <v>1280.56</v>
      </c>
      <c r="O214" s="54" t="n">
        <f aca="false">AVERAGE(G214,J214,M214)</f>
        <v>304.876666666667</v>
      </c>
      <c r="P214" s="55" t="n">
        <f aca="false">E214*100/O214-100</f>
        <v>-1.10755168756765</v>
      </c>
      <c r="Q214" s="54" t="n">
        <f aca="false">D214*E214</f>
        <v>1206</v>
      </c>
      <c r="R214" s="56"/>
      <c r="T214" s="57" t="n">
        <f aca="false">ROUND(G214*100/O214-100,0)</f>
        <v>-2</v>
      </c>
      <c r="U214" s="57" t="n">
        <f aca="false">ROUND(J214*100/O214-100,0)</f>
        <v>-3</v>
      </c>
      <c r="V214" s="57" t="n">
        <f aca="false">ROUND(M214*100/O214-100,0)</f>
        <v>5</v>
      </c>
    </row>
    <row r="215" s="43" customFormat="true" ht="73.5" hidden="false" customHeight="true" outlineLevel="0" collapsed="false">
      <c r="A215" s="45" t="n">
        <v>204</v>
      </c>
      <c r="B215" s="46" t="s">
        <v>309</v>
      </c>
      <c r="C215" s="47" t="s">
        <v>25</v>
      </c>
      <c r="D215" s="48" t="n">
        <v>1</v>
      </c>
      <c r="E215" s="50" t="n">
        <v>21351</v>
      </c>
      <c r="F215" s="47" t="s">
        <v>294</v>
      </c>
      <c r="G215" s="52" t="n">
        <v>21316.78</v>
      </c>
      <c r="H215" s="53" t="n">
        <f aca="false">D215*G215</f>
        <v>21316.78</v>
      </c>
      <c r="I215" s="47" t="s">
        <v>295</v>
      </c>
      <c r="J215" s="52" t="n">
        <v>21291</v>
      </c>
      <c r="K215" s="53" t="n">
        <f aca="false">D215*J215</f>
        <v>21291</v>
      </c>
      <c r="L215" s="53" t="s">
        <v>41</v>
      </c>
      <c r="M215" s="52" t="n">
        <v>21455</v>
      </c>
      <c r="N215" s="53" t="n">
        <f aca="false">D215*M215</f>
        <v>21455</v>
      </c>
      <c r="O215" s="54" t="n">
        <f aca="false">AVERAGE(G215,J215,M215)</f>
        <v>21354.26</v>
      </c>
      <c r="P215" s="55" t="n">
        <f aca="false">E215*100/O215-100</f>
        <v>-0.0152662747386216</v>
      </c>
      <c r="Q215" s="54" t="n">
        <f aca="false">D215*E215</f>
        <v>21351</v>
      </c>
      <c r="R215" s="56"/>
      <c r="T215" s="57" t="n">
        <f aca="false">ROUND(G215*100/O215-100,0)</f>
        <v>-0</v>
      </c>
      <c r="U215" s="57" t="n">
        <f aca="false">ROUND(J215*100/O215-100,0)</f>
        <v>-0</v>
      </c>
      <c r="V215" s="57" t="n">
        <f aca="false">ROUND(M215*100/O215-100,0)</f>
        <v>0</v>
      </c>
    </row>
    <row r="216" s="43" customFormat="true" ht="73.5" hidden="false" customHeight="true" outlineLevel="0" collapsed="false">
      <c r="A216" s="45" t="n">
        <v>205</v>
      </c>
      <c r="B216" s="46" t="s">
        <v>310</v>
      </c>
      <c r="C216" s="47" t="s">
        <v>81</v>
      </c>
      <c r="D216" s="48" t="n">
        <v>4724</v>
      </c>
      <c r="E216" s="50" t="n">
        <v>83.4</v>
      </c>
      <c r="F216" s="47" t="s">
        <v>90</v>
      </c>
      <c r="G216" s="52" t="n">
        <f aca="false">102.29/1.2</f>
        <v>85.2416666666667</v>
      </c>
      <c r="H216" s="53" t="n">
        <f aca="false">D216*G216</f>
        <v>402681.633333333</v>
      </c>
      <c r="I216" s="47" t="s">
        <v>46</v>
      </c>
      <c r="J216" s="52" t="n">
        <v>83.77</v>
      </c>
      <c r="K216" s="53" t="n">
        <f aca="false">D216*J216</f>
        <v>395729.48</v>
      </c>
      <c r="L216" s="47" t="s">
        <v>58</v>
      </c>
      <c r="M216" s="52" t="n">
        <v>81.69</v>
      </c>
      <c r="N216" s="53" t="n">
        <f aca="false">D216*M216</f>
        <v>385903.56</v>
      </c>
      <c r="O216" s="54" t="n">
        <f aca="false">AVERAGE(G216,J216,M216)</f>
        <v>83.5672222222222</v>
      </c>
      <c r="P216" s="55" t="n">
        <f aca="false">E216*100/O216-100</f>
        <v>-0.200105038525194</v>
      </c>
      <c r="Q216" s="54" t="n">
        <f aca="false">D216*E216</f>
        <v>393981.6</v>
      </c>
      <c r="R216" s="56"/>
      <c r="T216" s="57" t="n">
        <f aca="false">ROUND(G216*100/O216-100,0)</f>
        <v>2</v>
      </c>
      <c r="U216" s="57" t="n">
        <f aca="false">ROUND(J216*100/O216-100,0)</f>
        <v>0</v>
      </c>
      <c r="V216" s="57" t="n">
        <f aca="false">ROUND(M216*100/O216-100,0)</f>
        <v>-2</v>
      </c>
    </row>
    <row r="217" s="43" customFormat="true" ht="73.5" hidden="false" customHeight="true" outlineLevel="0" collapsed="false">
      <c r="A217" s="45" t="n">
        <v>206</v>
      </c>
      <c r="B217" s="46" t="s">
        <v>311</v>
      </c>
      <c r="C217" s="47" t="s">
        <v>25</v>
      </c>
      <c r="D217" s="48" t="n">
        <v>1</v>
      </c>
      <c r="E217" s="50" t="n">
        <v>323.4</v>
      </c>
      <c r="F217" s="47" t="s">
        <v>27</v>
      </c>
      <c r="G217" s="52" t="n">
        <f aca="false">356.57/1.2</f>
        <v>297.141666666667</v>
      </c>
      <c r="H217" s="53" t="n">
        <f aca="false">D217*G217</f>
        <v>297.141666666667</v>
      </c>
      <c r="I217" s="53" t="s">
        <v>28</v>
      </c>
      <c r="J217" s="52" t="n">
        <v>316.28</v>
      </c>
      <c r="K217" s="53" t="n">
        <f aca="false">D217*J217</f>
        <v>316.28</v>
      </c>
      <c r="L217" s="48" t="s">
        <v>29</v>
      </c>
      <c r="M217" s="52" t="n">
        <v>361.87</v>
      </c>
      <c r="N217" s="53" t="n">
        <f aca="false">D217*M217</f>
        <v>361.87</v>
      </c>
      <c r="O217" s="54" t="n">
        <f aca="false">AVERAGE(G217,J217,M217)</f>
        <v>325.097222222222</v>
      </c>
      <c r="P217" s="55" t="n">
        <f aca="false">E217*100/O217-100</f>
        <v>-0.522066048617944</v>
      </c>
      <c r="Q217" s="54" t="n">
        <f aca="false">D217*E217</f>
        <v>323.4</v>
      </c>
      <c r="R217" s="56"/>
      <c r="T217" s="57" t="n">
        <f aca="false">ROUND(G217*100/O217-100,0)</f>
        <v>-9</v>
      </c>
      <c r="U217" s="57" t="n">
        <f aca="false">ROUND(J217*100/O217-100,0)</f>
        <v>-3</v>
      </c>
      <c r="V217" s="57" t="n">
        <f aca="false">ROUND(M217*100/O217-100,0)</f>
        <v>11</v>
      </c>
    </row>
    <row r="218" s="43" customFormat="true" ht="73.5" hidden="false" customHeight="true" outlineLevel="0" collapsed="false">
      <c r="A218" s="45" t="n">
        <v>207</v>
      </c>
      <c r="B218" s="46" t="s">
        <v>312</v>
      </c>
      <c r="C218" s="47" t="s">
        <v>25</v>
      </c>
      <c r="D218" s="48" t="n">
        <v>8</v>
      </c>
      <c r="E218" s="50" t="n">
        <v>144835.7</v>
      </c>
      <c r="F218" s="47" t="s">
        <v>27</v>
      </c>
      <c r="G218" s="52" t="n">
        <f aca="false">168045.6/1.2</f>
        <v>140038</v>
      </c>
      <c r="H218" s="53" t="n">
        <f aca="false">D218*G218</f>
        <v>1120304</v>
      </c>
      <c r="I218" s="53" t="s">
        <v>28</v>
      </c>
      <c r="J218" s="52" t="n">
        <v>149082</v>
      </c>
      <c r="K218" s="53" t="n">
        <f aca="false">D218*J218</f>
        <v>1192656</v>
      </c>
      <c r="L218" s="48" t="s">
        <v>29</v>
      </c>
      <c r="M218" s="52" t="n">
        <v>145394</v>
      </c>
      <c r="N218" s="53" t="n">
        <f aca="false">D218*M218</f>
        <v>1163152</v>
      </c>
      <c r="O218" s="54" t="n">
        <f aca="false">AVERAGE(G218,J218,M218)</f>
        <v>144838</v>
      </c>
      <c r="P218" s="55" t="n">
        <f aca="false">E218*100/O218-100</f>
        <v>-0.0015879810546835</v>
      </c>
      <c r="Q218" s="54" t="n">
        <f aca="false">D218*E218</f>
        <v>1158685.6</v>
      </c>
      <c r="R218" s="56"/>
      <c r="T218" s="57" t="n">
        <f aca="false">ROUND(G218*100/O218-100,0)</f>
        <v>-3</v>
      </c>
      <c r="U218" s="57" t="n">
        <f aca="false">ROUND(J218*100/O218-100,0)</f>
        <v>3</v>
      </c>
      <c r="V218" s="57" t="n">
        <f aca="false">ROUND(M218*100/O218-100,0)</f>
        <v>0</v>
      </c>
    </row>
    <row r="219" s="43" customFormat="true" ht="73.5" hidden="false" customHeight="true" outlineLevel="0" collapsed="false">
      <c r="A219" s="45" t="n">
        <v>208</v>
      </c>
      <c r="B219" s="46" t="s">
        <v>313</v>
      </c>
      <c r="C219" s="47" t="s">
        <v>25</v>
      </c>
      <c r="D219" s="48" t="n">
        <v>3</v>
      </c>
      <c r="E219" s="50" t="n">
        <v>3621.37</v>
      </c>
      <c r="F219" s="47" t="s">
        <v>27</v>
      </c>
      <c r="G219" s="52" t="n">
        <f aca="false">4262.14/1.2</f>
        <v>3551.78333333333</v>
      </c>
      <c r="H219" s="53" t="n">
        <f aca="false">D219*G219</f>
        <v>10655.35</v>
      </c>
      <c r="I219" s="53" t="s">
        <v>28</v>
      </c>
      <c r="J219" s="52" t="n">
        <v>3458.37</v>
      </c>
      <c r="K219" s="53" t="n">
        <f aca="false">D219*J219</f>
        <v>10375.11</v>
      </c>
      <c r="L219" s="48" t="s">
        <v>29</v>
      </c>
      <c r="M219" s="52" t="n">
        <v>3907.54</v>
      </c>
      <c r="N219" s="53" t="n">
        <f aca="false">D219*M219</f>
        <v>11722.62</v>
      </c>
      <c r="O219" s="54" t="n">
        <f aca="false">AVERAGE(G219,J219,M219)</f>
        <v>3639.23111111111</v>
      </c>
      <c r="P219" s="55" t="n">
        <f aca="false">E219*100/O219-100</f>
        <v>-0.49079353758485</v>
      </c>
      <c r="Q219" s="54" t="n">
        <f aca="false">D219*E219</f>
        <v>10864.11</v>
      </c>
      <c r="R219" s="56"/>
      <c r="T219" s="57" t="n">
        <f aca="false">ROUND(G219*100/O219-100,0)</f>
        <v>-2</v>
      </c>
      <c r="U219" s="57" t="n">
        <f aca="false">ROUND(J219*100/O219-100,0)</f>
        <v>-5</v>
      </c>
      <c r="V219" s="57" t="n">
        <f aca="false">ROUND(M219*100/O219-100,0)</f>
        <v>7</v>
      </c>
    </row>
    <row r="220" s="43" customFormat="true" ht="73.5" hidden="false" customHeight="true" outlineLevel="0" collapsed="false">
      <c r="A220" s="45" t="n">
        <v>209</v>
      </c>
      <c r="B220" s="46" t="s">
        <v>314</v>
      </c>
      <c r="C220" s="47" t="s">
        <v>25</v>
      </c>
      <c r="D220" s="48" t="n">
        <v>4</v>
      </c>
      <c r="E220" s="50" t="n">
        <v>5811.74</v>
      </c>
      <c r="F220" s="47" t="s">
        <v>27</v>
      </c>
      <c r="G220" s="52" t="n">
        <f aca="false">6938.81/1.2</f>
        <v>5782.34166666667</v>
      </c>
      <c r="H220" s="53" t="n">
        <f aca="false">D220*G220</f>
        <v>23129.3666666667</v>
      </c>
      <c r="I220" s="53" t="s">
        <v>28</v>
      </c>
      <c r="J220" s="52" t="n">
        <v>5911.04</v>
      </c>
      <c r="K220" s="53" t="n">
        <f aca="false">D220*J220</f>
        <v>23644.16</v>
      </c>
      <c r="L220" s="48" t="s">
        <v>29</v>
      </c>
      <c r="M220" s="52" t="n">
        <v>5752.26</v>
      </c>
      <c r="N220" s="53" t="n">
        <f aca="false">D220*M220</f>
        <v>23009.04</v>
      </c>
      <c r="O220" s="54" t="n">
        <f aca="false">AVERAGE(G220,J220,M220)</f>
        <v>5815.21388888889</v>
      </c>
      <c r="P220" s="55" t="n">
        <f aca="false">E220*100/O220-100</f>
        <v>-0.0597379383676042</v>
      </c>
      <c r="Q220" s="54" t="n">
        <f aca="false">D220*E220</f>
        <v>23246.96</v>
      </c>
      <c r="R220" s="56"/>
      <c r="T220" s="57" t="n">
        <f aca="false">ROUND(G220*100/O220-100,0)</f>
        <v>-1</v>
      </c>
      <c r="U220" s="57" t="n">
        <f aca="false">ROUND(J220*100/O220-100,0)</f>
        <v>2</v>
      </c>
      <c r="V220" s="57" t="n">
        <f aca="false">ROUND(M220*100/O220-100,0)</f>
        <v>-1</v>
      </c>
    </row>
    <row r="221" s="43" customFormat="true" ht="73.5" hidden="false" customHeight="true" outlineLevel="0" collapsed="false">
      <c r="A221" s="45" t="n">
        <v>210</v>
      </c>
      <c r="B221" s="46" t="s">
        <v>315</v>
      </c>
      <c r="C221" s="47" t="s">
        <v>25</v>
      </c>
      <c r="D221" s="48" t="n">
        <v>6</v>
      </c>
      <c r="E221" s="50" t="n">
        <v>292.47</v>
      </c>
      <c r="F221" s="47" t="s">
        <v>27</v>
      </c>
      <c r="G221" s="52" t="n">
        <f aca="false">349.09/1.2</f>
        <v>290.908333333333</v>
      </c>
      <c r="H221" s="53" t="n">
        <f aca="false">D221*G221</f>
        <v>1745.45</v>
      </c>
      <c r="I221" s="53" t="s">
        <v>28</v>
      </c>
      <c r="J221" s="52" t="n">
        <v>286.52</v>
      </c>
      <c r="K221" s="53" t="n">
        <f aca="false">D221*J221</f>
        <v>1719.12</v>
      </c>
      <c r="L221" s="48" t="s">
        <v>29</v>
      </c>
      <c r="M221" s="52" t="n">
        <v>309.87</v>
      </c>
      <c r="N221" s="53" t="n">
        <f aca="false">D221*M221</f>
        <v>1859.22</v>
      </c>
      <c r="O221" s="54" t="n">
        <f aca="false">AVERAGE(G221,J221,M221)</f>
        <v>295.766111111111</v>
      </c>
      <c r="P221" s="55" t="n">
        <f aca="false">E221*100/O221-100</f>
        <v>-1.11443163610885</v>
      </c>
      <c r="Q221" s="54" t="n">
        <f aca="false">D221*E221</f>
        <v>1754.82</v>
      </c>
      <c r="R221" s="56"/>
      <c r="T221" s="57" t="n">
        <f aca="false">ROUND(G221*100/O221-100,0)</f>
        <v>-2</v>
      </c>
      <c r="U221" s="57" t="n">
        <f aca="false">ROUND(J221*100/O221-100,0)</f>
        <v>-3</v>
      </c>
      <c r="V221" s="57" t="n">
        <f aca="false">ROUND(M221*100/O221-100,0)</f>
        <v>5</v>
      </c>
    </row>
    <row r="222" s="43" customFormat="true" ht="73.5" hidden="false" customHeight="true" outlineLevel="0" collapsed="false">
      <c r="A222" s="45" t="n">
        <v>211</v>
      </c>
      <c r="B222" s="46" t="s">
        <v>316</v>
      </c>
      <c r="C222" s="47" t="s">
        <v>25</v>
      </c>
      <c r="D222" s="48" t="n">
        <v>11</v>
      </c>
      <c r="E222" s="50" t="n">
        <v>563.94</v>
      </c>
      <c r="F222" s="47" t="s">
        <v>27</v>
      </c>
      <c r="G222" s="52" t="n">
        <f aca="false">640.39/1.2</f>
        <v>533.658333333333</v>
      </c>
      <c r="H222" s="53" t="n">
        <f aca="false">D222*G222</f>
        <v>5870.24166666667</v>
      </c>
      <c r="I222" s="53" t="s">
        <v>28</v>
      </c>
      <c r="J222" s="52" t="n">
        <v>573.66</v>
      </c>
      <c r="K222" s="53" t="n">
        <f aca="false">D222*J222</f>
        <v>6310.26</v>
      </c>
      <c r="L222" s="48" t="s">
        <v>29</v>
      </c>
      <c r="M222" s="52" t="n">
        <v>599.2</v>
      </c>
      <c r="N222" s="53" t="n">
        <f aca="false">D222*M222</f>
        <v>6591.2</v>
      </c>
      <c r="O222" s="54" t="n">
        <f aca="false">AVERAGE(G222,J222,M222)</f>
        <v>568.839444444444</v>
      </c>
      <c r="P222" s="55" t="n">
        <f aca="false">E222*100/O222-100</f>
        <v>-0.861305328295117</v>
      </c>
      <c r="Q222" s="54" t="n">
        <f aca="false">D222*E222</f>
        <v>6203.34</v>
      </c>
      <c r="R222" s="56"/>
      <c r="T222" s="57" t="n">
        <f aca="false">ROUND(G222*100/O222-100,0)</f>
        <v>-6</v>
      </c>
      <c r="U222" s="57" t="n">
        <f aca="false">ROUND(J222*100/O222-100,0)</f>
        <v>1</v>
      </c>
      <c r="V222" s="57" t="n">
        <f aca="false">ROUND(M222*100/O222-100,0)</f>
        <v>5</v>
      </c>
    </row>
    <row r="223" s="43" customFormat="true" ht="73.5" hidden="false" customHeight="true" outlineLevel="0" collapsed="false">
      <c r="A223" s="45" t="n">
        <v>212</v>
      </c>
      <c r="B223" s="46" t="s">
        <v>317</v>
      </c>
      <c r="C223" s="47" t="s">
        <v>25</v>
      </c>
      <c r="D223" s="48" t="n">
        <v>13</v>
      </c>
      <c r="E223" s="50" t="n">
        <v>1331.15</v>
      </c>
      <c r="F223" s="47" t="s">
        <v>27</v>
      </c>
      <c r="G223" s="52" t="n">
        <f aca="false">1491.91/1.2</f>
        <v>1243.25833333333</v>
      </c>
      <c r="H223" s="53" t="n">
        <f aca="false">D223*G223</f>
        <v>16162.3583333333</v>
      </c>
      <c r="I223" s="53" t="s">
        <v>28</v>
      </c>
      <c r="J223" s="52" t="n">
        <v>1408.92</v>
      </c>
      <c r="K223" s="53" t="n">
        <f aca="false">D223*J223</f>
        <v>18315.96</v>
      </c>
      <c r="L223" s="48" t="s">
        <v>29</v>
      </c>
      <c r="M223" s="52" t="n">
        <v>1348.02</v>
      </c>
      <c r="N223" s="53" t="n">
        <f aca="false">D223*M223</f>
        <v>17524.26</v>
      </c>
      <c r="O223" s="54" t="n">
        <f aca="false">AVERAGE(G223,J223,M223)</f>
        <v>1333.39944444444</v>
      </c>
      <c r="P223" s="55" t="n">
        <f aca="false">E223*100/O223-100</f>
        <v>-0.168699968626555</v>
      </c>
      <c r="Q223" s="54" t="n">
        <f aca="false">D223*E223</f>
        <v>17304.95</v>
      </c>
      <c r="R223" s="56"/>
      <c r="T223" s="57" t="n">
        <f aca="false">ROUND(G223*100/O223-100,0)</f>
        <v>-7</v>
      </c>
      <c r="U223" s="57" t="n">
        <f aca="false">ROUND(J223*100/O223-100,0)</f>
        <v>6</v>
      </c>
      <c r="V223" s="57" t="n">
        <f aca="false">ROUND(M223*100/O223-100,0)</f>
        <v>1</v>
      </c>
    </row>
    <row r="224" s="43" customFormat="true" ht="73.5" hidden="false" customHeight="true" outlineLevel="0" collapsed="false">
      <c r="A224" s="45" t="n">
        <v>213</v>
      </c>
      <c r="B224" s="46" t="s">
        <v>318</v>
      </c>
      <c r="C224" s="47" t="s">
        <v>147</v>
      </c>
      <c r="D224" s="48" t="s">
        <v>319</v>
      </c>
      <c r="E224" s="50" t="n">
        <v>104.48</v>
      </c>
      <c r="F224" s="47" t="s">
        <v>148</v>
      </c>
      <c r="G224" s="52" t="n">
        <f aca="false">118.23/1.2</f>
        <v>98.525</v>
      </c>
      <c r="H224" s="53" t="n">
        <f aca="false">D224*G224</f>
        <v>24631.25</v>
      </c>
      <c r="I224" s="47" t="s">
        <v>67</v>
      </c>
      <c r="J224" s="52" t="n">
        <f aca="false">123.29/1.2</f>
        <v>102.741666666667</v>
      </c>
      <c r="K224" s="53" t="n">
        <f aca="false">D224*J224</f>
        <v>25685.4166666667</v>
      </c>
      <c r="L224" s="47" t="s">
        <v>149</v>
      </c>
      <c r="M224" s="52" t="n">
        <f aca="false">138.44/1.2</f>
        <v>115.366666666667</v>
      </c>
      <c r="N224" s="53" t="n">
        <f aca="false">D224*M224</f>
        <v>28841.6666666667</v>
      </c>
      <c r="O224" s="54" t="n">
        <f aca="false">AVERAGE(G224,J224,M224)</f>
        <v>105.544444444444</v>
      </c>
      <c r="P224" s="55" t="n">
        <f aca="false">E224*100/O224-100</f>
        <v>-1.00852721339088</v>
      </c>
      <c r="Q224" s="54" t="n">
        <f aca="false">D224*E224</f>
        <v>26120</v>
      </c>
      <c r="R224" s="56"/>
      <c r="T224" s="57" t="n">
        <f aca="false">ROUND(G224*100/O224-100,0)</f>
        <v>-7</v>
      </c>
      <c r="U224" s="57" t="n">
        <f aca="false">ROUND(J224*100/O224-100,0)</f>
        <v>-3</v>
      </c>
      <c r="V224" s="57" t="n">
        <f aca="false">ROUND(M224*100/O224-100,0)</f>
        <v>9</v>
      </c>
    </row>
    <row r="225" s="43" customFormat="true" ht="73.5" hidden="false" customHeight="true" outlineLevel="0" collapsed="false">
      <c r="A225" s="45" t="n">
        <v>214</v>
      </c>
      <c r="B225" s="46" t="s">
        <v>320</v>
      </c>
      <c r="C225" s="47" t="s">
        <v>25</v>
      </c>
      <c r="D225" s="48" t="n">
        <v>10</v>
      </c>
      <c r="E225" s="50" t="n">
        <v>796.51</v>
      </c>
      <c r="F225" s="47" t="s">
        <v>56</v>
      </c>
      <c r="G225" s="52" t="n">
        <v>830.5</v>
      </c>
      <c r="H225" s="53" t="n">
        <f aca="false">D225*G225</f>
        <v>8305</v>
      </c>
      <c r="I225" s="47" t="s">
        <v>57</v>
      </c>
      <c r="J225" s="52" t="n">
        <v>755.31</v>
      </c>
      <c r="K225" s="53" t="n">
        <f aca="false">D225*J225</f>
        <v>7553.1</v>
      </c>
      <c r="L225" s="47" t="s">
        <v>58</v>
      </c>
      <c r="M225" s="52" t="n">
        <v>810.41</v>
      </c>
      <c r="N225" s="53" t="n">
        <f aca="false">D225*M225</f>
        <v>8104.1</v>
      </c>
      <c r="O225" s="54" t="n">
        <f aca="false">AVERAGE(G225,J225,M225)</f>
        <v>798.74</v>
      </c>
      <c r="P225" s="55" t="n">
        <f aca="false">E225*100/O225-100</f>
        <v>-0.279189723814994</v>
      </c>
      <c r="Q225" s="54" t="n">
        <f aca="false">D225*E225</f>
        <v>7965.1</v>
      </c>
      <c r="R225" s="56"/>
      <c r="T225" s="57" t="n">
        <f aca="false">ROUND(G225*100/O225-100,0)</f>
        <v>4</v>
      </c>
      <c r="U225" s="57" t="n">
        <f aca="false">ROUND(J225*100/O225-100,0)</f>
        <v>-5</v>
      </c>
      <c r="V225" s="57" t="n">
        <f aca="false">ROUND(M225*100/O225-100,0)</f>
        <v>1</v>
      </c>
    </row>
    <row r="226" s="43" customFormat="true" ht="73.5" hidden="false" customHeight="true" outlineLevel="0" collapsed="false">
      <c r="A226" s="45" t="n">
        <v>215</v>
      </c>
      <c r="B226" s="46" t="s">
        <v>321</v>
      </c>
      <c r="C226" s="47" t="s">
        <v>25</v>
      </c>
      <c r="D226" s="48" t="n">
        <v>3</v>
      </c>
      <c r="E226" s="70" t="n">
        <v>5485.34</v>
      </c>
      <c r="F226" s="47" t="s">
        <v>27</v>
      </c>
      <c r="G226" s="52" t="n">
        <f aca="false">6274.38/1.2</f>
        <v>5228.65</v>
      </c>
      <c r="H226" s="53" t="n">
        <f aca="false">D226*G226</f>
        <v>15685.95</v>
      </c>
      <c r="I226" s="53" t="s">
        <v>28</v>
      </c>
      <c r="J226" s="52" t="n">
        <v>5500.4</v>
      </c>
      <c r="K226" s="53" t="n">
        <f aca="false">D226*J226</f>
        <v>16501.2</v>
      </c>
      <c r="L226" s="48" t="s">
        <v>29</v>
      </c>
      <c r="M226" s="52" t="n">
        <v>5740.12</v>
      </c>
      <c r="N226" s="53" t="n">
        <f aca="false">D226*M226</f>
        <v>17220.36</v>
      </c>
      <c r="O226" s="54" t="n">
        <f aca="false">AVERAGE(G226,J226,M226)</f>
        <v>5489.72333333333</v>
      </c>
      <c r="P226" s="55" t="n">
        <f aca="false">E226*100/O226-100</f>
        <v>-0.0798461610390717</v>
      </c>
      <c r="Q226" s="54" t="n">
        <f aca="false">D226*E226</f>
        <v>16456.02</v>
      </c>
      <c r="R226" s="56"/>
      <c r="T226" s="57" t="n">
        <f aca="false">ROUND(G226*100/O226-100,0)</f>
        <v>-5</v>
      </c>
      <c r="U226" s="57" t="n">
        <f aca="false">ROUND(J226*100/O226-100,0)</f>
        <v>0</v>
      </c>
      <c r="V226" s="57" t="n">
        <f aca="false">ROUND(M226*100/O226-100,0)</f>
        <v>5</v>
      </c>
    </row>
    <row r="227" s="43" customFormat="true" ht="73.5" hidden="false" customHeight="true" outlineLevel="0" collapsed="false">
      <c r="A227" s="45" t="n">
        <v>216</v>
      </c>
      <c r="B227" s="46" t="s">
        <v>322</v>
      </c>
      <c r="C227" s="47" t="s">
        <v>323</v>
      </c>
      <c r="D227" s="48" t="n">
        <v>0.048</v>
      </c>
      <c r="E227" s="71" t="n">
        <v>2698750.3</v>
      </c>
      <c r="F227" s="47" t="s">
        <v>68</v>
      </c>
      <c r="G227" s="52" t="n">
        <f aca="false">3276.5/1.2*1000</f>
        <v>2730416.66666667</v>
      </c>
      <c r="H227" s="53" t="n">
        <f aca="false">G227*D227</f>
        <v>131060</v>
      </c>
      <c r="I227" s="47" t="s">
        <v>67</v>
      </c>
      <c r="J227" s="52" t="n">
        <f aca="false">3255/1.2*1000</f>
        <v>2712500</v>
      </c>
      <c r="K227" s="53" t="n">
        <f aca="false">D227*J227</f>
        <v>130200</v>
      </c>
      <c r="L227" s="47" t="s">
        <v>272</v>
      </c>
      <c r="M227" s="52" t="n">
        <f aca="false">2661.67*1000</f>
        <v>2661670</v>
      </c>
      <c r="N227" s="53" t="n">
        <f aca="false">D227*M227</f>
        <v>127760.16</v>
      </c>
      <c r="O227" s="54" t="n">
        <f aca="false">AVERAGE(G227,J227,M227)</f>
        <v>2701528.88888889</v>
      </c>
      <c r="P227" s="55" t="n">
        <f aca="false">E227*100/O227-100</f>
        <v>-0.102852458854585</v>
      </c>
      <c r="Q227" s="54" t="n">
        <f aca="false">D227*E227</f>
        <v>129540.0144</v>
      </c>
      <c r="R227" s="56"/>
      <c r="T227" s="57" t="n">
        <f aca="false">ROUND(G227*100/O227-100,0)</f>
        <v>1</v>
      </c>
      <c r="U227" s="57" t="n">
        <f aca="false">ROUND(J227*100/O227-100,0)</f>
        <v>0</v>
      </c>
      <c r="V227" s="57" t="n">
        <f aca="false">ROUND(M227*100/O227-100,0)</f>
        <v>-1</v>
      </c>
    </row>
    <row r="228" s="43" customFormat="true" ht="73.5" hidden="false" customHeight="true" outlineLevel="0" collapsed="false">
      <c r="A228" s="45" t="n">
        <v>217</v>
      </c>
      <c r="B228" s="46" t="s">
        <v>324</v>
      </c>
      <c r="C228" s="47" t="s">
        <v>25</v>
      </c>
      <c r="D228" s="48" t="n">
        <v>10</v>
      </c>
      <c r="E228" s="50" t="n">
        <v>6202.47</v>
      </c>
      <c r="F228" s="47" t="s">
        <v>56</v>
      </c>
      <c r="G228" s="52" t="n">
        <v>6050.4</v>
      </c>
      <c r="H228" s="53" t="n">
        <f aca="false">D228*G228</f>
        <v>60504</v>
      </c>
      <c r="I228" s="47" t="s">
        <v>57</v>
      </c>
      <c r="J228" s="52" t="n">
        <v>6131.78</v>
      </c>
      <c r="K228" s="53" t="n">
        <f aca="false">D228*J228</f>
        <v>61317.8</v>
      </c>
      <c r="L228" s="47" t="s">
        <v>58</v>
      </c>
      <c r="M228" s="52" t="n">
        <v>6541.19</v>
      </c>
      <c r="N228" s="53" t="n">
        <f aca="false">D228*M228</f>
        <v>65411.9</v>
      </c>
      <c r="O228" s="54" t="n">
        <f aca="false">AVERAGE(G228,J228,M228)</f>
        <v>6241.12333333333</v>
      </c>
      <c r="P228" s="55" t="n">
        <f aca="false">E228*100/O228-100</f>
        <v>-0.619332951279603</v>
      </c>
      <c r="Q228" s="54" t="n">
        <f aca="false">D228*E228</f>
        <v>62024.7</v>
      </c>
      <c r="R228" s="62" t="s">
        <v>116</v>
      </c>
      <c r="T228" s="57" t="n">
        <f aca="false">ROUND(G228*100/O228-100,0)</f>
        <v>-3</v>
      </c>
      <c r="U228" s="57" t="n">
        <f aca="false">ROUND(J228*100/O228-100,0)</f>
        <v>-2</v>
      </c>
      <c r="V228" s="57" t="n">
        <f aca="false">ROUND(M228*100/O228-100,0)</f>
        <v>5</v>
      </c>
    </row>
    <row r="229" s="43" customFormat="true" ht="73.5" hidden="false" customHeight="true" outlineLevel="0" collapsed="false">
      <c r="A229" s="45" t="n">
        <v>218</v>
      </c>
      <c r="B229" s="46" t="s">
        <v>325</v>
      </c>
      <c r="C229" s="47" t="s">
        <v>25</v>
      </c>
      <c r="D229" s="48" t="n">
        <v>4</v>
      </c>
      <c r="E229" s="50" t="n">
        <v>13230.7</v>
      </c>
      <c r="F229" s="47" t="s">
        <v>27</v>
      </c>
      <c r="G229" s="52" t="n">
        <f aca="false">15633.38/1.2</f>
        <v>13027.8166666667</v>
      </c>
      <c r="H229" s="53" t="n">
        <f aca="false">D229*G229</f>
        <v>52111.2666666667</v>
      </c>
      <c r="I229" s="53" t="s">
        <v>28</v>
      </c>
      <c r="J229" s="52" t="n">
        <v>13344.3</v>
      </c>
      <c r="K229" s="53" t="n">
        <f aca="false">D229*J229</f>
        <v>53377.2</v>
      </c>
      <c r="L229" s="48" t="s">
        <v>29</v>
      </c>
      <c r="M229" s="52" t="n">
        <v>13500.58</v>
      </c>
      <c r="N229" s="53" t="n">
        <f aca="false">D229*M229</f>
        <v>54002.32</v>
      </c>
      <c r="O229" s="54" t="n">
        <f aca="false">AVERAGE(G229,J229,M229)</f>
        <v>13290.8988888889</v>
      </c>
      <c r="P229" s="55" t="n">
        <f aca="false">E229*100/O229-100</f>
        <v>-0.452933164206172</v>
      </c>
      <c r="Q229" s="54" t="n">
        <f aca="false">D229*E229</f>
        <v>52922.8</v>
      </c>
      <c r="R229" s="56"/>
      <c r="T229" s="57" t="n">
        <f aca="false">ROUND(G229*100/O229-100,0)</f>
        <v>-2</v>
      </c>
      <c r="U229" s="57" t="n">
        <f aca="false">ROUND(J229*100/O229-100,0)</f>
        <v>0</v>
      </c>
      <c r="V229" s="57" t="n">
        <f aca="false">ROUND(M229*100/O229-100,0)</f>
        <v>2</v>
      </c>
    </row>
    <row r="230" s="43" customFormat="true" ht="73.5" hidden="false" customHeight="true" outlineLevel="0" collapsed="false">
      <c r="A230" s="45" t="n">
        <v>219</v>
      </c>
      <c r="B230" s="46" t="s">
        <v>326</v>
      </c>
      <c r="C230" s="47" t="s">
        <v>25</v>
      </c>
      <c r="D230" s="48" t="n">
        <v>7</v>
      </c>
      <c r="E230" s="50" t="n">
        <v>895.64</v>
      </c>
      <c r="F230" s="47" t="s">
        <v>27</v>
      </c>
      <c r="G230" s="52" t="n">
        <f aca="false">1005.59/1.2</f>
        <v>837.991666666667</v>
      </c>
      <c r="H230" s="53" t="n">
        <f aca="false">D230*G230</f>
        <v>5865.94166666667</v>
      </c>
      <c r="I230" s="53" t="s">
        <v>28</v>
      </c>
      <c r="J230" s="52" t="n">
        <v>921.8</v>
      </c>
      <c r="K230" s="53" t="n">
        <f aca="false">D230*J230</f>
        <v>6452.6</v>
      </c>
      <c r="L230" s="48" t="s">
        <v>29</v>
      </c>
      <c r="M230" s="52" t="n">
        <v>944.36</v>
      </c>
      <c r="N230" s="53" t="n">
        <f aca="false">D230*M230</f>
        <v>6610.52</v>
      </c>
      <c r="O230" s="54" t="n">
        <f aca="false">AVERAGE(G230,J230,M230)</f>
        <v>901.383888888889</v>
      </c>
      <c r="P230" s="55" t="n">
        <f aca="false">E230*100/O230-100</f>
        <v>-0.637230037023315</v>
      </c>
      <c r="Q230" s="54" t="n">
        <f aca="false">D230*E230</f>
        <v>6269.48</v>
      </c>
      <c r="R230" s="56"/>
      <c r="T230" s="57" t="n">
        <f aca="false">ROUND(G230*100/O230-100,0)</f>
        <v>-7</v>
      </c>
      <c r="U230" s="57" t="n">
        <f aca="false">ROUND(J230*100/O230-100,0)</f>
        <v>2</v>
      </c>
      <c r="V230" s="57" t="n">
        <f aca="false">ROUND(M230*100/O230-100,0)</f>
        <v>5</v>
      </c>
    </row>
    <row r="231" s="43" customFormat="true" ht="73.5" hidden="false" customHeight="true" outlineLevel="0" collapsed="false">
      <c r="A231" s="45" t="n">
        <v>220</v>
      </c>
      <c r="B231" s="46" t="s">
        <v>327</v>
      </c>
      <c r="C231" s="47" t="s">
        <v>25</v>
      </c>
      <c r="D231" s="48" t="n">
        <v>4</v>
      </c>
      <c r="E231" s="50" t="n">
        <v>976.87</v>
      </c>
      <c r="F231" s="47" t="s">
        <v>27</v>
      </c>
      <c r="G231" s="52" t="n">
        <f aca="false">1138.77/1.2</f>
        <v>948.975</v>
      </c>
      <c r="H231" s="53" t="n">
        <f aca="false">D231*G231</f>
        <v>3795.9</v>
      </c>
      <c r="I231" s="53" t="s">
        <v>28</v>
      </c>
      <c r="J231" s="52" t="n">
        <v>1010.4</v>
      </c>
      <c r="K231" s="53" t="n">
        <f aca="false">D231*J231</f>
        <v>4041.6</v>
      </c>
      <c r="L231" s="48" t="s">
        <v>29</v>
      </c>
      <c r="M231" s="52" t="n">
        <v>995.11</v>
      </c>
      <c r="N231" s="53" t="n">
        <f aca="false">D231*M231</f>
        <v>3980.44</v>
      </c>
      <c r="O231" s="54" t="n">
        <f aca="false">AVERAGE(G231,J231,M231)</f>
        <v>984.828333333333</v>
      </c>
      <c r="P231" s="55" t="n">
        <f aca="false">E231*100/O231-100</f>
        <v>-0.808093457912293</v>
      </c>
      <c r="Q231" s="54" t="n">
        <f aca="false">D231*E231</f>
        <v>3907.48</v>
      </c>
      <c r="R231" s="56"/>
      <c r="T231" s="57" t="n">
        <f aca="false">ROUND(G231*100/O231-100,0)</f>
        <v>-4</v>
      </c>
      <c r="U231" s="57" t="n">
        <f aca="false">ROUND(J231*100/O231-100,0)</f>
        <v>3</v>
      </c>
      <c r="V231" s="57" t="n">
        <f aca="false">ROUND(M231*100/O231-100,0)</f>
        <v>1</v>
      </c>
    </row>
    <row r="232" s="43" customFormat="true" ht="73.5" hidden="false" customHeight="true" outlineLevel="0" collapsed="false">
      <c r="A232" s="45" t="n">
        <v>221</v>
      </c>
      <c r="B232" s="46" t="s">
        <v>328</v>
      </c>
      <c r="C232" s="47" t="s">
        <v>25</v>
      </c>
      <c r="D232" s="48" t="n">
        <v>1</v>
      </c>
      <c r="E232" s="50" t="n">
        <v>1842.92</v>
      </c>
      <c r="F232" s="47" t="s">
        <v>27</v>
      </c>
      <c r="G232" s="52" t="n">
        <f aca="false">2152.46/1.2</f>
        <v>1793.71666666667</v>
      </c>
      <c r="H232" s="53" t="n">
        <f aca="false">D232*G232</f>
        <v>1793.71666666667</v>
      </c>
      <c r="I232" s="53" t="s">
        <v>28</v>
      </c>
      <c r="J232" s="52" t="n">
        <v>1928.6</v>
      </c>
      <c r="K232" s="53" t="n">
        <f aca="false">D232*J232</f>
        <v>1928.6</v>
      </c>
      <c r="L232" s="48" t="s">
        <v>29</v>
      </c>
      <c r="M232" s="52" t="n">
        <v>1850.46</v>
      </c>
      <c r="N232" s="53" t="n">
        <f aca="false">D232*M232</f>
        <v>1850.46</v>
      </c>
      <c r="O232" s="54" t="n">
        <f aca="false">AVERAGE(G232,J232,M232)</f>
        <v>1857.59222222222</v>
      </c>
      <c r="P232" s="55" t="n">
        <f aca="false">E232*100/O232-100</f>
        <v>-0.789851617954668</v>
      </c>
      <c r="Q232" s="54" t="n">
        <f aca="false">D232*E232</f>
        <v>1842.92</v>
      </c>
      <c r="R232" s="56"/>
      <c r="T232" s="57" t="n">
        <f aca="false">ROUND(G232*100/O232-100,0)</f>
        <v>-3</v>
      </c>
      <c r="U232" s="57" t="n">
        <f aca="false">ROUND(J232*100/O232-100,0)</f>
        <v>4</v>
      </c>
      <c r="V232" s="57" t="n">
        <f aca="false">ROUND(M232*100/O232-100,0)</f>
        <v>-0</v>
      </c>
    </row>
    <row r="233" s="43" customFormat="true" ht="73.5" hidden="false" customHeight="true" outlineLevel="0" collapsed="false">
      <c r="A233" s="45" t="n">
        <v>222</v>
      </c>
      <c r="B233" s="46" t="s">
        <v>329</v>
      </c>
      <c r="C233" s="47" t="s">
        <v>25</v>
      </c>
      <c r="D233" s="48" t="n">
        <v>24</v>
      </c>
      <c r="E233" s="50" t="n">
        <v>312.8</v>
      </c>
      <c r="F233" s="47" t="s">
        <v>27</v>
      </c>
      <c r="G233" s="52" t="n">
        <f aca="false">362.57/1.2</f>
        <v>302.141666666667</v>
      </c>
      <c r="H233" s="53" t="n">
        <f aca="false">D233*G233</f>
        <v>7251.4</v>
      </c>
      <c r="I233" s="53" t="s">
        <v>28</v>
      </c>
      <c r="J233" s="52" t="n">
        <v>312.77</v>
      </c>
      <c r="K233" s="53" t="n">
        <f aca="false">D233*J233</f>
        <v>7506.48</v>
      </c>
      <c r="L233" s="48" t="s">
        <v>29</v>
      </c>
      <c r="M233" s="52" t="n">
        <v>344.29</v>
      </c>
      <c r="N233" s="53" t="n">
        <f aca="false">D233*M233</f>
        <v>8262.96</v>
      </c>
      <c r="O233" s="54" t="n">
        <f aca="false">AVERAGE(G233,J233,M233)</f>
        <v>319.733888888889</v>
      </c>
      <c r="P233" s="55" t="n">
        <f aca="false">E233*100/O233-100</f>
        <v>-2.16864371586789</v>
      </c>
      <c r="Q233" s="54" t="n">
        <f aca="false">D233*E233</f>
        <v>7507.2</v>
      </c>
      <c r="R233" s="56"/>
      <c r="T233" s="57" t="n">
        <f aca="false">ROUND(G233*100/O233-100,0)</f>
        <v>-6</v>
      </c>
      <c r="U233" s="57" t="n">
        <f aca="false">ROUND(J233*100/O233-100,0)</f>
        <v>-2</v>
      </c>
      <c r="V233" s="57" t="n">
        <f aca="false">ROUND(M233*100/O233-100,0)</f>
        <v>8</v>
      </c>
    </row>
    <row r="234" s="43" customFormat="true" ht="73.5" hidden="false" customHeight="true" outlineLevel="0" collapsed="false">
      <c r="A234" s="45" t="n">
        <v>223</v>
      </c>
      <c r="B234" s="46" t="s">
        <v>330</v>
      </c>
      <c r="C234" s="47" t="s">
        <v>25</v>
      </c>
      <c r="D234" s="48" t="n">
        <v>18</v>
      </c>
      <c r="E234" s="50" t="n">
        <v>343.64</v>
      </c>
      <c r="F234" s="47" t="s">
        <v>27</v>
      </c>
      <c r="G234" s="52" t="n">
        <f aca="false">398.85/1.2</f>
        <v>332.375</v>
      </c>
      <c r="H234" s="53" t="n">
        <f aca="false">D234*G234</f>
        <v>5982.75</v>
      </c>
      <c r="I234" s="53" t="s">
        <v>28</v>
      </c>
      <c r="J234" s="52" t="n">
        <v>364.5</v>
      </c>
      <c r="K234" s="53" t="n">
        <f aca="false">D234*J234</f>
        <v>6561</v>
      </c>
      <c r="L234" s="48" t="s">
        <v>29</v>
      </c>
      <c r="M234" s="52" t="n">
        <v>350.15</v>
      </c>
      <c r="N234" s="53" t="n">
        <f aca="false">D234*M234</f>
        <v>6302.7</v>
      </c>
      <c r="O234" s="54" t="n">
        <f aca="false">AVERAGE(G234,J234,M234)</f>
        <v>349.008333333333</v>
      </c>
      <c r="P234" s="55" t="n">
        <f aca="false">E234*100/O234-100</f>
        <v>-1.53816766552853</v>
      </c>
      <c r="Q234" s="54" t="n">
        <f aca="false">D234*E234</f>
        <v>6185.52</v>
      </c>
      <c r="R234" s="56"/>
      <c r="T234" s="57" t="n">
        <f aca="false">ROUND(G234*100/O234-100,0)</f>
        <v>-5</v>
      </c>
      <c r="U234" s="57" t="n">
        <f aca="false">ROUND(J234*100/O234-100,0)</f>
        <v>4</v>
      </c>
      <c r="V234" s="57" t="n">
        <f aca="false">ROUND(M234*100/O234-100,0)</f>
        <v>0</v>
      </c>
    </row>
    <row r="235" s="43" customFormat="true" ht="73.5" hidden="false" customHeight="true" outlineLevel="0" collapsed="false">
      <c r="A235" s="45" t="n">
        <v>224</v>
      </c>
      <c r="B235" s="46" t="s">
        <v>331</v>
      </c>
      <c r="C235" s="47" t="s">
        <v>25</v>
      </c>
      <c r="D235" s="48" t="n">
        <v>90</v>
      </c>
      <c r="E235" s="50" t="n">
        <v>233.82</v>
      </c>
      <c r="F235" s="47" t="s">
        <v>27</v>
      </c>
      <c r="G235" s="52" t="n">
        <f aca="false">283.52/1.2</f>
        <v>236.266666666667</v>
      </c>
      <c r="H235" s="53" t="n">
        <f aca="false">D235*G235</f>
        <v>21264</v>
      </c>
      <c r="I235" s="53" t="s">
        <v>28</v>
      </c>
      <c r="J235" s="52" t="n">
        <v>232.43</v>
      </c>
      <c r="K235" s="53" t="n">
        <f aca="false">D235*J235</f>
        <v>20918.7</v>
      </c>
      <c r="L235" s="48" t="s">
        <v>29</v>
      </c>
      <c r="M235" s="52" t="n">
        <v>251.2</v>
      </c>
      <c r="N235" s="53" t="n">
        <f aca="false">D235*M235</f>
        <v>22608</v>
      </c>
      <c r="O235" s="54" t="n">
        <f aca="false">AVERAGE(G235,J235,M235)</f>
        <v>239.965555555556</v>
      </c>
      <c r="P235" s="55" t="n">
        <f aca="false">E235*100/O235-100</f>
        <v>-2.56101570132751</v>
      </c>
      <c r="Q235" s="54" t="n">
        <f aca="false">D235*E235</f>
        <v>21043.8</v>
      </c>
      <c r="R235" s="56"/>
      <c r="T235" s="57" t="n">
        <f aca="false">ROUND(G235*100/O235-100,0)</f>
        <v>-2</v>
      </c>
      <c r="U235" s="57" t="n">
        <f aca="false">ROUND(J235*100/O235-100,0)</f>
        <v>-3</v>
      </c>
      <c r="V235" s="57" t="n">
        <f aca="false">ROUND(M235*100/O235-100,0)</f>
        <v>5</v>
      </c>
    </row>
    <row r="236" s="43" customFormat="true" ht="73.5" hidden="false" customHeight="true" outlineLevel="0" collapsed="false">
      <c r="A236" s="45" t="n">
        <v>225</v>
      </c>
      <c r="B236" s="46" t="s">
        <v>332</v>
      </c>
      <c r="C236" s="47" t="s">
        <v>25</v>
      </c>
      <c r="D236" s="48" t="s">
        <v>333</v>
      </c>
      <c r="E236" s="50" t="n">
        <v>178.37</v>
      </c>
      <c r="F236" s="47" t="s">
        <v>27</v>
      </c>
      <c r="G236" s="52" t="n">
        <f aca="false">210.11/1.2</f>
        <v>175.091666666667</v>
      </c>
      <c r="H236" s="53" t="n">
        <f aca="false">D236*G236</f>
        <v>8054.21666666667</v>
      </c>
      <c r="I236" s="53" t="s">
        <v>28</v>
      </c>
      <c r="J236" s="52" t="n">
        <v>186.22</v>
      </c>
      <c r="K236" s="53" t="n">
        <f aca="false">D236*J236</f>
        <v>8566.12</v>
      </c>
      <c r="L236" s="48" t="s">
        <v>29</v>
      </c>
      <c r="M236" s="52" t="n">
        <v>179.55</v>
      </c>
      <c r="N236" s="53" t="n">
        <f aca="false">D236*M236</f>
        <v>8259.3</v>
      </c>
      <c r="O236" s="54" t="n">
        <f aca="false">AVERAGE(G236,J236,M236)</f>
        <v>180.287222222222</v>
      </c>
      <c r="P236" s="55" t="n">
        <f aca="false">E236*100/O236-100</f>
        <v>-1.06342656933226</v>
      </c>
      <c r="Q236" s="54" t="n">
        <f aca="false">D236*E236</f>
        <v>8205.02</v>
      </c>
      <c r="R236" s="56"/>
      <c r="T236" s="57" t="n">
        <f aca="false">ROUND(G236*100/O236-100,0)</f>
        <v>-3</v>
      </c>
      <c r="U236" s="57" t="n">
        <f aca="false">ROUND(J236*100/O236-100,0)</f>
        <v>3</v>
      </c>
      <c r="V236" s="57" t="n">
        <f aca="false">ROUND(M236*100/O236-100,0)</f>
        <v>-0</v>
      </c>
    </row>
    <row r="237" s="43" customFormat="true" ht="73.5" hidden="false" customHeight="true" outlineLevel="0" collapsed="false">
      <c r="A237" s="45" t="n">
        <v>226</v>
      </c>
      <c r="B237" s="46" t="s">
        <v>334</v>
      </c>
      <c r="C237" s="47" t="s">
        <v>25</v>
      </c>
      <c r="D237" s="48" t="s">
        <v>335</v>
      </c>
      <c r="E237" s="50" t="n">
        <v>191.64</v>
      </c>
      <c r="F237" s="47" t="s">
        <v>27</v>
      </c>
      <c r="G237" s="52" t="n">
        <f aca="false">224.62/1.2</f>
        <v>187.183333333333</v>
      </c>
      <c r="H237" s="53" t="n">
        <f aca="false">D237*G237</f>
        <v>1123.1</v>
      </c>
      <c r="I237" s="53" t="s">
        <v>28</v>
      </c>
      <c r="J237" s="52" t="n">
        <v>196.75</v>
      </c>
      <c r="K237" s="53" t="n">
        <f aca="false">D237*J237</f>
        <v>1180.5</v>
      </c>
      <c r="L237" s="48" t="s">
        <v>29</v>
      </c>
      <c r="M237" s="52" t="n">
        <v>199.8</v>
      </c>
      <c r="N237" s="53" t="n">
        <f aca="false">D237*M237</f>
        <v>1198.8</v>
      </c>
      <c r="O237" s="54" t="n">
        <f aca="false">AVERAGE(G237,J237,M237)</f>
        <v>194.577777777778</v>
      </c>
      <c r="P237" s="55" t="n">
        <f aca="false">E237*100/O237-100</f>
        <v>-1.509821836455</v>
      </c>
      <c r="Q237" s="54" t="n">
        <f aca="false">D237*E237</f>
        <v>1149.84</v>
      </c>
      <c r="R237" s="56"/>
      <c r="T237" s="57" t="n">
        <f aca="false">ROUND(G237*100/O237-100,0)</f>
        <v>-4</v>
      </c>
      <c r="U237" s="57" t="n">
        <f aca="false">ROUND(J237*100/O237-100,0)</f>
        <v>1</v>
      </c>
      <c r="V237" s="57" t="n">
        <f aca="false">ROUND(M237*100/O237-100,0)</f>
        <v>3</v>
      </c>
    </row>
    <row r="238" s="43" customFormat="true" ht="73.5" hidden="false" customHeight="true" outlineLevel="0" collapsed="false">
      <c r="A238" s="45" t="n">
        <v>227</v>
      </c>
      <c r="B238" s="46" t="s">
        <v>336</v>
      </c>
      <c r="C238" s="47" t="s">
        <v>25</v>
      </c>
      <c r="D238" s="48" t="n">
        <v>6</v>
      </c>
      <c r="E238" s="50" t="n">
        <v>15489.62</v>
      </c>
      <c r="F238" s="47" t="s">
        <v>27</v>
      </c>
      <c r="G238" s="52" t="n">
        <f aca="false">18284.58/1.2</f>
        <v>15237.15</v>
      </c>
      <c r="H238" s="53" t="n">
        <f aca="false">D238*G238</f>
        <v>91422.9</v>
      </c>
      <c r="I238" s="53" t="s">
        <v>28</v>
      </c>
      <c r="J238" s="52" t="n">
        <v>15870.63</v>
      </c>
      <c r="K238" s="53" t="n">
        <f aca="false">D238*J238</f>
        <v>95223.78</v>
      </c>
      <c r="L238" s="48" t="s">
        <v>29</v>
      </c>
      <c r="M238" s="52" t="n">
        <v>16020.61</v>
      </c>
      <c r="N238" s="53" t="n">
        <f aca="false">D238*M238</f>
        <v>96123.66</v>
      </c>
      <c r="O238" s="54" t="n">
        <f aca="false">AVERAGE(G238,J238,M238)</f>
        <v>15709.4633333333</v>
      </c>
      <c r="P238" s="55" t="n">
        <f aca="false">E238*100/O238-100</f>
        <v>-1.39943248644819</v>
      </c>
      <c r="Q238" s="54" t="n">
        <f aca="false">D238*E238</f>
        <v>92937.72</v>
      </c>
      <c r="R238" s="56"/>
      <c r="T238" s="57" t="n">
        <f aca="false">ROUND(G238*100/O238-100,0)</f>
        <v>-3</v>
      </c>
      <c r="U238" s="57" t="n">
        <f aca="false">ROUND(J238*100/O238-100,0)</f>
        <v>1</v>
      </c>
      <c r="V238" s="57" t="n">
        <f aca="false">ROUND(M238*100/O238-100,0)</f>
        <v>2</v>
      </c>
    </row>
    <row r="239" s="43" customFormat="true" ht="73.5" hidden="false" customHeight="true" outlineLevel="0" collapsed="false">
      <c r="A239" s="45" t="n">
        <v>228</v>
      </c>
      <c r="B239" s="46" t="s">
        <v>337</v>
      </c>
      <c r="C239" s="47" t="s">
        <v>45</v>
      </c>
      <c r="D239" s="48" t="n">
        <v>40</v>
      </c>
      <c r="E239" s="50" t="n">
        <v>3124.7</v>
      </c>
      <c r="F239" s="47" t="s">
        <v>90</v>
      </c>
      <c r="G239" s="52" t="n">
        <v>3607.24</v>
      </c>
      <c r="H239" s="53" t="n">
        <f aca="false">D239*G239</f>
        <v>144289.6</v>
      </c>
      <c r="I239" s="47" t="s">
        <v>338</v>
      </c>
      <c r="J239" s="52" t="n">
        <v>2575.7</v>
      </c>
      <c r="K239" s="53" t="n">
        <f aca="false">D239*J239</f>
        <v>103028</v>
      </c>
      <c r="L239" s="47" t="s">
        <v>339</v>
      </c>
      <c r="M239" s="52" t="n">
        <v>3370</v>
      </c>
      <c r="N239" s="53" t="n">
        <f aca="false">D239*M239</f>
        <v>134800</v>
      </c>
      <c r="O239" s="54" t="n">
        <f aca="false">AVERAGE(G239,J239,M239)</f>
        <v>3184.31333333333</v>
      </c>
      <c r="P239" s="55" t="n">
        <f aca="false">E239*100/O239-100</f>
        <v>-1.87209382661253</v>
      </c>
      <c r="Q239" s="54" t="n">
        <f aca="false">D239*E239</f>
        <v>124988</v>
      </c>
      <c r="R239" s="56"/>
      <c r="T239" s="57" t="n">
        <f aca="false">ROUND(G239*100/O239-100,0)</f>
        <v>13</v>
      </c>
      <c r="U239" s="57" t="n">
        <f aca="false">ROUND(J239*100/O239-100,0)</f>
        <v>-19</v>
      </c>
      <c r="V239" s="57" t="n">
        <f aca="false">ROUND(M239*100/O239-100,0)</f>
        <v>6</v>
      </c>
    </row>
    <row r="240" s="43" customFormat="true" ht="73.5" hidden="false" customHeight="true" outlineLevel="0" collapsed="false">
      <c r="A240" s="45" t="n">
        <v>229</v>
      </c>
      <c r="B240" s="46" t="s">
        <v>340</v>
      </c>
      <c r="C240" s="47" t="s">
        <v>25</v>
      </c>
      <c r="D240" s="48" t="n">
        <v>10</v>
      </c>
      <c r="E240" s="50" t="n">
        <v>2334.68</v>
      </c>
      <c r="F240" s="47" t="s">
        <v>27</v>
      </c>
      <c r="G240" s="52" t="n">
        <f aca="false">2872.8/1.2</f>
        <v>2394</v>
      </c>
      <c r="H240" s="53" t="n">
        <f aca="false">D240*G240</f>
        <v>23940</v>
      </c>
      <c r="I240" s="53" t="s">
        <v>28</v>
      </c>
      <c r="J240" s="52" t="n">
        <v>2254.9</v>
      </c>
      <c r="K240" s="53" t="n">
        <f aca="false">D240*J240</f>
        <v>22549</v>
      </c>
      <c r="L240" s="48" t="s">
        <v>29</v>
      </c>
      <c r="M240" s="52" t="n">
        <v>2467.66</v>
      </c>
      <c r="N240" s="53" t="n">
        <f aca="false">D240*M240</f>
        <v>24676.6</v>
      </c>
      <c r="O240" s="54" t="n">
        <f aca="false">AVERAGE(G240,J240,M240)</f>
        <v>2372.18666666667</v>
      </c>
      <c r="P240" s="55" t="n">
        <f aca="false">E240*100/O240-100</f>
        <v>-1.58110098137304</v>
      </c>
      <c r="Q240" s="54" t="n">
        <f aca="false">D240*E240</f>
        <v>23346.8</v>
      </c>
      <c r="R240" s="56"/>
      <c r="T240" s="57" t="n">
        <f aca="false">ROUND(G240*100/O240-100,0)</f>
        <v>1</v>
      </c>
      <c r="U240" s="57" t="n">
        <f aca="false">ROUND(J240*100/O240-100,0)</f>
        <v>-5</v>
      </c>
      <c r="V240" s="57" t="n">
        <f aca="false">ROUND(M240*100/O240-100,0)</f>
        <v>4</v>
      </c>
    </row>
    <row r="241" s="43" customFormat="true" ht="73.5" hidden="false" customHeight="true" outlineLevel="0" collapsed="false">
      <c r="A241" s="45" t="n">
        <v>230</v>
      </c>
      <c r="B241" s="46" t="s">
        <v>341</v>
      </c>
      <c r="C241" s="47" t="s">
        <v>25</v>
      </c>
      <c r="D241" s="48" t="s">
        <v>342</v>
      </c>
      <c r="E241" s="50" t="n">
        <v>21782.44</v>
      </c>
      <c r="F241" s="47" t="s">
        <v>27</v>
      </c>
      <c r="G241" s="52" t="n">
        <f aca="false">25573/1.2</f>
        <v>21310.8333333333</v>
      </c>
      <c r="H241" s="53" t="n">
        <f aca="false">D241*G241</f>
        <v>1704866.66666667</v>
      </c>
      <c r="I241" s="53" t="s">
        <v>28</v>
      </c>
      <c r="J241" s="52" t="n">
        <v>21971.58</v>
      </c>
      <c r="K241" s="53" t="n">
        <f aca="false">D241*J241</f>
        <v>1757726.4</v>
      </c>
      <c r="L241" s="48" t="s">
        <v>29</v>
      </c>
      <c r="M241" s="52" t="n">
        <v>22150.4</v>
      </c>
      <c r="N241" s="53" t="n">
        <f aca="false">D241*M241</f>
        <v>1772032</v>
      </c>
      <c r="O241" s="54" t="n">
        <f aca="false">AVERAGE(G241,J241,M241)</f>
        <v>21810.9377777778</v>
      </c>
      <c r="P241" s="55" t="n">
        <f aca="false">E241*100/O241-100</f>
        <v>-0.130658195755416</v>
      </c>
      <c r="Q241" s="54" t="n">
        <f aca="false">D241*E241</f>
        <v>1742595.2</v>
      </c>
      <c r="R241" s="56"/>
      <c r="T241" s="57" t="n">
        <f aca="false">ROUND(G241*100/O241-100,0)</f>
        <v>-2</v>
      </c>
      <c r="U241" s="57" t="n">
        <f aca="false">ROUND(J241*100/O241-100,0)</f>
        <v>1</v>
      </c>
      <c r="V241" s="57" t="n">
        <f aca="false">ROUND(M241*100/O241-100,0)</f>
        <v>2</v>
      </c>
    </row>
    <row r="242" s="43" customFormat="true" ht="73.5" hidden="false" customHeight="true" outlineLevel="0" collapsed="false">
      <c r="A242" s="45" t="n">
        <v>231</v>
      </c>
      <c r="B242" s="46" t="s">
        <v>343</v>
      </c>
      <c r="C242" s="47" t="s">
        <v>25</v>
      </c>
      <c r="D242" s="48" t="n">
        <v>10</v>
      </c>
      <c r="E242" s="50" t="n">
        <v>1394.8</v>
      </c>
      <c r="F242" s="47" t="s">
        <v>27</v>
      </c>
      <c r="G242" s="52" t="n">
        <f aca="false">1586.38/1.2</f>
        <v>1321.98333333333</v>
      </c>
      <c r="H242" s="53" t="n">
        <f aca="false">D242*G242</f>
        <v>13219.8333333333</v>
      </c>
      <c r="I242" s="53" t="s">
        <v>28</v>
      </c>
      <c r="J242" s="52" t="n">
        <v>1501.2</v>
      </c>
      <c r="K242" s="53" t="n">
        <f aca="false">D242*J242</f>
        <v>15012</v>
      </c>
      <c r="L242" s="48" t="s">
        <v>29</v>
      </c>
      <c r="M242" s="52" t="n">
        <v>1452.7</v>
      </c>
      <c r="N242" s="53" t="n">
        <f aca="false">D242*M242</f>
        <v>14527</v>
      </c>
      <c r="O242" s="54" t="n">
        <f aca="false">AVERAGE(G242,J242,M242)</f>
        <v>1425.29444444444</v>
      </c>
      <c r="P242" s="55" t="n">
        <f aca="false">E242*100/O242-100</f>
        <v>-2.13951892981177</v>
      </c>
      <c r="Q242" s="54" t="n">
        <f aca="false">D242*E242</f>
        <v>13948</v>
      </c>
      <c r="R242" s="56"/>
      <c r="T242" s="57" t="n">
        <f aca="false">ROUND(G242*100/O242-100,0)</f>
        <v>-7</v>
      </c>
      <c r="U242" s="57" t="n">
        <f aca="false">ROUND(J242*100/O242-100,0)</f>
        <v>5</v>
      </c>
      <c r="V242" s="57" t="n">
        <f aca="false">ROUND(M242*100/O242-100,0)</f>
        <v>2</v>
      </c>
    </row>
    <row r="243" s="43" customFormat="true" ht="73.5" hidden="false" customHeight="true" outlineLevel="0" collapsed="false">
      <c r="A243" s="45" t="n">
        <v>232</v>
      </c>
      <c r="B243" s="46" t="s">
        <v>344</v>
      </c>
      <c r="C243" s="47" t="s">
        <v>25</v>
      </c>
      <c r="D243" s="48" t="n">
        <v>2</v>
      </c>
      <c r="E243" s="50" t="n">
        <v>10840.24</v>
      </c>
      <c r="F243" s="47" t="s">
        <v>27</v>
      </c>
      <c r="G243" s="52" t="n">
        <f aca="false">12749.04/1.2</f>
        <v>10624.2</v>
      </c>
      <c r="H243" s="53" t="n">
        <f aca="false">D243*G243</f>
        <v>21248.4</v>
      </c>
      <c r="I243" s="53" t="s">
        <v>28</v>
      </c>
      <c r="J243" s="52" t="n">
        <v>11205.5</v>
      </c>
      <c r="K243" s="53" t="n">
        <f aca="false">D243*J243</f>
        <v>22411</v>
      </c>
      <c r="L243" s="48" t="s">
        <v>29</v>
      </c>
      <c r="M243" s="52" t="n">
        <v>10800.9</v>
      </c>
      <c r="N243" s="53" t="n">
        <f aca="false">D243*M243</f>
        <v>21601.8</v>
      </c>
      <c r="O243" s="54" t="n">
        <f aca="false">AVERAGE(G243,J243,M243)</f>
        <v>10876.8666666667</v>
      </c>
      <c r="P243" s="55" t="n">
        <f aca="false">E243*100/O243-100</f>
        <v>-0.336739134432094</v>
      </c>
      <c r="Q243" s="54" t="n">
        <f aca="false">D243*E243</f>
        <v>21680.48</v>
      </c>
      <c r="R243" s="56"/>
      <c r="T243" s="57" t="n">
        <f aca="false">ROUND(G243*100/O243-100,0)</f>
        <v>-2</v>
      </c>
      <c r="U243" s="57" t="n">
        <f aca="false">ROUND(J243*100/O243-100,0)</f>
        <v>3</v>
      </c>
      <c r="V243" s="57" t="n">
        <f aca="false">ROUND(M243*100/O243-100,0)</f>
        <v>-1</v>
      </c>
    </row>
    <row r="244" s="43" customFormat="true" ht="73.5" hidden="false" customHeight="true" outlineLevel="0" collapsed="false">
      <c r="A244" s="45" t="n">
        <v>233</v>
      </c>
      <c r="B244" s="46" t="s">
        <v>345</v>
      </c>
      <c r="C244" s="47" t="s">
        <v>25</v>
      </c>
      <c r="D244" s="48" t="n">
        <v>3</v>
      </c>
      <c r="E244" s="50" t="n">
        <v>6897.64</v>
      </c>
      <c r="F244" s="47" t="s">
        <v>27</v>
      </c>
      <c r="G244" s="52" t="n">
        <f aca="false">8062.43/1.2</f>
        <v>6718.69166666667</v>
      </c>
      <c r="H244" s="53" t="n">
        <f aca="false">D244*G244</f>
        <v>20156.075</v>
      </c>
      <c r="I244" s="53" t="s">
        <v>28</v>
      </c>
      <c r="J244" s="52" t="n">
        <v>7211.8</v>
      </c>
      <c r="K244" s="53" t="n">
        <f aca="false">D244*J244</f>
        <v>21635.4</v>
      </c>
      <c r="L244" s="48" t="s">
        <v>29</v>
      </c>
      <c r="M244" s="52" t="n">
        <v>6897.87</v>
      </c>
      <c r="N244" s="53" t="n">
        <f aca="false">D244*M244</f>
        <v>20693.61</v>
      </c>
      <c r="O244" s="54" t="n">
        <f aca="false">AVERAGE(G244,J244,M244)</f>
        <v>6942.78722222222</v>
      </c>
      <c r="P244" s="55" t="n">
        <f aca="false">E244*100/O244-100</f>
        <v>-0.650275181669358</v>
      </c>
      <c r="Q244" s="54" t="n">
        <f aca="false">D244*E244</f>
        <v>20692.92</v>
      </c>
      <c r="R244" s="56"/>
      <c r="T244" s="57" t="n">
        <f aca="false">ROUND(G244*100/O244-100,0)</f>
        <v>-3</v>
      </c>
      <c r="U244" s="57" t="n">
        <f aca="false">ROUND(J244*100/O244-100,0)</f>
        <v>4</v>
      </c>
      <c r="V244" s="57" t="n">
        <f aca="false">ROUND(M244*100/O244-100,0)</f>
        <v>-1</v>
      </c>
    </row>
    <row r="245" s="43" customFormat="true" ht="73.5" hidden="false" customHeight="true" outlineLevel="0" collapsed="false">
      <c r="A245" s="45" t="n">
        <v>234</v>
      </c>
      <c r="B245" s="46" t="s">
        <v>346</v>
      </c>
      <c r="C245" s="47" t="s">
        <v>25</v>
      </c>
      <c r="D245" s="48" t="n">
        <v>20</v>
      </c>
      <c r="E245" s="50" t="n">
        <v>5997.3</v>
      </c>
      <c r="F245" s="47" t="s">
        <v>27</v>
      </c>
      <c r="G245" s="52" t="n">
        <f aca="false">6964.01/1.2</f>
        <v>5803.34166666667</v>
      </c>
      <c r="H245" s="53" t="n">
        <f aca="false">D245*G245</f>
        <v>116066.833333333</v>
      </c>
      <c r="I245" s="53" t="s">
        <v>28</v>
      </c>
      <c r="J245" s="52" t="n">
        <v>6025.6</v>
      </c>
      <c r="K245" s="53" t="n">
        <f aca="false">D245*J245</f>
        <v>120512</v>
      </c>
      <c r="L245" s="48" t="s">
        <v>29</v>
      </c>
      <c r="M245" s="52" t="n">
        <v>6300.1</v>
      </c>
      <c r="N245" s="53" t="n">
        <f aca="false">D245*M245</f>
        <v>126002</v>
      </c>
      <c r="O245" s="54" t="n">
        <f aca="false">AVERAGE(G245,J245,M245)</f>
        <v>6043.01388888889</v>
      </c>
      <c r="P245" s="55" t="n">
        <f aca="false">E245*100/O245-100</f>
        <v>-0.756474992932624</v>
      </c>
      <c r="Q245" s="54" t="n">
        <f aca="false">D245*E245</f>
        <v>119946</v>
      </c>
      <c r="R245" s="56"/>
      <c r="T245" s="57" t="n">
        <f aca="false">ROUND(G245*100/O245-100,0)</f>
        <v>-4</v>
      </c>
      <c r="U245" s="57" t="n">
        <f aca="false">ROUND(J245*100/O245-100,0)</f>
        <v>-0</v>
      </c>
      <c r="V245" s="57" t="n">
        <f aca="false">ROUND(M245*100/O245-100,0)</f>
        <v>4</v>
      </c>
    </row>
    <row r="246" s="43" customFormat="true" ht="73.5" hidden="false" customHeight="true" outlineLevel="0" collapsed="false">
      <c r="A246" s="45" t="n">
        <v>235</v>
      </c>
      <c r="B246" s="46" t="s">
        <v>347</v>
      </c>
      <c r="C246" s="47" t="s">
        <v>25</v>
      </c>
      <c r="D246" s="48" t="n">
        <v>2</v>
      </c>
      <c r="E246" s="50" t="n">
        <v>23347.6</v>
      </c>
      <c r="F246" s="47" t="s">
        <v>27</v>
      </c>
      <c r="G246" s="52" t="n">
        <f aca="false">27973.25/1.2</f>
        <v>23311.0416666667</v>
      </c>
      <c r="H246" s="53" t="n">
        <f aca="false">D246*G246</f>
        <v>46622.0833333333</v>
      </c>
      <c r="I246" s="53" t="s">
        <v>28</v>
      </c>
      <c r="J246" s="52" t="n">
        <v>24500.6</v>
      </c>
      <c r="K246" s="53" t="n">
        <f aca="false">D246*J246</f>
        <v>49001.2</v>
      </c>
      <c r="L246" s="48" t="s">
        <v>29</v>
      </c>
      <c r="M246" s="52" t="n">
        <v>22940.3</v>
      </c>
      <c r="N246" s="53" t="n">
        <f aca="false">D246*M246</f>
        <v>45880.6</v>
      </c>
      <c r="O246" s="54" t="n">
        <f aca="false">AVERAGE(G246,J246,M246)</f>
        <v>23583.9805555556</v>
      </c>
      <c r="P246" s="55" t="n">
        <f aca="false">E246*100/O246-100</f>
        <v>-1.00229286993654</v>
      </c>
      <c r="Q246" s="54" t="n">
        <f aca="false">D246*E246</f>
        <v>46695.2</v>
      </c>
      <c r="R246" s="56"/>
      <c r="T246" s="57" t="n">
        <f aca="false">ROUND(G246*100/O246-100,0)</f>
        <v>-1</v>
      </c>
      <c r="U246" s="57" t="n">
        <f aca="false">ROUND(J246*100/O246-100,0)</f>
        <v>4</v>
      </c>
      <c r="V246" s="57" t="n">
        <f aca="false">ROUND(M246*100/O246-100,0)</f>
        <v>-3</v>
      </c>
    </row>
    <row r="247" s="43" customFormat="true" ht="73.5" hidden="false" customHeight="true" outlineLevel="0" collapsed="false">
      <c r="A247" s="45" t="n">
        <v>236</v>
      </c>
      <c r="B247" s="46" t="s">
        <v>348</v>
      </c>
      <c r="C247" s="47" t="s">
        <v>25</v>
      </c>
      <c r="D247" s="48" t="n">
        <v>2</v>
      </c>
      <c r="E247" s="50" t="n">
        <v>6190.72</v>
      </c>
      <c r="F247" s="47" t="s">
        <v>27</v>
      </c>
      <c r="G247" s="52" t="n">
        <f aca="false">7415.29/1.2</f>
        <v>6179.40833333333</v>
      </c>
      <c r="H247" s="53" t="n">
        <f aca="false">D247*G247</f>
        <v>12358.8166666667</v>
      </c>
      <c r="I247" s="53" t="s">
        <v>28</v>
      </c>
      <c r="J247" s="52" t="n">
        <v>6487.33</v>
      </c>
      <c r="K247" s="53" t="n">
        <f aca="false">D247*J247</f>
        <v>12974.66</v>
      </c>
      <c r="L247" s="48" t="s">
        <v>29</v>
      </c>
      <c r="M247" s="52" t="n">
        <v>6150.7</v>
      </c>
      <c r="N247" s="53" t="n">
        <f aca="false">D247*M247</f>
        <v>12301.4</v>
      </c>
      <c r="O247" s="54" t="n">
        <f aca="false">AVERAGE(G247,J247,M247)</f>
        <v>6272.47944444444</v>
      </c>
      <c r="P247" s="55" t="n">
        <f aca="false">E247*100/O247-100</f>
        <v>-1.30346293150245</v>
      </c>
      <c r="Q247" s="54" t="n">
        <f aca="false">D247*E247</f>
        <v>12381.44</v>
      </c>
      <c r="R247" s="56"/>
      <c r="T247" s="57" t="n">
        <f aca="false">ROUND(G247*100/O247-100,0)</f>
        <v>-1</v>
      </c>
      <c r="U247" s="57" t="n">
        <f aca="false">ROUND(J247*100/O247-100,0)</f>
        <v>3</v>
      </c>
      <c r="V247" s="57" t="n">
        <f aca="false">ROUND(M247*100/O247-100,0)</f>
        <v>-2</v>
      </c>
    </row>
    <row r="248" s="43" customFormat="true" ht="73.5" hidden="false" customHeight="true" outlineLevel="0" collapsed="false">
      <c r="A248" s="45" t="n">
        <v>237</v>
      </c>
      <c r="B248" s="46" t="s">
        <v>349</v>
      </c>
      <c r="C248" s="47" t="s">
        <v>25</v>
      </c>
      <c r="D248" s="48" t="n">
        <v>4</v>
      </c>
      <c r="E248" s="50" t="n">
        <v>17148.68</v>
      </c>
      <c r="F248" s="47" t="s">
        <v>27</v>
      </c>
      <c r="G248" s="52" t="n">
        <f aca="false">20589.76/1.2</f>
        <v>17158.1333333333</v>
      </c>
      <c r="H248" s="53" t="n">
        <f aca="false">D248*G248</f>
        <v>68632.5333333333</v>
      </c>
      <c r="I248" s="53" t="s">
        <v>28</v>
      </c>
      <c r="J248" s="52" t="n">
        <v>17011.2</v>
      </c>
      <c r="K248" s="53" t="n">
        <f aca="false">D248*J248</f>
        <v>68044.8</v>
      </c>
      <c r="L248" s="48" t="s">
        <v>29</v>
      </c>
      <c r="M248" s="52" t="n">
        <v>17540.9</v>
      </c>
      <c r="N248" s="53" t="n">
        <f aca="false">D248*M248</f>
        <v>70163.6</v>
      </c>
      <c r="O248" s="54" t="n">
        <f aca="false">AVERAGE(G248,J248,M248)</f>
        <v>17236.7444444444</v>
      </c>
      <c r="P248" s="55" t="n">
        <f aca="false">E248*100/O248-100</f>
        <v>-0.510911122040966</v>
      </c>
      <c r="Q248" s="54" t="n">
        <f aca="false">D248*E248</f>
        <v>68594.72</v>
      </c>
      <c r="R248" s="56"/>
      <c r="T248" s="57" t="n">
        <f aca="false">ROUND(G248*100/O248-100,0)</f>
        <v>-0</v>
      </c>
      <c r="U248" s="57" t="n">
        <f aca="false">ROUND(J248*100/O248-100,0)</f>
        <v>-1</v>
      </c>
      <c r="V248" s="57" t="n">
        <f aca="false">ROUND(M248*100/O248-100,0)</f>
        <v>2</v>
      </c>
    </row>
    <row r="249" s="43" customFormat="true" ht="73.5" hidden="false" customHeight="true" outlineLevel="0" collapsed="false">
      <c r="A249" s="45" t="n">
        <v>238</v>
      </c>
      <c r="B249" s="46" t="s">
        <v>350</v>
      </c>
      <c r="C249" s="47" t="s">
        <v>25</v>
      </c>
      <c r="D249" s="48" t="n">
        <v>30</v>
      </c>
      <c r="E249" s="50" t="n">
        <v>1243.98</v>
      </c>
      <c r="F249" s="47" t="s">
        <v>27</v>
      </c>
      <c r="G249" s="52" t="n">
        <f aca="false">1554.7/1.2</f>
        <v>1295.58333333333</v>
      </c>
      <c r="H249" s="53" t="n">
        <f aca="false">D249*G249</f>
        <v>38867.5</v>
      </c>
      <c r="I249" s="53" t="s">
        <v>28</v>
      </c>
      <c r="J249" s="52" t="n">
        <v>1315.14</v>
      </c>
      <c r="K249" s="53" t="n">
        <f aca="false">D249*J249</f>
        <v>39454.2</v>
      </c>
      <c r="L249" s="48" t="s">
        <v>29</v>
      </c>
      <c r="M249" s="52" t="n">
        <v>1205.4</v>
      </c>
      <c r="N249" s="53" t="n">
        <f aca="false">D249*M249</f>
        <v>36162</v>
      </c>
      <c r="O249" s="54" t="n">
        <f aca="false">AVERAGE(G249,J249,M249)</f>
        <v>1272.04111111111</v>
      </c>
      <c r="P249" s="55" t="n">
        <f aca="false">E249*100/O249-100</f>
        <v>-2.20599089652066</v>
      </c>
      <c r="Q249" s="54" t="n">
        <f aca="false">D249*E249</f>
        <v>37319.4</v>
      </c>
      <c r="R249" s="56"/>
      <c r="T249" s="57" t="n">
        <f aca="false">ROUND(G249*100/O249-100,0)</f>
        <v>2</v>
      </c>
      <c r="U249" s="57" t="n">
        <f aca="false">ROUND(J249*100/O249-100,0)</f>
        <v>3</v>
      </c>
      <c r="V249" s="57" t="n">
        <f aca="false">ROUND(M249*100/O249-100,0)</f>
        <v>-5</v>
      </c>
    </row>
    <row r="250" s="43" customFormat="true" ht="73.5" hidden="false" customHeight="true" outlineLevel="0" collapsed="false">
      <c r="A250" s="45" t="n">
        <v>239</v>
      </c>
      <c r="B250" s="46" t="s">
        <v>351</v>
      </c>
      <c r="C250" s="47" t="s">
        <v>25</v>
      </c>
      <c r="D250" s="48" t="n">
        <v>28</v>
      </c>
      <c r="E250" s="50" t="n">
        <v>582.31</v>
      </c>
      <c r="F250" s="47" t="s">
        <v>27</v>
      </c>
      <c r="G250" s="52" t="n">
        <f aca="false">665.84/1.2</f>
        <v>554.866666666667</v>
      </c>
      <c r="H250" s="53" t="n">
        <f aca="false">D250*G250</f>
        <v>15536.2666666667</v>
      </c>
      <c r="I250" s="53" t="s">
        <v>28</v>
      </c>
      <c r="J250" s="52" t="n">
        <v>597.45</v>
      </c>
      <c r="K250" s="53" t="n">
        <f aca="false">D250*J250</f>
        <v>16728.6</v>
      </c>
      <c r="L250" s="48" t="s">
        <v>29</v>
      </c>
      <c r="M250" s="52" t="n">
        <v>611.65</v>
      </c>
      <c r="N250" s="53" t="n">
        <f aca="false">D250*M250</f>
        <v>17126.2</v>
      </c>
      <c r="O250" s="54" t="n">
        <f aca="false">AVERAGE(G250,J250,M250)</f>
        <v>587.988888888889</v>
      </c>
      <c r="P250" s="55" t="n">
        <f aca="false">E250*100/O250-100</f>
        <v>-0.96581568056844</v>
      </c>
      <c r="Q250" s="54" t="n">
        <f aca="false">D250*E250</f>
        <v>16304.68</v>
      </c>
      <c r="R250" s="56"/>
      <c r="T250" s="57" t="n">
        <f aca="false">ROUND(G250*100/O250-100,0)</f>
        <v>-6</v>
      </c>
      <c r="U250" s="57" t="n">
        <f aca="false">ROUND(J250*100/O250-100,0)</f>
        <v>2</v>
      </c>
      <c r="V250" s="57" t="n">
        <f aca="false">ROUND(M250*100/O250-100,0)</f>
        <v>4</v>
      </c>
    </row>
    <row r="251" s="43" customFormat="true" ht="73.5" hidden="false" customHeight="true" outlineLevel="0" collapsed="false">
      <c r="A251" s="45" t="n">
        <v>240</v>
      </c>
      <c r="B251" s="46" t="s">
        <v>352</v>
      </c>
      <c r="C251" s="47" t="s">
        <v>25</v>
      </c>
      <c r="D251" s="48" t="s">
        <v>353</v>
      </c>
      <c r="E251" s="50" t="n">
        <v>6401.45</v>
      </c>
      <c r="F251" s="47" t="s">
        <v>27</v>
      </c>
      <c r="G251" s="52" t="n">
        <f aca="false">7634.96/1.2</f>
        <v>6362.46666666667</v>
      </c>
      <c r="H251" s="53" t="n">
        <f aca="false">D251*G251</f>
        <v>101799.466666667</v>
      </c>
      <c r="I251" s="53" t="s">
        <v>28</v>
      </c>
      <c r="J251" s="52" t="n">
        <v>6500.77</v>
      </c>
      <c r="K251" s="53" t="n">
        <f aca="false">D251*J251</f>
        <v>104012.32</v>
      </c>
      <c r="L251" s="48" t="s">
        <v>29</v>
      </c>
      <c r="M251" s="52" t="n">
        <v>6412.9</v>
      </c>
      <c r="N251" s="53" t="n">
        <f aca="false">D251*M251</f>
        <v>102606.4</v>
      </c>
      <c r="O251" s="54" t="n">
        <f aca="false">AVERAGE(G251,J251,M251)</f>
        <v>6425.37888888889</v>
      </c>
      <c r="P251" s="55" t="n">
        <f aca="false">E251*100/O251-100</f>
        <v>-0.372412106782804</v>
      </c>
      <c r="Q251" s="54" t="n">
        <f aca="false">D251*E251</f>
        <v>102423.2</v>
      </c>
      <c r="R251" s="56"/>
      <c r="T251" s="57" t="n">
        <f aca="false">ROUND(G251*100/O251-100,0)</f>
        <v>-1</v>
      </c>
      <c r="U251" s="57" t="n">
        <f aca="false">ROUND(J251*100/O251-100,0)</f>
        <v>1</v>
      </c>
      <c r="V251" s="57" t="n">
        <f aca="false">ROUND(M251*100/O251-100,0)</f>
        <v>-0</v>
      </c>
    </row>
    <row r="252" s="43" customFormat="true" ht="73.5" hidden="false" customHeight="true" outlineLevel="0" collapsed="false">
      <c r="A252" s="45" t="n">
        <v>241</v>
      </c>
      <c r="B252" s="46" t="s">
        <v>354</v>
      </c>
      <c r="C252" s="47" t="s">
        <v>25</v>
      </c>
      <c r="D252" s="48" t="n">
        <v>9</v>
      </c>
      <c r="E252" s="50" t="n">
        <v>6620.5</v>
      </c>
      <c r="F252" s="47" t="s">
        <v>27</v>
      </c>
      <c r="G252" s="52" t="n">
        <f aca="false">7723.18/1.2</f>
        <v>6435.98333333333</v>
      </c>
      <c r="H252" s="53" t="n">
        <f aca="false">D252*G252</f>
        <v>57923.85</v>
      </c>
      <c r="I252" s="53" t="s">
        <v>28</v>
      </c>
      <c r="J252" s="52" t="n">
        <v>6705.7</v>
      </c>
      <c r="K252" s="53" t="n">
        <f aca="false">D252*J252</f>
        <v>60351.3</v>
      </c>
      <c r="L252" s="48" t="s">
        <v>29</v>
      </c>
      <c r="M252" s="52" t="n">
        <v>6944.66</v>
      </c>
      <c r="N252" s="53" t="n">
        <f aca="false">D252*M252</f>
        <v>62501.94</v>
      </c>
      <c r="O252" s="54" t="n">
        <f aca="false">AVERAGE(G252,J252,M252)</f>
        <v>6695.44777777778</v>
      </c>
      <c r="P252" s="55" t="n">
        <f aca="false">E252*100/O252-100</f>
        <v>-1.11938409894751</v>
      </c>
      <c r="Q252" s="54" t="n">
        <f aca="false">D252*E252</f>
        <v>59584.5</v>
      </c>
      <c r="R252" s="56"/>
      <c r="T252" s="57" t="n">
        <f aca="false">ROUND(G252*100/O252-100,0)</f>
        <v>-4</v>
      </c>
      <c r="U252" s="57" t="n">
        <f aca="false">ROUND(J252*100/O252-100,0)</f>
        <v>0</v>
      </c>
      <c r="V252" s="57" t="n">
        <f aca="false">ROUND(M252*100/O252-100,0)</f>
        <v>4</v>
      </c>
    </row>
    <row r="253" s="43" customFormat="true" ht="96.75" hidden="false" customHeight="true" outlineLevel="0" collapsed="false">
      <c r="A253" s="45" t="n">
        <v>242</v>
      </c>
      <c r="B253" s="46" t="s">
        <v>355</v>
      </c>
      <c r="C253" s="47" t="s">
        <v>25</v>
      </c>
      <c r="D253" s="48" t="s">
        <v>356</v>
      </c>
      <c r="E253" s="50" t="n">
        <v>17795.68</v>
      </c>
      <c r="F253" s="47" t="s">
        <v>27</v>
      </c>
      <c r="G253" s="52" t="n">
        <v>17031.56</v>
      </c>
      <c r="H253" s="53" t="n">
        <f aca="false">D253*G253</f>
        <v>323599.64</v>
      </c>
      <c r="I253" s="53" t="s">
        <v>28</v>
      </c>
      <c r="J253" s="52" t="n">
        <v>17950.8</v>
      </c>
      <c r="K253" s="53" t="n">
        <f aca="false">D253*J253</f>
        <v>341065.2</v>
      </c>
      <c r="L253" s="48" t="s">
        <v>29</v>
      </c>
      <c r="M253" s="52" t="n">
        <v>18500.4</v>
      </c>
      <c r="N253" s="53" t="n">
        <f aca="false">D253*M253</f>
        <v>351507.6</v>
      </c>
      <c r="O253" s="54" t="n">
        <f aca="false">AVERAGE(G253,J253,M253)</f>
        <v>17827.5866666667</v>
      </c>
      <c r="P253" s="55" t="n">
        <f aca="false">E253*100/O253-100</f>
        <v>-0.178973560825952</v>
      </c>
      <c r="Q253" s="54" t="n">
        <f aca="false">D253*E253</f>
        <v>338117.92</v>
      </c>
      <c r="R253" s="56"/>
      <c r="T253" s="57" t="n">
        <f aca="false">ROUND(G253*100/O253-100,0)</f>
        <v>-4</v>
      </c>
      <c r="U253" s="57" t="n">
        <f aca="false">ROUND(J253*100/O253-100,0)</f>
        <v>1</v>
      </c>
      <c r="V253" s="57" t="n">
        <f aca="false">ROUND(M253*100/O253-100,0)</f>
        <v>4</v>
      </c>
    </row>
    <row r="254" s="43" customFormat="true" ht="73.5" hidden="false" customHeight="true" outlineLevel="0" collapsed="false">
      <c r="A254" s="45" t="n">
        <v>243</v>
      </c>
      <c r="B254" s="46" t="s">
        <v>357</v>
      </c>
      <c r="C254" s="47" t="s">
        <v>25</v>
      </c>
      <c r="D254" s="48" t="n">
        <v>186</v>
      </c>
      <c r="E254" s="81" t="n">
        <v>6160.34</v>
      </c>
      <c r="F254" s="47" t="s">
        <v>27</v>
      </c>
      <c r="G254" s="52" t="n">
        <f aca="false">7116.72/1.2</f>
        <v>5930.6</v>
      </c>
      <c r="H254" s="53" t="n">
        <f aca="false">D254*G254</f>
        <v>1103091.6</v>
      </c>
      <c r="I254" s="53" t="s">
        <v>28</v>
      </c>
      <c r="J254" s="52" t="n">
        <v>6254.69</v>
      </c>
      <c r="K254" s="53" t="n">
        <f aca="false">D254*J254</f>
        <v>1163372.34</v>
      </c>
      <c r="L254" s="48" t="s">
        <v>29</v>
      </c>
      <c r="M254" s="52" t="n">
        <v>6411.33</v>
      </c>
      <c r="N254" s="53" t="n">
        <f aca="false">D254*M254</f>
        <v>1192507.38</v>
      </c>
      <c r="O254" s="54" t="n">
        <f aca="false">AVERAGE(G254,J254,M254)</f>
        <v>6198.87333333333</v>
      </c>
      <c r="P254" s="55" t="n">
        <f aca="false">E254*100/O254-100</f>
        <v>-0.621618337095654</v>
      </c>
      <c r="Q254" s="54" t="n">
        <f aca="false">D254*E254</f>
        <v>1145823.24</v>
      </c>
      <c r="R254" s="83" t="s">
        <v>487</v>
      </c>
      <c r="T254" s="57" t="n">
        <f aca="false">ROUND(G254*100/O254-100,0)</f>
        <v>-4</v>
      </c>
      <c r="U254" s="57" t="n">
        <f aca="false">ROUND(J254*100/O254-100,0)</f>
        <v>1</v>
      </c>
      <c r="V254" s="57" t="n">
        <f aca="false">ROUND(M254*100/O254-100,0)</f>
        <v>3</v>
      </c>
    </row>
    <row r="255" s="43" customFormat="true" ht="73.5" hidden="false" customHeight="true" outlineLevel="0" collapsed="false">
      <c r="A255" s="45" t="n">
        <v>244</v>
      </c>
      <c r="B255" s="46" t="s">
        <v>358</v>
      </c>
      <c r="C255" s="47" t="s">
        <v>25</v>
      </c>
      <c r="D255" s="48" t="n">
        <v>3</v>
      </c>
      <c r="E255" s="50" t="n">
        <v>803.64</v>
      </c>
      <c r="F255" s="47" t="s">
        <v>27</v>
      </c>
      <c r="G255" s="52" t="n">
        <f aca="false">977.24/1.2</f>
        <v>814.366666666667</v>
      </c>
      <c r="H255" s="53" t="n">
        <f aca="false">D255*G255</f>
        <v>2443.1</v>
      </c>
      <c r="I255" s="53" t="s">
        <v>28</v>
      </c>
      <c r="J255" s="52" t="n">
        <v>847.5</v>
      </c>
      <c r="K255" s="53" t="n">
        <f aca="false">D255*J255</f>
        <v>2542.5</v>
      </c>
      <c r="L255" s="48" t="s">
        <v>29</v>
      </c>
      <c r="M255" s="52" t="n">
        <v>802.4</v>
      </c>
      <c r="N255" s="53" t="n">
        <f aca="false">D255*M255</f>
        <v>2407.2</v>
      </c>
      <c r="O255" s="54" t="n">
        <f aca="false">AVERAGE(G255,J255,M255)</f>
        <v>821.422222222222</v>
      </c>
      <c r="P255" s="55" t="n">
        <f aca="false">E255*100/O255-100</f>
        <v>-2.16480900335461</v>
      </c>
      <c r="Q255" s="54" t="n">
        <f aca="false">D255*E255</f>
        <v>2410.92</v>
      </c>
      <c r="R255" s="56"/>
      <c r="T255" s="57" t="n">
        <f aca="false">ROUND(G255*100/O255-100,0)</f>
        <v>-1</v>
      </c>
      <c r="U255" s="57" t="n">
        <f aca="false">ROUND(J255*100/O255-100,0)</f>
        <v>3</v>
      </c>
      <c r="V255" s="57" t="n">
        <f aca="false">ROUND(M255*100/O255-100,0)</f>
        <v>-2</v>
      </c>
    </row>
    <row r="256" s="43" customFormat="true" ht="73.5" hidden="false" customHeight="true" outlineLevel="0" collapsed="false">
      <c r="A256" s="45" t="n">
        <v>245</v>
      </c>
      <c r="B256" s="46" t="s">
        <v>359</v>
      </c>
      <c r="C256" s="47" t="s">
        <v>25</v>
      </c>
      <c r="D256" s="48" t="n">
        <v>5</v>
      </c>
      <c r="E256" s="50" t="n">
        <v>6504.74</v>
      </c>
      <c r="F256" s="47" t="s">
        <v>27</v>
      </c>
      <c r="G256" s="52" t="n">
        <f aca="false">7779.68/1.2</f>
        <v>6483.06666666667</v>
      </c>
      <c r="H256" s="53" t="n">
        <f aca="false">D256*G256</f>
        <v>32415.3333333333</v>
      </c>
      <c r="I256" s="53" t="s">
        <v>28</v>
      </c>
      <c r="J256" s="52" t="n">
        <v>6402.14</v>
      </c>
      <c r="K256" s="53" t="n">
        <f aca="false">D256*J256</f>
        <v>32010.7</v>
      </c>
      <c r="L256" s="48" t="s">
        <v>29</v>
      </c>
      <c r="M256" s="52" t="n">
        <v>6755.82</v>
      </c>
      <c r="N256" s="53" t="n">
        <f aca="false">D256*M256</f>
        <v>33779.1</v>
      </c>
      <c r="O256" s="54" t="n">
        <f aca="false">AVERAGE(G256,J256,M256)</f>
        <v>6547.00888888889</v>
      </c>
      <c r="P256" s="55" t="n">
        <f aca="false">E256*100/O256-100</f>
        <v>-0.645621376207771</v>
      </c>
      <c r="Q256" s="54" t="n">
        <f aca="false">D256*E256</f>
        <v>32523.7</v>
      </c>
      <c r="R256" s="56"/>
      <c r="T256" s="57" t="n">
        <f aca="false">ROUND(G256*100/O256-100,0)</f>
        <v>-1</v>
      </c>
      <c r="U256" s="57" t="n">
        <f aca="false">ROUND(J256*100/O256-100,0)</f>
        <v>-2</v>
      </c>
      <c r="V256" s="57" t="n">
        <f aca="false">ROUND(M256*100/O256-100,0)</f>
        <v>3</v>
      </c>
    </row>
    <row r="257" s="43" customFormat="true" ht="73.5" hidden="false" customHeight="true" outlineLevel="0" collapsed="false">
      <c r="A257" s="45" t="n">
        <v>246</v>
      </c>
      <c r="B257" s="46" t="s">
        <v>360</v>
      </c>
      <c r="C257" s="47" t="s">
        <v>25</v>
      </c>
      <c r="D257" s="48" t="n">
        <v>26</v>
      </c>
      <c r="E257" s="50" t="n">
        <v>11227.31</v>
      </c>
      <c r="F257" s="47" t="s">
        <v>27</v>
      </c>
      <c r="G257" s="52" t="n">
        <f aca="false">13531.04/1.2</f>
        <v>11275.8666666667</v>
      </c>
      <c r="H257" s="53" t="n">
        <f aca="false">D257*G257</f>
        <v>293172.533333333</v>
      </c>
      <c r="I257" s="53" t="s">
        <v>28</v>
      </c>
      <c r="J257" s="52" t="n">
        <v>11489.66</v>
      </c>
      <c r="K257" s="53" t="n">
        <f aca="false">D257*J257</f>
        <v>298731.16</v>
      </c>
      <c r="L257" s="48" t="s">
        <v>29</v>
      </c>
      <c r="M257" s="52" t="n">
        <v>11020.45</v>
      </c>
      <c r="N257" s="53" t="n">
        <f aca="false">D257*M257</f>
        <v>286531.7</v>
      </c>
      <c r="O257" s="54" t="n">
        <f aca="false">AVERAGE(G257,J257,M257)</f>
        <v>11261.9922222222</v>
      </c>
      <c r="P257" s="55" t="n">
        <f aca="false">E257*100/O257-100</f>
        <v>-0.307958143975526</v>
      </c>
      <c r="Q257" s="54" t="n">
        <f aca="false">D257*E257</f>
        <v>291910.06</v>
      </c>
      <c r="R257" s="56"/>
      <c r="T257" s="57" t="n">
        <f aca="false">ROUND(G257*100/O257-100,0)</f>
        <v>0</v>
      </c>
      <c r="U257" s="57" t="n">
        <f aca="false">ROUND(J257*100/O257-100,0)</f>
        <v>2</v>
      </c>
      <c r="V257" s="57" t="n">
        <f aca="false">ROUND(M257*100/O257-100,0)</f>
        <v>-2</v>
      </c>
    </row>
    <row r="258" s="43" customFormat="true" ht="73.5" hidden="false" customHeight="true" outlineLevel="0" collapsed="false">
      <c r="A258" s="45" t="n">
        <v>247</v>
      </c>
      <c r="B258" s="46" t="s">
        <v>361</v>
      </c>
      <c r="C258" s="47" t="s">
        <v>25</v>
      </c>
      <c r="D258" s="48" t="n">
        <v>20</v>
      </c>
      <c r="E258" s="50" t="n">
        <v>13102.47</v>
      </c>
      <c r="F258" s="47" t="s">
        <v>27</v>
      </c>
      <c r="G258" s="52" t="n">
        <f aca="false">15620.43/1.2</f>
        <v>13017.025</v>
      </c>
      <c r="H258" s="53" t="n">
        <f aca="false">D258*G258</f>
        <v>260340.5</v>
      </c>
      <c r="I258" s="53" t="s">
        <v>28</v>
      </c>
      <c r="J258" s="52" t="n">
        <v>12950.42</v>
      </c>
      <c r="K258" s="53" t="n">
        <f aca="false">D258*J258</f>
        <v>259008.4</v>
      </c>
      <c r="L258" s="48" t="s">
        <v>29</v>
      </c>
      <c r="M258" s="52" t="n">
        <v>13451.61</v>
      </c>
      <c r="N258" s="53" t="n">
        <f aca="false">D258*M258</f>
        <v>269032.2</v>
      </c>
      <c r="O258" s="54" t="n">
        <f aca="false">AVERAGE(G258,J258,M258)</f>
        <v>13139.685</v>
      </c>
      <c r="P258" s="55" t="n">
        <f aca="false">E258*100/O258-100</f>
        <v>-0.283225967745793</v>
      </c>
      <c r="Q258" s="54" t="n">
        <f aca="false">D258*E258</f>
        <v>262049.4</v>
      </c>
      <c r="R258" s="56"/>
      <c r="T258" s="57" t="n">
        <f aca="false">ROUND(G258*100/O258-100,0)</f>
        <v>-1</v>
      </c>
      <c r="U258" s="57" t="n">
        <f aca="false">ROUND(J258*100/O258-100,0)</f>
        <v>-1</v>
      </c>
      <c r="V258" s="57" t="n">
        <f aca="false">ROUND(M258*100/O258-100,0)</f>
        <v>2</v>
      </c>
    </row>
    <row r="259" s="43" customFormat="true" ht="73.5" hidden="false" customHeight="true" outlineLevel="0" collapsed="false">
      <c r="A259" s="45" t="n">
        <v>248</v>
      </c>
      <c r="B259" s="46" t="s">
        <v>362</v>
      </c>
      <c r="C259" s="47" t="s">
        <v>25</v>
      </c>
      <c r="D259" s="48" t="n">
        <v>6</v>
      </c>
      <c r="E259" s="50" t="n">
        <v>9723.4</v>
      </c>
      <c r="F259" s="47" t="s">
        <v>27</v>
      </c>
      <c r="G259" s="52" t="n">
        <f aca="false">11643.9/1.2</f>
        <v>9703.25</v>
      </c>
      <c r="H259" s="53" t="n">
        <f aca="false">D259*G259</f>
        <v>58219.5</v>
      </c>
      <c r="I259" s="53" t="s">
        <v>28</v>
      </c>
      <c r="J259" s="52" t="n">
        <v>9670.9</v>
      </c>
      <c r="K259" s="53" t="n">
        <f aca="false">D259*J259</f>
        <v>58025.4</v>
      </c>
      <c r="L259" s="48" t="s">
        <v>29</v>
      </c>
      <c r="M259" s="52" t="n">
        <v>9977.47</v>
      </c>
      <c r="N259" s="53" t="n">
        <f aca="false">D259*M259</f>
        <v>59864.82</v>
      </c>
      <c r="O259" s="54" t="n">
        <f aca="false">AVERAGE(G259,J259,M259)</f>
        <v>9783.87333333333</v>
      </c>
      <c r="P259" s="55" t="n">
        <f aca="false">E259*100/O259-100</f>
        <v>-0.618091948587505</v>
      </c>
      <c r="Q259" s="54" t="n">
        <f aca="false">D259*E259</f>
        <v>58340.4</v>
      </c>
      <c r="R259" s="56"/>
      <c r="T259" s="57" t="n">
        <f aca="false">ROUND(G259*100/O259-100,0)</f>
        <v>-1</v>
      </c>
      <c r="U259" s="57" t="n">
        <f aca="false">ROUND(J259*100/O259-100,0)</f>
        <v>-1</v>
      </c>
      <c r="V259" s="57" t="n">
        <f aca="false">ROUND(M259*100/O259-100,0)</f>
        <v>2</v>
      </c>
    </row>
    <row r="260" s="43" customFormat="true" ht="73.5" hidden="false" customHeight="true" outlineLevel="0" collapsed="false">
      <c r="A260" s="45" t="n">
        <v>249</v>
      </c>
      <c r="B260" s="46" t="s">
        <v>363</v>
      </c>
      <c r="C260" s="47" t="s">
        <v>25</v>
      </c>
      <c r="D260" s="48" t="n">
        <v>7</v>
      </c>
      <c r="E260" s="50" t="n">
        <v>37685.88</v>
      </c>
      <c r="F260" s="47" t="s">
        <v>27</v>
      </c>
      <c r="G260" s="52" t="n">
        <f aca="false">45140.87/1.2</f>
        <v>37617.3916666667</v>
      </c>
      <c r="H260" s="53" t="n">
        <f aca="false">D260*G260</f>
        <v>263321.741666667</v>
      </c>
      <c r="I260" s="53" t="s">
        <v>28</v>
      </c>
      <c r="J260" s="52" t="n">
        <v>36970.31</v>
      </c>
      <c r="K260" s="53" t="n">
        <f aca="false">D260*J260</f>
        <v>258792.17</v>
      </c>
      <c r="L260" s="48" t="s">
        <v>29</v>
      </c>
      <c r="M260" s="52" t="n">
        <v>38780.3</v>
      </c>
      <c r="N260" s="53" t="n">
        <f aca="false">D260*M260</f>
        <v>271462.1</v>
      </c>
      <c r="O260" s="54" t="n">
        <f aca="false">AVERAGE(G260,J260,M260)</f>
        <v>37789.3338888889</v>
      </c>
      <c r="P260" s="55" t="n">
        <f aca="false">E260*100/O260-100</f>
        <v>-0.273764785569071</v>
      </c>
      <c r="Q260" s="54" t="n">
        <f aca="false">D260*E260</f>
        <v>263801.16</v>
      </c>
      <c r="R260" s="56"/>
      <c r="T260" s="57" t="n">
        <f aca="false">ROUND(G260*100/O260-100,0)</f>
        <v>-0</v>
      </c>
      <c r="U260" s="57" t="n">
        <f aca="false">ROUND(J260*100/O260-100,0)</f>
        <v>-2</v>
      </c>
      <c r="V260" s="57" t="n">
        <f aca="false">ROUND(M260*100/O260-100,0)</f>
        <v>3</v>
      </c>
    </row>
    <row r="261" s="43" customFormat="true" ht="73.5" hidden="false" customHeight="true" outlineLevel="0" collapsed="false">
      <c r="A261" s="45" t="n">
        <v>250</v>
      </c>
      <c r="B261" s="46" t="s">
        <v>364</v>
      </c>
      <c r="C261" s="47" t="s">
        <v>25</v>
      </c>
      <c r="D261" s="48" t="n">
        <v>96</v>
      </c>
      <c r="E261" s="50" t="n">
        <v>14297.31</v>
      </c>
      <c r="F261" s="47" t="s">
        <v>27</v>
      </c>
      <c r="G261" s="52" t="n">
        <f aca="false">16365.36/1.2</f>
        <v>13637.8</v>
      </c>
      <c r="H261" s="53" t="n">
        <f aca="false">D261*G261</f>
        <v>1309228.8</v>
      </c>
      <c r="I261" s="53" t="s">
        <v>28</v>
      </c>
      <c r="J261" s="52" t="n">
        <v>14945.88</v>
      </c>
      <c r="K261" s="53" t="n">
        <f aca="false">D261*J261</f>
        <v>1434804.48</v>
      </c>
      <c r="L261" s="48" t="s">
        <v>29</v>
      </c>
      <c r="M261" s="52" t="n">
        <v>14511.7</v>
      </c>
      <c r="N261" s="53" t="n">
        <f aca="false">D261*M261</f>
        <v>1393123.2</v>
      </c>
      <c r="O261" s="54" t="n">
        <f aca="false">AVERAGE(G261,J261,M261)</f>
        <v>14365.1266666667</v>
      </c>
      <c r="P261" s="55" t="n">
        <f aca="false">E261*100/O261-100</f>
        <v>-0.472092368137851</v>
      </c>
      <c r="Q261" s="54" t="n">
        <f aca="false">D261*E261</f>
        <v>1372541.76</v>
      </c>
      <c r="R261" s="56"/>
      <c r="T261" s="57" t="n">
        <f aca="false">ROUND(G261*100/O261-100,0)</f>
        <v>-5</v>
      </c>
      <c r="U261" s="57" t="n">
        <f aca="false">ROUND(J261*100/O261-100,0)</f>
        <v>4</v>
      </c>
      <c r="V261" s="57" t="n">
        <f aca="false">ROUND(M261*100/O261-100,0)</f>
        <v>1</v>
      </c>
    </row>
    <row r="262" s="43" customFormat="true" ht="73.5" hidden="false" customHeight="true" outlineLevel="0" collapsed="false">
      <c r="A262" s="45" t="n">
        <v>251</v>
      </c>
      <c r="B262" s="46" t="s">
        <v>365</v>
      </c>
      <c r="C262" s="47" t="s">
        <v>25</v>
      </c>
      <c r="D262" s="48" t="n">
        <v>20</v>
      </c>
      <c r="E262" s="50" t="n">
        <v>10989.9</v>
      </c>
      <c r="F262" s="47" t="s">
        <v>27</v>
      </c>
      <c r="G262" s="52" t="n">
        <f aca="false">12703.22/1.2</f>
        <v>10586.0166666667</v>
      </c>
      <c r="H262" s="53" t="n">
        <f aca="false">D262*G262</f>
        <v>211720.333333333</v>
      </c>
      <c r="I262" s="53" t="s">
        <v>28</v>
      </c>
      <c r="J262" s="52" t="n">
        <v>11600.4</v>
      </c>
      <c r="K262" s="53" t="n">
        <f aca="false">D262*J262</f>
        <v>232008</v>
      </c>
      <c r="L262" s="48" t="s">
        <v>29</v>
      </c>
      <c r="M262" s="52" t="n">
        <v>10945.3</v>
      </c>
      <c r="N262" s="53" t="n">
        <f aca="false">D262*M262</f>
        <v>218906</v>
      </c>
      <c r="O262" s="54" t="n">
        <f aca="false">AVERAGE(G262,J262,M262)</f>
        <v>11043.9055555556</v>
      </c>
      <c r="P262" s="55" t="n">
        <f aca="false">E262*100/O262-100</f>
        <v>-0.489007763457266</v>
      </c>
      <c r="Q262" s="54" t="n">
        <f aca="false">D262*E262</f>
        <v>219798</v>
      </c>
      <c r="R262" s="56"/>
      <c r="T262" s="57" t="n">
        <f aca="false">ROUND(G262*100/O262-100,0)</f>
        <v>-4</v>
      </c>
      <c r="U262" s="57" t="n">
        <f aca="false">ROUND(J262*100/O262-100,0)</f>
        <v>5</v>
      </c>
      <c r="V262" s="57" t="n">
        <f aca="false">ROUND(M262*100/O262-100,0)</f>
        <v>-1</v>
      </c>
    </row>
    <row r="263" s="43" customFormat="true" ht="73.5" hidden="false" customHeight="true" outlineLevel="0" collapsed="false">
      <c r="A263" s="45" t="n">
        <v>252</v>
      </c>
      <c r="B263" s="46" t="s">
        <v>366</v>
      </c>
      <c r="C263" s="47" t="s">
        <v>25</v>
      </c>
      <c r="D263" s="48" t="n">
        <v>2</v>
      </c>
      <c r="E263" s="50" t="n">
        <v>18180.7</v>
      </c>
      <c r="F263" s="47" t="s">
        <v>27</v>
      </c>
      <c r="G263" s="52" t="n">
        <f aca="false">20730.05/1.2</f>
        <v>17275.0416666667</v>
      </c>
      <c r="H263" s="53" t="n">
        <f aca="false">D263*G263</f>
        <v>34550.0833333333</v>
      </c>
      <c r="I263" s="53" t="s">
        <v>28</v>
      </c>
      <c r="J263" s="52" t="n">
        <v>18056.72</v>
      </c>
      <c r="K263" s="53" t="n">
        <f aca="false">D263*J263</f>
        <v>36113.44</v>
      </c>
      <c r="L263" s="48" t="s">
        <v>29</v>
      </c>
      <c r="M263" s="52" t="n">
        <v>19401.5</v>
      </c>
      <c r="N263" s="53" t="n">
        <f aca="false">D263*M263</f>
        <v>38803</v>
      </c>
      <c r="O263" s="54" t="n">
        <f aca="false">AVERAGE(G263,J263,M263)</f>
        <v>18244.4205555556</v>
      </c>
      <c r="P263" s="55" t="n">
        <f aca="false">E263*100/O263-100</f>
        <v>-0.349260506035378</v>
      </c>
      <c r="Q263" s="54" t="n">
        <f aca="false">D263*E263</f>
        <v>36361.4</v>
      </c>
      <c r="R263" s="56"/>
      <c r="T263" s="57" t="n">
        <f aca="false">ROUND(G263*100/O263-100,0)</f>
        <v>-5</v>
      </c>
      <c r="U263" s="57" t="n">
        <f aca="false">ROUND(J263*100/O263-100,0)</f>
        <v>-1</v>
      </c>
      <c r="V263" s="57" t="n">
        <f aca="false">ROUND(M263*100/O263-100,0)</f>
        <v>6</v>
      </c>
    </row>
    <row r="264" s="43" customFormat="true" ht="73.5" hidden="false" customHeight="true" outlineLevel="0" collapsed="false">
      <c r="A264" s="45" t="n">
        <v>253</v>
      </c>
      <c r="B264" s="46" t="s">
        <v>367</v>
      </c>
      <c r="C264" s="47" t="s">
        <v>25</v>
      </c>
      <c r="D264" s="48" t="n">
        <v>2</v>
      </c>
      <c r="E264" s="50" t="n">
        <v>15497.6</v>
      </c>
      <c r="F264" s="47" t="s">
        <v>27</v>
      </c>
      <c r="G264" s="52" t="n">
        <f aca="false">19032.94/1.2</f>
        <v>15860.7833333333</v>
      </c>
      <c r="H264" s="53" t="n">
        <f aca="false">D264*G264</f>
        <v>31721.5666666667</v>
      </c>
      <c r="I264" s="53" t="s">
        <v>28</v>
      </c>
      <c r="J264" s="52" t="n">
        <v>15002.64</v>
      </c>
      <c r="K264" s="53" t="n">
        <f aca="false">D264*J264</f>
        <v>30005.28</v>
      </c>
      <c r="L264" s="48" t="s">
        <v>29</v>
      </c>
      <c r="M264" s="52" t="n">
        <v>16200.7</v>
      </c>
      <c r="N264" s="53" t="n">
        <f aca="false">D264*M264</f>
        <v>32401.4</v>
      </c>
      <c r="O264" s="54" t="n">
        <f aca="false">AVERAGE(G264,J264,M264)</f>
        <v>15688.0411111111</v>
      </c>
      <c r="P264" s="55" t="n">
        <f aca="false">E264*100/O264-100</f>
        <v>-1.21392537004655</v>
      </c>
      <c r="Q264" s="54" t="n">
        <f aca="false">D264*E264</f>
        <v>30995.2</v>
      </c>
      <c r="R264" s="56"/>
      <c r="T264" s="57" t="n">
        <f aca="false">ROUND(G264*100/O264-100,0)</f>
        <v>1</v>
      </c>
      <c r="U264" s="57" t="n">
        <f aca="false">ROUND(J264*100/O264-100,0)</f>
        <v>-4</v>
      </c>
      <c r="V264" s="57" t="n">
        <f aca="false">ROUND(M264*100/O264-100,0)</f>
        <v>3</v>
      </c>
    </row>
    <row r="265" s="43" customFormat="true" ht="73.5" hidden="false" customHeight="true" outlineLevel="0" collapsed="false">
      <c r="A265" s="45" t="n">
        <v>254</v>
      </c>
      <c r="B265" s="46" t="s">
        <v>368</v>
      </c>
      <c r="C265" s="47" t="s">
        <v>25</v>
      </c>
      <c r="D265" s="48" t="n">
        <v>16</v>
      </c>
      <c r="E265" s="50" t="n">
        <v>16602.1</v>
      </c>
      <c r="F265" s="47" t="s">
        <v>27</v>
      </c>
      <c r="G265" s="52" t="n">
        <f aca="false">19411.67/1.2</f>
        <v>16176.3916666667</v>
      </c>
      <c r="H265" s="53" t="n">
        <f aca="false">D265*G265</f>
        <v>258822.266666667</v>
      </c>
      <c r="I265" s="53" t="s">
        <v>28</v>
      </c>
      <c r="J265" s="52" t="n">
        <v>17921.59</v>
      </c>
      <c r="K265" s="53" t="n">
        <f aca="false">D265*J265</f>
        <v>286745.44</v>
      </c>
      <c r="L265" s="48" t="s">
        <v>29</v>
      </c>
      <c r="M265" s="52" t="n">
        <v>15947.3</v>
      </c>
      <c r="N265" s="53" t="n">
        <f aca="false">D265*M265</f>
        <v>255156.8</v>
      </c>
      <c r="O265" s="54" t="n">
        <f aca="false">AVERAGE(G265,J265,M265)</f>
        <v>16681.7605555556</v>
      </c>
      <c r="P265" s="55" t="n">
        <f aca="false">E265*100/O265-100</f>
        <v>-0.477530865463876</v>
      </c>
      <c r="Q265" s="54" t="n">
        <f aca="false">D265*E265</f>
        <v>265633.6</v>
      </c>
      <c r="R265" s="56"/>
      <c r="T265" s="57" t="n">
        <f aca="false">ROUND(G265*100/O265-100,0)</f>
        <v>-3</v>
      </c>
      <c r="U265" s="57" t="n">
        <f aca="false">ROUND(J265*100/O265-100,0)</f>
        <v>7</v>
      </c>
      <c r="V265" s="57" t="n">
        <f aca="false">ROUND(M265*100/O265-100,0)</f>
        <v>-4</v>
      </c>
    </row>
    <row r="266" s="43" customFormat="true" ht="73.5" hidden="false" customHeight="true" outlineLevel="0" collapsed="false">
      <c r="A266" s="45" t="n">
        <v>255</v>
      </c>
      <c r="B266" s="46" t="s">
        <v>369</v>
      </c>
      <c r="C266" s="47" t="s">
        <v>25</v>
      </c>
      <c r="D266" s="48" t="n">
        <v>6</v>
      </c>
      <c r="E266" s="50" t="n">
        <v>16354.78</v>
      </c>
      <c r="F266" s="47" t="s">
        <v>27</v>
      </c>
      <c r="G266" s="52" t="n">
        <f aca="false">19299.98/1.2</f>
        <v>16083.3166666667</v>
      </c>
      <c r="H266" s="53" t="n">
        <f aca="false">D266*G266</f>
        <v>96499.9</v>
      </c>
      <c r="I266" s="53" t="s">
        <v>28</v>
      </c>
      <c r="J266" s="52" t="n">
        <v>16400.67</v>
      </c>
      <c r="K266" s="53" t="n">
        <f aca="false">D266*J266</f>
        <v>98404.02</v>
      </c>
      <c r="L266" s="48" t="s">
        <v>29</v>
      </c>
      <c r="M266" s="52" t="n">
        <v>17011.88</v>
      </c>
      <c r="N266" s="53" t="n">
        <f aca="false">D266*M266</f>
        <v>102071.28</v>
      </c>
      <c r="O266" s="54" t="n">
        <f aca="false">AVERAGE(G266,J266,M266)</f>
        <v>16498.6222222222</v>
      </c>
      <c r="P266" s="55" t="n">
        <f aca="false">E266*100/O266-100</f>
        <v>-0.871843844199802</v>
      </c>
      <c r="Q266" s="54" t="n">
        <f aca="false">D266*E266</f>
        <v>98128.68</v>
      </c>
      <c r="R266" s="56"/>
      <c r="T266" s="57" t="n">
        <f aca="false">ROUND(G266*100/O266-100,0)</f>
        <v>-3</v>
      </c>
      <c r="U266" s="57" t="n">
        <f aca="false">ROUND(J266*100/O266-100,0)</f>
        <v>-1</v>
      </c>
      <c r="V266" s="57" t="n">
        <f aca="false">ROUND(M266*100/O266-100,0)</f>
        <v>3</v>
      </c>
    </row>
    <row r="267" s="43" customFormat="true" ht="73.5" hidden="false" customHeight="true" outlineLevel="0" collapsed="false">
      <c r="A267" s="45" t="n">
        <v>256</v>
      </c>
      <c r="B267" s="46" t="s">
        <v>370</v>
      </c>
      <c r="C267" s="47" t="s">
        <v>25</v>
      </c>
      <c r="D267" s="48" t="n">
        <v>1</v>
      </c>
      <c r="E267" s="50" t="n">
        <v>25020.5</v>
      </c>
      <c r="F267" s="47" t="s">
        <v>27</v>
      </c>
      <c r="G267" s="52" t="n">
        <f aca="false">28803.13/1.2</f>
        <v>24002.6083333333</v>
      </c>
      <c r="H267" s="53" t="n">
        <f aca="false">D267*G267</f>
        <v>24002.6083333333</v>
      </c>
      <c r="I267" s="53" t="s">
        <v>28</v>
      </c>
      <c r="J267" s="52" t="n">
        <v>26007.32</v>
      </c>
      <c r="K267" s="53" t="n">
        <f aca="false">D267*J267</f>
        <v>26007.32</v>
      </c>
      <c r="L267" s="48" t="s">
        <v>29</v>
      </c>
      <c r="M267" s="52" t="n">
        <v>25452.45</v>
      </c>
      <c r="N267" s="53" t="n">
        <f aca="false">D267*M267</f>
        <v>25452.45</v>
      </c>
      <c r="O267" s="54" t="n">
        <f aca="false">AVERAGE(G267,J267,M267)</f>
        <v>25154.1261111111</v>
      </c>
      <c r="P267" s="55" t="n">
        <f aca="false">E267*100/O267-100</f>
        <v>-0.53122939163481</v>
      </c>
      <c r="Q267" s="54" t="n">
        <f aca="false">D267*E267</f>
        <v>25020.5</v>
      </c>
      <c r="R267" s="56"/>
      <c r="T267" s="57" t="n">
        <f aca="false">ROUND(G267*100/O267-100,0)</f>
        <v>-5</v>
      </c>
      <c r="U267" s="57" t="n">
        <f aca="false">ROUND(J267*100/O267-100,0)</f>
        <v>3</v>
      </c>
      <c r="V267" s="57" t="n">
        <f aca="false">ROUND(M267*100/O267-100,0)</f>
        <v>1</v>
      </c>
    </row>
    <row r="268" s="43" customFormat="true" ht="73.5" hidden="false" customHeight="true" outlineLevel="0" collapsed="false">
      <c r="A268" s="45" t="n">
        <v>257</v>
      </c>
      <c r="B268" s="46" t="s">
        <v>371</v>
      </c>
      <c r="C268" s="47" t="s">
        <v>25</v>
      </c>
      <c r="D268" s="48" t="s">
        <v>372</v>
      </c>
      <c r="E268" s="50" t="n">
        <v>10970.42</v>
      </c>
      <c r="F268" s="47" t="s">
        <v>27</v>
      </c>
      <c r="G268" s="52" t="n">
        <f aca="false">12771.25/1.2</f>
        <v>10642.7083333333</v>
      </c>
      <c r="H268" s="53" t="n">
        <f aca="false">D268*G268</f>
        <v>2586178.125</v>
      </c>
      <c r="I268" s="53" t="s">
        <v>28</v>
      </c>
      <c r="J268" s="52" t="n">
        <v>11023.45</v>
      </c>
      <c r="K268" s="53" t="n">
        <f aca="false">D268*J268</f>
        <v>2678698.35</v>
      </c>
      <c r="L268" s="48" t="s">
        <v>29</v>
      </c>
      <c r="M268" s="52" t="n">
        <v>11452.6</v>
      </c>
      <c r="N268" s="53" t="n">
        <f aca="false">D268*M268</f>
        <v>2782981.8</v>
      </c>
      <c r="O268" s="54" t="n">
        <f aca="false">AVERAGE(G268,J268,M268)</f>
        <v>11039.5861111111</v>
      </c>
      <c r="P268" s="55" t="n">
        <f aca="false">E268*100/O268-100</f>
        <v>-0.626528118128405</v>
      </c>
      <c r="Q268" s="54" t="n">
        <f aca="false">D268*E268</f>
        <v>2665812.06</v>
      </c>
      <c r="R268" s="56"/>
      <c r="T268" s="57" t="n">
        <f aca="false">ROUND(G268*100/O268-100,0)</f>
        <v>-4</v>
      </c>
      <c r="U268" s="57" t="n">
        <f aca="false">ROUND(J268*100/O268-100,0)</f>
        <v>-0</v>
      </c>
      <c r="V268" s="57" t="n">
        <f aca="false">ROUND(M268*100/O268-100,0)</f>
        <v>4</v>
      </c>
    </row>
    <row r="269" s="43" customFormat="true" ht="73.5" hidden="false" customHeight="true" outlineLevel="0" collapsed="false">
      <c r="A269" s="45" t="n">
        <v>258</v>
      </c>
      <c r="B269" s="46" t="s">
        <v>373</v>
      </c>
      <c r="C269" s="47" t="s">
        <v>45</v>
      </c>
      <c r="D269" s="48" t="s">
        <v>374</v>
      </c>
      <c r="E269" s="50" t="n">
        <v>3441.15</v>
      </c>
      <c r="F269" s="47" t="s">
        <v>375</v>
      </c>
      <c r="G269" s="52" t="n">
        <f aca="false">3619/1.2</f>
        <v>3015.83333333333</v>
      </c>
      <c r="H269" s="53" t="n">
        <f aca="false">D269*G269</f>
        <v>15682.3333333333</v>
      </c>
      <c r="I269" s="47" t="s">
        <v>376</v>
      </c>
      <c r="J269" s="52" t="n">
        <v>3316.67</v>
      </c>
      <c r="K269" s="53" t="n">
        <f aca="false">D269*J269</f>
        <v>17246.684</v>
      </c>
      <c r="L269" s="47" t="s">
        <v>377</v>
      </c>
      <c r="M269" s="52" t="n">
        <f aca="false">4800/1.2</f>
        <v>4000</v>
      </c>
      <c r="N269" s="53" t="n">
        <f aca="false">D269*M269</f>
        <v>20800</v>
      </c>
      <c r="O269" s="54" t="n">
        <f aca="false">AVERAGE(G269,J269,M269)</f>
        <v>3444.16777777778</v>
      </c>
      <c r="P269" s="55" t="n">
        <f aca="false">E269*100/O269-100</f>
        <v>-0.087619941085606</v>
      </c>
      <c r="Q269" s="54" t="n">
        <f aca="false">D269*E269</f>
        <v>17893.98</v>
      </c>
      <c r="R269" s="72"/>
      <c r="T269" s="57" t="n">
        <f aca="false">ROUND(G269*100/O269-100,0)</f>
        <v>-12</v>
      </c>
      <c r="U269" s="57" t="n">
        <f aca="false">ROUND(J269*100/O269-100,0)</f>
        <v>-4</v>
      </c>
      <c r="V269" s="57" t="n">
        <f aca="false">ROUND(M269*100/O269-100,0)</f>
        <v>16</v>
      </c>
    </row>
    <row r="270" s="43" customFormat="true" ht="73.5" hidden="false" customHeight="true" outlineLevel="0" collapsed="false">
      <c r="A270" s="45" t="n">
        <v>259</v>
      </c>
      <c r="B270" s="46" t="s">
        <v>378</v>
      </c>
      <c r="C270" s="47" t="s">
        <v>323</v>
      </c>
      <c r="D270" s="48" t="n">
        <v>0.008</v>
      </c>
      <c r="E270" s="50" t="n">
        <v>411502.5</v>
      </c>
      <c r="F270" s="53" t="s">
        <v>68</v>
      </c>
      <c r="G270" s="52" t="n">
        <f aca="false">498040.45/1.2</f>
        <v>415033.708333333</v>
      </c>
      <c r="H270" s="53" t="n">
        <f aca="false">D270*G270</f>
        <v>3320.26966666667</v>
      </c>
      <c r="I270" s="47" t="s">
        <v>67</v>
      </c>
      <c r="J270" s="52" t="n">
        <f aca="false">503.49/1.2*1000</f>
        <v>419575</v>
      </c>
      <c r="K270" s="53" t="n">
        <f aca="false">D270*J270</f>
        <v>3356.6</v>
      </c>
      <c r="L270" s="47" t="s">
        <v>272</v>
      </c>
      <c r="M270" s="52" t="n">
        <v>412432.5</v>
      </c>
      <c r="N270" s="53" t="n">
        <f aca="false">D270*M270</f>
        <v>3299.46</v>
      </c>
      <c r="O270" s="54" t="n">
        <f aca="false">AVERAGE(G270,J270,M270)</f>
        <v>415680.402777778</v>
      </c>
      <c r="P270" s="55" t="n">
        <f aca="false">E270*100/O270-100</f>
        <v>-1.00507571438514</v>
      </c>
      <c r="Q270" s="54" t="n">
        <f aca="false">D270*E270</f>
        <v>3292.02</v>
      </c>
      <c r="R270" s="56"/>
      <c r="T270" s="57" t="n">
        <f aca="false">ROUND(G270*100/O270-100,0)</f>
        <v>-0</v>
      </c>
      <c r="U270" s="57" t="n">
        <f aca="false">ROUND(J270*100/O270-100,0)</f>
        <v>1</v>
      </c>
      <c r="V270" s="57" t="n">
        <f aca="false">ROUND(M270*100/O270-100,0)</f>
        <v>-1</v>
      </c>
    </row>
    <row r="271" s="43" customFormat="true" ht="73.5" hidden="false" customHeight="true" outlineLevel="0" collapsed="false">
      <c r="A271" s="45" t="n">
        <v>260</v>
      </c>
      <c r="B271" s="46" t="s">
        <v>379</v>
      </c>
      <c r="C271" s="47" t="s">
        <v>25</v>
      </c>
      <c r="D271" s="48" t="n">
        <v>20</v>
      </c>
      <c r="E271" s="50" t="n">
        <v>28.03</v>
      </c>
      <c r="F271" s="47" t="s">
        <v>27</v>
      </c>
      <c r="G271" s="52" t="n">
        <f aca="false">30.27/1.2</f>
        <v>25.225</v>
      </c>
      <c r="H271" s="53" t="n">
        <f aca="false">D271*G271</f>
        <v>504.5</v>
      </c>
      <c r="I271" s="53" t="s">
        <v>28</v>
      </c>
      <c r="J271" s="52" t="n">
        <v>29.45</v>
      </c>
      <c r="K271" s="53" t="n">
        <f aca="false">D271*J271</f>
        <v>589</v>
      </c>
      <c r="L271" s="48" t="s">
        <v>29</v>
      </c>
      <c r="M271" s="52" t="n">
        <v>31.7</v>
      </c>
      <c r="N271" s="53" t="n">
        <f aca="false">D271*M271</f>
        <v>634</v>
      </c>
      <c r="O271" s="54" t="n">
        <f aca="false">AVERAGE(G271,J271,M271)</f>
        <v>28.7916666666667</v>
      </c>
      <c r="P271" s="55" t="n">
        <f aca="false">E271*100/O271-100</f>
        <v>-2.64544138929088</v>
      </c>
      <c r="Q271" s="54" t="n">
        <f aca="false">D271*E271</f>
        <v>560.6</v>
      </c>
      <c r="R271" s="56"/>
      <c r="T271" s="57" t="n">
        <f aca="false">ROUND(G271*100/O271-100,0)</f>
        <v>-12</v>
      </c>
      <c r="U271" s="57" t="n">
        <f aca="false">ROUND(J271*100/O271-100,0)</f>
        <v>2</v>
      </c>
      <c r="V271" s="57" t="n">
        <f aca="false">ROUND(M271*100/O271-100,0)</f>
        <v>10</v>
      </c>
    </row>
    <row r="272" s="43" customFormat="true" ht="73.5" hidden="false" customHeight="true" outlineLevel="0" collapsed="false">
      <c r="A272" s="45" t="n">
        <v>261</v>
      </c>
      <c r="B272" s="46" t="s">
        <v>380</v>
      </c>
      <c r="C272" s="47" t="s">
        <v>381</v>
      </c>
      <c r="D272" s="48" t="n">
        <v>2</v>
      </c>
      <c r="E272" s="50" t="n">
        <v>41590.2</v>
      </c>
      <c r="F272" s="47" t="s">
        <v>90</v>
      </c>
      <c r="G272" s="52" t="n">
        <f aca="false">51705.01/1.2</f>
        <v>43087.5083333333</v>
      </c>
      <c r="H272" s="53" t="n">
        <f aca="false">D272*G272</f>
        <v>86175.0166666667</v>
      </c>
      <c r="I272" s="47" t="s">
        <v>46</v>
      </c>
      <c r="J272" s="52" t="n">
        <v>41393.25</v>
      </c>
      <c r="K272" s="53" t="n">
        <f aca="false">D272*J272</f>
        <v>82786.5</v>
      </c>
      <c r="L272" s="47" t="s">
        <v>58</v>
      </c>
      <c r="M272" s="52" t="n">
        <v>40981.06</v>
      </c>
      <c r="N272" s="53" t="n">
        <f aca="false">D272*M272</f>
        <v>81962.12</v>
      </c>
      <c r="O272" s="54" t="n">
        <f aca="false">AVERAGE(G272,J272,M272)</f>
        <v>41820.6061111111</v>
      </c>
      <c r="P272" s="55" t="n">
        <f aca="false">E272*100/O272-100</f>
        <v>-0.550939196096209</v>
      </c>
      <c r="Q272" s="54" t="n">
        <f aca="false">D272*E272</f>
        <v>83180.4</v>
      </c>
      <c r="R272" s="56"/>
      <c r="T272" s="57" t="n">
        <f aca="false">ROUND(G272*100/O272-100,0)</f>
        <v>3</v>
      </c>
      <c r="U272" s="57" t="n">
        <f aca="false">ROUND(J272*100/O272-100,0)</f>
        <v>-1</v>
      </c>
      <c r="V272" s="57" t="n">
        <f aca="false">ROUND(M272*100/O272-100,0)</f>
        <v>-2</v>
      </c>
    </row>
    <row r="273" s="43" customFormat="true" ht="73.5" hidden="false" customHeight="true" outlineLevel="0" collapsed="false">
      <c r="A273" s="45" t="n">
        <v>262</v>
      </c>
      <c r="B273" s="46" t="s">
        <v>382</v>
      </c>
      <c r="C273" s="47" t="s">
        <v>383</v>
      </c>
      <c r="D273" s="48" t="n">
        <v>20</v>
      </c>
      <c r="E273" s="50" t="n">
        <v>1778.52</v>
      </c>
      <c r="F273" s="47" t="s">
        <v>27</v>
      </c>
      <c r="G273" s="52" t="n">
        <f aca="false">2098.33/1.2</f>
        <v>1748.60833333333</v>
      </c>
      <c r="H273" s="53" t="n">
        <f aca="false">D273*G273</f>
        <v>34972.1666666667</v>
      </c>
      <c r="I273" s="53" t="s">
        <v>28</v>
      </c>
      <c r="J273" s="52" t="n">
        <v>1845.6</v>
      </c>
      <c r="K273" s="53" t="n">
        <f aca="false">D273*J273</f>
        <v>36912</v>
      </c>
      <c r="L273" s="48" t="s">
        <v>29</v>
      </c>
      <c r="M273" s="52" t="n">
        <v>1795.33</v>
      </c>
      <c r="N273" s="53" t="n">
        <f aca="false">D273*M273</f>
        <v>35906.6</v>
      </c>
      <c r="O273" s="54" t="n">
        <f aca="false">AVERAGE(G273,J273,M273)</f>
        <v>1796.51277777778</v>
      </c>
      <c r="P273" s="55" t="n">
        <f aca="false">E273*100/O273-100</f>
        <v>-1.00153909286603</v>
      </c>
      <c r="Q273" s="54" t="n">
        <f aca="false">D273*E273</f>
        <v>35570.4</v>
      </c>
      <c r="R273" s="62" t="s">
        <v>116</v>
      </c>
      <c r="T273" s="57" t="n">
        <f aca="false">ROUND(G273*100/O273-100,0)</f>
        <v>-3</v>
      </c>
      <c r="U273" s="57" t="n">
        <f aca="false">ROUND(J273*100/O273-100,0)</f>
        <v>3</v>
      </c>
      <c r="V273" s="57" t="n">
        <f aca="false">ROUND(M273*100/O273-100,0)</f>
        <v>-0</v>
      </c>
    </row>
    <row r="274" s="43" customFormat="true" ht="73.5" hidden="false" customHeight="true" outlineLevel="0" collapsed="false">
      <c r="A274" s="45" t="n">
        <v>263</v>
      </c>
      <c r="B274" s="46" t="s">
        <v>384</v>
      </c>
      <c r="C274" s="47" t="s">
        <v>323</v>
      </c>
      <c r="D274" s="48" t="n">
        <v>18</v>
      </c>
      <c r="E274" s="50" t="n">
        <v>181054.64</v>
      </c>
      <c r="F274" s="53" t="s">
        <v>90</v>
      </c>
      <c r="G274" s="52" t="n">
        <v>185520</v>
      </c>
      <c r="H274" s="53" t="n">
        <f aca="false">D274*G274</f>
        <v>3339360</v>
      </c>
      <c r="I274" s="47" t="s">
        <v>385</v>
      </c>
      <c r="J274" s="52" t="n">
        <v>179571</v>
      </c>
      <c r="K274" s="53" t="n">
        <f aca="false">D274*J274</f>
        <v>3232278</v>
      </c>
      <c r="L274" s="47" t="s">
        <v>386</v>
      </c>
      <c r="M274" s="52" t="n">
        <v>179000</v>
      </c>
      <c r="N274" s="53" t="n">
        <f aca="false">D274*M274</f>
        <v>3222000</v>
      </c>
      <c r="O274" s="54" t="n">
        <f aca="false">AVERAGE(G274,J274,M274)</f>
        <v>181363.666666667</v>
      </c>
      <c r="P274" s="55" t="n">
        <f aca="false">E274*100/O274-100</f>
        <v>-0.170390614805243</v>
      </c>
      <c r="Q274" s="54" t="n">
        <f aca="false">D274*E274</f>
        <v>3258983.52</v>
      </c>
      <c r="R274" s="56"/>
      <c r="T274" s="57" t="n">
        <f aca="false">ROUND(G274*100/O274-100,0)</f>
        <v>2</v>
      </c>
      <c r="U274" s="57" t="n">
        <f aca="false">ROUND(J274*100/O274-100,0)</f>
        <v>-1</v>
      </c>
      <c r="V274" s="57" t="n">
        <f aca="false">ROUND(M274*100/O274-100,0)</f>
        <v>-1</v>
      </c>
    </row>
    <row r="275" s="43" customFormat="true" ht="73.5" hidden="false" customHeight="true" outlineLevel="0" collapsed="false">
      <c r="A275" s="45" t="n">
        <v>264</v>
      </c>
      <c r="B275" s="46" t="s">
        <v>387</v>
      </c>
      <c r="C275" s="47" t="s">
        <v>25</v>
      </c>
      <c r="D275" s="48" t="n">
        <v>48</v>
      </c>
      <c r="E275" s="50" t="n">
        <v>902.6</v>
      </c>
      <c r="F275" s="47" t="s">
        <v>56</v>
      </c>
      <c r="G275" s="52" t="n">
        <v>921.12</v>
      </c>
      <c r="H275" s="53" t="n">
        <f aca="false">D275*G275</f>
        <v>44213.76</v>
      </c>
      <c r="I275" s="47" t="s">
        <v>57</v>
      </c>
      <c r="J275" s="52" t="n">
        <v>899.34</v>
      </c>
      <c r="K275" s="53" t="n">
        <f aca="false">D275*J275</f>
        <v>43168.32</v>
      </c>
      <c r="L275" s="53" t="s">
        <v>68</v>
      </c>
      <c r="M275" s="52" t="n">
        <v>925.7</v>
      </c>
      <c r="N275" s="53" t="n">
        <f aca="false">D275*M275</f>
        <v>44433.6</v>
      </c>
      <c r="O275" s="54" t="n">
        <f aca="false">AVERAGE(G275,J275,M275)</f>
        <v>915.386666666667</v>
      </c>
      <c r="P275" s="55" t="n">
        <f aca="false">E275*100/O275-100</f>
        <v>-1.39685961488041</v>
      </c>
      <c r="Q275" s="54" t="n">
        <f aca="false">D275*E275</f>
        <v>43324.8</v>
      </c>
      <c r="R275" s="56"/>
      <c r="T275" s="57" t="n">
        <f aca="false">ROUND(G275*100/O275-100,0)</f>
        <v>1</v>
      </c>
      <c r="U275" s="57" t="n">
        <f aca="false">ROUND(J275*100/O275-100,0)</f>
        <v>-2</v>
      </c>
      <c r="V275" s="57" t="n">
        <f aca="false">ROUND(M275*100/O275-100,0)</f>
        <v>1</v>
      </c>
    </row>
    <row r="276" s="43" customFormat="true" ht="73.5" hidden="false" customHeight="true" outlineLevel="0" collapsed="false">
      <c r="A276" s="45" t="n">
        <v>265</v>
      </c>
      <c r="B276" s="46" t="s">
        <v>388</v>
      </c>
      <c r="C276" s="47" t="s">
        <v>25</v>
      </c>
      <c r="D276" s="48" t="n">
        <v>40</v>
      </c>
      <c r="E276" s="50" t="n">
        <v>835.7</v>
      </c>
      <c r="F276" s="47" t="s">
        <v>56</v>
      </c>
      <c r="G276" s="52" t="n">
        <v>811.5</v>
      </c>
      <c r="H276" s="53" t="n">
        <f aca="false">D276*G276</f>
        <v>32460</v>
      </c>
      <c r="I276" s="47" t="s">
        <v>57</v>
      </c>
      <c r="J276" s="52" t="n">
        <v>889.61</v>
      </c>
      <c r="K276" s="53" t="n">
        <f aca="false">D276*J276</f>
        <v>35584.4</v>
      </c>
      <c r="L276" s="53" t="s">
        <v>68</v>
      </c>
      <c r="M276" s="52" t="n">
        <v>825.3</v>
      </c>
      <c r="N276" s="53" t="n">
        <f aca="false">D276*M276</f>
        <v>33012</v>
      </c>
      <c r="O276" s="54" t="n">
        <f aca="false">AVERAGE(G276,J276,M276)</f>
        <v>842.136666666667</v>
      </c>
      <c r="P276" s="55" t="n">
        <f aca="false">E276*100/O276-100</f>
        <v>-0.764325663688794</v>
      </c>
      <c r="Q276" s="54" t="n">
        <f aca="false">D276*E276</f>
        <v>33428</v>
      </c>
      <c r="R276" s="56"/>
      <c r="T276" s="57" t="n">
        <f aca="false">ROUND(G276*100/O276-100,0)</f>
        <v>-4</v>
      </c>
      <c r="U276" s="57" t="n">
        <f aca="false">ROUND(J276*100/O276-100,0)</f>
        <v>6</v>
      </c>
      <c r="V276" s="57" t="n">
        <f aca="false">ROUND(M276*100/O276-100,0)</f>
        <v>-2</v>
      </c>
    </row>
    <row r="277" s="43" customFormat="true" ht="73.5" hidden="false" customHeight="true" outlineLevel="0" collapsed="false">
      <c r="A277" s="45" t="n">
        <v>266</v>
      </c>
      <c r="B277" s="46" t="s">
        <v>389</v>
      </c>
      <c r="C277" s="47" t="s">
        <v>390</v>
      </c>
      <c r="D277" s="48" t="n">
        <v>21</v>
      </c>
      <c r="E277" s="50" t="n">
        <v>856.33</v>
      </c>
      <c r="F277" s="47" t="s">
        <v>27</v>
      </c>
      <c r="G277" s="52" t="n">
        <f aca="false">988.3/1.2</f>
        <v>823.583333333333</v>
      </c>
      <c r="H277" s="53" t="n">
        <f aca="false">D277*G277</f>
        <v>17295.25</v>
      </c>
      <c r="I277" s="53" t="s">
        <v>28</v>
      </c>
      <c r="J277" s="52" t="n">
        <v>897.61</v>
      </c>
      <c r="K277" s="53" t="n">
        <f aca="false">D277*J277</f>
        <v>18849.81</v>
      </c>
      <c r="L277" s="48" t="s">
        <v>29</v>
      </c>
      <c r="M277" s="52" t="n">
        <v>854.77</v>
      </c>
      <c r="N277" s="53" t="n">
        <f aca="false">D277*M277</f>
        <v>17950.17</v>
      </c>
      <c r="O277" s="54" t="n">
        <f aca="false">AVERAGE(G277,J277,M277)</f>
        <v>858.654444444444</v>
      </c>
      <c r="P277" s="55" t="n">
        <f aca="false">E277*100/O277-100</f>
        <v>-0.270707786989718</v>
      </c>
      <c r="Q277" s="54" t="n">
        <f aca="false">D277*E277</f>
        <v>17982.93</v>
      </c>
      <c r="R277" s="56"/>
      <c r="T277" s="57" t="n">
        <f aca="false">ROUND(G277*100/O277-100,0)</f>
        <v>-4</v>
      </c>
      <c r="U277" s="57" t="n">
        <f aca="false">ROUND(J277*100/O277-100,0)</f>
        <v>5</v>
      </c>
      <c r="V277" s="57" t="n">
        <f aca="false">ROUND(M277*100/O277-100,0)</f>
        <v>-0</v>
      </c>
    </row>
    <row r="278" s="43" customFormat="true" ht="73.5" hidden="false" customHeight="true" outlineLevel="0" collapsed="false">
      <c r="A278" s="45" t="n">
        <v>267</v>
      </c>
      <c r="B278" s="46" t="s">
        <v>391</v>
      </c>
      <c r="C278" s="47" t="s">
        <v>392</v>
      </c>
      <c r="D278" s="48" t="n">
        <v>80</v>
      </c>
      <c r="E278" s="50" t="n">
        <v>891.4</v>
      </c>
      <c r="F278" s="47" t="s">
        <v>27</v>
      </c>
      <c r="G278" s="52" t="n">
        <f aca="false">993.74/1.2</f>
        <v>828.116666666667</v>
      </c>
      <c r="H278" s="53" t="n">
        <f aca="false">D278*G278</f>
        <v>66249.3333333333</v>
      </c>
      <c r="I278" s="53" t="s">
        <v>28</v>
      </c>
      <c r="J278" s="52" t="n">
        <v>910.49</v>
      </c>
      <c r="K278" s="53" t="n">
        <f aca="false">D278*J278</f>
        <v>72839.2</v>
      </c>
      <c r="L278" s="48" t="s">
        <v>29</v>
      </c>
      <c r="M278" s="52" t="n">
        <v>941.56</v>
      </c>
      <c r="N278" s="53" t="n">
        <f aca="false">D278*M278</f>
        <v>75324.8</v>
      </c>
      <c r="O278" s="54" t="n">
        <f aca="false">AVERAGE(G278,J278,M278)</f>
        <v>893.388888888889</v>
      </c>
      <c r="P278" s="55" t="n">
        <f aca="false">E278*100/O278-100</f>
        <v>-0.222622971208253</v>
      </c>
      <c r="Q278" s="54" t="n">
        <f aca="false">D278*E278</f>
        <v>71312</v>
      </c>
      <c r="R278" s="56"/>
      <c r="T278" s="57" t="n">
        <f aca="false">ROUND(G278*100/O278-100,0)</f>
        <v>-7</v>
      </c>
      <c r="U278" s="57" t="n">
        <f aca="false">ROUND(J278*100/O278-100,0)</f>
        <v>2</v>
      </c>
      <c r="V278" s="57" t="n">
        <f aca="false">ROUND(M278*100/O278-100,0)</f>
        <v>5</v>
      </c>
    </row>
    <row r="279" s="43" customFormat="true" ht="73.5" hidden="false" customHeight="true" outlineLevel="0" collapsed="false">
      <c r="A279" s="45" t="n">
        <v>268</v>
      </c>
      <c r="B279" s="46" t="s">
        <v>393</v>
      </c>
      <c r="C279" s="47" t="s">
        <v>25</v>
      </c>
      <c r="D279" s="48" t="n">
        <v>44</v>
      </c>
      <c r="E279" s="81" t="n">
        <v>85001.4</v>
      </c>
      <c r="F279" s="47" t="s">
        <v>56</v>
      </c>
      <c r="G279" s="52" t="n">
        <v>85400.4</v>
      </c>
      <c r="H279" s="53" t="n">
        <f aca="false">D279*G279</f>
        <v>3757617.6</v>
      </c>
      <c r="I279" s="47" t="s">
        <v>57</v>
      </c>
      <c r="J279" s="52" t="n">
        <v>83700.61</v>
      </c>
      <c r="K279" s="53" t="n">
        <f aca="false">D279*J279</f>
        <v>3682826.84</v>
      </c>
      <c r="L279" s="47" t="s">
        <v>119</v>
      </c>
      <c r="M279" s="52" t="n">
        <v>87712.52</v>
      </c>
      <c r="N279" s="53" t="n">
        <f aca="false">D279*M279</f>
        <v>3859350.88</v>
      </c>
      <c r="O279" s="54" t="n">
        <f aca="false">AVERAGE(G279,J279,M279)</f>
        <v>85604.51</v>
      </c>
      <c r="P279" s="55" t="n">
        <f aca="false">E279*100/O279-100</f>
        <v>-0.704530637462909</v>
      </c>
      <c r="Q279" s="54" t="n">
        <f aca="false">D279*E279</f>
        <v>3740061.6</v>
      </c>
      <c r="R279" s="83" t="s">
        <v>488</v>
      </c>
      <c r="T279" s="57" t="n">
        <f aca="false">ROUND(G279*100/O279-100,0)</f>
        <v>-0</v>
      </c>
      <c r="U279" s="57" t="n">
        <f aca="false">ROUND(J279*100/O279-100,0)</f>
        <v>-2</v>
      </c>
      <c r="V279" s="57" t="n">
        <f aca="false">ROUND(M279*100/O279-100,0)</f>
        <v>2</v>
      </c>
    </row>
    <row r="280" s="43" customFormat="true" ht="282" hidden="false" customHeight="true" outlineLevel="0" collapsed="false">
      <c r="A280" s="45" t="n">
        <v>269</v>
      </c>
      <c r="B280" s="93" t="s">
        <v>394</v>
      </c>
      <c r="C280" s="47" t="s">
        <v>65</v>
      </c>
      <c r="D280" s="48" t="n">
        <v>9</v>
      </c>
      <c r="E280" s="50" t="n">
        <v>13200.5</v>
      </c>
      <c r="F280" s="47" t="s">
        <v>27</v>
      </c>
      <c r="G280" s="52" t="n">
        <f aca="false">14543.24/1.2</f>
        <v>12119.3666666667</v>
      </c>
      <c r="H280" s="53" t="n">
        <f aca="false">D280*G280</f>
        <v>109074.3</v>
      </c>
      <c r="I280" s="53" t="s">
        <v>28</v>
      </c>
      <c r="J280" s="52" t="n">
        <v>13540.62</v>
      </c>
      <c r="K280" s="53" t="n">
        <f aca="false">D280*J280</f>
        <v>121865.58</v>
      </c>
      <c r="L280" s="48" t="s">
        <v>29</v>
      </c>
      <c r="M280" s="52" t="n">
        <v>13974.2</v>
      </c>
      <c r="N280" s="53" t="n">
        <f aca="false">D280*M280</f>
        <v>125767.8</v>
      </c>
      <c r="O280" s="54" t="n">
        <f aca="false">AVERAGE(G280,J280,M280)</f>
        <v>13211.3955555556</v>
      </c>
      <c r="P280" s="55" t="n">
        <f aca="false">E280*100/O280-100</f>
        <v>-0.0824708904501392</v>
      </c>
      <c r="Q280" s="54" t="n">
        <f aca="false">D280*E280</f>
        <v>118804.5</v>
      </c>
      <c r="R280" s="56"/>
      <c r="T280" s="57" t="n">
        <f aca="false">ROUND(G280*100/O280-100,0)</f>
        <v>-8</v>
      </c>
      <c r="U280" s="57" t="n">
        <f aca="false">ROUND(J280*100/O280-100,0)</f>
        <v>2</v>
      </c>
      <c r="V280" s="57" t="n">
        <f aca="false">ROUND(M280*100/O280-100,0)</f>
        <v>6</v>
      </c>
    </row>
    <row r="281" s="43" customFormat="true" ht="287.25" hidden="false" customHeight="true" outlineLevel="0" collapsed="false">
      <c r="A281" s="45" t="n">
        <v>270</v>
      </c>
      <c r="B281" s="93" t="s">
        <v>395</v>
      </c>
      <c r="C281" s="47" t="s">
        <v>65</v>
      </c>
      <c r="D281" s="48" t="n">
        <v>6</v>
      </c>
      <c r="E281" s="50" t="n">
        <v>13054.66</v>
      </c>
      <c r="F281" s="47" t="s">
        <v>27</v>
      </c>
      <c r="G281" s="52" t="n">
        <f aca="false">15425.82/1.2</f>
        <v>12854.85</v>
      </c>
      <c r="H281" s="53" t="n">
        <f aca="false">D281*G281</f>
        <v>77129.1</v>
      </c>
      <c r="I281" s="53" t="s">
        <v>28</v>
      </c>
      <c r="J281" s="52" t="n">
        <v>13002.74</v>
      </c>
      <c r="K281" s="53" t="n">
        <f aca="false">D281*J281</f>
        <v>78016.44</v>
      </c>
      <c r="L281" s="48" t="s">
        <v>29</v>
      </c>
      <c r="M281" s="52" t="n">
        <v>13566.4</v>
      </c>
      <c r="N281" s="53" t="n">
        <f aca="false">D281*M281</f>
        <v>81398.4</v>
      </c>
      <c r="O281" s="54" t="n">
        <f aca="false">AVERAGE(G281,J281,M281)</f>
        <v>13141.33</v>
      </c>
      <c r="P281" s="55" t="n">
        <f aca="false">E281*100/O281-100</f>
        <v>-0.65952228579603</v>
      </c>
      <c r="Q281" s="54" t="n">
        <f aca="false">D281*E281</f>
        <v>78327.96</v>
      </c>
      <c r="R281" s="56"/>
      <c r="T281" s="57" t="n">
        <f aca="false">ROUND(G281*100/O281-100,0)</f>
        <v>-2</v>
      </c>
      <c r="U281" s="57" t="n">
        <f aca="false">ROUND(J281*100/O281-100,0)</f>
        <v>-1</v>
      </c>
      <c r="V281" s="57" t="n">
        <f aca="false">ROUND(M281*100/O281-100,0)</f>
        <v>3</v>
      </c>
    </row>
    <row r="282" s="43" customFormat="true" ht="73.5" hidden="false" customHeight="true" outlineLevel="0" collapsed="false">
      <c r="A282" s="45" t="n">
        <v>271</v>
      </c>
      <c r="B282" s="46" t="s">
        <v>396</v>
      </c>
      <c r="C282" s="47" t="s">
        <v>25</v>
      </c>
      <c r="D282" s="48" t="n">
        <v>1</v>
      </c>
      <c r="E282" s="50" t="n">
        <v>16735.5</v>
      </c>
      <c r="F282" s="47" t="s">
        <v>27</v>
      </c>
      <c r="G282" s="52" t="n">
        <f aca="false">20044.48/1.2</f>
        <v>16703.7333333333</v>
      </c>
      <c r="H282" s="53" t="n">
        <f aca="false">D282*G282</f>
        <v>16703.7333333333</v>
      </c>
      <c r="I282" s="53" t="s">
        <v>28</v>
      </c>
      <c r="J282" s="52" t="n">
        <v>16540.53</v>
      </c>
      <c r="K282" s="53" t="n">
        <f aca="false">D282*J282</f>
        <v>16540.53</v>
      </c>
      <c r="L282" s="48" t="s">
        <v>29</v>
      </c>
      <c r="M282" s="52" t="n">
        <v>17010</v>
      </c>
      <c r="N282" s="53" t="n">
        <f aca="false">D282*M282</f>
        <v>17010</v>
      </c>
      <c r="O282" s="54" t="n">
        <f aca="false">AVERAGE(G282,J282,M282)</f>
        <v>16751.4211111111</v>
      </c>
      <c r="P282" s="55" t="n">
        <f aca="false">E282*100/O282-100</f>
        <v>-0.0950433459078255</v>
      </c>
      <c r="Q282" s="54" t="n">
        <f aca="false">D282*E282</f>
        <v>16735.5</v>
      </c>
      <c r="R282" s="72"/>
      <c r="T282" s="57" t="n">
        <f aca="false">ROUND(G282*100/O282-100,0)</f>
        <v>-0</v>
      </c>
      <c r="U282" s="57" t="n">
        <f aca="false">ROUND(J282*100/O282-100,0)</f>
        <v>-1</v>
      </c>
      <c r="V282" s="57" t="n">
        <f aca="false">ROUND(M282*100/O282-100,0)</f>
        <v>2</v>
      </c>
    </row>
    <row r="283" s="43" customFormat="true" ht="73.5" hidden="false" customHeight="true" outlineLevel="0" collapsed="false">
      <c r="A283" s="45" t="n">
        <v>272</v>
      </c>
      <c r="B283" s="46" t="s">
        <v>397</v>
      </c>
      <c r="C283" s="47" t="s">
        <v>25</v>
      </c>
      <c r="D283" s="48" t="n">
        <v>1</v>
      </c>
      <c r="E283" s="50" t="n">
        <v>2330.77</v>
      </c>
      <c r="F283" s="47" t="s">
        <v>27</v>
      </c>
      <c r="G283" s="52" t="n">
        <f aca="false">2628.72/1.2</f>
        <v>2190.6</v>
      </c>
      <c r="H283" s="53" t="n">
        <f aca="false">D283*G283</f>
        <v>2190.6</v>
      </c>
      <c r="I283" s="53" t="s">
        <v>28</v>
      </c>
      <c r="J283" s="52" t="n">
        <v>2345.68</v>
      </c>
      <c r="K283" s="53" t="n">
        <f aca="false">D283*J283</f>
        <v>2345.68</v>
      </c>
      <c r="L283" s="48" t="s">
        <v>29</v>
      </c>
      <c r="M283" s="52" t="n">
        <v>2487.2</v>
      </c>
      <c r="N283" s="53" t="n">
        <f aca="false">D283*M283</f>
        <v>2487.2</v>
      </c>
      <c r="O283" s="54" t="n">
        <f aca="false">AVERAGE(G283,J283,M283)</f>
        <v>2341.16</v>
      </c>
      <c r="P283" s="55" t="n">
        <f aca="false">E283*100/O283-100</f>
        <v>-0.443797092039844</v>
      </c>
      <c r="Q283" s="54" t="n">
        <f aca="false">D283*E283</f>
        <v>2330.77</v>
      </c>
      <c r="R283" s="56"/>
      <c r="T283" s="57" t="n">
        <f aca="false">ROUND(G283*100/O283-100,0)</f>
        <v>-6</v>
      </c>
      <c r="U283" s="57" t="n">
        <f aca="false">ROUND(J283*100/O283-100,0)</f>
        <v>0</v>
      </c>
      <c r="V283" s="57" t="n">
        <f aca="false">ROUND(M283*100/O283-100,0)</f>
        <v>6</v>
      </c>
    </row>
    <row r="284" s="43" customFormat="true" ht="73.5" hidden="false" customHeight="true" outlineLevel="0" collapsed="false">
      <c r="A284" s="45" t="n">
        <v>273</v>
      </c>
      <c r="B284" s="46" t="s">
        <v>398</v>
      </c>
      <c r="C284" s="47" t="s">
        <v>25</v>
      </c>
      <c r="D284" s="48" t="n">
        <v>2</v>
      </c>
      <c r="E284" s="50" t="n">
        <v>3600</v>
      </c>
      <c r="F284" s="47" t="s">
        <v>27</v>
      </c>
      <c r="G284" s="52" t="n">
        <f aca="false">3915.81/1.2</f>
        <v>3263.175</v>
      </c>
      <c r="H284" s="53" t="n">
        <f aca="false">D284*G284</f>
        <v>6526.35</v>
      </c>
      <c r="I284" s="53" t="s">
        <v>28</v>
      </c>
      <c r="J284" s="52" t="n">
        <v>3604.32</v>
      </c>
      <c r="K284" s="53" t="n">
        <f aca="false">D284*J284</f>
        <v>7208.64</v>
      </c>
      <c r="L284" s="48" t="s">
        <v>29</v>
      </c>
      <c r="M284" s="52" t="n">
        <v>3954.31</v>
      </c>
      <c r="N284" s="53" t="n">
        <f aca="false">D284*M284</f>
        <v>7908.62</v>
      </c>
      <c r="O284" s="54" t="n">
        <f aca="false">AVERAGE(G284,J284,M284)</f>
        <v>3607.26833333333</v>
      </c>
      <c r="P284" s="55" t="n">
        <f aca="false">E284*100/O284-100</f>
        <v>-0.201491340862276</v>
      </c>
      <c r="Q284" s="54" t="n">
        <f aca="false">D284*E284</f>
        <v>7200</v>
      </c>
      <c r="R284" s="56"/>
      <c r="T284" s="57" t="n">
        <f aca="false">ROUND(G284*100/O284-100,0)</f>
        <v>-10</v>
      </c>
      <c r="U284" s="57" t="n">
        <f aca="false">ROUND(J284*100/O284-100,0)</f>
        <v>-0</v>
      </c>
      <c r="V284" s="57" t="n">
        <f aca="false">ROUND(M284*100/O284-100,0)</f>
        <v>10</v>
      </c>
    </row>
    <row r="285" s="43" customFormat="true" ht="73.5" hidden="false" customHeight="true" outlineLevel="0" collapsed="false">
      <c r="A285" s="45" t="n">
        <v>274</v>
      </c>
      <c r="B285" s="46" t="s">
        <v>399</v>
      </c>
      <c r="C285" s="47" t="s">
        <v>25</v>
      </c>
      <c r="D285" s="48" t="n">
        <v>1</v>
      </c>
      <c r="E285" s="50" t="n">
        <v>6600.75</v>
      </c>
      <c r="F285" s="47" t="s">
        <v>27</v>
      </c>
      <c r="G285" s="52" t="n">
        <f aca="false">7630.45/1.2</f>
        <v>6358.70833333333</v>
      </c>
      <c r="H285" s="53" t="n">
        <f aca="false">D285*G285</f>
        <v>6358.70833333333</v>
      </c>
      <c r="I285" s="53" t="s">
        <v>28</v>
      </c>
      <c r="J285" s="52" t="n">
        <v>6468.15</v>
      </c>
      <c r="K285" s="53" t="n">
        <f aca="false">D285*J285</f>
        <v>6468.15</v>
      </c>
      <c r="L285" s="48" t="s">
        <v>29</v>
      </c>
      <c r="M285" s="52" t="n">
        <v>7020.16</v>
      </c>
      <c r="N285" s="53" t="n">
        <f aca="false">D285*M285</f>
        <v>7020.16</v>
      </c>
      <c r="O285" s="54" t="n">
        <f aca="false">AVERAGE(G285,J285,M285)</f>
        <v>6615.67277777778</v>
      </c>
      <c r="P285" s="55" t="n">
        <f aca="false">E285*100/O285-100</f>
        <v>-0.225567047812646</v>
      </c>
      <c r="Q285" s="54" t="n">
        <f aca="false">D285*E285</f>
        <v>6600.75</v>
      </c>
      <c r="R285" s="56"/>
      <c r="T285" s="57" t="n">
        <f aca="false">ROUND(G285*100/O285-100,0)</f>
        <v>-4</v>
      </c>
      <c r="U285" s="57" t="n">
        <f aca="false">ROUND(J285*100/O285-100,0)</f>
        <v>-2</v>
      </c>
      <c r="V285" s="57" t="n">
        <f aca="false">ROUND(M285*100/O285-100,0)</f>
        <v>6</v>
      </c>
    </row>
    <row r="286" s="43" customFormat="true" ht="73.5" hidden="false" customHeight="true" outlineLevel="0" collapsed="false">
      <c r="A286" s="45" t="n">
        <v>275</v>
      </c>
      <c r="B286" s="46" t="s">
        <v>400</v>
      </c>
      <c r="C286" s="47" t="s">
        <v>25</v>
      </c>
      <c r="D286" s="48" t="n">
        <v>2</v>
      </c>
      <c r="E286" s="50" t="n">
        <v>27700.56</v>
      </c>
      <c r="F286" s="47" t="s">
        <v>27</v>
      </c>
      <c r="G286" s="52" t="n">
        <f aca="false">32738.89/1.2</f>
        <v>27282.4083333333</v>
      </c>
      <c r="H286" s="53" t="n">
        <f aca="false">D286*G286</f>
        <v>54564.8166666667</v>
      </c>
      <c r="I286" s="53" t="s">
        <v>28</v>
      </c>
      <c r="J286" s="52" t="n">
        <v>28314.24</v>
      </c>
      <c r="K286" s="53" t="n">
        <f aca="false">D286*J286</f>
        <v>56628.48</v>
      </c>
      <c r="L286" s="48" t="s">
        <v>29</v>
      </c>
      <c r="M286" s="52" t="n">
        <v>27597.6</v>
      </c>
      <c r="N286" s="53" t="n">
        <f aca="false">D286*M286</f>
        <v>55195.2</v>
      </c>
      <c r="O286" s="54" t="n">
        <f aca="false">AVERAGE(G286,J286,M286)</f>
        <v>27731.4161111111</v>
      </c>
      <c r="P286" s="55" t="n">
        <f aca="false">E286*100/O286-100</f>
        <v>-0.11126770803007</v>
      </c>
      <c r="Q286" s="54" t="n">
        <f aca="false">D286*E286</f>
        <v>55401.12</v>
      </c>
      <c r="R286" s="56"/>
      <c r="T286" s="57" t="n">
        <f aca="false">ROUND(G286*100/O286-100,0)</f>
        <v>-2</v>
      </c>
      <c r="U286" s="57" t="n">
        <f aca="false">ROUND(J286*100/O286-100,0)</f>
        <v>2</v>
      </c>
      <c r="V286" s="57" t="n">
        <f aca="false">ROUND(M286*100/O286-100,0)</f>
        <v>-0</v>
      </c>
    </row>
    <row r="287" s="43" customFormat="true" ht="73.5" hidden="false" customHeight="true" outlineLevel="0" collapsed="false">
      <c r="A287" s="45" t="n">
        <v>276</v>
      </c>
      <c r="B287" s="46" t="s">
        <v>401</v>
      </c>
      <c r="C287" s="47" t="s">
        <v>25</v>
      </c>
      <c r="D287" s="48" t="n">
        <v>1</v>
      </c>
      <c r="E287" s="50" t="n">
        <v>46300.5</v>
      </c>
      <c r="F287" s="47" t="s">
        <v>27</v>
      </c>
      <c r="G287" s="52" t="n">
        <f aca="false">54979.55/1.2</f>
        <v>45816.2916666667</v>
      </c>
      <c r="H287" s="53" t="n">
        <f aca="false">D287*G287</f>
        <v>45816.2916666667</v>
      </c>
      <c r="I287" s="53" t="s">
        <v>28</v>
      </c>
      <c r="J287" s="52" t="n">
        <v>46315.48</v>
      </c>
      <c r="K287" s="53" t="n">
        <f aca="false">D287*J287</f>
        <v>46315.48</v>
      </c>
      <c r="L287" s="48" t="s">
        <v>29</v>
      </c>
      <c r="M287" s="52" t="n">
        <v>46780.3</v>
      </c>
      <c r="N287" s="53" t="n">
        <f aca="false">D287*M287</f>
        <v>46780.3</v>
      </c>
      <c r="O287" s="54" t="n">
        <f aca="false">AVERAGE(G287,J287,M287)</f>
        <v>46304.0238888889</v>
      </c>
      <c r="P287" s="55" t="n">
        <f aca="false">E287*100/O287-100</f>
        <v>-0.00761032971421116</v>
      </c>
      <c r="Q287" s="54" t="n">
        <f aca="false">D287*E287</f>
        <v>46300.5</v>
      </c>
      <c r="R287" s="56"/>
      <c r="T287" s="57" t="n">
        <f aca="false">ROUND(G287*100/O287-100,0)</f>
        <v>-1</v>
      </c>
      <c r="U287" s="57" t="n">
        <f aca="false">ROUND(J287*100/O287-100,0)</f>
        <v>0</v>
      </c>
      <c r="V287" s="57" t="n">
        <f aca="false">ROUND(M287*100/O287-100,0)</f>
        <v>1</v>
      </c>
    </row>
    <row r="288" s="43" customFormat="true" ht="73.5" hidden="false" customHeight="true" outlineLevel="0" collapsed="false">
      <c r="A288" s="45" t="n">
        <v>277</v>
      </c>
      <c r="B288" s="46" t="s">
        <v>402</v>
      </c>
      <c r="C288" s="47" t="s">
        <v>147</v>
      </c>
      <c r="D288" s="48" t="n">
        <v>2</v>
      </c>
      <c r="E288" s="50" t="n">
        <v>42.3</v>
      </c>
      <c r="F288" s="47" t="s">
        <v>27</v>
      </c>
      <c r="G288" s="52" t="n">
        <f aca="false">50.03/1.2</f>
        <v>41.6916666666667</v>
      </c>
      <c r="H288" s="53" t="n">
        <f aca="false">D288*G288</f>
        <v>83.3833333333333</v>
      </c>
      <c r="I288" s="53" t="s">
        <v>28</v>
      </c>
      <c r="J288" s="52" t="n">
        <v>42.01</v>
      </c>
      <c r="K288" s="53" t="n">
        <f aca="false">D288*J288</f>
        <v>84.02</v>
      </c>
      <c r="L288" s="48" t="s">
        <v>29</v>
      </c>
      <c r="M288" s="52" t="n">
        <v>44.25</v>
      </c>
      <c r="N288" s="53" t="n">
        <f aca="false">D288*M288</f>
        <v>88.5</v>
      </c>
      <c r="O288" s="54" t="n">
        <f aca="false">AVERAGE(G288,J288,M288)</f>
        <v>42.6505555555556</v>
      </c>
      <c r="P288" s="55" t="n">
        <f aca="false">E288*100/O288-100</f>
        <v>-0.821924945617482</v>
      </c>
      <c r="Q288" s="54" t="n">
        <f aca="false">D288*E288</f>
        <v>84.6</v>
      </c>
      <c r="R288" s="62" t="s">
        <v>116</v>
      </c>
      <c r="T288" s="57" t="n">
        <f aca="false">ROUND(G288*100/O288-100,0)</f>
        <v>-2</v>
      </c>
      <c r="U288" s="57" t="n">
        <f aca="false">ROUND(J288*100/O288-100,0)</f>
        <v>-2</v>
      </c>
      <c r="V288" s="57" t="n">
        <f aca="false">ROUND(M288*100/O288-100,0)</f>
        <v>4</v>
      </c>
    </row>
    <row r="289" s="43" customFormat="true" ht="73.5" hidden="false" customHeight="true" outlineLevel="0" collapsed="false">
      <c r="A289" s="45" t="n">
        <v>278</v>
      </c>
      <c r="B289" s="46" t="s">
        <v>403</v>
      </c>
      <c r="C289" s="47" t="s">
        <v>147</v>
      </c>
      <c r="D289" s="48" t="n">
        <v>10</v>
      </c>
      <c r="E289" s="50" t="n">
        <v>21.55</v>
      </c>
      <c r="F289" s="47" t="s">
        <v>27</v>
      </c>
      <c r="G289" s="52" t="n">
        <f aca="false">23.86/1.2</f>
        <v>19.8833333333333</v>
      </c>
      <c r="H289" s="53" t="n">
        <f aca="false">D289*G289</f>
        <v>198.833333333333</v>
      </c>
      <c r="I289" s="53" t="s">
        <v>28</v>
      </c>
      <c r="J289" s="52" t="n">
        <v>23.66</v>
      </c>
      <c r="K289" s="53" t="n">
        <f aca="false">D289*J289</f>
        <v>236.6</v>
      </c>
      <c r="L289" s="48" t="s">
        <v>29</v>
      </c>
      <c r="M289" s="52" t="n">
        <v>21.7</v>
      </c>
      <c r="N289" s="53" t="n">
        <f aca="false">D289*M289</f>
        <v>217</v>
      </c>
      <c r="O289" s="54" t="n">
        <f aca="false">AVERAGE(G289,J289,M289)</f>
        <v>21.7477777777778</v>
      </c>
      <c r="P289" s="55" t="n">
        <f aca="false">E289*100/O289-100</f>
        <v>-0.9094160322894</v>
      </c>
      <c r="Q289" s="54" t="n">
        <f aca="false">D289*E289</f>
        <v>215.5</v>
      </c>
      <c r="R289" s="62" t="s">
        <v>116</v>
      </c>
      <c r="T289" s="57" t="n">
        <f aca="false">ROUND(G289*100/O289-100,0)</f>
        <v>-9</v>
      </c>
      <c r="U289" s="57" t="n">
        <f aca="false">ROUND(J289*100/O289-100,0)</f>
        <v>9</v>
      </c>
      <c r="V289" s="57" t="n">
        <f aca="false">ROUND(M289*100/O289-100,0)</f>
        <v>-0</v>
      </c>
    </row>
    <row r="290" s="43" customFormat="true" ht="73.5" hidden="false" customHeight="true" outlineLevel="0" collapsed="false">
      <c r="A290" s="45" t="n">
        <v>279</v>
      </c>
      <c r="B290" s="46" t="s">
        <v>404</v>
      </c>
      <c r="C290" s="47" t="s">
        <v>147</v>
      </c>
      <c r="D290" s="48" t="n">
        <v>2</v>
      </c>
      <c r="E290" s="50" t="n">
        <v>17.5</v>
      </c>
      <c r="F290" s="47" t="s">
        <v>27</v>
      </c>
      <c r="G290" s="52" t="n">
        <f aca="false">19.58/1.2</f>
        <v>16.3166666666667</v>
      </c>
      <c r="H290" s="53" t="n">
        <f aca="false">D290*G290</f>
        <v>32.6333333333333</v>
      </c>
      <c r="I290" s="53" t="s">
        <v>28</v>
      </c>
      <c r="J290" s="52" t="n">
        <v>17.74</v>
      </c>
      <c r="K290" s="53" t="n">
        <f aca="false">D290*J290</f>
        <v>35.48</v>
      </c>
      <c r="L290" s="48" t="s">
        <v>29</v>
      </c>
      <c r="M290" s="52" t="n">
        <v>19.7</v>
      </c>
      <c r="N290" s="53" t="n">
        <f aca="false">D290*M290</f>
        <v>39.4</v>
      </c>
      <c r="O290" s="54" t="n">
        <f aca="false">AVERAGE(G290,J290,M290)</f>
        <v>17.9188888888889</v>
      </c>
      <c r="P290" s="55" t="n">
        <f aca="false">E290*100/O290-100</f>
        <v>-2.33769454951323</v>
      </c>
      <c r="Q290" s="54" t="n">
        <f aca="false">D290*E290</f>
        <v>35</v>
      </c>
      <c r="R290" s="62" t="s">
        <v>116</v>
      </c>
      <c r="T290" s="57" t="n">
        <f aca="false">ROUND(G290*100/O290-100,0)</f>
        <v>-9</v>
      </c>
      <c r="U290" s="57" t="n">
        <f aca="false">ROUND(J290*100/O290-100,0)</f>
        <v>-1</v>
      </c>
      <c r="V290" s="57" t="n">
        <f aca="false">ROUND(M290*100/O290-100,0)</f>
        <v>10</v>
      </c>
    </row>
    <row r="291" s="43" customFormat="true" ht="73.5" hidden="false" customHeight="true" outlineLevel="0" collapsed="false">
      <c r="A291" s="45" t="n">
        <v>280</v>
      </c>
      <c r="B291" s="46" t="s">
        <v>405</v>
      </c>
      <c r="C291" s="47" t="s">
        <v>147</v>
      </c>
      <c r="D291" s="48" t="n">
        <v>10</v>
      </c>
      <c r="E291" s="50" t="n">
        <v>48.02</v>
      </c>
      <c r="F291" s="47" t="s">
        <v>27</v>
      </c>
      <c r="G291" s="52" t="n">
        <f aca="false">55.42/1.2</f>
        <v>46.1833333333333</v>
      </c>
      <c r="H291" s="53" t="n">
        <f aca="false">D291*G291</f>
        <v>461.833333333333</v>
      </c>
      <c r="I291" s="53" t="s">
        <v>28</v>
      </c>
      <c r="J291" s="52" t="n">
        <v>51.47</v>
      </c>
      <c r="K291" s="53" t="n">
        <f aca="false">D291*J291</f>
        <v>514.7</v>
      </c>
      <c r="L291" s="48" t="s">
        <v>29</v>
      </c>
      <c r="M291" s="52" t="n">
        <v>48.63</v>
      </c>
      <c r="N291" s="53" t="n">
        <f aca="false">D291*M291</f>
        <v>486.3</v>
      </c>
      <c r="O291" s="54" t="n">
        <f aca="false">AVERAGE(G291,J291,M291)</f>
        <v>48.7611111111111</v>
      </c>
      <c r="P291" s="55" t="n">
        <f aca="false">E291*100/O291-100</f>
        <v>-1.5198815084881</v>
      </c>
      <c r="Q291" s="54" t="n">
        <f aca="false">D291*E291</f>
        <v>480.2</v>
      </c>
      <c r="R291" s="62" t="s">
        <v>116</v>
      </c>
      <c r="T291" s="57" t="n">
        <f aca="false">ROUND(G291*100/O291-100,0)</f>
        <v>-5</v>
      </c>
      <c r="U291" s="57" t="n">
        <f aca="false">ROUND(J291*100/O291-100,0)</f>
        <v>6</v>
      </c>
      <c r="V291" s="57" t="n">
        <f aca="false">ROUND(M291*100/O291-100,0)</f>
        <v>-0</v>
      </c>
    </row>
    <row r="292" s="43" customFormat="true" ht="73.5" hidden="false" customHeight="true" outlineLevel="0" collapsed="false">
      <c r="A292" s="45" t="n">
        <v>281</v>
      </c>
      <c r="B292" s="46" t="s">
        <v>406</v>
      </c>
      <c r="C292" s="47" t="s">
        <v>25</v>
      </c>
      <c r="D292" s="48" t="n">
        <v>4</v>
      </c>
      <c r="E292" s="50" t="n">
        <v>869.7</v>
      </c>
      <c r="F292" s="47" t="s">
        <v>27</v>
      </c>
      <c r="G292" s="52" t="n">
        <f aca="false">998.09/1.2</f>
        <v>831.741666666667</v>
      </c>
      <c r="H292" s="53" t="n">
        <f aca="false">D292*G292</f>
        <v>3326.96666666667</v>
      </c>
      <c r="I292" s="53" t="s">
        <v>28</v>
      </c>
      <c r="J292" s="52" t="n">
        <v>864.2</v>
      </c>
      <c r="K292" s="53" t="n">
        <f aca="false">D292*J292</f>
        <v>3456.8</v>
      </c>
      <c r="L292" s="48" t="s">
        <v>29</v>
      </c>
      <c r="M292" s="52" t="n">
        <v>921.4</v>
      </c>
      <c r="N292" s="53" t="n">
        <f aca="false">D292*M292</f>
        <v>3685.6</v>
      </c>
      <c r="O292" s="54" t="n">
        <f aca="false">AVERAGE(G292,J292,M292)</f>
        <v>872.447222222222</v>
      </c>
      <c r="P292" s="55" t="n">
        <f aca="false">E292*100/O292-100</f>
        <v>-0.314886924073718</v>
      </c>
      <c r="Q292" s="54" t="n">
        <f aca="false">D292*E292</f>
        <v>3478.8</v>
      </c>
      <c r="R292" s="63"/>
      <c r="T292" s="57" t="n">
        <f aca="false">ROUND(G292*100/O292-100,0)</f>
        <v>-5</v>
      </c>
      <c r="U292" s="57" t="n">
        <f aca="false">ROUND(J292*100/O292-100,0)</f>
        <v>-1</v>
      </c>
      <c r="V292" s="57" t="n">
        <f aca="false">ROUND(M292*100/O292-100,0)</f>
        <v>6</v>
      </c>
    </row>
    <row r="293" s="43" customFormat="true" ht="73.5" hidden="false" customHeight="true" outlineLevel="0" collapsed="false">
      <c r="A293" s="45" t="n">
        <v>282</v>
      </c>
      <c r="B293" s="46" t="s">
        <v>407</v>
      </c>
      <c r="C293" s="47" t="s">
        <v>25</v>
      </c>
      <c r="D293" s="48" t="n">
        <v>100</v>
      </c>
      <c r="E293" s="50" t="n">
        <v>2075.4</v>
      </c>
      <c r="F293" s="47" t="s">
        <v>56</v>
      </c>
      <c r="G293" s="52" t="n">
        <v>2105.69</v>
      </c>
      <c r="H293" s="53" t="n">
        <f aca="false">D293*G293</f>
        <v>210569</v>
      </c>
      <c r="I293" s="47" t="s">
        <v>57</v>
      </c>
      <c r="J293" s="52" t="n">
        <v>1929.86</v>
      </c>
      <c r="K293" s="53" t="n">
        <f aca="false">D293*J293</f>
        <v>192986</v>
      </c>
      <c r="L293" s="47" t="s">
        <v>119</v>
      </c>
      <c r="M293" s="52" t="n">
        <v>2201.34</v>
      </c>
      <c r="N293" s="53" t="n">
        <f aca="false">D293*M293</f>
        <v>220134</v>
      </c>
      <c r="O293" s="54" t="n">
        <f aca="false">AVERAGE(G293,J293,M293)</f>
        <v>2078.96333333333</v>
      </c>
      <c r="P293" s="55" t="n">
        <f aca="false">E293*100/O293-100</f>
        <v>-0.171399527649214</v>
      </c>
      <c r="Q293" s="54" t="n">
        <f aca="false">D293*E293</f>
        <v>207540</v>
      </c>
      <c r="R293" s="63"/>
      <c r="T293" s="57" t="n">
        <f aca="false">ROUND(G293*100/O293-100,0)</f>
        <v>1</v>
      </c>
      <c r="U293" s="57" t="n">
        <f aca="false">ROUND(J293*100/O293-100,0)</f>
        <v>-7</v>
      </c>
      <c r="V293" s="57" t="n">
        <f aca="false">ROUND(M293*100/O293-100,0)</f>
        <v>6</v>
      </c>
    </row>
    <row r="294" s="43" customFormat="true" ht="73.5" hidden="false" customHeight="true" outlineLevel="0" collapsed="false">
      <c r="A294" s="45" t="n">
        <v>283</v>
      </c>
      <c r="B294" s="46" t="s">
        <v>408</v>
      </c>
      <c r="C294" s="47" t="s">
        <v>25</v>
      </c>
      <c r="D294" s="48" t="n">
        <v>10</v>
      </c>
      <c r="E294" s="50" t="n">
        <v>1865.8</v>
      </c>
      <c r="F294" s="47" t="s">
        <v>27</v>
      </c>
      <c r="G294" s="52" t="n">
        <f aca="false">2139.16/1.2</f>
        <v>1782.63333333333</v>
      </c>
      <c r="H294" s="53" t="n">
        <f aca="false">D294*G294</f>
        <v>17826.3333333333</v>
      </c>
      <c r="I294" s="53" t="s">
        <v>28</v>
      </c>
      <c r="J294" s="52" t="n">
        <v>1874.56</v>
      </c>
      <c r="K294" s="53" t="n">
        <f aca="false">D294*J294</f>
        <v>18745.6</v>
      </c>
      <c r="L294" s="48" t="s">
        <v>29</v>
      </c>
      <c r="M294" s="52" t="n">
        <v>1947.3</v>
      </c>
      <c r="N294" s="53" t="n">
        <f aca="false">D294*M294</f>
        <v>19473</v>
      </c>
      <c r="O294" s="54" t="n">
        <f aca="false">AVERAGE(G294,J294,M294)</f>
        <v>1868.16444444444</v>
      </c>
      <c r="P294" s="55" t="n">
        <f aca="false">E294*100/O294-100</f>
        <v>-0.126565113230569</v>
      </c>
      <c r="Q294" s="54" t="n">
        <f aca="false">D294*E294</f>
        <v>18658</v>
      </c>
      <c r="R294" s="63"/>
      <c r="T294" s="57" t="n">
        <f aca="false">ROUND(G294*100/O294-100,0)</f>
        <v>-5</v>
      </c>
      <c r="U294" s="57" t="n">
        <f aca="false">ROUND(J294*100/O294-100,0)</f>
        <v>0</v>
      </c>
      <c r="V294" s="57" t="n">
        <f aca="false">ROUND(M294*100/O294-100,0)</f>
        <v>4</v>
      </c>
    </row>
    <row r="295" s="43" customFormat="true" ht="73.5" hidden="false" customHeight="true" outlineLevel="0" collapsed="false">
      <c r="A295" s="45" t="n">
        <v>284</v>
      </c>
      <c r="B295" s="46" t="s">
        <v>409</v>
      </c>
      <c r="C295" s="47" t="s">
        <v>25</v>
      </c>
      <c r="D295" s="48" t="n">
        <v>2</v>
      </c>
      <c r="E295" s="50" t="n">
        <v>31990.5</v>
      </c>
      <c r="F295" s="47" t="s">
        <v>27</v>
      </c>
      <c r="G295" s="52" t="n">
        <f aca="false">37069.36/1.2</f>
        <v>30891.1333333333</v>
      </c>
      <c r="H295" s="53" t="n">
        <f aca="false">D295*G295</f>
        <v>61782.2666666667</v>
      </c>
      <c r="I295" s="53" t="s">
        <v>28</v>
      </c>
      <c r="J295" s="52" t="n">
        <v>32114.72</v>
      </c>
      <c r="K295" s="53" t="n">
        <f aca="false">D295*J295</f>
        <v>64229.44</v>
      </c>
      <c r="L295" s="48" t="s">
        <v>29</v>
      </c>
      <c r="M295" s="52" t="n">
        <v>32972.6</v>
      </c>
      <c r="N295" s="53" t="n">
        <f aca="false">D295*M295</f>
        <v>65945.2</v>
      </c>
      <c r="O295" s="54" t="n">
        <f aca="false">AVERAGE(G295,J295,M295)</f>
        <v>31992.8177777778</v>
      </c>
      <c r="P295" s="55" t="n">
        <f aca="false">E295*100/O295-100</f>
        <v>-0.00724468158408342</v>
      </c>
      <c r="Q295" s="54" t="n">
        <f aca="false">D295*E295</f>
        <v>63981</v>
      </c>
      <c r="R295" s="63"/>
      <c r="T295" s="57" t="n">
        <f aca="false">ROUND(G295*100/O295-100,0)</f>
        <v>-3</v>
      </c>
      <c r="U295" s="57" t="n">
        <f aca="false">ROUND(J295*100/O295-100,0)</f>
        <v>0</v>
      </c>
      <c r="V295" s="57" t="n">
        <f aca="false">ROUND(M295*100/O295-100,0)</f>
        <v>3</v>
      </c>
    </row>
    <row r="296" s="43" customFormat="true" ht="73.5" hidden="false" customHeight="true" outlineLevel="0" collapsed="false">
      <c r="A296" s="45" t="n">
        <v>285</v>
      </c>
      <c r="B296" s="46" t="s">
        <v>410</v>
      </c>
      <c r="C296" s="47" t="s">
        <v>25</v>
      </c>
      <c r="D296" s="48" t="n">
        <v>20</v>
      </c>
      <c r="E296" s="50" t="n">
        <v>110.4</v>
      </c>
      <c r="F296" s="47" t="s">
        <v>27</v>
      </c>
      <c r="G296" s="52" t="n">
        <f aca="false">130.26/1.2</f>
        <v>108.55</v>
      </c>
      <c r="H296" s="53" t="n">
        <f aca="false">D296*G296</f>
        <v>2171</v>
      </c>
      <c r="I296" s="53" t="s">
        <v>28</v>
      </c>
      <c r="J296" s="52" t="n">
        <v>110.5</v>
      </c>
      <c r="K296" s="53" t="n">
        <f aca="false">D296*J296</f>
        <v>2210</v>
      </c>
      <c r="L296" s="48" t="s">
        <v>29</v>
      </c>
      <c r="M296" s="52" t="n">
        <v>114.8</v>
      </c>
      <c r="N296" s="53" t="n">
        <f aca="false">D296*M296</f>
        <v>2296</v>
      </c>
      <c r="O296" s="54" t="n">
        <f aca="false">AVERAGE(G296,J296,M296)</f>
        <v>111.283333333333</v>
      </c>
      <c r="P296" s="55" t="n">
        <f aca="false">E296*100/O296-100</f>
        <v>-0.793769657031618</v>
      </c>
      <c r="Q296" s="54" t="n">
        <f aca="false">D296*E296</f>
        <v>2208</v>
      </c>
      <c r="R296" s="62" t="s">
        <v>116</v>
      </c>
      <c r="T296" s="57" t="n">
        <f aca="false">ROUND(G296*100/O296-100,0)</f>
        <v>-2</v>
      </c>
      <c r="U296" s="57" t="n">
        <f aca="false">ROUND(J296*100/O296-100,0)</f>
        <v>-1</v>
      </c>
      <c r="V296" s="57" t="n">
        <f aca="false">ROUND(M296*100/O296-100,0)</f>
        <v>3</v>
      </c>
    </row>
    <row r="297" s="43" customFormat="true" ht="73.5" hidden="false" customHeight="true" outlineLevel="0" collapsed="false">
      <c r="A297" s="45" t="n">
        <v>286</v>
      </c>
      <c r="B297" s="46" t="s">
        <v>411</v>
      </c>
      <c r="C297" s="47" t="s">
        <v>25</v>
      </c>
      <c r="D297" s="48" t="n">
        <v>1</v>
      </c>
      <c r="E297" s="50" t="n">
        <v>2664.2</v>
      </c>
      <c r="F297" s="47" t="s">
        <v>27</v>
      </c>
      <c r="G297" s="52" t="n">
        <f aca="false">3124.54/1.2</f>
        <v>2603.78333333333</v>
      </c>
      <c r="H297" s="53" t="n">
        <f aca="false">D297*G297</f>
        <v>2603.78333333333</v>
      </c>
      <c r="I297" s="53" t="s">
        <v>28</v>
      </c>
      <c r="J297" s="52" t="n">
        <v>2754.12</v>
      </c>
      <c r="K297" s="53" t="n">
        <f aca="false">D297*J297</f>
        <v>2754.12</v>
      </c>
      <c r="L297" s="48" t="s">
        <v>29</v>
      </c>
      <c r="M297" s="52" t="n">
        <v>2697.35</v>
      </c>
      <c r="N297" s="53" t="n">
        <f aca="false">D297*M297</f>
        <v>2697.35</v>
      </c>
      <c r="O297" s="54" t="n">
        <f aca="false">AVERAGE(G297,J297,M297)</f>
        <v>2685.08444444444</v>
      </c>
      <c r="P297" s="55" t="n">
        <f aca="false">E297*100/O297-100</f>
        <v>-0.7777946979528</v>
      </c>
      <c r="Q297" s="54" t="n">
        <f aca="false">D297*E297</f>
        <v>2664.2</v>
      </c>
      <c r="R297" s="63"/>
      <c r="T297" s="57" t="n">
        <f aca="false">ROUND(G297*100/O297-100,0)</f>
        <v>-3</v>
      </c>
      <c r="U297" s="57" t="n">
        <f aca="false">ROUND(J297*100/O297-100,0)</f>
        <v>3</v>
      </c>
      <c r="V297" s="57" t="n">
        <f aca="false">ROUND(M297*100/O297-100,0)</f>
        <v>0</v>
      </c>
    </row>
    <row r="298" s="43" customFormat="true" ht="73.5" hidden="false" customHeight="true" outlineLevel="0" collapsed="false">
      <c r="A298" s="45" t="n">
        <v>287</v>
      </c>
      <c r="B298" s="46" t="s">
        <v>412</v>
      </c>
      <c r="C298" s="47" t="s">
        <v>25</v>
      </c>
      <c r="D298" s="48" t="n">
        <v>1250</v>
      </c>
      <c r="E298" s="50" t="n">
        <v>1.37</v>
      </c>
      <c r="F298" s="47" t="s">
        <v>27</v>
      </c>
      <c r="G298" s="52" t="n">
        <f aca="false">1.55/1.2</f>
        <v>1.29166666666667</v>
      </c>
      <c r="H298" s="53" t="n">
        <f aca="false">D298*G298</f>
        <v>1614.58333333333</v>
      </c>
      <c r="I298" s="53" t="s">
        <v>28</v>
      </c>
      <c r="J298" s="52" t="n">
        <v>1.36</v>
      </c>
      <c r="K298" s="53" t="n">
        <f aca="false">D298*J298</f>
        <v>1700</v>
      </c>
      <c r="L298" s="48" t="s">
        <v>29</v>
      </c>
      <c r="M298" s="52" t="n">
        <v>1.51</v>
      </c>
      <c r="N298" s="53" t="n">
        <f aca="false">D298*M298</f>
        <v>1887.5</v>
      </c>
      <c r="O298" s="54" t="n">
        <f aca="false">AVERAGE(G298,J298,M298)</f>
        <v>1.38722222222222</v>
      </c>
      <c r="P298" s="55" t="n">
        <f aca="false">E298*100/O298-100</f>
        <v>-1.24148978774531</v>
      </c>
      <c r="Q298" s="54" t="n">
        <f aca="false">D298*E298</f>
        <v>1712.5</v>
      </c>
      <c r="R298" s="63"/>
      <c r="T298" s="57" t="n">
        <f aca="false">ROUND(G298*100/O298-100,0)</f>
        <v>-7</v>
      </c>
      <c r="U298" s="57" t="n">
        <f aca="false">ROUND(J298*100/O298-100,0)</f>
        <v>-2</v>
      </c>
      <c r="V298" s="57" t="n">
        <f aca="false">ROUND(M298*100/O298-100,0)</f>
        <v>9</v>
      </c>
    </row>
    <row r="299" s="43" customFormat="true" ht="73.5" hidden="false" customHeight="true" outlineLevel="0" collapsed="false">
      <c r="A299" s="45" t="n">
        <v>288</v>
      </c>
      <c r="B299" s="46" t="s">
        <v>413</v>
      </c>
      <c r="C299" s="47" t="s">
        <v>25</v>
      </c>
      <c r="D299" s="48" t="n">
        <v>80</v>
      </c>
      <c r="E299" s="50" t="n">
        <v>1.18</v>
      </c>
      <c r="F299" s="47" t="s">
        <v>39</v>
      </c>
      <c r="G299" s="52" t="n">
        <v>1.14</v>
      </c>
      <c r="H299" s="53" t="n">
        <f aca="false">D299*G299</f>
        <v>91.2</v>
      </c>
      <c r="I299" s="47" t="s">
        <v>54</v>
      </c>
      <c r="J299" s="52" t="n">
        <v>1.2</v>
      </c>
      <c r="K299" s="53" t="n">
        <f aca="false">D299*J299</f>
        <v>96</v>
      </c>
      <c r="L299" s="53" t="s">
        <v>41</v>
      </c>
      <c r="M299" s="52" t="n">
        <v>1.23</v>
      </c>
      <c r="N299" s="53" t="n">
        <f aca="false">D299*M299</f>
        <v>98.4</v>
      </c>
      <c r="O299" s="54" t="n">
        <f aca="false">AVERAGE(G299,J299,M299)</f>
        <v>1.19</v>
      </c>
      <c r="P299" s="55" t="n">
        <f aca="false">E299*100/O299-100</f>
        <v>-0.840336134453779</v>
      </c>
      <c r="Q299" s="54" t="n">
        <f aca="false">D299*E299</f>
        <v>94.4</v>
      </c>
      <c r="R299" s="56"/>
      <c r="T299" s="57" t="n">
        <f aca="false">ROUND(G299*100/O299-100,0)</f>
        <v>-4</v>
      </c>
      <c r="U299" s="57" t="n">
        <f aca="false">ROUND(J299*100/O299-100,0)</f>
        <v>1</v>
      </c>
      <c r="V299" s="57" t="n">
        <f aca="false">ROUND(M299*100/O299-100,0)</f>
        <v>3</v>
      </c>
    </row>
    <row r="300" s="43" customFormat="true" ht="73.5" hidden="false" customHeight="true" outlineLevel="0" collapsed="false">
      <c r="A300" s="45" t="n">
        <v>289</v>
      </c>
      <c r="B300" s="46" t="s">
        <v>414</v>
      </c>
      <c r="C300" s="47" t="s">
        <v>25</v>
      </c>
      <c r="D300" s="48" t="n">
        <v>40</v>
      </c>
      <c r="E300" s="50" t="n">
        <v>3.91</v>
      </c>
      <c r="F300" s="47" t="s">
        <v>39</v>
      </c>
      <c r="G300" s="52" t="n">
        <v>3.82</v>
      </c>
      <c r="H300" s="53" t="n">
        <f aca="false">D300*G300</f>
        <v>152.8</v>
      </c>
      <c r="I300" s="47" t="s">
        <v>54</v>
      </c>
      <c r="J300" s="52" t="n">
        <v>4.01</v>
      </c>
      <c r="K300" s="53" t="n">
        <f aca="false">D300*J300</f>
        <v>160.4</v>
      </c>
      <c r="L300" s="53" t="s">
        <v>41</v>
      </c>
      <c r="M300" s="52" t="n">
        <v>4.05</v>
      </c>
      <c r="N300" s="53" t="n">
        <f aca="false">D300*M300</f>
        <v>162</v>
      </c>
      <c r="O300" s="54" t="n">
        <f aca="false">AVERAGE(G300,J300,M300)</f>
        <v>3.96</v>
      </c>
      <c r="P300" s="55" t="n">
        <f aca="false">E300*100/O300-100</f>
        <v>-1.26262626262626</v>
      </c>
      <c r="Q300" s="54" t="n">
        <f aca="false">D300*E300</f>
        <v>156.4</v>
      </c>
      <c r="R300" s="56"/>
      <c r="T300" s="57" t="n">
        <f aca="false">ROUND(G300*100/O300-100,0)</f>
        <v>-4</v>
      </c>
      <c r="U300" s="57" t="n">
        <f aca="false">ROUND(J300*100/O300-100,0)</f>
        <v>1</v>
      </c>
      <c r="V300" s="57" t="n">
        <f aca="false">ROUND(M300*100/O300-100,0)</f>
        <v>2</v>
      </c>
    </row>
    <row r="301" s="43" customFormat="true" ht="73.5" hidden="false" customHeight="true" outlineLevel="0" collapsed="false">
      <c r="A301" s="45" t="n">
        <v>290</v>
      </c>
      <c r="B301" s="46" t="s">
        <v>415</v>
      </c>
      <c r="C301" s="47" t="s">
        <v>25</v>
      </c>
      <c r="D301" s="48" t="n">
        <v>960</v>
      </c>
      <c r="E301" s="50" t="n">
        <v>2.4</v>
      </c>
      <c r="F301" s="47" t="s">
        <v>39</v>
      </c>
      <c r="G301" s="52" t="n">
        <v>2.36</v>
      </c>
      <c r="H301" s="53" t="n">
        <f aca="false">D301*G301</f>
        <v>2265.6</v>
      </c>
      <c r="I301" s="47" t="s">
        <v>54</v>
      </c>
      <c r="J301" s="52" t="n">
        <v>2.42</v>
      </c>
      <c r="K301" s="53" t="n">
        <f aca="false">D301*J301</f>
        <v>2323.2</v>
      </c>
      <c r="L301" s="53" t="s">
        <v>41</v>
      </c>
      <c r="M301" s="52" t="n">
        <v>2.45</v>
      </c>
      <c r="N301" s="53" t="n">
        <f aca="false">D301*M301</f>
        <v>2352</v>
      </c>
      <c r="O301" s="54" t="n">
        <f aca="false">AVERAGE(G301,J301,M301)</f>
        <v>2.41</v>
      </c>
      <c r="P301" s="55" t="n">
        <f aca="false">E301*100/O301-100</f>
        <v>-0.414937759336112</v>
      </c>
      <c r="Q301" s="54" t="n">
        <f aca="false">D301*E301</f>
        <v>2304</v>
      </c>
      <c r="R301" s="56"/>
      <c r="T301" s="57" t="n">
        <f aca="false">ROUND(G301*100/O301-100,0)</f>
        <v>-2</v>
      </c>
      <c r="U301" s="57" t="n">
        <f aca="false">ROUND(J301*100/O301-100,0)</f>
        <v>0</v>
      </c>
      <c r="V301" s="57" t="n">
        <f aca="false">ROUND(M301*100/O301-100,0)</f>
        <v>2</v>
      </c>
    </row>
    <row r="302" s="43" customFormat="true" ht="73.5" hidden="false" customHeight="true" outlineLevel="0" collapsed="false">
      <c r="A302" s="45" t="n">
        <v>291</v>
      </c>
      <c r="B302" s="46" t="s">
        <v>416</v>
      </c>
      <c r="C302" s="47" t="s">
        <v>25</v>
      </c>
      <c r="D302" s="48" t="n">
        <v>1200</v>
      </c>
      <c r="E302" s="50" t="n">
        <v>12.6</v>
      </c>
      <c r="F302" s="47" t="s">
        <v>39</v>
      </c>
      <c r="G302" s="52" t="n">
        <v>12.21</v>
      </c>
      <c r="H302" s="53" t="n">
        <f aca="false">D302*G302</f>
        <v>14652</v>
      </c>
      <c r="I302" s="47" t="s">
        <v>54</v>
      </c>
      <c r="J302" s="52" t="n">
        <v>12.8</v>
      </c>
      <c r="K302" s="53" t="n">
        <f aca="false">D302*J302</f>
        <v>15360</v>
      </c>
      <c r="L302" s="53" t="s">
        <v>41</v>
      </c>
      <c r="M302" s="52" t="n">
        <v>13.01</v>
      </c>
      <c r="N302" s="53" t="n">
        <f aca="false">D302*M302</f>
        <v>15612</v>
      </c>
      <c r="O302" s="54" t="n">
        <f aca="false">AVERAGE(G302,J302,M302)</f>
        <v>12.6733333333333</v>
      </c>
      <c r="P302" s="55" t="n">
        <f aca="false">E302*100/O302-100</f>
        <v>-0.578642819568657</v>
      </c>
      <c r="Q302" s="54" t="n">
        <f aca="false">D302*E302</f>
        <v>15120</v>
      </c>
      <c r="R302" s="56"/>
      <c r="T302" s="57" t="n">
        <f aca="false">ROUND(G302*100/O302-100,0)</f>
        <v>-4</v>
      </c>
      <c r="U302" s="57" t="n">
        <f aca="false">ROUND(J302*100/O302-100,0)</f>
        <v>1</v>
      </c>
      <c r="V302" s="57" t="n">
        <f aca="false">ROUND(M302*100/O302-100,0)</f>
        <v>3</v>
      </c>
    </row>
    <row r="303" s="43" customFormat="true" ht="73.5" hidden="false" customHeight="true" outlineLevel="0" collapsed="false">
      <c r="A303" s="45" t="n">
        <v>292</v>
      </c>
      <c r="B303" s="46" t="s">
        <v>417</v>
      </c>
      <c r="C303" s="47" t="s">
        <v>25</v>
      </c>
      <c r="D303" s="48" t="n">
        <v>80</v>
      </c>
      <c r="E303" s="50" t="n">
        <v>1.17</v>
      </c>
      <c r="F303" s="47" t="s">
        <v>39</v>
      </c>
      <c r="G303" s="52" t="n">
        <v>1.11</v>
      </c>
      <c r="H303" s="53" t="n">
        <f aca="false">D303*G303</f>
        <v>88.8</v>
      </c>
      <c r="I303" s="47" t="s">
        <v>54</v>
      </c>
      <c r="J303" s="52" t="n">
        <v>1.16</v>
      </c>
      <c r="K303" s="53" t="n">
        <f aca="false">D303*J303</f>
        <v>92.8</v>
      </c>
      <c r="L303" s="53" t="s">
        <v>41</v>
      </c>
      <c r="M303" s="52" t="n">
        <v>1.31</v>
      </c>
      <c r="N303" s="53" t="n">
        <f aca="false">D303*M303</f>
        <v>104.8</v>
      </c>
      <c r="O303" s="54" t="n">
        <f aca="false">AVERAGE(G303,J303,M303)</f>
        <v>1.19333333333333</v>
      </c>
      <c r="P303" s="55" t="n">
        <f aca="false">E303*100/O303-100</f>
        <v>-1.95530726256983</v>
      </c>
      <c r="Q303" s="54" t="n">
        <f aca="false">D303*E303</f>
        <v>93.6</v>
      </c>
      <c r="R303" s="56"/>
      <c r="T303" s="57" t="n">
        <f aca="false">ROUND(G303*100/O303-100,0)</f>
        <v>-7</v>
      </c>
      <c r="U303" s="57" t="n">
        <f aca="false">ROUND(J303*100/O303-100,0)</f>
        <v>-3</v>
      </c>
      <c r="V303" s="57" t="n">
        <f aca="false">ROUND(M303*100/O303-100,0)</f>
        <v>10</v>
      </c>
    </row>
    <row r="304" s="43" customFormat="true" ht="73.5" hidden="false" customHeight="true" outlineLevel="0" collapsed="false">
      <c r="A304" s="45" t="n">
        <v>293</v>
      </c>
      <c r="B304" s="46" t="s">
        <v>418</v>
      </c>
      <c r="C304" s="47" t="s">
        <v>25</v>
      </c>
      <c r="D304" s="48" t="n">
        <v>60</v>
      </c>
      <c r="E304" s="50" t="n">
        <v>0.51</v>
      </c>
      <c r="F304" s="47" t="s">
        <v>39</v>
      </c>
      <c r="G304" s="52" t="n">
        <v>0.49</v>
      </c>
      <c r="H304" s="53" t="n">
        <f aca="false">D304*G304</f>
        <v>29.4</v>
      </c>
      <c r="I304" s="47" t="s">
        <v>54</v>
      </c>
      <c r="J304" s="52" t="n">
        <v>0.51</v>
      </c>
      <c r="K304" s="53" t="n">
        <f aca="false">D304*J304</f>
        <v>30.6</v>
      </c>
      <c r="L304" s="53" t="s">
        <v>41</v>
      </c>
      <c r="M304" s="52" t="n">
        <v>0.55</v>
      </c>
      <c r="N304" s="53" t="n">
        <f aca="false">D304*M304</f>
        <v>33</v>
      </c>
      <c r="O304" s="54" t="n">
        <f aca="false">AVERAGE(G304,J304,M304)</f>
        <v>0.516666666666667</v>
      </c>
      <c r="P304" s="55" t="n">
        <f aca="false">E304*100/O304-100</f>
        <v>-1.29032258064517</v>
      </c>
      <c r="Q304" s="54" t="n">
        <f aca="false">D304*E304</f>
        <v>30.6</v>
      </c>
      <c r="R304" s="56"/>
      <c r="T304" s="57" t="n">
        <f aca="false">ROUND(G304*100/O304-100,0)</f>
        <v>-5</v>
      </c>
      <c r="U304" s="57" t="n">
        <f aca="false">ROUND(J304*100/O304-100,0)</f>
        <v>-1</v>
      </c>
      <c r="V304" s="57" t="n">
        <f aca="false">ROUND(M304*100/O304-100,0)</f>
        <v>6</v>
      </c>
    </row>
    <row r="305" s="43" customFormat="true" ht="73.5" hidden="false" customHeight="true" outlineLevel="0" collapsed="false">
      <c r="A305" s="45" t="n">
        <v>294</v>
      </c>
      <c r="B305" s="46" t="s">
        <v>419</v>
      </c>
      <c r="C305" s="47" t="s">
        <v>25</v>
      </c>
      <c r="D305" s="48" t="n">
        <v>40</v>
      </c>
      <c r="E305" s="50" t="n">
        <v>2.35</v>
      </c>
      <c r="F305" s="47" t="s">
        <v>39</v>
      </c>
      <c r="G305" s="52" t="n">
        <v>2.14</v>
      </c>
      <c r="H305" s="53" t="n">
        <f aca="false">D305*G305</f>
        <v>85.6</v>
      </c>
      <c r="I305" s="47" t="s">
        <v>54</v>
      </c>
      <c r="J305" s="52" t="n">
        <v>2.64</v>
      </c>
      <c r="K305" s="53" t="n">
        <f aca="false">D305*J305</f>
        <v>105.6</v>
      </c>
      <c r="L305" s="53" t="s">
        <v>41</v>
      </c>
      <c r="M305" s="52" t="n">
        <v>2.33</v>
      </c>
      <c r="N305" s="53" t="n">
        <f aca="false">D305*M305</f>
        <v>93.2</v>
      </c>
      <c r="O305" s="54" t="n">
        <f aca="false">AVERAGE(G305,J305,M305)</f>
        <v>2.37</v>
      </c>
      <c r="P305" s="55" t="n">
        <f aca="false">E305*100/O305-100</f>
        <v>-0.843881856540094</v>
      </c>
      <c r="Q305" s="54" t="n">
        <f aca="false">D305*E305</f>
        <v>94</v>
      </c>
      <c r="R305" s="56"/>
      <c r="T305" s="57" t="n">
        <f aca="false">ROUND(G305*100/O305-100,0)</f>
        <v>-10</v>
      </c>
      <c r="U305" s="57" t="n">
        <f aca="false">ROUND(J305*100/O305-100,0)</f>
        <v>11</v>
      </c>
      <c r="V305" s="57" t="n">
        <f aca="false">ROUND(M305*100/O305-100,0)</f>
        <v>-2</v>
      </c>
    </row>
    <row r="306" s="43" customFormat="true" ht="73.5" hidden="false" customHeight="true" outlineLevel="0" collapsed="false">
      <c r="A306" s="45" t="n">
        <v>295</v>
      </c>
      <c r="B306" s="46" t="s">
        <v>420</v>
      </c>
      <c r="C306" s="47" t="s">
        <v>25</v>
      </c>
      <c r="D306" s="48" t="s">
        <v>421</v>
      </c>
      <c r="E306" s="50" t="n">
        <v>2.71</v>
      </c>
      <c r="F306" s="47" t="s">
        <v>39</v>
      </c>
      <c r="G306" s="52" t="n">
        <v>2.68</v>
      </c>
      <c r="H306" s="53" t="n">
        <f aca="false">D306*G306</f>
        <v>6592.8</v>
      </c>
      <c r="I306" s="47" t="s">
        <v>54</v>
      </c>
      <c r="J306" s="52" t="n">
        <v>2.72</v>
      </c>
      <c r="K306" s="53" t="n">
        <f aca="false">D306*J306</f>
        <v>6691.2</v>
      </c>
      <c r="L306" s="53" t="s">
        <v>41</v>
      </c>
      <c r="M306" s="52" t="n">
        <v>2.75</v>
      </c>
      <c r="N306" s="53" t="n">
        <f aca="false">D306*M306</f>
        <v>6765</v>
      </c>
      <c r="O306" s="54" t="n">
        <f aca="false">AVERAGE(G306,J306,M306)</f>
        <v>2.71666666666667</v>
      </c>
      <c r="P306" s="55" t="n">
        <f aca="false">E306*100/O306-100</f>
        <v>-0.245398773006144</v>
      </c>
      <c r="Q306" s="54" t="n">
        <f aca="false">D306*E306</f>
        <v>6666.6</v>
      </c>
      <c r="R306" s="56"/>
      <c r="T306" s="57" t="n">
        <f aca="false">ROUND(G306*100/O306-100,0)</f>
        <v>-1</v>
      </c>
      <c r="U306" s="57" t="n">
        <f aca="false">ROUND(J306*100/O306-100,0)</f>
        <v>0</v>
      </c>
      <c r="V306" s="57" t="n">
        <f aca="false">ROUND(M306*100/O306-100,0)</f>
        <v>1</v>
      </c>
    </row>
    <row r="307" s="43" customFormat="true" ht="73.5" hidden="false" customHeight="true" outlineLevel="0" collapsed="false">
      <c r="A307" s="45" t="n">
        <v>296</v>
      </c>
      <c r="B307" s="46" t="s">
        <v>422</v>
      </c>
      <c r="C307" s="47" t="s">
        <v>25</v>
      </c>
      <c r="D307" s="48" t="n">
        <v>480</v>
      </c>
      <c r="E307" s="50" t="n">
        <v>5.82</v>
      </c>
      <c r="F307" s="47" t="s">
        <v>39</v>
      </c>
      <c r="G307" s="52" t="n">
        <v>5.76</v>
      </c>
      <c r="H307" s="53" t="n">
        <f aca="false">D307*G307</f>
        <v>2764.8</v>
      </c>
      <c r="I307" s="47" t="s">
        <v>54</v>
      </c>
      <c r="J307" s="52" t="n">
        <v>5.87</v>
      </c>
      <c r="K307" s="53" t="n">
        <f aca="false">D307*J307</f>
        <v>2817.6</v>
      </c>
      <c r="L307" s="53" t="s">
        <v>41</v>
      </c>
      <c r="M307" s="52" t="n">
        <v>6.02</v>
      </c>
      <c r="N307" s="53" t="n">
        <f aca="false">D307*M307</f>
        <v>2889.6</v>
      </c>
      <c r="O307" s="54" t="n">
        <f aca="false">AVERAGE(G307,J307,M307)</f>
        <v>5.88333333333333</v>
      </c>
      <c r="P307" s="55" t="n">
        <f aca="false">E307*100/O307-100</f>
        <v>-1.07648725212464</v>
      </c>
      <c r="Q307" s="54" t="n">
        <f aca="false">D307*E307</f>
        <v>2793.6</v>
      </c>
      <c r="R307" s="56"/>
      <c r="T307" s="57" t="n">
        <f aca="false">ROUND(G307*100/O307-100,0)</f>
        <v>-2</v>
      </c>
      <c r="U307" s="57" t="n">
        <f aca="false">ROUND(J307*100/O307-100,0)</f>
        <v>-0</v>
      </c>
      <c r="V307" s="57" t="n">
        <f aca="false">ROUND(M307*100/O307-100,0)</f>
        <v>2</v>
      </c>
    </row>
    <row r="308" s="43" customFormat="true" ht="73.5" hidden="false" customHeight="true" outlineLevel="0" collapsed="false">
      <c r="A308" s="45" t="n">
        <v>297</v>
      </c>
      <c r="B308" s="46" t="s">
        <v>423</v>
      </c>
      <c r="C308" s="47" t="s">
        <v>25</v>
      </c>
      <c r="D308" s="48" t="n">
        <v>40</v>
      </c>
      <c r="E308" s="50" t="n">
        <v>0.39</v>
      </c>
      <c r="F308" s="47" t="s">
        <v>39</v>
      </c>
      <c r="G308" s="52" t="n">
        <v>0.34</v>
      </c>
      <c r="H308" s="53" t="n">
        <f aca="false">D308*G308</f>
        <v>13.6</v>
      </c>
      <c r="I308" s="47" t="s">
        <v>54</v>
      </c>
      <c r="J308" s="52" t="n">
        <v>0.44</v>
      </c>
      <c r="K308" s="53" t="n">
        <f aca="false">D308*J308</f>
        <v>17.6</v>
      </c>
      <c r="L308" s="53" t="s">
        <v>41</v>
      </c>
      <c r="M308" s="52" t="n">
        <v>0.42</v>
      </c>
      <c r="N308" s="53" t="n">
        <f aca="false">D308*M308</f>
        <v>16.8</v>
      </c>
      <c r="O308" s="54" t="n">
        <f aca="false">AVERAGE(G308,J308,M308)</f>
        <v>0.4</v>
      </c>
      <c r="P308" s="55" t="n">
        <f aca="false">E308*100/O308-100</f>
        <v>-2.49999999999999</v>
      </c>
      <c r="Q308" s="54" t="n">
        <f aca="false">D308*E308</f>
        <v>15.6</v>
      </c>
      <c r="R308" s="56"/>
      <c r="T308" s="57" t="n">
        <f aca="false">ROUND(G308*100/O308-100,0)</f>
        <v>-15</v>
      </c>
      <c r="U308" s="57" t="n">
        <f aca="false">ROUND(J308*100/O308-100,0)</f>
        <v>10</v>
      </c>
      <c r="V308" s="57" t="n">
        <f aca="false">ROUND(M308*100/O308-100,0)</f>
        <v>5</v>
      </c>
    </row>
    <row r="309" s="43" customFormat="true" ht="73.5" hidden="false" customHeight="true" outlineLevel="0" collapsed="false">
      <c r="A309" s="45" t="n">
        <v>298</v>
      </c>
      <c r="B309" s="46" t="s">
        <v>424</v>
      </c>
      <c r="C309" s="47" t="s">
        <v>25</v>
      </c>
      <c r="D309" s="48" t="n">
        <v>30</v>
      </c>
      <c r="E309" s="50" t="n">
        <v>1.44</v>
      </c>
      <c r="F309" s="47" t="s">
        <v>39</v>
      </c>
      <c r="G309" s="52" t="n">
        <v>1.37</v>
      </c>
      <c r="H309" s="53" t="n">
        <f aca="false">D309*G309</f>
        <v>41.1</v>
      </c>
      <c r="I309" s="47" t="s">
        <v>54</v>
      </c>
      <c r="J309" s="52" t="n">
        <v>1.58</v>
      </c>
      <c r="K309" s="53" t="n">
        <f aca="false">D309*J309</f>
        <v>47.4</v>
      </c>
      <c r="L309" s="53" t="s">
        <v>41</v>
      </c>
      <c r="M309" s="52" t="n">
        <v>1.44</v>
      </c>
      <c r="N309" s="53" t="n">
        <f aca="false">D309*M309</f>
        <v>43.2</v>
      </c>
      <c r="O309" s="54" t="n">
        <f aca="false">AVERAGE(G309,J309,M309)</f>
        <v>1.46333333333333</v>
      </c>
      <c r="P309" s="55" t="n">
        <f aca="false">E309*100/O309-100</f>
        <v>-1.59453302961278</v>
      </c>
      <c r="Q309" s="54" t="n">
        <f aca="false">D309*E309</f>
        <v>43.2</v>
      </c>
      <c r="R309" s="56"/>
      <c r="T309" s="57" t="n">
        <f aca="false">ROUND(G309*100/O309-100,0)</f>
        <v>-6</v>
      </c>
      <c r="U309" s="57" t="n">
        <f aca="false">ROUND(J309*100/O309-100,0)</f>
        <v>8</v>
      </c>
      <c r="V309" s="57" t="n">
        <f aca="false">ROUND(M309*100/O309-100,0)</f>
        <v>-2</v>
      </c>
    </row>
    <row r="310" s="43" customFormat="true" ht="66.75" hidden="false" customHeight="true" outlineLevel="0" collapsed="false">
      <c r="A310" s="45" t="n">
        <v>299</v>
      </c>
      <c r="B310" s="46" t="s">
        <v>425</v>
      </c>
      <c r="C310" s="47" t="s">
        <v>25</v>
      </c>
      <c r="D310" s="48" t="n">
        <v>200</v>
      </c>
      <c r="E310" s="50" t="n">
        <v>39</v>
      </c>
      <c r="F310" s="47" t="s">
        <v>39</v>
      </c>
      <c r="G310" s="52" t="n">
        <v>37.82</v>
      </c>
      <c r="H310" s="53" t="n">
        <f aca="false">D310*G310</f>
        <v>7564</v>
      </c>
      <c r="I310" s="47" t="s">
        <v>54</v>
      </c>
      <c r="J310" s="52" t="n">
        <v>41.02</v>
      </c>
      <c r="K310" s="53" t="n">
        <f aca="false">D310*J310</f>
        <v>8204</v>
      </c>
      <c r="L310" s="53" t="s">
        <v>41</v>
      </c>
      <c r="M310" s="52" t="n">
        <v>38.46</v>
      </c>
      <c r="N310" s="53" t="n">
        <f aca="false">D310*M310</f>
        <v>7692</v>
      </c>
      <c r="O310" s="54" t="n">
        <f aca="false">AVERAGE(G310,J310,M310)</f>
        <v>39.1</v>
      </c>
      <c r="P310" s="55" t="n">
        <f aca="false">E310*100/O310-100</f>
        <v>-0.255754475703327</v>
      </c>
      <c r="Q310" s="54" t="n">
        <f aca="false">D310*E310</f>
        <v>7800</v>
      </c>
      <c r="R310" s="56"/>
      <c r="T310" s="57" t="n">
        <f aca="false">ROUND(G310*100/O310-100,0)</f>
        <v>-3</v>
      </c>
      <c r="U310" s="57" t="n">
        <f aca="false">ROUND(J310*100/O310-100,0)</f>
        <v>5</v>
      </c>
      <c r="V310" s="57" t="n">
        <f aca="false">ROUND(M310*100/O310-100,0)</f>
        <v>-2</v>
      </c>
    </row>
    <row r="311" s="43" customFormat="true" ht="73.5" hidden="false" customHeight="true" outlineLevel="0" collapsed="false">
      <c r="A311" s="45" t="n">
        <v>300</v>
      </c>
      <c r="B311" s="46" t="s">
        <v>426</v>
      </c>
      <c r="C311" s="47" t="s">
        <v>147</v>
      </c>
      <c r="D311" s="48" t="n">
        <v>48</v>
      </c>
      <c r="E311" s="50" t="n">
        <v>17801.5</v>
      </c>
      <c r="F311" s="47" t="s">
        <v>27</v>
      </c>
      <c r="G311" s="52" t="n">
        <f aca="false">20996.75/1.2</f>
        <v>17497.2916666667</v>
      </c>
      <c r="H311" s="53" t="n">
        <f aca="false">D311*G311</f>
        <v>839870</v>
      </c>
      <c r="I311" s="53" t="s">
        <v>28</v>
      </c>
      <c r="J311" s="52" t="n">
        <v>17891.4</v>
      </c>
      <c r="K311" s="53" t="n">
        <f aca="false">D311*J311</f>
        <v>858787.2</v>
      </c>
      <c r="L311" s="48" t="s">
        <v>29</v>
      </c>
      <c r="M311" s="52" t="n">
        <v>18112.77</v>
      </c>
      <c r="N311" s="53" t="n">
        <f aca="false">D311*M311</f>
        <v>869412.96</v>
      </c>
      <c r="O311" s="54" t="n">
        <f aca="false">AVERAGE(G311,J311,M311)</f>
        <v>17833.8205555556</v>
      </c>
      <c r="P311" s="55" t="n">
        <f aca="false">E311*100/O311-100</f>
        <v>-0.18123180871352</v>
      </c>
      <c r="Q311" s="54" t="n">
        <f aca="false">D311*E311</f>
        <v>854472</v>
      </c>
      <c r="R311" s="56"/>
      <c r="T311" s="57" t="n">
        <f aca="false">ROUND(G311*100/O311-100,0)</f>
        <v>-2</v>
      </c>
      <c r="U311" s="57" t="n">
        <f aca="false">ROUND(J311*100/O311-100,0)</f>
        <v>0</v>
      </c>
      <c r="V311" s="57" t="n">
        <f aca="false">ROUND(M311*100/O311-100,0)</f>
        <v>2</v>
      </c>
    </row>
    <row r="312" s="43" customFormat="true" ht="73.5" hidden="false" customHeight="true" outlineLevel="0" collapsed="false">
      <c r="A312" s="45" t="n">
        <v>301</v>
      </c>
      <c r="B312" s="46" t="s">
        <v>427</v>
      </c>
      <c r="C312" s="47" t="s">
        <v>25</v>
      </c>
      <c r="D312" s="48" t="n">
        <v>96</v>
      </c>
      <c r="E312" s="50" t="n">
        <v>15087.84</v>
      </c>
      <c r="F312" s="47" t="s">
        <v>27</v>
      </c>
      <c r="G312" s="52" t="n">
        <v>15023.18</v>
      </c>
      <c r="H312" s="53" t="n">
        <f aca="false">D312*G312</f>
        <v>1442225.28</v>
      </c>
      <c r="I312" s="53" t="s">
        <v>28</v>
      </c>
      <c r="J312" s="52" t="n">
        <v>14681.33</v>
      </c>
      <c r="K312" s="53" t="n">
        <f aca="false">D312*J312</f>
        <v>1409407.68</v>
      </c>
      <c r="L312" s="48" t="s">
        <v>29</v>
      </c>
      <c r="M312" s="52" t="n">
        <v>15762.2</v>
      </c>
      <c r="N312" s="53" t="n">
        <f aca="false">D312*M312</f>
        <v>1513171.2</v>
      </c>
      <c r="O312" s="54" t="n">
        <f aca="false">AVERAGE(G312,J312,M312)</f>
        <v>15155.57</v>
      </c>
      <c r="P312" s="55" t="n">
        <f aca="false">E312*100/O312-100</f>
        <v>-0.446898401049907</v>
      </c>
      <c r="Q312" s="54" t="n">
        <f aca="false">D312*E312</f>
        <v>1448432.64</v>
      </c>
      <c r="R312" s="56"/>
      <c r="T312" s="57" t="n">
        <f aca="false">ROUND(G312*100/O312-100,0)</f>
        <v>-1</v>
      </c>
      <c r="U312" s="57" t="n">
        <f aca="false">ROUND(J312*100/O312-100,0)</f>
        <v>-3</v>
      </c>
      <c r="V312" s="57" t="n">
        <f aca="false">ROUND(M312*100/O312-100,0)</f>
        <v>4</v>
      </c>
    </row>
    <row r="313" s="43" customFormat="true" ht="73.5" hidden="false" customHeight="true" outlineLevel="0" collapsed="false">
      <c r="A313" s="45" t="n">
        <v>302</v>
      </c>
      <c r="B313" s="46" t="s">
        <v>428</v>
      </c>
      <c r="C313" s="47" t="s">
        <v>25</v>
      </c>
      <c r="D313" s="48" t="n">
        <v>48</v>
      </c>
      <c r="E313" s="50" t="n">
        <v>24326.9</v>
      </c>
      <c r="F313" s="47" t="s">
        <v>56</v>
      </c>
      <c r="G313" s="52" t="n">
        <v>24568.84</v>
      </c>
      <c r="H313" s="53" t="n">
        <f aca="false">D313*G313</f>
        <v>1179304.32</v>
      </c>
      <c r="I313" s="47" t="s">
        <v>57</v>
      </c>
      <c r="J313" s="52" t="n">
        <v>25037.67</v>
      </c>
      <c r="K313" s="53" t="n">
        <f aca="false">D313*J313</f>
        <v>1201808.16</v>
      </c>
      <c r="L313" s="47" t="s">
        <v>119</v>
      </c>
      <c r="M313" s="52" t="n">
        <v>23991.05</v>
      </c>
      <c r="N313" s="53" t="n">
        <f aca="false">D313*M313</f>
        <v>1151570.4</v>
      </c>
      <c r="O313" s="54" t="n">
        <f aca="false">AVERAGE(G313,J313,M313)</f>
        <v>24532.52</v>
      </c>
      <c r="P313" s="55" t="n">
        <f aca="false">E313*100/O313-100</f>
        <v>-0.838152786586946</v>
      </c>
      <c r="Q313" s="54" t="n">
        <f aca="false">D313*E313</f>
        <v>1167691.2</v>
      </c>
      <c r="R313" s="56"/>
      <c r="T313" s="57" t="n">
        <f aca="false">ROUND(G313*100/O313-100,0)</f>
        <v>0</v>
      </c>
      <c r="U313" s="57" t="n">
        <f aca="false">ROUND(J313*100/O313-100,0)</f>
        <v>2</v>
      </c>
      <c r="V313" s="57" t="n">
        <f aca="false">ROUND(M313*100/O313-100,0)</f>
        <v>-2</v>
      </c>
    </row>
    <row r="314" s="43" customFormat="true" ht="73.5" hidden="false" customHeight="true" outlineLevel="0" collapsed="false">
      <c r="A314" s="45" t="n">
        <v>303</v>
      </c>
      <c r="B314" s="46" t="s">
        <v>429</v>
      </c>
      <c r="C314" s="47" t="s">
        <v>25</v>
      </c>
      <c r="D314" s="48" t="n">
        <v>400</v>
      </c>
      <c r="E314" s="50" t="n">
        <v>37.4</v>
      </c>
      <c r="F314" s="47" t="s">
        <v>39</v>
      </c>
      <c r="G314" s="52" t="n">
        <v>39.6</v>
      </c>
      <c r="H314" s="53" t="n">
        <f aca="false">D314*G314</f>
        <v>15840</v>
      </c>
      <c r="I314" s="47" t="s">
        <v>430</v>
      </c>
      <c r="J314" s="52" t="n">
        <f aca="false">46.28/1.2</f>
        <v>38.5666666666667</v>
      </c>
      <c r="K314" s="53" t="n">
        <f aca="false">D314*J314</f>
        <v>15426.6666666667</v>
      </c>
      <c r="L314" s="47" t="s">
        <v>431</v>
      </c>
      <c r="M314" s="52" t="n">
        <f aca="false">42.67/1.2</f>
        <v>35.5583333333333</v>
      </c>
      <c r="N314" s="53" t="n">
        <f aca="false">D314*M314</f>
        <v>14223.3333333333</v>
      </c>
      <c r="O314" s="54" t="n">
        <f aca="false">AVERAGE(G314,J314,M314)</f>
        <v>37.9083333333333</v>
      </c>
      <c r="P314" s="55" t="n">
        <f aca="false">E314*100/O314-100</f>
        <v>-1.34095405583646</v>
      </c>
      <c r="Q314" s="54" t="n">
        <f aca="false">D314*E314</f>
        <v>14960</v>
      </c>
      <c r="R314" s="56"/>
      <c r="T314" s="57" t="n">
        <f aca="false">ROUND(G314*100/O314-100,0)</f>
        <v>4</v>
      </c>
      <c r="U314" s="57" t="n">
        <f aca="false">ROUND(J314*100/O314-100,0)</f>
        <v>2</v>
      </c>
      <c r="V314" s="57" t="n">
        <f aca="false">ROUND(M314*100/O314-100,0)</f>
        <v>-6</v>
      </c>
    </row>
    <row r="315" s="43" customFormat="true" ht="73.5" hidden="false" customHeight="true" outlineLevel="0" collapsed="false">
      <c r="A315" s="45" t="n">
        <v>304</v>
      </c>
      <c r="B315" s="46" t="s">
        <v>432</v>
      </c>
      <c r="C315" s="47" t="s">
        <v>147</v>
      </c>
      <c r="D315" s="48" t="s">
        <v>433</v>
      </c>
      <c r="E315" s="50" t="n">
        <v>11.03</v>
      </c>
      <c r="F315" s="47" t="s">
        <v>90</v>
      </c>
      <c r="G315" s="52" t="n">
        <f aca="false">13.24/1.2</f>
        <v>11.0333333333333</v>
      </c>
      <c r="H315" s="53" t="n">
        <f aca="false">D315*G315</f>
        <v>17653.3333333333</v>
      </c>
      <c r="I315" s="47" t="s">
        <v>46</v>
      </c>
      <c r="J315" s="52" t="n">
        <v>10.93</v>
      </c>
      <c r="K315" s="53" t="n">
        <f aca="false">D315*J315</f>
        <v>17488</v>
      </c>
      <c r="L315" s="47" t="s">
        <v>58</v>
      </c>
      <c r="M315" s="52" t="n">
        <v>11.89</v>
      </c>
      <c r="N315" s="53" t="n">
        <f aca="false">D315*M315</f>
        <v>19024</v>
      </c>
      <c r="O315" s="54" t="n">
        <f aca="false">AVERAGE(G315,J315,M315)</f>
        <v>11.2844444444444</v>
      </c>
      <c r="P315" s="55" t="n">
        <f aca="false">E315*100/O315-100</f>
        <v>-2.25482473414731</v>
      </c>
      <c r="Q315" s="54" t="n">
        <f aca="false">D315*E315</f>
        <v>17648</v>
      </c>
      <c r="R315" s="56"/>
      <c r="T315" s="57" t="n">
        <f aca="false">ROUND(G315*100/O315-100,0)</f>
        <v>-2</v>
      </c>
      <c r="U315" s="57" t="n">
        <f aca="false">ROUND(J315*100/O315-100,0)</f>
        <v>-3</v>
      </c>
      <c r="V315" s="57" t="n">
        <f aca="false">ROUND(M315*100/O315-100,0)</f>
        <v>5</v>
      </c>
    </row>
    <row r="316" s="43" customFormat="true" ht="73.5" hidden="false" customHeight="true" outlineLevel="0" collapsed="false">
      <c r="A316" s="45" t="n">
        <v>305</v>
      </c>
      <c r="B316" s="46" t="s">
        <v>434</v>
      </c>
      <c r="C316" s="47" t="s">
        <v>25</v>
      </c>
      <c r="D316" s="48" t="n">
        <v>30</v>
      </c>
      <c r="E316" s="50" t="n">
        <v>1285.66</v>
      </c>
      <c r="F316" s="47" t="s">
        <v>435</v>
      </c>
      <c r="G316" s="52" t="n">
        <v>1300</v>
      </c>
      <c r="H316" s="53" t="n">
        <f aca="false">D316*G316</f>
        <v>39000</v>
      </c>
      <c r="I316" s="47" t="s">
        <v>436</v>
      </c>
      <c r="J316" s="52" t="n">
        <v>1300</v>
      </c>
      <c r="K316" s="53" t="n">
        <f aca="false">D316*J316</f>
        <v>39000</v>
      </c>
      <c r="L316" s="47" t="s">
        <v>437</v>
      </c>
      <c r="M316" s="52" t="n">
        <v>1260</v>
      </c>
      <c r="N316" s="53" t="n">
        <f aca="false">D316*M316</f>
        <v>37800</v>
      </c>
      <c r="O316" s="54" t="n">
        <f aca="false">AVERAGE(G316,J316,M316)</f>
        <v>1286.66666666667</v>
      </c>
      <c r="P316" s="55" t="n">
        <f aca="false">E316*100/O316-100</f>
        <v>-0.0782383419689126</v>
      </c>
      <c r="Q316" s="54" t="n">
        <f aca="false">D316*E316</f>
        <v>38569.8</v>
      </c>
      <c r="R316" s="56"/>
      <c r="T316" s="57" t="n">
        <f aca="false">ROUND(G316*100/O316-100,0)</f>
        <v>1</v>
      </c>
      <c r="U316" s="57" t="n">
        <f aca="false">ROUND(J316*100/O316-100,0)</f>
        <v>1</v>
      </c>
      <c r="V316" s="57" t="n">
        <f aca="false">ROUND(M316*100/O316-100,0)</f>
        <v>-2</v>
      </c>
    </row>
    <row r="317" s="43" customFormat="true" ht="73.5" hidden="false" customHeight="true" outlineLevel="0" collapsed="false">
      <c r="A317" s="45" t="n">
        <v>306</v>
      </c>
      <c r="B317" s="46" t="s">
        <v>438</v>
      </c>
      <c r="C317" s="47" t="s">
        <v>25</v>
      </c>
      <c r="D317" s="48" t="n">
        <v>1</v>
      </c>
      <c r="E317" s="50" t="n">
        <v>26054.6</v>
      </c>
      <c r="F317" s="47" t="s">
        <v>27</v>
      </c>
      <c r="G317" s="52" t="n">
        <f aca="false">30302.49/1.2</f>
        <v>25252.075</v>
      </c>
      <c r="H317" s="53" t="n">
        <f aca="false">D317*G317</f>
        <v>25252.075</v>
      </c>
      <c r="I317" s="53" t="s">
        <v>28</v>
      </c>
      <c r="J317" s="52" t="n">
        <v>26315.4</v>
      </c>
      <c r="K317" s="53" t="n">
        <f aca="false">D317*J317</f>
        <v>26315.4</v>
      </c>
      <c r="L317" s="48" t="s">
        <v>29</v>
      </c>
      <c r="M317" s="52" t="n">
        <v>26678.22</v>
      </c>
      <c r="N317" s="53" t="n">
        <f aca="false">D317*M317</f>
        <v>26678.22</v>
      </c>
      <c r="O317" s="54" t="n">
        <f aca="false">AVERAGE(G317,J317,M317)</f>
        <v>26081.8983333333</v>
      </c>
      <c r="P317" s="55" t="n">
        <f aca="false">E317*100/O317-100</f>
        <v>-0.104663905151597</v>
      </c>
      <c r="Q317" s="54" t="n">
        <f aca="false">D317*E317</f>
        <v>26054.6</v>
      </c>
      <c r="R317" s="56"/>
      <c r="T317" s="57" t="n">
        <f aca="false">ROUND(G317*100/O317-100,0)</f>
        <v>-3</v>
      </c>
      <c r="U317" s="57" t="n">
        <f aca="false">ROUND(J317*100/O317-100,0)</f>
        <v>1</v>
      </c>
      <c r="V317" s="57" t="n">
        <f aca="false">ROUND(M317*100/O317-100,0)</f>
        <v>2</v>
      </c>
    </row>
    <row r="318" s="43" customFormat="true" ht="73.5" hidden="false" customHeight="true" outlineLevel="0" collapsed="false">
      <c r="A318" s="45" t="n">
        <v>307</v>
      </c>
      <c r="B318" s="46" t="s">
        <v>439</v>
      </c>
      <c r="C318" s="47" t="s">
        <v>25</v>
      </c>
      <c r="D318" s="48" t="n">
        <v>1</v>
      </c>
      <c r="E318" s="50" t="n">
        <v>8930.15</v>
      </c>
      <c r="F318" s="47" t="s">
        <v>56</v>
      </c>
      <c r="G318" s="52" t="n">
        <v>9150.22</v>
      </c>
      <c r="H318" s="53" t="n">
        <f aca="false">D318*G318</f>
        <v>9150.22</v>
      </c>
      <c r="I318" s="47" t="s">
        <v>57</v>
      </c>
      <c r="J318" s="52" t="n">
        <v>8700</v>
      </c>
      <c r="K318" s="53" t="n">
        <f aca="false">D318*J318</f>
        <v>8700</v>
      </c>
      <c r="L318" s="53" t="s">
        <v>67</v>
      </c>
      <c r="M318" s="52" t="n">
        <f aca="false">10766.52/1.2</f>
        <v>8972.1</v>
      </c>
      <c r="N318" s="53" t="n">
        <f aca="false">D318*M318</f>
        <v>8972.1</v>
      </c>
      <c r="O318" s="54" t="n">
        <f aca="false">AVERAGE(G318,J318,M318)</f>
        <v>8940.77333333333</v>
      </c>
      <c r="P318" s="55" t="n">
        <f aca="false">E318*100/O318-100</f>
        <v>-0.118818953766862</v>
      </c>
      <c r="Q318" s="54" t="n">
        <f aca="false">D318*E318</f>
        <v>8930.15</v>
      </c>
      <c r="R318" s="56"/>
      <c r="T318" s="57" t="n">
        <f aca="false">ROUND(G318*100/O318-100,0)</f>
        <v>2</v>
      </c>
      <c r="U318" s="57" t="n">
        <f aca="false">ROUND(J318*100/O318-100,0)</f>
        <v>-3</v>
      </c>
      <c r="V318" s="57" t="n">
        <f aca="false">ROUND(M318*100/O318-100,0)</f>
        <v>0</v>
      </c>
    </row>
    <row r="319" s="43" customFormat="true" ht="73.5" hidden="false" customHeight="true" outlineLevel="0" collapsed="false">
      <c r="A319" s="45" t="n">
        <v>308</v>
      </c>
      <c r="B319" s="46" t="s">
        <v>440</v>
      </c>
      <c r="C319" s="47" t="s">
        <v>25</v>
      </c>
      <c r="D319" s="48" t="n">
        <v>1</v>
      </c>
      <c r="E319" s="50" t="n">
        <v>9080.12</v>
      </c>
      <c r="F319" s="47" t="s">
        <v>56</v>
      </c>
      <c r="G319" s="52" t="n">
        <v>9205.49</v>
      </c>
      <c r="H319" s="53" t="n">
        <f aca="false">D319*G319</f>
        <v>9205.49</v>
      </c>
      <c r="I319" s="47" t="s">
        <v>57</v>
      </c>
      <c r="J319" s="52" t="n">
        <v>8900</v>
      </c>
      <c r="K319" s="53" t="n">
        <f aca="false">D319*J319</f>
        <v>8900</v>
      </c>
      <c r="L319" s="53" t="s">
        <v>67</v>
      </c>
      <c r="M319" s="52" t="n">
        <f aca="false">10969.78/1.2</f>
        <v>9141.48333333333</v>
      </c>
      <c r="N319" s="53" t="n">
        <f aca="false">D319*M319</f>
        <v>9141.48333333333</v>
      </c>
      <c r="O319" s="54" t="n">
        <f aca="false">AVERAGE(G319,J319,M319)</f>
        <v>9082.32444444444</v>
      </c>
      <c r="P319" s="55" t="n">
        <f aca="false">E319*100/O319-100</f>
        <v>-0.0242718090278231</v>
      </c>
      <c r="Q319" s="54" t="n">
        <f aca="false">D319*E319</f>
        <v>9080.12</v>
      </c>
      <c r="R319" s="56"/>
      <c r="T319" s="57" t="n">
        <f aca="false">ROUND(G319*100/O319-100,0)</f>
        <v>1</v>
      </c>
      <c r="U319" s="57" t="n">
        <f aca="false">ROUND(J319*100/O319-100,0)</f>
        <v>-2</v>
      </c>
      <c r="V319" s="57" t="n">
        <f aca="false">ROUND(M319*100/O319-100,0)</f>
        <v>1</v>
      </c>
    </row>
    <row r="320" s="43" customFormat="true" ht="73.5" hidden="false" customHeight="true" outlineLevel="0" collapsed="false">
      <c r="A320" s="45" t="n">
        <v>309</v>
      </c>
      <c r="B320" s="46" t="s">
        <v>441</v>
      </c>
      <c r="C320" s="47" t="s">
        <v>25</v>
      </c>
      <c r="D320" s="48" t="n">
        <v>2</v>
      </c>
      <c r="E320" s="50" t="n">
        <v>33102.4</v>
      </c>
      <c r="F320" s="47" t="s">
        <v>56</v>
      </c>
      <c r="G320" s="52" t="n">
        <v>33450</v>
      </c>
      <c r="H320" s="53" t="n">
        <f aca="false">D320*G320</f>
        <v>66900</v>
      </c>
      <c r="I320" s="47" t="s">
        <v>57</v>
      </c>
      <c r="J320" s="52" t="n">
        <v>32000</v>
      </c>
      <c r="K320" s="53" t="n">
        <f aca="false">D320*J320</f>
        <v>64000</v>
      </c>
      <c r="L320" s="53" t="s">
        <v>67</v>
      </c>
      <c r="M320" s="52" t="n">
        <f aca="false">40734.72/1.2</f>
        <v>33945.6</v>
      </c>
      <c r="N320" s="53" t="n">
        <f aca="false">D320*M320</f>
        <v>67891.2</v>
      </c>
      <c r="O320" s="54" t="n">
        <f aca="false">AVERAGE(G320,J320,M320)</f>
        <v>33131.8666666667</v>
      </c>
      <c r="P320" s="55" t="n">
        <f aca="false">E320*100/O320-100</f>
        <v>-0.0889375384825968</v>
      </c>
      <c r="Q320" s="54" t="n">
        <f aca="false">D320*E320</f>
        <v>66204.8</v>
      </c>
      <c r="R320" s="56"/>
      <c r="T320" s="57" t="n">
        <f aca="false">ROUND(G320*100/O320-100,0)</f>
        <v>1</v>
      </c>
      <c r="U320" s="57" t="n">
        <f aca="false">ROUND(J320*100/O320-100,0)</f>
        <v>-3</v>
      </c>
      <c r="V320" s="57" t="n">
        <f aca="false">ROUND(M320*100/O320-100,0)</f>
        <v>2</v>
      </c>
    </row>
    <row r="321" s="43" customFormat="true" ht="73.5" hidden="false" customHeight="true" outlineLevel="0" collapsed="false">
      <c r="A321" s="45" t="n">
        <v>310</v>
      </c>
      <c r="B321" s="46" t="s">
        <v>442</v>
      </c>
      <c r="C321" s="47" t="s">
        <v>25</v>
      </c>
      <c r="D321" s="48" t="n">
        <v>2</v>
      </c>
      <c r="E321" s="50" t="n">
        <v>69148.5</v>
      </c>
      <c r="F321" s="47" t="s">
        <v>56</v>
      </c>
      <c r="G321" s="52" t="n">
        <v>69725.6</v>
      </c>
      <c r="H321" s="53" t="n">
        <f aca="false">D321*G321</f>
        <v>139451.2</v>
      </c>
      <c r="I321" s="47" t="s">
        <v>57</v>
      </c>
      <c r="J321" s="52" t="n">
        <v>68000</v>
      </c>
      <c r="K321" s="53" t="n">
        <f aca="false">D321*J321</f>
        <v>136000</v>
      </c>
      <c r="L321" s="53" t="s">
        <v>67</v>
      </c>
      <c r="M321" s="52" t="n">
        <f aca="false">84060.86/1.2</f>
        <v>70050.7166666667</v>
      </c>
      <c r="N321" s="53" t="n">
        <f aca="false">D321*M321</f>
        <v>140101.433333333</v>
      </c>
      <c r="O321" s="54" t="n">
        <f aca="false">AVERAGE(G321,J321,M321)</f>
        <v>69258.7722222222</v>
      </c>
      <c r="P321" s="55" t="n">
        <f aca="false">E321*100/O321-100</f>
        <v>-0.159217697172579</v>
      </c>
      <c r="Q321" s="54" t="n">
        <f aca="false">D321*E321</f>
        <v>138297</v>
      </c>
      <c r="R321" s="56"/>
      <c r="T321" s="57" t="n">
        <f aca="false">ROUND(G321*100/O321-100,0)</f>
        <v>1</v>
      </c>
      <c r="U321" s="57" t="n">
        <f aca="false">ROUND(J321*100/O321-100,0)</f>
        <v>-2</v>
      </c>
      <c r="V321" s="57" t="n">
        <f aca="false">ROUND(M321*100/O321-100,0)</f>
        <v>1</v>
      </c>
    </row>
    <row r="322" s="43" customFormat="true" ht="73.5" hidden="false" customHeight="true" outlineLevel="0" collapsed="false">
      <c r="A322" s="45" t="n">
        <v>311</v>
      </c>
      <c r="B322" s="46" t="s">
        <v>443</v>
      </c>
      <c r="C322" s="47" t="s">
        <v>45</v>
      </c>
      <c r="D322" s="48" t="n">
        <v>125.8</v>
      </c>
      <c r="E322" s="50" t="n">
        <v>395.2</v>
      </c>
      <c r="F322" s="47" t="s">
        <v>39</v>
      </c>
      <c r="G322" s="52" t="n">
        <v>388.09</v>
      </c>
      <c r="H322" s="53" t="n">
        <f aca="false">D322*G322</f>
        <v>48821.722</v>
      </c>
      <c r="I322" s="47" t="s">
        <v>54</v>
      </c>
      <c r="J322" s="52" t="n">
        <v>410.77</v>
      </c>
      <c r="K322" s="53" t="n">
        <f aca="false">D322*J322</f>
        <v>51674.866</v>
      </c>
      <c r="L322" s="53" t="s">
        <v>67</v>
      </c>
      <c r="M322" s="52" t="n">
        <f aca="false">488.26/1.2</f>
        <v>406.883333333333</v>
      </c>
      <c r="N322" s="53" t="n">
        <f aca="false">D322*M322</f>
        <v>51185.9233333333</v>
      </c>
      <c r="O322" s="54" t="n">
        <f aca="false">AVERAGE(G322,J322,M322)</f>
        <v>401.914444444444</v>
      </c>
      <c r="P322" s="55" t="n">
        <f aca="false">E322*100/O322-100</f>
        <v>-1.67061536037244</v>
      </c>
      <c r="Q322" s="54" t="n">
        <f aca="false">D322*E322</f>
        <v>49716.16</v>
      </c>
      <c r="R322" s="56"/>
      <c r="T322" s="57" t="n">
        <f aca="false">ROUND(G322*100/O322-100,0)</f>
        <v>-3</v>
      </c>
      <c r="U322" s="57" t="n">
        <f aca="false">ROUND(J322*100/O322-100,0)</f>
        <v>2</v>
      </c>
      <c r="V322" s="57" t="n">
        <f aca="false">ROUND(M322*100/O322-100,0)</f>
        <v>1</v>
      </c>
    </row>
    <row r="323" s="43" customFormat="true" ht="73.5" hidden="false" customHeight="true" outlineLevel="0" collapsed="false">
      <c r="A323" s="45" t="n">
        <v>312</v>
      </c>
      <c r="B323" s="46" t="s">
        <v>444</v>
      </c>
      <c r="C323" s="47" t="s">
        <v>45</v>
      </c>
      <c r="D323" s="48" t="s">
        <v>445</v>
      </c>
      <c r="E323" s="50" t="n">
        <v>385.4</v>
      </c>
      <c r="F323" s="47" t="s">
        <v>39</v>
      </c>
      <c r="G323" s="52" t="n">
        <v>395.81</v>
      </c>
      <c r="H323" s="53" t="n">
        <f aca="false">D323*G323</f>
        <v>28498.32</v>
      </c>
      <c r="I323" s="47" t="s">
        <v>54</v>
      </c>
      <c r="J323" s="52" t="n">
        <v>403.69</v>
      </c>
      <c r="K323" s="53" t="n">
        <f aca="false">D323*J323</f>
        <v>29065.68</v>
      </c>
      <c r="L323" s="53" t="s">
        <v>67</v>
      </c>
      <c r="M323" s="52" t="n">
        <f aca="false">465/1.2</f>
        <v>387.5</v>
      </c>
      <c r="N323" s="53" t="n">
        <f aca="false">D323*M323</f>
        <v>27900</v>
      </c>
      <c r="O323" s="54" t="n">
        <f aca="false">AVERAGE(G323,J323,M323)</f>
        <v>395.666666666667</v>
      </c>
      <c r="P323" s="55" t="n">
        <f aca="false">E323*100/O323-100</f>
        <v>-2.59477674810447</v>
      </c>
      <c r="Q323" s="54" t="n">
        <f aca="false">D323*E323</f>
        <v>27748.8</v>
      </c>
      <c r="R323" s="56"/>
      <c r="T323" s="57" t="n">
        <f aca="false">ROUND(G323*100/O323-100,0)</f>
        <v>0</v>
      </c>
      <c r="U323" s="57" t="n">
        <f aca="false">ROUND(J323*100/O323-100,0)</f>
        <v>2</v>
      </c>
      <c r="V323" s="57" t="n">
        <f aca="false">ROUND(M323*100/O323-100,0)</f>
        <v>-2</v>
      </c>
    </row>
    <row r="324" s="43" customFormat="true" ht="73.5" hidden="false" customHeight="true" outlineLevel="0" collapsed="false">
      <c r="A324" s="45" t="n">
        <v>313</v>
      </c>
      <c r="B324" s="46" t="s">
        <v>446</v>
      </c>
      <c r="C324" s="47" t="s">
        <v>45</v>
      </c>
      <c r="D324" s="48" t="n">
        <v>24</v>
      </c>
      <c r="E324" s="50" t="n">
        <v>383</v>
      </c>
      <c r="F324" s="47" t="s">
        <v>39</v>
      </c>
      <c r="G324" s="52" t="n">
        <v>395.81</v>
      </c>
      <c r="H324" s="53" t="n">
        <f aca="false">D324*G324</f>
        <v>9499.44</v>
      </c>
      <c r="I324" s="47" t="s">
        <v>54</v>
      </c>
      <c r="J324" s="52" t="n">
        <v>403.69</v>
      </c>
      <c r="K324" s="53" t="n">
        <f aca="false">D324*J324</f>
        <v>9688.56</v>
      </c>
      <c r="L324" s="53" t="s">
        <v>67</v>
      </c>
      <c r="M324" s="52" t="n">
        <f aca="false">460.44/1.2</f>
        <v>383.7</v>
      </c>
      <c r="N324" s="53" t="n">
        <f aca="false">D324*M324</f>
        <v>9208.8</v>
      </c>
      <c r="O324" s="54" t="n">
        <f aca="false">AVERAGE(G324,J324,M324)</f>
        <v>394.4</v>
      </c>
      <c r="P324" s="55" t="n">
        <f aca="false">E324*100/O324-100</f>
        <v>-2.89046653144017</v>
      </c>
      <c r="Q324" s="54" t="n">
        <f aca="false">D324*E324</f>
        <v>9192</v>
      </c>
      <c r="R324" s="56"/>
      <c r="T324" s="57" t="n">
        <f aca="false">ROUND(G324*100/O324-100,0)</f>
        <v>0</v>
      </c>
      <c r="U324" s="57" t="n">
        <f aca="false">ROUND(J324*100/O324-100,0)</f>
        <v>2</v>
      </c>
      <c r="V324" s="57" t="n">
        <f aca="false">ROUND(M324*100/O324-100,0)</f>
        <v>-3</v>
      </c>
    </row>
    <row r="325" s="43" customFormat="true" ht="73.5" hidden="false" customHeight="true" outlineLevel="0" collapsed="false">
      <c r="A325" s="45" t="n">
        <v>314</v>
      </c>
      <c r="B325" s="46" t="s">
        <v>447</v>
      </c>
      <c r="C325" s="47" t="s">
        <v>25</v>
      </c>
      <c r="D325" s="48" t="n">
        <v>4</v>
      </c>
      <c r="E325" s="50" t="n">
        <v>1175.2</v>
      </c>
      <c r="F325" s="47" t="s">
        <v>27</v>
      </c>
      <c r="G325" s="52" t="n">
        <f aca="false">1338.34/1.2</f>
        <v>1115.28333333333</v>
      </c>
      <c r="H325" s="53" t="n">
        <f aca="false">D325*G325</f>
        <v>4461.13333333333</v>
      </c>
      <c r="I325" s="53" t="s">
        <v>28</v>
      </c>
      <c r="J325" s="52" t="n">
        <v>1170.64</v>
      </c>
      <c r="K325" s="53" t="n">
        <f aca="false">D325*J325</f>
        <v>4682.56</v>
      </c>
      <c r="L325" s="48" t="s">
        <v>29</v>
      </c>
      <c r="M325" s="52" t="n">
        <v>1246.5</v>
      </c>
      <c r="N325" s="53" t="n">
        <f aca="false">D325*M325</f>
        <v>4986</v>
      </c>
      <c r="O325" s="54" t="n">
        <f aca="false">AVERAGE(G325,J325,M325)</f>
        <v>1177.47444444444</v>
      </c>
      <c r="P325" s="55" t="n">
        <f aca="false">E325*100/O325-100</f>
        <v>-0.193162956119821</v>
      </c>
      <c r="Q325" s="54" t="n">
        <f aca="false">D325*E325</f>
        <v>4700.8</v>
      </c>
      <c r="R325" s="56"/>
      <c r="T325" s="57" t="n">
        <f aca="false">ROUND(G325*100/O325-100,0)</f>
        <v>-5</v>
      </c>
      <c r="U325" s="57" t="n">
        <f aca="false">ROUND(J325*100/O325-100,0)</f>
        <v>-1</v>
      </c>
      <c r="V325" s="57" t="n">
        <f aca="false">ROUND(M325*100/O325-100,0)</f>
        <v>6</v>
      </c>
    </row>
    <row r="326" s="43" customFormat="true" ht="73.5" hidden="false" customHeight="true" outlineLevel="0" collapsed="false">
      <c r="A326" s="45" t="n">
        <v>315</v>
      </c>
      <c r="B326" s="46" t="s">
        <v>448</v>
      </c>
      <c r="C326" s="47" t="s">
        <v>25</v>
      </c>
      <c r="D326" s="47" t="n">
        <v>71</v>
      </c>
      <c r="E326" s="50" t="n">
        <v>1974.45</v>
      </c>
      <c r="F326" s="47" t="s">
        <v>27</v>
      </c>
      <c r="G326" s="52" t="n">
        <f aca="false">2332.39/1.2</f>
        <v>1943.65833333333</v>
      </c>
      <c r="H326" s="53" t="n">
        <f aca="false">D326*G326</f>
        <v>137999.741666667</v>
      </c>
      <c r="I326" s="53" t="s">
        <v>28</v>
      </c>
      <c r="J326" s="52" t="n">
        <v>2010.42</v>
      </c>
      <c r="K326" s="53" t="n">
        <f aca="false">D326*J326</f>
        <v>142739.82</v>
      </c>
      <c r="L326" s="48" t="s">
        <v>29</v>
      </c>
      <c r="M326" s="52" t="n">
        <v>1972.2</v>
      </c>
      <c r="N326" s="53" t="n">
        <f aca="false">D326*M326</f>
        <v>140026.2</v>
      </c>
      <c r="O326" s="54" t="n">
        <f aca="false">AVERAGE(G326,J326,M326)</f>
        <v>1975.42611111111</v>
      </c>
      <c r="P326" s="55" t="n">
        <f aca="false">E326*100/O326-100</f>
        <v>-0.0494126864893048</v>
      </c>
      <c r="Q326" s="54" t="n">
        <f aca="false">D326*E326</f>
        <v>140185.95</v>
      </c>
      <c r="R326" s="56"/>
      <c r="T326" s="57" t="n">
        <f aca="false">ROUND(G326*100/O326-100,0)</f>
        <v>-2</v>
      </c>
      <c r="U326" s="57" t="n">
        <f aca="false">ROUND(J326*100/O326-100,0)</f>
        <v>2</v>
      </c>
      <c r="V326" s="57" t="n">
        <f aca="false">ROUND(M326*100/O326-100,0)</f>
        <v>-0</v>
      </c>
    </row>
    <row r="327" s="43" customFormat="true" ht="73.5" hidden="false" customHeight="true" outlineLevel="0" collapsed="false">
      <c r="A327" s="45" t="n">
        <v>316</v>
      </c>
      <c r="B327" s="46" t="s">
        <v>449</v>
      </c>
      <c r="C327" s="47" t="s">
        <v>25</v>
      </c>
      <c r="D327" s="48" t="n">
        <v>34</v>
      </c>
      <c r="E327" s="50" t="n">
        <v>2651.1</v>
      </c>
      <c r="F327" s="47" t="s">
        <v>27</v>
      </c>
      <c r="G327" s="52" t="n">
        <f aca="false">2925.52/1.2</f>
        <v>2437.93333333333</v>
      </c>
      <c r="H327" s="53" t="n">
        <f aca="false">D327*G327</f>
        <v>82889.7333333333</v>
      </c>
      <c r="I327" s="53" t="s">
        <v>28</v>
      </c>
      <c r="J327" s="52" t="n">
        <v>2845.3</v>
      </c>
      <c r="K327" s="53" t="n">
        <f aca="false">D327*J327</f>
        <v>96740.2</v>
      </c>
      <c r="L327" s="48" t="s">
        <v>29</v>
      </c>
      <c r="M327" s="52" t="n">
        <v>2680.49</v>
      </c>
      <c r="N327" s="53" t="n">
        <f aca="false">D327*M327</f>
        <v>91136.66</v>
      </c>
      <c r="O327" s="54" t="n">
        <f aca="false">AVERAGE(G327,J327,M327)</f>
        <v>2654.57444444444</v>
      </c>
      <c r="P327" s="55" t="n">
        <f aca="false">E327*100/O327-100</f>
        <v>-0.130885176406181</v>
      </c>
      <c r="Q327" s="54" t="n">
        <f aca="false">D327*E327</f>
        <v>90137.4</v>
      </c>
      <c r="R327" s="56"/>
      <c r="T327" s="57" t="n">
        <f aca="false">ROUND(G327*100/O327-100,0)</f>
        <v>-8</v>
      </c>
      <c r="U327" s="57" t="n">
        <f aca="false">ROUND(J327*100/O327-100,0)</f>
        <v>7</v>
      </c>
      <c r="V327" s="57" t="n">
        <f aca="false">ROUND(M327*100/O327-100,0)</f>
        <v>1</v>
      </c>
    </row>
    <row r="328" s="43" customFormat="true" ht="73.5" hidden="false" customHeight="true" outlineLevel="0" collapsed="false">
      <c r="A328" s="45" t="n">
        <v>317</v>
      </c>
      <c r="B328" s="46" t="s">
        <v>450</v>
      </c>
      <c r="C328" s="47" t="s">
        <v>25</v>
      </c>
      <c r="D328" s="48" t="s">
        <v>451</v>
      </c>
      <c r="E328" s="50" t="n">
        <v>3640.5</v>
      </c>
      <c r="F328" s="47" t="s">
        <v>27</v>
      </c>
      <c r="G328" s="52" t="n">
        <f aca="false">4199.67/1.2</f>
        <v>3499.725</v>
      </c>
      <c r="H328" s="53" t="n">
        <f aca="false">D328*G328</f>
        <v>34997.25</v>
      </c>
      <c r="I328" s="53" t="s">
        <v>28</v>
      </c>
      <c r="J328" s="52" t="n">
        <v>3754.2</v>
      </c>
      <c r="K328" s="53" t="n">
        <f aca="false">D328*J328</f>
        <v>37542</v>
      </c>
      <c r="L328" s="48" t="s">
        <v>29</v>
      </c>
      <c r="M328" s="52" t="n">
        <v>3674.62</v>
      </c>
      <c r="N328" s="53" t="n">
        <f aca="false">D328*M328</f>
        <v>36746.2</v>
      </c>
      <c r="O328" s="54" t="n">
        <f aca="false">AVERAGE(G328,J328,M328)</f>
        <v>3642.84833333333</v>
      </c>
      <c r="P328" s="55" t="n">
        <f aca="false">E328*100/O328-100</f>
        <v>-0.0644642081814197</v>
      </c>
      <c r="Q328" s="54" t="n">
        <f aca="false">D328*E328</f>
        <v>36405</v>
      </c>
      <c r="R328" s="56"/>
      <c r="T328" s="57" t="n">
        <f aca="false">ROUND(G328*100/O328-100,0)</f>
        <v>-4</v>
      </c>
      <c r="U328" s="57" t="n">
        <f aca="false">ROUND(J328*100/O328-100,0)</f>
        <v>3</v>
      </c>
      <c r="V328" s="57" t="n">
        <f aca="false">ROUND(M328*100/O328-100,0)</f>
        <v>1</v>
      </c>
    </row>
    <row r="329" s="43" customFormat="true" ht="73.5" hidden="false" customHeight="true" outlineLevel="0" collapsed="false">
      <c r="A329" s="45" t="n">
        <v>318</v>
      </c>
      <c r="B329" s="46" t="s">
        <v>452</v>
      </c>
      <c r="C329" s="47" t="s">
        <v>25</v>
      </c>
      <c r="D329" s="48" t="n">
        <v>266</v>
      </c>
      <c r="E329" s="50" t="n">
        <v>591.6</v>
      </c>
      <c r="F329" s="47" t="s">
        <v>56</v>
      </c>
      <c r="G329" s="52" t="n">
        <v>589.7</v>
      </c>
      <c r="H329" s="53" t="n">
        <f aca="false">D329*G329</f>
        <v>156860.2</v>
      </c>
      <c r="I329" s="47" t="s">
        <v>57</v>
      </c>
      <c r="J329" s="52" t="n">
        <v>578.64</v>
      </c>
      <c r="K329" s="53" t="n">
        <f aca="false">D329*J329</f>
        <v>153918.24</v>
      </c>
      <c r="L329" s="53" t="s">
        <v>68</v>
      </c>
      <c r="M329" s="52" t="n">
        <v>610.24</v>
      </c>
      <c r="N329" s="53" t="n">
        <f aca="false">D329*M329</f>
        <v>162323.84</v>
      </c>
      <c r="O329" s="54" t="n">
        <f aca="false">AVERAGE(G329,J329,M329)</f>
        <v>592.86</v>
      </c>
      <c r="P329" s="55" t="n">
        <f aca="false">E329*100/O329-100</f>
        <v>-0.212529096245319</v>
      </c>
      <c r="Q329" s="54" t="n">
        <f aca="false">D329*E329</f>
        <v>157365.6</v>
      </c>
      <c r="R329" s="56"/>
      <c r="T329" s="57" t="n">
        <f aca="false">ROUND(G329*100/O329-100,0)</f>
        <v>-1</v>
      </c>
      <c r="U329" s="57" t="n">
        <f aca="false">ROUND(J329*100/O329-100,0)</f>
        <v>-2</v>
      </c>
      <c r="V329" s="57" t="n">
        <f aca="false">ROUND(M329*100/O329-100,0)</f>
        <v>3</v>
      </c>
    </row>
    <row r="330" s="43" customFormat="true" ht="73.5" hidden="false" customHeight="true" outlineLevel="0" collapsed="false">
      <c r="A330" s="45" t="n">
        <v>319</v>
      </c>
      <c r="B330" s="46" t="s">
        <v>453</v>
      </c>
      <c r="C330" s="47" t="s">
        <v>25</v>
      </c>
      <c r="D330" s="48" t="n">
        <v>654</v>
      </c>
      <c r="E330" s="81" t="n">
        <v>595.8</v>
      </c>
      <c r="F330" s="47" t="s">
        <v>56</v>
      </c>
      <c r="G330" s="52" t="n">
        <v>630.12</v>
      </c>
      <c r="H330" s="53" t="n">
        <f aca="false">D330*G330</f>
        <v>412098.48</v>
      </c>
      <c r="I330" s="47" t="s">
        <v>57</v>
      </c>
      <c r="J330" s="52" t="n">
        <v>562.09</v>
      </c>
      <c r="K330" s="53" t="n">
        <f aca="false">D330*J330</f>
        <v>367606.86</v>
      </c>
      <c r="L330" s="53" t="s">
        <v>68</v>
      </c>
      <c r="M330" s="52" t="n">
        <v>599.4</v>
      </c>
      <c r="N330" s="53" t="n">
        <f aca="false">D330*M330</f>
        <v>392007.6</v>
      </c>
      <c r="O330" s="54" t="n">
        <f aca="false">AVERAGE(G330,J330,M330)</f>
        <v>597.203333333333</v>
      </c>
      <c r="P330" s="55" t="n">
        <f aca="false">E330*100/O330-100</f>
        <v>-0.234984176243728</v>
      </c>
      <c r="Q330" s="54" t="n">
        <f aca="false">D330*E330</f>
        <v>389653.2</v>
      </c>
      <c r="R330" s="83" t="s">
        <v>478</v>
      </c>
      <c r="T330" s="57" t="n">
        <f aca="false">ROUND(G330*100/O330-100,0)</f>
        <v>6</v>
      </c>
      <c r="U330" s="57" t="n">
        <f aca="false">ROUND(J330*100/O330-100,0)</f>
        <v>-6</v>
      </c>
      <c r="V330" s="57" t="n">
        <f aca="false">ROUND(M330*100/O330-100,0)</f>
        <v>0</v>
      </c>
    </row>
    <row r="331" s="43" customFormat="true" ht="73.5" hidden="false" customHeight="true" outlineLevel="0" collapsed="false">
      <c r="A331" s="45" t="n">
        <v>320</v>
      </c>
      <c r="B331" s="46" t="s">
        <v>454</v>
      </c>
      <c r="C331" s="47" t="s">
        <v>25</v>
      </c>
      <c r="D331" s="48" t="n">
        <v>20</v>
      </c>
      <c r="E331" s="50" t="n">
        <v>2045.3</v>
      </c>
      <c r="F331" s="47" t="s">
        <v>27</v>
      </c>
      <c r="G331" s="52" t="n">
        <f aca="false">2395.66/1.2</f>
        <v>1996.38333333333</v>
      </c>
      <c r="H331" s="53" t="n">
        <f aca="false">D331*G331</f>
        <v>39927.6666666667</v>
      </c>
      <c r="I331" s="53" t="s">
        <v>28</v>
      </c>
      <c r="J331" s="52" t="n">
        <v>2100.3</v>
      </c>
      <c r="K331" s="53" t="n">
        <f aca="false">D331*J331</f>
        <v>42006</v>
      </c>
      <c r="L331" s="48" t="s">
        <v>29</v>
      </c>
      <c r="M331" s="52" t="n">
        <v>2050.88</v>
      </c>
      <c r="N331" s="53" t="n">
        <f aca="false">D331*M331</f>
        <v>41017.6</v>
      </c>
      <c r="O331" s="54" t="n">
        <f aca="false">AVERAGE(G331,J331,M331)</f>
        <v>2049.18777777778</v>
      </c>
      <c r="P331" s="55" t="n">
        <f aca="false">E331*100/O331-100</f>
        <v>-0.189722865807539</v>
      </c>
      <c r="Q331" s="54" t="n">
        <f aca="false">D331*E331</f>
        <v>40906</v>
      </c>
      <c r="R331" s="56"/>
      <c r="T331" s="57" t="n">
        <f aca="false">ROUND(G331*100/O331-100,0)</f>
        <v>-3</v>
      </c>
      <c r="U331" s="57" t="n">
        <f aca="false">ROUND(J331*100/O331-100,0)</f>
        <v>2</v>
      </c>
      <c r="V331" s="57" t="n">
        <f aca="false">ROUND(M331*100/O331-100,0)</f>
        <v>0</v>
      </c>
    </row>
    <row r="332" s="43" customFormat="true" ht="32.25" hidden="false" customHeight="true" outlineLevel="0" collapsed="false">
      <c r="A332" s="45"/>
      <c r="B332" s="73" t="s">
        <v>455</v>
      </c>
      <c r="C332" s="73"/>
      <c r="D332" s="73"/>
      <c r="E332" s="73"/>
      <c r="F332" s="73"/>
      <c r="G332" s="73"/>
      <c r="H332" s="73"/>
      <c r="I332" s="73"/>
      <c r="J332" s="73"/>
      <c r="K332" s="73"/>
      <c r="L332" s="73"/>
      <c r="M332" s="73"/>
      <c r="N332" s="73"/>
      <c r="O332" s="73"/>
      <c r="P332" s="73"/>
      <c r="Q332" s="73"/>
      <c r="R332" s="73"/>
      <c r="T332" s="57"/>
      <c r="U332" s="57"/>
      <c r="V332" s="57"/>
    </row>
    <row r="333" s="43" customFormat="true" ht="73.5" hidden="false" customHeight="true" outlineLevel="0" collapsed="false">
      <c r="A333" s="45" t="n">
        <v>321</v>
      </c>
      <c r="B333" s="46" t="s">
        <v>456</v>
      </c>
      <c r="C333" s="47" t="s">
        <v>25</v>
      </c>
      <c r="D333" s="48" t="n">
        <v>8</v>
      </c>
      <c r="E333" s="50" t="n">
        <v>87042.7</v>
      </c>
      <c r="F333" s="47" t="s">
        <v>56</v>
      </c>
      <c r="G333" s="52" t="n">
        <v>85925.72</v>
      </c>
      <c r="H333" s="53" t="n">
        <f aca="false">D333*G333</f>
        <v>687405.76</v>
      </c>
      <c r="I333" s="47" t="s">
        <v>57</v>
      </c>
      <c r="J333" s="52" t="n">
        <v>88479.67</v>
      </c>
      <c r="K333" s="53" t="n">
        <f aca="false">D333*J333</f>
        <v>707837.36</v>
      </c>
      <c r="L333" s="47" t="s">
        <v>457</v>
      </c>
      <c r="M333" s="52" t="n">
        <f aca="false">87011.83</f>
        <v>87011.83</v>
      </c>
      <c r="N333" s="53" t="n">
        <f aca="false">D333*M333</f>
        <v>696094.64</v>
      </c>
      <c r="O333" s="54" t="n">
        <f aca="false">AVERAGE(G333,J333,M333)</f>
        <v>87139.0733333333</v>
      </c>
      <c r="P333" s="55" t="n">
        <f aca="false">E333*100/O333-100</f>
        <v>-0.110597151939729</v>
      </c>
      <c r="Q333" s="54" t="n">
        <f aca="false">D333*E333</f>
        <v>696341.6</v>
      </c>
      <c r="R333" s="46"/>
      <c r="T333" s="57" t="n">
        <f aca="false">ROUND(G333*100/O333-100,0)</f>
        <v>-1</v>
      </c>
      <c r="U333" s="57" t="n">
        <f aca="false">ROUND(J333*100/O333-100,0)</f>
        <v>2</v>
      </c>
      <c r="V333" s="57" t="n">
        <f aca="false">ROUND(M333*100/O333-100,0)</f>
        <v>-0</v>
      </c>
    </row>
    <row r="334" s="43" customFormat="true" ht="25.5" hidden="false" customHeight="true" outlineLevel="0" collapsed="false">
      <c r="A334" s="74" t="s">
        <v>458</v>
      </c>
      <c r="B334" s="74"/>
      <c r="C334" s="74"/>
      <c r="D334" s="74"/>
      <c r="E334" s="74"/>
      <c r="F334" s="74"/>
      <c r="G334" s="74"/>
      <c r="H334" s="74"/>
      <c r="I334" s="74"/>
      <c r="J334" s="74"/>
      <c r="K334" s="74"/>
      <c r="L334" s="74"/>
      <c r="M334" s="74"/>
      <c r="N334" s="74"/>
      <c r="O334" s="54" t="n">
        <f aca="false">SUM(O11:O333)</f>
        <v>6362739.13788633</v>
      </c>
      <c r="P334" s="55"/>
      <c r="Q334" s="54" t="n">
        <f aca="false">SUM(Q11:Q333)</f>
        <v>44776742.8474</v>
      </c>
      <c r="R334" s="46"/>
    </row>
    <row r="335" s="14" customFormat="true" ht="33" hidden="false" customHeight="true" outlineLevel="0" collapsed="false">
      <c r="A335" s="75"/>
      <c r="B335" s="76"/>
      <c r="C335" s="76"/>
      <c r="D335" s="76"/>
      <c r="E335" s="76"/>
      <c r="F335" s="76"/>
      <c r="G335" s="76"/>
      <c r="H335" s="76"/>
      <c r="I335" s="77"/>
      <c r="J335" s="78"/>
      <c r="K335" s="75"/>
      <c r="L335" s="75"/>
      <c r="M335" s="78"/>
      <c r="N335" s="75"/>
      <c r="O335" s="75"/>
      <c r="P335" s="75"/>
      <c r="Q335" s="75"/>
      <c r="R335" s="75"/>
    </row>
    <row r="336" customFormat="false" ht="15.75" hidden="false" customHeight="false" outlineLevel="0" collapsed="false">
      <c r="I336" s="77"/>
    </row>
    <row r="337" customFormat="false" ht="15.75" hidden="false" customHeight="false" outlineLevel="0" collapsed="false">
      <c r="I337" s="77"/>
    </row>
    <row r="339" customFormat="false" ht="124.5" hidden="false" customHeight="true" outlineLevel="0" collapsed="false">
      <c r="B339" s="79" t="s">
        <v>459</v>
      </c>
      <c r="C339" s="79"/>
      <c r="D339" s="79"/>
      <c r="E339" s="79"/>
      <c r="F339" s="79"/>
      <c r="G339" s="79"/>
      <c r="H339" s="79"/>
      <c r="I339" s="79"/>
      <c r="J339" s="79"/>
      <c r="K339" s="79"/>
      <c r="L339" s="79"/>
      <c r="M339" s="79"/>
      <c r="N339" s="79"/>
      <c r="O339" s="79"/>
      <c r="P339" s="79"/>
    </row>
    <row r="341" customFormat="false" ht="32.25" hidden="false" customHeight="true" outlineLevel="0" collapsed="false">
      <c r="B341" s="79" t="s">
        <v>460</v>
      </c>
      <c r="C341" s="79"/>
      <c r="D341" s="79"/>
      <c r="E341" s="79"/>
      <c r="F341" s="79"/>
      <c r="G341" s="79"/>
      <c r="H341" s="79"/>
      <c r="I341" s="79"/>
      <c r="J341" s="79"/>
      <c r="K341" s="79"/>
      <c r="L341" s="79"/>
      <c r="M341" s="79"/>
      <c r="N341" s="79"/>
      <c r="O341" s="79"/>
      <c r="P341" s="79"/>
    </row>
    <row r="349" customFormat="false" ht="14.25" hidden="false" customHeight="false" outlineLevel="0" collapsed="false">
      <c r="F349" s="51"/>
      <c r="G349" s="52"/>
    </row>
  </sheetData>
  <autoFilter ref="A10:R334"/>
  <mergeCells count="23">
    <mergeCell ref="O1:R1"/>
    <mergeCell ref="O2:R2"/>
    <mergeCell ref="A3:O3"/>
    <mergeCell ref="A5:P5"/>
    <mergeCell ref="A7:A9"/>
    <mergeCell ref="B7:B9"/>
    <mergeCell ref="C7:C9"/>
    <mergeCell ref="D7:D9"/>
    <mergeCell ref="E7:E9"/>
    <mergeCell ref="F7:H8"/>
    <mergeCell ref="I7:K8"/>
    <mergeCell ref="L7:N8"/>
    <mergeCell ref="O7:O9"/>
    <mergeCell ref="P7:P9"/>
    <mergeCell ref="Q7:Q9"/>
    <mergeCell ref="R7:R9"/>
    <mergeCell ref="T7:V8"/>
    <mergeCell ref="A11:R11"/>
    <mergeCell ref="B332:R332"/>
    <mergeCell ref="A334:N334"/>
    <mergeCell ref="B335:H335"/>
    <mergeCell ref="B339:P339"/>
    <mergeCell ref="B341:P341"/>
  </mergeCells>
  <conditionalFormatting sqref="P333">
    <cfRule type="cellIs" priority="2" operator="greaterThan" aboveAverage="0" equalAverage="0" bottom="0" percent="0" rank="0" text="" dxfId="17">
      <formula>0</formula>
    </cfRule>
  </conditionalFormatting>
  <conditionalFormatting sqref="T11:V333">
    <cfRule type="expression" priority="3" aboveAverage="0" equalAverage="0" bottom="0" percent="0" rank="0" text="" dxfId="18">
      <formula>AND(T11&lt;-20,T11&lt;0)</formula>
    </cfRule>
    <cfRule type="expression" priority="4" aboveAverage="0" equalAverage="0" bottom="0" percent="0" rank="0" text="" dxfId="19">
      <formula>AND(T11&gt;20,T11&gt;0)</formula>
    </cfRule>
  </conditionalFormatting>
  <conditionalFormatting sqref="P12:P331">
    <cfRule type="cellIs" priority="5" operator="greaterThan" aboveAverage="0" equalAverage="0" bottom="0" percent="0" rank="0" text="" dxfId="20">
      <formula>0</formula>
    </cfRule>
  </conditionalFormatting>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I349"/>
  <sheetViews>
    <sheetView showFormulas="false" showGridLines="true" showRowColHeaders="true" showZeros="true" rightToLeft="false" tabSelected="false" showOutlineSymbols="true" defaultGridColor="true" view="normal" topLeftCell="A7" colorId="64" zoomScale="60" zoomScaleNormal="60" zoomScalePageLayoutView="100" workbookViewId="0">
      <pane xSplit="0" ySplit="4" topLeftCell="A53" activePane="bottomLeft" state="frozen"/>
      <selection pane="topLeft" activeCell="A7" activeCellId="0" sqref="A7"/>
      <selection pane="bottomLeft" activeCell="D60" activeCellId="0" sqref="A1:D1048576"/>
    </sheetView>
  </sheetViews>
  <sheetFormatPr defaultColWidth="9.1484375" defaultRowHeight="14.25" zeroHeight="false" outlineLevelRow="0" outlineLevelCol="1"/>
  <cols>
    <col collapsed="false" customWidth="true" hidden="false" outlineLevel="0" max="1" min="1" style="1" width="6.71"/>
    <col collapsed="false" customWidth="true" hidden="false" outlineLevel="0" max="2" min="2" style="2" width="39.71"/>
    <col collapsed="false" customWidth="true" hidden="false" outlineLevel="0" max="3" min="3" style="2" width="14.29"/>
    <col collapsed="false" customWidth="true" hidden="false" outlineLevel="0" max="4" min="4" style="2" width="15.14"/>
    <col collapsed="false" customWidth="true" hidden="false" outlineLevel="0" max="5" min="5" style="1" width="16"/>
    <col collapsed="false" customWidth="true" hidden="false" outlineLevel="0" max="6" min="6" style="1" width="21"/>
    <col collapsed="false" customWidth="true" hidden="false" outlineLevel="0" max="7" min="7" style="4" width="17.57"/>
    <col collapsed="false" customWidth="true" hidden="false" outlineLevel="0" max="8" min="8" style="1" width="17.42"/>
    <col collapsed="false" customWidth="true" hidden="false" outlineLevel="0" max="9" min="9" style="1" width="19.86"/>
    <col collapsed="false" customWidth="true" hidden="false" outlineLevel="0" max="10" min="10" style="4" width="16.29"/>
    <col collapsed="false" customWidth="true" hidden="false" outlineLevel="0" max="11" min="11" style="1" width="17.86"/>
    <col collapsed="false" customWidth="true" hidden="false" outlineLevel="0" max="12" min="12" style="1" width="20.14"/>
    <col collapsed="false" customWidth="true" hidden="false" outlineLevel="0" max="13" min="13" style="4" width="17.29"/>
    <col collapsed="false" customWidth="true" hidden="false" outlineLevel="0" max="14" min="14" style="1" width="19.71"/>
    <col collapsed="false" customWidth="true" hidden="false" outlineLevel="0" max="15" min="15" style="1" width="23.42"/>
    <col collapsed="false" customWidth="true" hidden="false" outlineLevel="0" max="16" min="16" style="1" width="21.43"/>
    <col collapsed="false" customWidth="true" hidden="false" outlineLevel="0" max="17" min="17" style="1" width="21.84"/>
    <col collapsed="false" customWidth="true" hidden="false" outlineLevel="0" max="18" min="18" style="1" width="26"/>
    <col collapsed="false" customWidth="false" hidden="false" outlineLevel="0" max="19" min="19" style="1" width="9.14"/>
    <col collapsed="false" customWidth="true" hidden="false" outlineLevel="1" max="22" min="20" style="1" width="13"/>
    <col collapsed="false" customWidth="false" hidden="false" outlineLevel="0" max="16384" min="23" style="1" width="9.14"/>
  </cols>
  <sheetData>
    <row r="1" customFormat="false" ht="14.25" hidden="false" customHeight="false" outlineLevel="0" collapsed="false">
      <c r="O1" s="5" t="s">
        <v>0</v>
      </c>
      <c r="P1" s="5"/>
      <c r="Q1" s="5"/>
      <c r="R1" s="5"/>
    </row>
    <row r="2" customFormat="false" ht="32.25" hidden="false" customHeight="true" outlineLevel="0" collapsed="false">
      <c r="O2" s="6" t="s">
        <v>1</v>
      </c>
      <c r="P2" s="6"/>
      <c r="Q2" s="6"/>
      <c r="R2" s="6"/>
    </row>
    <row r="3" customFormat="false" ht="25.5" hidden="false" customHeight="true" outlineLevel="0" collapsed="false">
      <c r="A3" s="7" t="s">
        <v>2</v>
      </c>
      <c r="B3" s="7"/>
      <c r="C3" s="7"/>
      <c r="D3" s="7"/>
      <c r="E3" s="7"/>
      <c r="F3" s="7"/>
      <c r="G3" s="7"/>
      <c r="H3" s="7"/>
      <c r="I3" s="7"/>
      <c r="J3" s="7"/>
      <c r="K3" s="7"/>
      <c r="L3" s="7"/>
      <c r="M3" s="7"/>
      <c r="N3" s="7"/>
      <c r="O3" s="7"/>
      <c r="P3" s="8"/>
      <c r="Q3" s="8"/>
    </row>
    <row r="4" customFormat="false" ht="17.25" hidden="false" customHeight="true" outlineLevel="0" collapsed="false">
      <c r="A4" s="9"/>
      <c r="B4" s="10"/>
      <c r="C4" s="10"/>
      <c r="D4" s="10"/>
      <c r="E4" s="9"/>
      <c r="F4" s="9"/>
      <c r="G4" s="12"/>
      <c r="H4" s="9"/>
      <c r="I4" s="9"/>
      <c r="J4" s="12"/>
      <c r="K4" s="9"/>
      <c r="L4" s="9"/>
      <c r="M4" s="12"/>
      <c r="N4" s="9"/>
    </row>
    <row r="5" s="14" customFormat="true" ht="28.5" hidden="false" customHeight="true" outlineLevel="0" collapsed="false">
      <c r="A5" s="13" t="s">
        <v>3</v>
      </c>
      <c r="B5" s="13"/>
      <c r="C5" s="13"/>
      <c r="D5" s="13"/>
      <c r="E5" s="13"/>
      <c r="F5" s="13"/>
      <c r="G5" s="13"/>
      <c r="H5" s="13"/>
      <c r="I5" s="13"/>
      <c r="J5" s="13"/>
      <c r="K5" s="13"/>
      <c r="L5" s="13"/>
      <c r="M5" s="13"/>
      <c r="N5" s="13"/>
      <c r="O5" s="13"/>
      <c r="P5" s="13"/>
    </row>
    <row r="6" s="14" customFormat="true" ht="14.25" hidden="false" customHeight="false" outlineLevel="0" collapsed="false">
      <c r="B6" s="15"/>
      <c r="C6" s="15"/>
      <c r="D6" s="15"/>
      <c r="G6" s="17"/>
      <c r="J6" s="17"/>
      <c r="M6" s="17"/>
    </row>
    <row r="7" s="14" customFormat="true" ht="27" hidden="false" customHeight="true" outlineLevel="0" collapsed="false">
      <c r="A7" s="18" t="s">
        <v>4</v>
      </c>
      <c r="B7" s="19" t="s">
        <v>5</v>
      </c>
      <c r="C7" s="20" t="s">
        <v>6</v>
      </c>
      <c r="D7" s="20" t="s">
        <v>7</v>
      </c>
      <c r="E7" s="22" t="s">
        <v>9</v>
      </c>
      <c r="F7" s="23" t="s">
        <v>10</v>
      </c>
      <c r="G7" s="23"/>
      <c r="H7" s="23"/>
      <c r="I7" s="23" t="s">
        <v>11</v>
      </c>
      <c r="J7" s="23"/>
      <c r="K7" s="23"/>
      <c r="L7" s="24" t="s">
        <v>12</v>
      </c>
      <c r="M7" s="24"/>
      <c r="N7" s="24"/>
      <c r="O7" s="25" t="s">
        <v>13</v>
      </c>
      <c r="P7" s="26" t="s">
        <v>14</v>
      </c>
      <c r="Q7" s="25" t="s">
        <v>15</v>
      </c>
      <c r="R7" s="20" t="s">
        <v>16</v>
      </c>
      <c r="T7" s="27" t="s">
        <v>17</v>
      </c>
      <c r="U7" s="27"/>
      <c r="V7" s="27"/>
    </row>
    <row r="8" s="14" customFormat="true" ht="30.75" hidden="false" customHeight="true" outlineLevel="0" collapsed="false">
      <c r="A8" s="18"/>
      <c r="B8" s="18"/>
      <c r="C8" s="18"/>
      <c r="D8" s="18"/>
      <c r="E8" s="22"/>
      <c r="F8" s="23"/>
      <c r="G8" s="23"/>
      <c r="H8" s="23"/>
      <c r="I8" s="23"/>
      <c r="J8" s="23"/>
      <c r="K8" s="23"/>
      <c r="L8" s="24"/>
      <c r="M8" s="24"/>
      <c r="N8" s="24"/>
      <c r="O8" s="25"/>
      <c r="P8" s="26"/>
      <c r="Q8" s="25"/>
      <c r="R8" s="20"/>
      <c r="T8" s="27"/>
      <c r="U8" s="27"/>
      <c r="V8" s="27"/>
    </row>
    <row r="9" s="32" customFormat="true" ht="132.75" hidden="false" customHeight="true" outlineLevel="0" collapsed="false">
      <c r="A9" s="18"/>
      <c r="B9" s="18"/>
      <c r="C9" s="20"/>
      <c r="D9" s="20"/>
      <c r="E9" s="22"/>
      <c r="F9" s="28" t="s">
        <v>18</v>
      </c>
      <c r="G9" s="29" t="s">
        <v>19</v>
      </c>
      <c r="H9" s="30" t="s">
        <v>20</v>
      </c>
      <c r="I9" s="28" t="s">
        <v>18</v>
      </c>
      <c r="J9" s="29" t="s">
        <v>19</v>
      </c>
      <c r="K9" s="30" t="s">
        <v>20</v>
      </c>
      <c r="L9" s="28" t="s">
        <v>18</v>
      </c>
      <c r="M9" s="29" t="s">
        <v>21</v>
      </c>
      <c r="N9" s="30" t="s">
        <v>22</v>
      </c>
      <c r="O9" s="25"/>
      <c r="P9" s="26"/>
      <c r="Q9" s="25"/>
      <c r="R9" s="20"/>
      <c r="S9" s="14"/>
      <c r="T9" s="31" t="s">
        <v>10</v>
      </c>
      <c r="U9" s="31" t="s">
        <v>11</v>
      </c>
      <c r="V9" s="31" t="s">
        <v>12</v>
      </c>
      <c r="W9" s="14"/>
      <c r="X9" s="14"/>
      <c r="Y9" s="14"/>
      <c r="Z9" s="14"/>
      <c r="AA9" s="14"/>
      <c r="AB9" s="14"/>
      <c r="AC9" s="14"/>
      <c r="AD9" s="14"/>
      <c r="AE9" s="14"/>
      <c r="AF9" s="14"/>
      <c r="AG9" s="14"/>
      <c r="AH9" s="14"/>
      <c r="AI9" s="14"/>
    </row>
    <row r="10" s="40" customFormat="true" ht="14.25" hidden="false" customHeight="true" outlineLevel="0" collapsed="false">
      <c r="A10" s="33" t="n">
        <v>1</v>
      </c>
      <c r="B10" s="34" t="n">
        <v>2</v>
      </c>
      <c r="C10" s="35" t="n">
        <v>3</v>
      </c>
      <c r="D10" s="35" t="n">
        <v>4</v>
      </c>
      <c r="E10" s="35"/>
      <c r="F10" s="37" t="n">
        <v>5</v>
      </c>
      <c r="G10" s="38" t="n">
        <v>6</v>
      </c>
      <c r="H10" s="34" t="n">
        <v>7</v>
      </c>
      <c r="I10" s="37" t="n">
        <v>8</v>
      </c>
      <c r="J10" s="39" t="n">
        <v>9</v>
      </c>
      <c r="K10" s="34" t="n">
        <v>10</v>
      </c>
      <c r="L10" s="37" t="n">
        <v>11</v>
      </c>
      <c r="M10" s="39" t="n">
        <v>12</v>
      </c>
      <c r="N10" s="34" t="n">
        <v>12</v>
      </c>
      <c r="O10" s="37" t="n">
        <v>15</v>
      </c>
      <c r="P10" s="37" t="n">
        <v>16</v>
      </c>
      <c r="Q10" s="37" t="n">
        <v>17</v>
      </c>
      <c r="R10" s="37" t="n">
        <v>18</v>
      </c>
      <c r="T10" s="41"/>
      <c r="U10" s="41"/>
      <c r="V10" s="41"/>
    </row>
    <row r="11" s="43" customFormat="true" ht="35.25" hidden="false" customHeight="true" outlineLevel="0" collapsed="false">
      <c r="A11" s="42" t="s">
        <v>23</v>
      </c>
      <c r="B11" s="42"/>
      <c r="C11" s="42"/>
      <c r="D11" s="42"/>
      <c r="E11" s="42"/>
      <c r="F11" s="42"/>
      <c r="G11" s="42"/>
      <c r="H11" s="42"/>
      <c r="I11" s="42"/>
      <c r="J11" s="42"/>
      <c r="K11" s="42"/>
      <c r="L11" s="42"/>
      <c r="M11" s="42"/>
      <c r="N11" s="42"/>
      <c r="O11" s="42"/>
      <c r="P11" s="42"/>
      <c r="Q11" s="42"/>
      <c r="R11" s="42"/>
      <c r="T11" s="44"/>
      <c r="U11" s="44"/>
      <c r="V11" s="44"/>
    </row>
    <row r="12" s="43" customFormat="true" ht="73.5" hidden="false" customHeight="true" outlineLevel="0" collapsed="false">
      <c r="A12" s="45" t="n">
        <v>1</v>
      </c>
      <c r="B12" s="46" t="s">
        <v>24</v>
      </c>
      <c r="C12" s="47" t="s">
        <v>25</v>
      </c>
      <c r="D12" s="48" t="n">
        <v>12</v>
      </c>
      <c r="E12" s="50" t="n">
        <v>211.5</v>
      </c>
      <c r="F12" s="47" t="s">
        <v>27</v>
      </c>
      <c r="G12" s="52" t="n">
        <f aca="false">241.6/1.2</f>
        <v>201.333333333333</v>
      </c>
      <c r="H12" s="53" t="n">
        <f aca="false">D12*G12</f>
        <v>2416</v>
      </c>
      <c r="I12" s="53" t="s">
        <v>28</v>
      </c>
      <c r="J12" s="52" t="n">
        <f aca="false">264.54/1.2</f>
        <v>220.45</v>
      </c>
      <c r="K12" s="53" t="n">
        <f aca="false">D12*J12</f>
        <v>2645.4</v>
      </c>
      <c r="L12" s="47" t="s">
        <v>29</v>
      </c>
      <c r="M12" s="52" t="n">
        <v>214.67</v>
      </c>
      <c r="N12" s="53" t="n">
        <f aca="false">D12*M12</f>
        <v>2576.04</v>
      </c>
      <c r="O12" s="54" t="n">
        <f aca="false">AVERAGE(G12,J12,M12)</f>
        <v>212.151111111111</v>
      </c>
      <c r="P12" s="55" t="n">
        <f aca="false">E12*100/O12-100</f>
        <v>-0.306909121380997</v>
      </c>
      <c r="Q12" s="54" t="n">
        <f aca="false">D12*E12</f>
        <v>2538</v>
      </c>
      <c r="R12" s="56"/>
      <c r="T12" s="57" t="n">
        <f aca="false">ROUND(G12*100/O12-100,0)</f>
        <v>-5</v>
      </c>
      <c r="U12" s="57" t="n">
        <f aca="false">ROUND(J12*100/O12-100,0)</f>
        <v>4</v>
      </c>
      <c r="V12" s="57" t="n">
        <f aca="false">ROUND(M12*100/O12-100,0)</f>
        <v>1</v>
      </c>
    </row>
    <row r="13" s="43" customFormat="true" ht="73.5" hidden="false" customHeight="true" outlineLevel="0" collapsed="false">
      <c r="A13" s="45" t="n">
        <v>2</v>
      </c>
      <c r="B13" s="46" t="s">
        <v>30</v>
      </c>
      <c r="C13" s="47" t="s">
        <v>25</v>
      </c>
      <c r="D13" s="48" t="n">
        <v>1</v>
      </c>
      <c r="E13" s="50" t="n">
        <v>77750.45</v>
      </c>
      <c r="F13" s="47" t="s">
        <v>31</v>
      </c>
      <c r="G13" s="52" t="n">
        <f aca="false">89307.79/1.2</f>
        <v>74423.1583333333</v>
      </c>
      <c r="H13" s="53" t="n">
        <f aca="false">D13*G13</f>
        <v>74423.1583333333</v>
      </c>
      <c r="I13" s="47" t="s">
        <v>32</v>
      </c>
      <c r="J13" s="52" t="n">
        <f aca="false">107832.34/1.2</f>
        <v>89860.2833333333</v>
      </c>
      <c r="K13" s="53" t="n">
        <f aca="false">D13*J13</f>
        <v>89860.2833333333</v>
      </c>
      <c r="L13" s="47" t="s">
        <v>33</v>
      </c>
      <c r="M13" s="52" t="n">
        <f aca="false">82801.69/1.2</f>
        <v>69001.4083333333</v>
      </c>
      <c r="N13" s="53" t="n">
        <f aca="false">D13*M13</f>
        <v>69001.4083333333</v>
      </c>
      <c r="O13" s="54" t="n">
        <f aca="false">AVERAGE(G13,J13,M13)</f>
        <v>77761.6166666667</v>
      </c>
      <c r="P13" s="55" t="n">
        <f aca="false">E13*100/O13-100</f>
        <v>-0.0143601266863271</v>
      </c>
      <c r="Q13" s="54" t="n">
        <f aca="false">D13*E13</f>
        <v>77750.45</v>
      </c>
      <c r="R13" s="56"/>
      <c r="T13" s="57" t="n">
        <f aca="false">ROUND(G13*100/O13-100,0)</f>
        <v>-4</v>
      </c>
      <c r="U13" s="57" t="n">
        <f aca="false">ROUND(J13*100/O13-100,0)</f>
        <v>16</v>
      </c>
      <c r="V13" s="57" t="n">
        <f aca="false">ROUND(M13*100/O13-100,0)</f>
        <v>-11</v>
      </c>
    </row>
    <row r="14" s="43" customFormat="true" ht="73.5" hidden="false" customHeight="true" outlineLevel="0" collapsed="false">
      <c r="A14" s="45" t="n">
        <v>3</v>
      </c>
      <c r="B14" s="46" t="s">
        <v>34</v>
      </c>
      <c r="C14" s="47" t="s">
        <v>25</v>
      </c>
      <c r="D14" s="48" t="n">
        <v>1</v>
      </c>
      <c r="E14" s="50" t="n">
        <v>84551</v>
      </c>
      <c r="F14" s="47" t="s">
        <v>31</v>
      </c>
      <c r="G14" s="52" t="n">
        <f aca="false">99534.53/1.2</f>
        <v>82945.4416666667</v>
      </c>
      <c r="H14" s="53" t="n">
        <f aca="false">D14*G14</f>
        <v>82945.4416666667</v>
      </c>
      <c r="I14" s="47" t="s">
        <v>32</v>
      </c>
      <c r="J14" s="52" t="n">
        <f aca="false">115890.88/1.2</f>
        <v>96575.7333333333</v>
      </c>
      <c r="K14" s="53" t="n">
        <f aca="false">D14*J14</f>
        <v>96575.7333333333</v>
      </c>
      <c r="L14" s="47" t="s">
        <v>33</v>
      </c>
      <c r="M14" s="52" t="n">
        <f aca="false">88990.14/1.2</f>
        <v>74158.45</v>
      </c>
      <c r="N14" s="53" t="n">
        <f aca="false">D14*M14</f>
        <v>74158.45</v>
      </c>
      <c r="O14" s="54" t="n">
        <f aca="false">AVERAGE(G14,J14,M14)</f>
        <v>84559.875</v>
      </c>
      <c r="P14" s="55" t="n">
        <f aca="false">E14*100/O14-100</f>
        <v>-0.0104955216643816</v>
      </c>
      <c r="Q14" s="54" t="n">
        <f aca="false">D14*E14</f>
        <v>84551</v>
      </c>
      <c r="R14" s="56"/>
      <c r="T14" s="57" t="n">
        <f aca="false">ROUND(G14*100/O14-100,0)</f>
        <v>-2</v>
      </c>
      <c r="U14" s="57" t="n">
        <f aca="false">ROUND(J14*100/O14-100,0)</f>
        <v>14</v>
      </c>
      <c r="V14" s="57" t="n">
        <f aca="false">ROUND(M14*100/O14-100,0)</f>
        <v>-12</v>
      </c>
    </row>
    <row r="15" s="43" customFormat="true" ht="73.5" hidden="false" customHeight="true" outlineLevel="0" collapsed="false">
      <c r="A15" s="45" t="n">
        <v>4</v>
      </c>
      <c r="B15" s="46" t="s">
        <v>35</v>
      </c>
      <c r="C15" s="47" t="s">
        <v>25</v>
      </c>
      <c r="D15" s="48" t="n">
        <v>1</v>
      </c>
      <c r="E15" s="50" t="n">
        <v>155.25</v>
      </c>
      <c r="F15" s="47" t="s">
        <v>27</v>
      </c>
      <c r="G15" s="52" t="n">
        <f aca="false">177.86/1.2</f>
        <v>148.216666666667</v>
      </c>
      <c r="H15" s="53" t="n">
        <f aca="false">D15*G15</f>
        <v>148.216666666667</v>
      </c>
      <c r="I15" s="53" t="s">
        <v>28</v>
      </c>
      <c r="J15" s="52" t="n">
        <v>165.48</v>
      </c>
      <c r="K15" s="53" t="n">
        <f aca="false">D15*J15</f>
        <v>165.48</v>
      </c>
      <c r="L15" s="47" t="s">
        <v>29</v>
      </c>
      <c r="M15" s="52" t="n">
        <v>159.71</v>
      </c>
      <c r="N15" s="53" t="n">
        <f aca="false">D15*M15</f>
        <v>159.71</v>
      </c>
      <c r="O15" s="54" t="n">
        <f aca="false">AVERAGE(G15,J15,M15)</f>
        <v>157.802222222222</v>
      </c>
      <c r="P15" s="55" t="n">
        <f aca="false">E15*100/O15-100</f>
        <v>-1.61735505766714</v>
      </c>
      <c r="Q15" s="54" t="n">
        <f aca="false">D15*E15</f>
        <v>155.25</v>
      </c>
      <c r="R15" s="56"/>
      <c r="T15" s="57" t="n">
        <f aca="false">ROUND(G15*100/O15-100,0)</f>
        <v>-6</v>
      </c>
      <c r="U15" s="57" t="n">
        <f aca="false">ROUND(J15*100/O15-100,0)</f>
        <v>5</v>
      </c>
      <c r="V15" s="57" t="n">
        <f aca="false">ROUND(M15*100/O15-100,0)</f>
        <v>1</v>
      </c>
    </row>
    <row r="16" s="43" customFormat="true" ht="73.5" hidden="false" customHeight="true" outlineLevel="0" collapsed="false">
      <c r="A16" s="45" t="n">
        <v>5</v>
      </c>
      <c r="B16" s="46" t="s">
        <v>36</v>
      </c>
      <c r="C16" s="47" t="s">
        <v>25</v>
      </c>
      <c r="D16" s="48" t="n">
        <v>2</v>
      </c>
      <c r="E16" s="50" t="n">
        <v>1088.65</v>
      </c>
      <c r="F16" s="47" t="s">
        <v>27</v>
      </c>
      <c r="G16" s="52" t="n">
        <f aca="false">1302.94/1.2</f>
        <v>1085.78333333333</v>
      </c>
      <c r="H16" s="53" t="n">
        <f aca="false">D16*G16</f>
        <v>2171.56666666667</v>
      </c>
      <c r="I16" s="53" t="s">
        <v>28</v>
      </c>
      <c r="J16" s="52" t="n">
        <v>1070.69</v>
      </c>
      <c r="K16" s="53" t="n">
        <f aca="false">D16*J16</f>
        <v>2141.38</v>
      </c>
      <c r="L16" s="47" t="s">
        <v>29</v>
      </c>
      <c r="M16" s="52" t="n">
        <v>1115.47</v>
      </c>
      <c r="N16" s="53" t="n">
        <f aca="false">D16*M16</f>
        <v>2230.94</v>
      </c>
      <c r="O16" s="54" t="n">
        <f aca="false">AVERAGE(G16,J16,M16)</f>
        <v>1090.64777777778</v>
      </c>
      <c r="P16" s="55" t="n">
        <f aca="false">E16*100/O16-100</f>
        <v>-0.183173506468634</v>
      </c>
      <c r="Q16" s="54" t="n">
        <f aca="false">D16*E16</f>
        <v>2177.3</v>
      </c>
      <c r="R16" s="56"/>
      <c r="T16" s="57" t="n">
        <f aca="false">ROUND(G16*100/O16-100,0)</f>
        <v>-0</v>
      </c>
      <c r="U16" s="57" t="n">
        <f aca="false">ROUND(J16*100/O16-100,0)</f>
        <v>-2</v>
      </c>
      <c r="V16" s="57" t="n">
        <f aca="false">ROUND(M16*100/O16-100,0)</f>
        <v>2</v>
      </c>
    </row>
    <row r="17" s="43" customFormat="true" ht="73.5" hidden="false" customHeight="true" outlineLevel="0" collapsed="false">
      <c r="A17" s="45" t="n">
        <v>6</v>
      </c>
      <c r="B17" s="46" t="s">
        <v>37</v>
      </c>
      <c r="C17" s="47" t="s">
        <v>25</v>
      </c>
      <c r="D17" s="48" t="n">
        <v>12</v>
      </c>
      <c r="E17" s="50" t="n">
        <v>810.4</v>
      </c>
      <c r="F17" s="47" t="s">
        <v>27</v>
      </c>
      <c r="G17" s="52" t="n">
        <f aca="false">957.31/1.2</f>
        <v>797.758333333333</v>
      </c>
      <c r="H17" s="53" t="n">
        <f aca="false">D17*G17</f>
        <v>9573.1</v>
      </c>
      <c r="I17" s="53" t="s">
        <v>28</v>
      </c>
      <c r="J17" s="52" t="n">
        <v>850.7</v>
      </c>
      <c r="K17" s="53" t="n">
        <f aca="false">D17*J17</f>
        <v>10208.4</v>
      </c>
      <c r="L17" s="47" t="s">
        <v>29</v>
      </c>
      <c r="M17" s="52" t="n">
        <v>786.42</v>
      </c>
      <c r="N17" s="53" t="n">
        <f aca="false">D17*M17</f>
        <v>9437.04</v>
      </c>
      <c r="O17" s="54" t="n">
        <f aca="false">AVERAGE(G17,J17,M17)</f>
        <v>811.626111111111</v>
      </c>
      <c r="P17" s="55" t="n">
        <f aca="false">E17*100/O17-100</f>
        <v>-0.151068465433241</v>
      </c>
      <c r="Q17" s="54" t="n">
        <f aca="false">D17*E17</f>
        <v>9724.8</v>
      </c>
      <c r="R17" s="56"/>
      <c r="T17" s="57" t="n">
        <f aca="false">ROUND(G17*100/O17-100,0)</f>
        <v>-2</v>
      </c>
      <c r="U17" s="57" t="n">
        <f aca="false">ROUND(J17*100/O17-100,0)</f>
        <v>5</v>
      </c>
      <c r="V17" s="57" t="n">
        <f aca="false">ROUND(M17*100/O17-100,0)</f>
        <v>-3</v>
      </c>
    </row>
    <row r="18" s="43" customFormat="true" ht="73.5" hidden="false" customHeight="true" outlineLevel="0" collapsed="false">
      <c r="A18" s="45" t="n">
        <v>7</v>
      </c>
      <c r="B18" s="46" t="s">
        <v>38</v>
      </c>
      <c r="C18" s="47" t="s">
        <v>25</v>
      </c>
      <c r="D18" s="48" t="n">
        <v>4</v>
      </c>
      <c r="E18" s="50" t="n">
        <v>4105.6</v>
      </c>
      <c r="F18" s="47" t="s">
        <v>39</v>
      </c>
      <c r="G18" s="52" t="n">
        <v>3911.74</v>
      </c>
      <c r="H18" s="53" t="n">
        <f aca="false">D18*G18</f>
        <v>15646.96</v>
      </c>
      <c r="I18" s="47" t="s">
        <v>40</v>
      </c>
      <c r="J18" s="52" t="n">
        <f aca="false">5150/1.2</f>
        <v>4291.66666666667</v>
      </c>
      <c r="K18" s="53" t="n">
        <f aca="false">D18*J18</f>
        <v>17166.6666666667</v>
      </c>
      <c r="L18" s="53" t="s">
        <v>41</v>
      </c>
      <c r="M18" s="52" t="n">
        <f aca="false">4944.77/1.2</f>
        <v>4120.64166666667</v>
      </c>
      <c r="N18" s="53" t="n">
        <f aca="false">D18*M18</f>
        <v>16482.5666666667</v>
      </c>
      <c r="O18" s="54" t="n">
        <f aca="false">AVERAGE(G18,J18,M18)</f>
        <v>4108.01611111111</v>
      </c>
      <c r="P18" s="55" t="n">
        <f aca="false">E18*100/O18-100</f>
        <v>-0.0588145480874687</v>
      </c>
      <c r="Q18" s="54" t="n">
        <f aca="false">D18*E18</f>
        <v>16422.4</v>
      </c>
      <c r="R18" s="56"/>
      <c r="T18" s="57" t="n">
        <f aca="false">ROUND(G18*100/O18-100,0)</f>
        <v>-5</v>
      </c>
      <c r="U18" s="57" t="n">
        <f aca="false">ROUND(J18*100/O18-100,0)</f>
        <v>4</v>
      </c>
      <c r="V18" s="57" t="n">
        <f aca="false">ROUND(M18*100/O18-100,0)</f>
        <v>0</v>
      </c>
    </row>
    <row r="19" s="43" customFormat="true" ht="73.5" hidden="false" customHeight="true" outlineLevel="0" collapsed="false">
      <c r="A19" s="45" t="n">
        <v>8</v>
      </c>
      <c r="B19" s="46" t="s">
        <v>42</v>
      </c>
      <c r="C19" s="47" t="s">
        <v>25</v>
      </c>
      <c r="D19" s="48" t="s">
        <v>43</v>
      </c>
      <c r="E19" s="50" t="n">
        <v>5173.66</v>
      </c>
      <c r="F19" s="47" t="s">
        <v>27</v>
      </c>
      <c r="G19" s="52" t="n">
        <f aca="false">6183.86/1.2</f>
        <v>5153.21666666667</v>
      </c>
      <c r="H19" s="53" t="n">
        <f aca="false">D19*G19</f>
        <v>288580.133333333</v>
      </c>
      <c r="I19" s="53" t="s">
        <v>28</v>
      </c>
      <c r="J19" s="52" t="n">
        <v>5129.75</v>
      </c>
      <c r="K19" s="53" t="n">
        <f aca="false">D19*J19</f>
        <v>287266</v>
      </c>
      <c r="L19" s="47" t="s">
        <v>29</v>
      </c>
      <c r="M19" s="52" t="n">
        <v>5251.46</v>
      </c>
      <c r="N19" s="53" t="n">
        <f aca="false">D19*M19</f>
        <v>294081.76</v>
      </c>
      <c r="O19" s="54" t="n">
        <f aca="false">AVERAGE(G19,J19,M19)</f>
        <v>5178.14222222222</v>
      </c>
      <c r="P19" s="55" t="n">
        <f aca="false">E19*100/O19-100</f>
        <v>-0.0865604309396133</v>
      </c>
      <c r="Q19" s="54" t="n">
        <f aca="false">D19*E19</f>
        <v>289724.96</v>
      </c>
      <c r="R19" s="56"/>
      <c r="T19" s="57" t="n">
        <f aca="false">ROUND(G19*100/O19-100,0)</f>
        <v>-0</v>
      </c>
      <c r="U19" s="57" t="n">
        <f aca="false">ROUND(J19*100/O19-100,0)</f>
        <v>-1</v>
      </c>
      <c r="V19" s="57" t="n">
        <f aca="false">ROUND(M19*100/O19-100,0)</f>
        <v>1</v>
      </c>
    </row>
    <row r="20" s="43" customFormat="true" ht="73.5" hidden="false" customHeight="true" outlineLevel="0" collapsed="false">
      <c r="A20" s="45" t="n">
        <v>9</v>
      </c>
      <c r="B20" s="46" t="s">
        <v>44</v>
      </c>
      <c r="C20" s="47" t="s">
        <v>45</v>
      </c>
      <c r="D20" s="48" t="n">
        <v>24.9</v>
      </c>
      <c r="E20" s="50" t="n">
        <v>2000</v>
      </c>
      <c r="F20" s="47" t="s">
        <v>39</v>
      </c>
      <c r="G20" s="52" t="n">
        <f aca="false">123.52*1000/65</f>
        <v>1900.30769230769</v>
      </c>
      <c r="H20" s="53" t="n">
        <f aca="false">D20*G20</f>
        <v>47317.6615384615</v>
      </c>
      <c r="I20" s="47" t="s">
        <v>46</v>
      </c>
      <c r="J20" s="52" t="n">
        <v>2005.78</v>
      </c>
      <c r="K20" s="53" t="n">
        <f aca="false">D20*J20</f>
        <v>49943.922</v>
      </c>
      <c r="L20" s="53" t="s">
        <v>41</v>
      </c>
      <c r="M20" s="52" t="n">
        <f aca="false">2520.94/1.2</f>
        <v>2100.78333333333</v>
      </c>
      <c r="N20" s="53" t="n">
        <f aca="false">D20*M20</f>
        <v>52309.505</v>
      </c>
      <c r="O20" s="54" t="n">
        <f aca="false">AVERAGE(G20,J20,M20)</f>
        <v>2002.29034188034</v>
      </c>
      <c r="P20" s="55" t="n">
        <f aca="false">E20*100/O20-100</f>
        <v>-0.114386102376699</v>
      </c>
      <c r="Q20" s="54" t="n">
        <f aca="false">D20*E20</f>
        <v>49800</v>
      </c>
      <c r="R20" s="56"/>
      <c r="T20" s="57" t="n">
        <f aca="false">ROUND(G20*100/O20-100,0)</f>
        <v>-5</v>
      </c>
      <c r="U20" s="57" t="n">
        <f aca="false">ROUND(J20*100/O20-100,0)</f>
        <v>0</v>
      </c>
      <c r="V20" s="57" t="n">
        <f aca="false">ROUND(M20*100/O20-100,0)</f>
        <v>5</v>
      </c>
    </row>
    <row r="21" s="43" customFormat="true" ht="73.5" hidden="false" customHeight="true" outlineLevel="0" collapsed="false">
      <c r="A21" s="45" t="n">
        <v>10</v>
      </c>
      <c r="B21" s="46" t="s">
        <v>47</v>
      </c>
      <c r="C21" s="47" t="s">
        <v>25</v>
      </c>
      <c r="D21" s="48" t="n">
        <v>1</v>
      </c>
      <c r="E21" s="50" t="n">
        <v>227.1</v>
      </c>
      <c r="F21" s="47" t="s">
        <v>27</v>
      </c>
      <c r="G21" s="52" t="n">
        <f aca="false">272.44/1.2</f>
        <v>227.033333333333</v>
      </c>
      <c r="H21" s="53" t="n">
        <f aca="false">D21*G21</f>
        <v>227.033333333333</v>
      </c>
      <c r="I21" s="53" t="s">
        <v>28</v>
      </c>
      <c r="J21" s="52" t="n">
        <v>219.78</v>
      </c>
      <c r="K21" s="53" t="n">
        <f aca="false">D21*J21</f>
        <v>219.78</v>
      </c>
      <c r="L21" s="47" t="s">
        <v>29</v>
      </c>
      <c r="M21" s="52" t="n">
        <v>235.12</v>
      </c>
      <c r="N21" s="53" t="n">
        <f aca="false">D21*M21</f>
        <v>235.12</v>
      </c>
      <c r="O21" s="54" t="n">
        <f aca="false">AVERAGE(G21,J21,M21)</f>
        <v>227.311111111111</v>
      </c>
      <c r="P21" s="55" t="n">
        <f aca="false">E21*100/O21-100</f>
        <v>-0.0928732036367279</v>
      </c>
      <c r="Q21" s="54" t="n">
        <f aca="false">D21*E21</f>
        <v>227.1</v>
      </c>
      <c r="R21" s="56"/>
      <c r="T21" s="57" t="n">
        <f aca="false">ROUND(G21*100/O21-100,0)</f>
        <v>-0</v>
      </c>
      <c r="U21" s="57" t="n">
        <f aca="false">ROUND(J21*100/O21-100,0)</f>
        <v>-3</v>
      </c>
      <c r="V21" s="57" t="n">
        <f aca="false">ROUND(M21*100/O21-100,0)</f>
        <v>3</v>
      </c>
    </row>
    <row r="22" s="43" customFormat="true" ht="73.5" hidden="false" customHeight="true" outlineLevel="0" collapsed="false">
      <c r="A22" s="45" t="n">
        <v>11</v>
      </c>
      <c r="B22" s="46" t="s">
        <v>48</v>
      </c>
      <c r="C22" s="47" t="s">
        <v>25</v>
      </c>
      <c r="D22" s="48" t="n">
        <v>1</v>
      </c>
      <c r="E22" s="50" t="n">
        <v>261.5</v>
      </c>
      <c r="F22" s="47" t="s">
        <v>27</v>
      </c>
      <c r="G22" s="52" t="n">
        <f aca="false">311.2/1.2</f>
        <v>259.333333333333</v>
      </c>
      <c r="H22" s="53" t="n">
        <f aca="false">D22*G22</f>
        <v>259.333333333333</v>
      </c>
      <c r="I22" s="53" t="s">
        <v>28</v>
      </c>
      <c r="J22" s="52" t="n">
        <v>255.13</v>
      </c>
      <c r="K22" s="53" t="n">
        <f aca="false">D22*J22</f>
        <v>255.13</v>
      </c>
      <c r="L22" s="47" t="s">
        <v>29</v>
      </c>
      <c r="M22" s="52" t="n">
        <v>272.4</v>
      </c>
      <c r="N22" s="53" t="n">
        <f aca="false">D22*M22</f>
        <v>272.4</v>
      </c>
      <c r="O22" s="54" t="n">
        <f aca="false">AVERAGE(G22,J22,M22)</f>
        <v>262.287777777778</v>
      </c>
      <c r="P22" s="55" t="n">
        <f aca="false">E22*100/O22-100</f>
        <v>-0.300348641653144</v>
      </c>
      <c r="Q22" s="54" t="n">
        <f aca="false">D22*E22</f>
        <v>261.5</v>
      </c>
      <c r="R22" s="56"/>
      <c r="T22" s="57" t="n">
        <f aca="false">ROUND(G22*100/O22-100,0)</f>
        <v>-1</v>
      </c>
      <c r="U22" s="57" t="n">
        <f aca="false">ROUND(J22*100/O22-100,0)</f>
        <v>-3</v>
      </c>
      <c r="V22" s="57" t="n">
        <f aca="false">ROUND(M22*100/O22-100,0)</f>
        <v>4</v>
      </c>
    </row>
    <row r="23" s="43" customFormat="true" ht="73.5" hidden="false" customHeight="true" outlineLevel="0" collapsed="false">
      <c r="A23" s="45" t="n">
        <v>12</v>
      </c>
      <c r="B23" s="46" t="s">
        <v>49</v>
      </c>
      <c r="C23" s="47" t="s">
        <v>25</v>
      </c>
      <c r="D23" s="48" t="n">
        <v>61</v>
      </c>
      <c r="E23" s="50" t="n">
        <v>501.3</v>
      </c>
      <c r="F23" s="47" t="s">
        <v>27</v>
      </c>
      <c r="G23" s="52" t="n">
        <f aca="false">588.83/1.2</f>
        <v>490.691666666667</v>
      </c>
      <c r="H23" s="53" t="n">
        <f aca="false">D23*G23</f>
        <v>29932.1916666667</v>
      </c>
      <c r="I23" s="53" t="s">
        <v>28</v>
      </c>
      <c r="J23" s="52" t="n">
        <v>536.87</v>
      </c>
      <c r="K23" s="53" t="n">
        <f aca="false">D23*J23</f>
        <v>32749.07</v>
      </c>
      <c r="L23" s="47" t="s">
        <v>29</v>
      </c>
      <c r="M23" s="52" t="n">
        <v>480.65</v>
      </c>
      <c r="N23" s="53" t="n">
        <f aca="false">D23*M23</f>
        <v>29319.65</v>
      </c>
      <c r="O23" s="54" t="n">
        <f aca="false">AVERAGE(G23,J23,M23)</f>
        <v>502.737222222222</v>
      </c>
      <c r="P23" s="55" t="n">
        <f aca="false">E23*100/O23-100</f>
        <v>-0.285879413477545</v>
      </c>
      <c r="Q23" s="54" t="n">
        <f aca="false">D23*E23</f>
        <v>30579.3</v>
      </c>
      <c r="R23" s="56"/>
      <c r="T23" s="57" t="n">
        <f aca="false">ROUND(G23*100/O23-100,0)</f>
        <v>-2</v>
      </c>
      <c r="U23" s="57" t="n">
        <f aca="false">ROUND(J23*100/O23-100,0)</f>
        <v>7</v>
      </c>
      <c r="V23" s="57" t="n">
        <f aca="false">ROUND(M23*100/O23-100,0)</f>
        <v>-4</v>
      </c>
    </row>
    <row r="24" s="43" customFormat="true" ht="73.5" hidden="false" customHeight="true" outlineLevel="0" collapsed="false">
      <c r="A24" s="45" t="n">
        <v>13</v>
      </c>
      <c r="B24" s="46" t="s">
        <v>50</v>
      </c>
      <c r="C24" s="47" t="s">
        <v>25</v>
      </c>
      <c r="D24" s="48" t="n">
        <v>107</v>
      </c>
      <c r="E24" s="50" t="n">
        <v>487.5</v>
      </c>
      <c r="F24" s="47" t="s">
        <v>27</v>
      </c>
      <c r="G24" s="52" t="n">
        <f aca="false">569.51/1.2</f>
        <v>474.591666666667</v>
      </c>
      <c r="H24" s="53" t="n">
        <f aca="false">D24*G24</f>
        <v>50781.3083333333</v>
      </c>
      <c r="I24" s="53" t="s">
        <v>28</v>
      </c>
      <c r="J24" s="52" t="n">
        <f aca="false">640.09/1.2</f>
        <v>533.408333333333</v>
      </c>
      <c r="K24" s="53" t="n">
        <f aca="false">D24*J24</f>
        <v>57074.6916666667</v>
      </c>
      <c r="L24" s="47" t="s">
        <v>29</v>
      </c>
      <c r="M24" s="52" t="n">
        <v>460.72</v>
      </c>
      <c r="N24" s="53" t="n">
        <f aca="false">D24*M24</f>
        <v>49297.04</v>
      </c>
      <c r="O24" s="54" t="n">
        <f aca="false">AVERAGE(G24,J24,M24)</f>
        <v>489.573333333333</v>
      </c>
      <c r="P24" s="55" t="n">
        <f aca="false">E24*100/O24-100</f>
        <v>-0.423498011874301</v>
      </c>
      <c r="Q24" s="54" t="n">
        <f aca="false">D24*E24</f>
        <v>52162.5</v>
      </c>
      <c r="R24" s="56"/>
      <c r="T24" s="57" t="n">
        <f aca="false">ROUND(G24*100/O24-100,0)</f>
        <v>-3</v>
      </c>
      <c r="U24" s="57" t="n">
        <f aca="false">ROUND(J24*100/O24-100,0)</f>
        <v>9</v>
      </c>
      <c r="V24" s="57" t="n">
        <f aca="false">ROUND(M24*100/O24-100,0)</f>
        <v>-6</v>
      </c>
    </row>
    <row r="25" s="43" customFormat="true" ht="73.5" hidden="false" customHeight="true" outlineLevel="0" collapsed="false">
      <c r="A25" s="45" t="n">
        <v>14</v>
      </c>
      <c r="B25" s="46" t="s">
        <v>51</v>
      </c>
      <c r="C25" s="47" t="s">
        <v>25</v>
      </c>
      <c r="D25" s="48" t="n">
        <v>2</v>
      </c>
      <c r="E25" s="50" t="n">
        <v>1920.6</v>
      </c>
      <c r="F25" s="47" t="s">
        <v>27</v>
      </c>
      <c r="G25" s="52" t="n">
        <f aca="false">2205.97/1.2</f>
        <v>1838.30833333333</v>
      </c>
      <c r="H25" s="53" t="n">
        <f aca="false">D25*G25</f>
        <v>3676.61666666667</v>
      </c>
      <c r="I25" s="53" t="s">
        <v>28</v>
      </c>
      <c r="J25" s="52" t="n">
        <v>1945.34</v>
      </c>
      <c r="K25" s="53" t="n">
        <f aca="false">D25*J25</f>
        <v>3890.68</v>
      </c>
      <c r="L25" s="47" t="s">
        <v>29</v>
      </c>
      <c r="M25" s="52" t="n">
        <v>1990.71</v>
      </c>
      <c r="N25" s="53" t="n">
        <f aca="false">D25*M25</f>
        <v>3981.42</v>
      </c>
      <c r="O25" s="54" t="n">
        <f aca="false">AVERAGE(G25,J25,M25)</f>
        <v>1924.78611111111</v>
      </c>
      <c r="P25" s="55" t="n">
        <f aca="false">E25*100/O25-100</f>
        <v>-0.21748448240281</v>
      </c>
      <c r="Q25" s="54" t="n">
        <f aca="false">D25*E25</f>
        <v>3841.2</v>
      </c>
      <c r="R25" s="56"/>
      <c r="T25" s="57" t="n">
        <f aca="false">ROUND(G25*100/O25-100,0)</f>
        <v>-4</v>
      </c>
      <c r="U25" s="57" t="n">
        <f aca="false">ROUND(J25*100/O25-100,0)</f>
        <v>1</v>
      </c>
      <c r="V25" s="57" t="n">
        <f aca="false">ROUND(M25*100/O25-100,0)</f>
        <v>3</v>
      </c>
    </row>
    <row r="26" s="43" customFormat="true" ht="73.5" hidden="false" customHeight="true" outlineLevel="0" collapsed="false">
      <c r="A26" s="45" t="n">
        <v>15</v>
      </c>
      <c r="B26" s="46" t="s">
        <v>52</v>
      </c>
      <c r="C26" s="47" t="s">
        <v>53</v>
      </c>
      <c r="D26" s="48" t="n">
        <v>240</v>
      </c>
      <c r="E26" s="50" t="n">
        <v>331.49</v>
      </c>
      <c r="F26" s="47" t="s">
        <v>54</v>
      </c>
      <c r="G26" s="52" t="n">
        <v>323.02</v>
      </c>
      <c r="H26" s="53" t="n">
        <f aca="false">D26*G26</f>
        <v>77524.8</v>
      </c>
      <c r="I26" s="47" t="s">
        <v>46</v>
      </c>
      <c r="J26" s="52" t="n">
        <v>355.87</v>
      </c>
      <c r="K26" s="53" t="n">
        <f aca="false">D26*J26</f>
        <v>85408.8</v>
      </c>
      <c r="L26" s="53" t="s">
        <v>41</v>
      </c>
      <c r="M26" s="52" t="n">
        <v>317.56</v>
      </c>
      <c r="N26" s="53" t="n">
        <f aca="false">D26*M26</f>
        <v>76214.4</v>
      </c>
      <c r="O26" s="54" t="n">
        <f aca="false">AVERAGE(G26,J26,M26)</f>
        <v>332.15</v>
      </c>
      <c r="P26" s="55" t="n">
        <f aca="false">E26*100/O26-100</f>
        <v>-0.198705404184864</v>
      </c>
      <c r="Q26" s="54" t="n">
        <f aca="false">D26*E26</f>
        <v>79557.6</v>
      </c>
      <c r="R26" s="56"/>
      <c r="T26" s="57" t="n">
        <f aca="false">ROUND(G26*100/O26-100,0)</f>
        <v>-3</v>
      </c>
      <c r="U26" s="57" t="n">
        <f aca="false">ROUND(J26*100/O26-100,0)</f>
        <v>7</v>
      </c>
      <c r="V26" s="57" t="n">
        <f aca="false">ROUND(M26*100/O26-100,0)</f>
        <v>-4</v>
      </c>
    </row>
    <row r="27" s="43" customFormat="true" ht="73.5" hidden="false" customHeight="true" outlineLevel="0" collapsed="false">
      <c r="A27" s="45" t="n">
        <v>16</v>
      </c>
      <c r="B27" s="46" t="s">
        <v>55</v>
      </c>
      <c r="C27" s="47" t="s">
        <v>25</v>
      </c>
      <c r="D27" s="48" t="n">
        <v>2</v>
      </c>
      <c r="E27" s="50" t="n">
        <v>19052</v>
      </c>
      <c r="F27" s="47" t="s">
        <v>56</v>
      </c>
      <c r="G27" s="52" t="n">
        <v>19820.74</v>
      </c>
      <c r="H27" s="53" t="n">
        <f aca="false">D27*G27</f>
        <v>39641.48</v>
      </c>
      <c r="I27" s="47" t="s">
        <v>57</v>
      </c>
      <c r="J27" s="52" t="n">
        <v>19276.63</v>
      </c>
      <c r="K27" s="53" t="n">
        <f aca="false">D27*J27</f>
        <v>38553.26</v>
      </c>
      <c r="L27" s="47" t="s">
        <v>58</v>
      </c>
      <c r="M27" s="52" t="n">
        <v>18175.31</v>
      </c>
      <c r="N27" s="53" t="n">
        <f aca="false">D27*M27</f>
        <v>36350.62</v>
      </c>
      <c r="O27" s="54" t="n">
        <f aca="false">AVERAGE(G27,J27,M27)</f>
        <v>19090.8933333333</v>
      </c>
      <c r="P27" s="55" t="n">
        <f aca="false">E27*100/O27-100</f>
        <v>-0.203727152282752</v>
      </c>
      <c r="Q27" s="54" t="n">
        <f aca="false">D27*E27</f>
        <v>38104</v>
      </c>
      <c r="R27" s="56"/>
      <c r="T27" s="57" t="n">
        <f aca="false">ROUND(G27*100/O27-100,0)</f>
        <v>4</v>
      </c>
      <c r="U27" s="57" t="n">
        <f aca="false">ROUND(J27*100/O27-100,0)</f>
        <v>1</v>
      </c>
      <c r="V27" s="57" t="n">
        <f aca="false">ROUND(M27*100/O27-100,0)</f>
        <v>-5</v>
      </c>
    </row>
    <row r="28" s="43" customFormat="true" ht="73.5" hidden="false" customHeight="true" outlineLevel="0" collapsed="false">
      <c r="A28" s="45" t="n">
        <v>17</v>
      </c>
      <c r="B28" s="46" t="s">
        <v>59</v>
      </c>
      <c r="C28" s="47" t="s">
        <v>25</v>
      </c>
      <c r="D28" s="48" t="n">
        <v>84</v>
      </c>
      <c r="E28" s="50" t="n">
        <v>29.9</v>
      </c>
      <c r="F28" s="47" t="s">
        <v>39</v>
      </c>
      <c r="G28" s="52" t="n">
        <v>27.94</v>
      </c>
      <c r="H28" s="53" t="n">
        <f aca="false">D28*G28</f>
        <v>2346.96</v>
      </c>
      <c r="I28" s="47" t="s">
        <v>54</v>
      </c>
      <c r="J28" s="52" t="n">
        <v>29.88</v>
      </c>
      <c r="K28" s="53" t="n">
        <f aca="false">D28*J28</f>
        <v>2509.92</v>
      </c>
      <c r="L28" s="53" t="s">
        <v>41</v>
      </c>
      <c r="M28" s="52" t="n">
        <v>32.45</v>
      </c>
      <c r="N28" s="53" t="n">
        <f aca="false">D28*M28</f>
        <v>2725.8</v>
      </c>
      <c r="O28" s="54" t="n">
        <f aca="false">AVERAGE(G28,J28,M28)</f>
        <v>30.09</v>
      </c>
      <c r="P28" s="55" t="n">
        <f aca="false">E28*100/O28-100</f>
        <v>-0.631439016284489</v>
      </c>
      <c r="Q28" s="54" t="n">
        <f aca="false">D28*E28</f>
        <v>2511.6</v>
      </c>
      <c r="R28" s="56"/>
      <c r="T28" s="57" t="n">
        <f aca="false">ROUND(G28*100/O28-100,0)</f>
        <v>-7</v>
      </c>
      <c r="U28" s="57" t="n">
        <f aca="false">ROUND(J28*100/O28-100,0)</f>
        <v>-1</v>
      </c>
      <c r="V28" s="57" t="n">
        <f aca="false">ROUND(M28*100/O28-100,0)</f>
        <v>8</v>
      </c>
    </row>
    <row r="29" s="43" customFormat="true" ht="73.5" hidden="false" customHeight="true" outlineLevel="0" collapsed="false">
      <c r="A29" s="45" t="n">
        <v>18</v>
      </c>
      <c r="B29" s="46" t="s">
        <v>60</v>
      </c>
      <c r="C29" s="47" t="s">
        <v>25</v>
      </c>
      <c r="D29" s="48" t="n">
        <v>4</v>
      </c>
      <c r="E29" s="50" t="n">
        <v>477.5</v>
      </c>
      <c r="F29" s="47" t="s">
        <v>27</v>
      </c>
      <c r="G29" s="52" t="n">
        <f aca="false">557.23/1.2</f>
        <v>464.358333333333</v>
      </c>
      <c r="H29" s="53" t="n">
        <f aca="false">D29*G29</f>
        <v>1857.43333333333</v>
      </c>
      <c r="I29" s="53" t="s">
        <v>28</v>
      </c>
      <c r="J29" s="52" t="n">
        <v>515.64</v>
      </c>
      <c r="K29" s="53" t="n">
        <f aca="false">D29*J29</f>
        <v>2062.56</v>
      </c>
      <c r="L29" s="47" t="s">
        <v>29</v>
      </c>
      <c r="M29" s="52" t="n">
        <v>458.56</v>
      </c>
      <c r="N29" s="53" t="n">
        <f aca="false">D29*M29</f>
        <v>1834.24</v>
      </c>
      <c r="O29" s="54" t="n">
        <f aca="false">AVERAGE(G29,J29,M29)</f>
        <v>479.519444444444</v>
      </c>
      <c r="P29" s="55" t="n">
        <f aca="false">E29*100/O29-100</f>
        <v>-0.421139219241482</v>
      </c>
      <c r="Q29" s="54" t="n">
        <f aca="false">D29*E29</f>
        <v>1910</v>
      </c>
      <c r="R29" s="56"/>
      <c r="T29" s="57" t="n">
        <f aca="false">ROUND(G29*100/O29-100,0)</f>
        <v>-3</v>
      </c>
      <c r="U29" s="57" t="n">
        <f aca="false">ROUND(J29*100/O29-100,0)</f>
        <v>8</v>
      </c>
      <c r="V29" s="57" t="n">
        <f aca="false">ROUND(M29*100/O29-100,0)</f>
        <v>-4</v>
      </c>
    </row>
    <row r="30" s="43" customFormat="true" ht="73.5" hidden="false" customHeight="true" outlineLevel="0" collapsed="false">
      <c r="A30" s="45" t="n">
        <v>19</v>
      </c>
      <c r="B30" s="46" t="s">
        <v>61</v>
      </c>
      <c r="C30" s="47" t="s">
        <v>45</v>
      </c>
      <c r="D30" s="48" t="n">
        <v>80</v>
      </c>
      <c r="E30" s="50" t="n">
        <v>473.4</v>
      </c>
      <c r="F30" s="47" t="s">
        <v>62</v>
      </c>
      <c r="G30" s="52" t="n">
        <v>475</v>
      </c>
      <c r="H30" s="53" t="n">
        <f aca="false">D30*G30</f>
        <v>38000</v>
      </c>
      <c r="I30" s="47" t="s">
        <v>46</v>
      </c>
      <c r="J30" s="52" t="n">
        <v>462.4</v>
      </c>
      <c r="K30" s="53" t="n">
        <f aca="false">D30*J30</f>
        <v>36992</v>
      </c>
      <c r="L30" s="47" t="s">
        <v>58</v>
      </c>
      <c r="M30" s="52" t="n">
        <v>496.84</v>
      </c>
      <c r="N30" s="53" t="n">
        <f aca="false">D30*M30</f>
        <v>39747.2</v>
      </c>
      <c r="O30" s="54" t="n">
        <f aca="false">AVERAGE(G30,J30,M30)</f>
        <v>478.08</v>
      </c>
      <c r="P30" s="55" t="n">
        <f aca="false">E30*100/O30-100</f>
        <v>-0.978915662650593</v>
      </c>
      <c r="Q30" s="54" t="n">
        <f aca="false">D30*E30</f>
        <v>37872</v>
      </c>
      <c r="R30" s="56"/>
      <c r="T30" s="57" t="n">
        <f aca="false">ROUND(G30*100/O30-100,0)</f>
        <v>-1</v>
      </c>
      <c r="U30" s="57" t="n">
        <f aca="false">ROUND(J30*100/O30-100,0)</f>
        <v>-3</v>
      </c>
      <c r="V30" s="57" t="n">
        <f aca="false">ROUND(M30*100/O30-100,0)</f>
        <v>4</v>
      </c>
    </row>
    <row r="31" s="43" customFormat="true" ht="73.5" hidden="false" customHeight="true" outlineLevel="0" collapsed="false">
      <c r="A31" s="45" t="n">
        <v>20</v>
      </c>
      <c r="B31" s="46" t="s">
        <v>63</v>
      </c>
      <c r="C31" s="47" t="s">
        <v>25</v>
      </c>
      <c r="D31" s="48" t="n">
        <v>6</v>
      </c>
      <c r="E31" s="50" t="n">
        <v>3952.3</v>
      </c>
      <c r="F31" s="47" t="s">
        <v>27</v>
      </c>
      <c r="G31" s="52" t="n">
        <f aca="false">4569.53/1.2</f>
        <v>3807.94166666667</v>
      </c>
      <c r="H31" s="53" t="n">
        <f aca="false">D31*G31</f>
        <v>22847.65</v>
      </c>
      <c r="I31" s="53" t="s">
        <v>28</v>
      </c>
      <c r="J31" s="52" t="n">
        <f aca="false">4747.69/1.2</f>
        <v>3956.40833333333</v>
      </c>
      <c r="K31" s="53" t="n">
        <f aca="false">D31*J31</f>
        <v>23738.45</v>
      </c>
      <c r="L31" s="47" t="s">
        <v>29</v>
      </c>
      <c r="M31" s="52" t="n">
        <v>4100.7</v>
      </c>
      <c r="N31" s="53" t="n">
        <f aca="false">D31*M31</f>
        <v>24604.2</v>
      </c>
      <c r="O31" s="54" t="n">
        <f aca="false">AVERAGE(G31,J31,M31)</f>
        <v>3955.01666666667</v>
      </c>
      <c r="P31" s="55" t="n">
        <f aca="false">E31*100/O31-100</f>
        <v>-0.0686891332105546</v>
      </c>
      <c r="Q31" s="54" t="n">
        <f aca="false">D31*E31</f>
        <v>23713.8</v>
      </c>
      <c r="R31" s="56"/>
      <c r="T31" s="57" t="n">
        <f aca="false">ROUND(G31*100/O31-100,0)</f>
        <v>-4</v>
      </c>
      <c r="U31" s="57" t="n">
        <f aca="false">ROUND(J31*100/O31-100,0)</f>
        <v>0</v>
      </c>
      <c r="V31" s="57" t="n">
        <f aca="false">ROUND(M31*100/O31-100,0)</f>
        <v>4</v>
      </c>
    </row>
    <row r="32" s="43" customFormat="true" ht="73.5" hidden="false" customHeight="true" outlineLevel="0" collapsed="false">
      <c r="A32" s="45" t="n">
        <v>21</v>
      </c>
      <c r="B32" s="46" t="s">
        <v>64</v>
      </c>
      <c r="C32" s="47" t="s">
        <v>65</v>
      </c>
      <c r="D32" s="48" t="n">
        <v>13</v>
      </c>
      <c r="E32" s="50" t="n">
        <v>4260.15</v>
      </c>
      <c r="F32" s="47" t="s">
        <v>66</v>
      </c>
      <c r="G32" s="52" t="n">
        <f aca="false">5072/1.2</f>
        <v>4226.66666666667</v>
      </c>
      <c r="H32" s="53" t="n">
        <f aca="false">D32*G32</f>
        <v>54946.6666666667</v>
      </c>
      <c r="I32" s="53" t="s">
        <v>67</v>
      </c>
      <c r="J32" s="52" t="n">
        <f aca="false">4988.64/1.2</f>
        <v>4157.2</v>
      </c>
      <c r="K32" s="53" t="n">
        <f aca="false">D32*J32</f>
        <v>54043.6</v>
      </c>
      <c r="L32" s="53" t="s">
        <v>68</v>
      </c>
      <c r="M32" s="52" t="n">
        <v>4402.7</v>
      </c>
      <c r="N32" s="53" t="n">
        <f aca="false">D32*M32</f>
        <v>57235.1</v>
      </c>
      <c r="O32" s="54" t="n">
        <f aca="false">AVERAGE(G32,J32,M32)</f>
        <v>4262.18888888889</v>
      </c>
      <c r="P32" s="55" t="n">
        <f aca="false">E32*100/O32-100</f>
        <v>-0.0478366619134221</v>
      </c>
      <c r="Q32" s="54" t="n">
        <f aca="false">D32*E32</f>
        <v>55381.95</v>
      </c>
      <c r="R32" s="59"/>
      <c r="T32" s="57" t="n">
        <f aca="false">ROUND(G32*100/O32-100,0)</f>
        <v>-1</v>
      </c>
      <c r="U32" s="57" t="n">
        <f aca="false">ROUND(J32*100/O32-100,0)</f>
        <v>-2</v>
      </c>
      <c r="V32" s="57" t="n">
        <f aca="false">ROUND(M32*100/O32-100,0)</f>
        <v>3</v>
      </c>
    </row>
    <row r="33" s="43" customFormat="true" ht="73.5" hidden="false" customHeight="true" outlineLevel="0" collapsed="false">
      <c r="A33" s="45" t="n">
        <v>22</v>
      </c>
      <c r="B33" s="46" t="s">
        <v>69</v>
      </c>
      <c r="C33" s="47" t="s">
        <v>65</v>
      </c>
      <c r="D33" s="48" t="n">
        <v>13</v>
      </c>
      <c r="E33" s="94" t="n">
        <v>17877.2</v>
      </c>
      <c r="F33" s="95" t="s">
        <v>66</v>
      </c>
      <c r="G33" s="96" t="n">
        <f aca="false">22081.39/1.2</f>
        <v>18401.1583333333</v>
      </c>
      <c r="H33" s="53" t="n">
        <f aca="false">D33*G33</f>
        <v>239215.058333333</v>
      </c>
      <c r="I33" s="97" t="s">
        <v>67</v>
      </c>
      <c r="J33" s="96" t="n">
        <f aca="false">21966.86/1.2</f>
        <v>18305.7166666667</v>
      </c>
      <c r="K33" s="53" t="n">
        <f aca="false">D33*J33</f>
        <v>237974.316666667</v>
      </c>
      <c r="L33" s="98" t="s">
        <v>489</v>
      </c>
      <c r="M33" s="99" t="n">
        <f aca="false">20310/1.2</f>
        <v>16925</v>
      </c>
      <c r="N33" s="53" t="n">
        <f aca="false">D33*M33</f>
        <v>220025</v>
      </c>
      <c r="O33" s="54" t="n">
        <f aca="false">AVERAGE(G33,J33,M33)</f>
        <v>17877.2916666667</v>
      </c>
      <c r="P33" s="55" t="n">
        <f aca="false">E33*100/O33-100</f>
        <v>-0.000512754775030544</v>
      </c>
      <c r="Q33" s="54" t="n">
        <f aca="false">D33*E33</f>
        <v>232403.6</v>
      </c>
      <c r="R33" s="82" t="s">
        <v>490</v>
      </c>
      <c r="T33" s="57" t="n">
        <f aca="false">ROUND(G33*100/O33-100,0)</f>
        <v>3</v>
      </c>
      <c r="U33" s="57" t="n">
        <f aca="false">ROUND(J33*100/O33-100,0)</f>
        <v>2</v>
      </c>
      <c r="V33" s="57" t="n">
        <f aca="false">ROUND(M33*100/O33-100,0)</f>
        <v>-5</v>
      </c>
    </row>
    <row r="34" s="43" customFormat="true" ht="73.5" hidden="false" customHeight="true" outlineLevel="0" collapsed="false">
      <c r="A34" s="45" t="n">
        <v>23</v>
      </c>
      <c r="B34" s="46" t="s">
        <v>70</v>
      </c>
      <c r="C34" s="47" t="s">
        <v>25</v>
      </c>
      <c r="D34" s="48" t="n">
        <v>400</v>
      </c>
      <c r="E34" s="50" t="n">
        <v>36.7</v>
      </c>
      <c r="F34" s="47" t="s">
        <v>39</v>
      </c>
      <c r="G34" s="52" t="n">
        <v>36.68</v>
      </c>
      <c r="H34" s="53" t="n">
        <f aca="false">D34*G34</f>
        <v>14672</v>
      </c>
      <c r="I34" s="47" t="s">
        <v>54</v>
      </c>
      <c r="J34" s="52" t="n">
        <v>34.28</v>
      </c>
      <c r="K34" s="53" t="n">
        <f aca="false">D34*J34</f>
        <v>13712</v>
      </c>
      <c r="L34" s="53" t="s">
        <v>41</v>
      </c>
      <c r="M34" s="52" t="n">
        <v>39.9</v>
      </c>
      <c r="N34" s="53" t="n">
        <f aca="false">D34*M34</f>
        <v>15960</v>
      </c>
      <c r="O34" s="54" t="n">
        <f aca="false">AVERAGE(G34,J34,M34)</f>
        <v>36.9533333333333</v>
      </c>
      <c r="P34" s="55" t="n">
        <f aca="false">E34*100/O34-100</f>
        <v>-0.685549341511802</v>
      </c>
      <c r="Q34" s="54" t="n">
        <f aca="false">D34*E34</f>
        <v>14680</v>
      </c>
      <c r="R34" s="61"/>
      <c r="T34" s="57" t="n">
        <f aca="false">ROUND(G34*100/O34-100,0)</f>
        <v>-1</v>
      </c>
      <c r="U34" s="57" t="n">
        <f aca="false">ROUND(J34*100/O34-100,0)</f>
        <v>-7</v>
      </c>
      <c r="V34" s="57" t="n">
        <f aca="false">ROUND(M34*100/O34-100,0)</f>
        <v>8</v>
      </c>
    </row>
    <row r="35" s="43" customFormat="true" ht="73.5" hidden="false" customHeight="true" outlineLevel="0" collapsed="false">
      <c r="A35" s="45" t="n">
        <v>24</v>
      </c>
      <c r="B35" s="46" t="s">
        <v>71</v>
      </c>
      <c r="C35" s="47" t="s">
        <v>25</v>
      </c>
      <c r="D35" s="48" t="n">
        <v>600</v>
      </c>
      <c r="E35" s="50" t="n">
        <v>49.8</v>
      </c>
      <c r="F35" s="47" t="s">
        <v>39</v>
      </c>
      <c r="G35" s="52" t="n">
        <v>49.53</v>
      </c>
      <c r="H35" s="53" t="n">
        <f aca="false">D35*G35</f>
        <v>29718</v>
      </c>
      <c r="I35" s="47" t="s">
        <v>54</v>
      </c>
      <c r="J35" s="52" t="n">
        <v>54.48</v>
      </c>
      <c r="K35" s="53" t="n">
        <f aca="false">D35*J35</f>
        <v>32688</v>
      </c>
      <c r="L35" s="53" t="s">
        <v>41</v>
      </c>
      <c r="M35" s="52" t="n">
        <v>45.78</v>
      </c>
      <c r="N35" s="53" t="n">
        <f aca="false">D35*M35</f>
        <v>27468</v>
      </c>
      <c r="O35" s="54" t="n">
        <f aca="false">AVERAGE(G35,J35,M35)</f>
        <v>49.93</v>
      </c>
      <c r="P35" s="55" t="n">
        <f aca="false">E35*100/O35-100</f>
        <v>-0.260364510314446</v>
      </c>
      <c r="Q35" s="54" t="n">
        <f aca="false">D35*E35</f>
        <v>29880</v>
      </c>
      <c r="R35" s="56"/>
      <c r="T35" s="57" t="n">
        <f aca="false">ROUND(G35*100/O35-100,0)</f>
        <v>-1</v>
      </c>
      <c r="U35" s="57" t="n">
        <f aca="false">ROUND(J35*100/O35-100,0)</f>
        <v>9</v>
      </c>
      <c r="V35" s="57" t="n">
        <f aca="false">ROUND(M35*100/O35-100,0)</f>
        <v>-8</v>
      </c>
    </row>
    <row r="36" s="43" customFormat="true" ht="73.5" hidden="false" customHeight="true" outlineLevel="0" collapsed="false">
      <c r="A36" s="45" t="n">
        <v>25</v>
      </c>
      <c r="B36" s="46" t="s">
        <v>72</v>
      </c>
      <c r="C36" s="47" t="s">
        <v>25</v>
      </c>
      <c r="D36" s="48" t="n">
        <v>80</v>
      </c>
      <c r="E36" s="50" t="n">
        <v>116.1</v>
      </c>
      <c r="F36" s="47" t="s">
        <v>39</v>
      </c>
      <c r="G36" s="52" t="n">
        <v>111.18</v>
      </c>
      <c r="H36" s="53" t="n">
        <f aca="false">D36*G36</f>
        <v>8894.4</v>
      </c>
      <c r="I36" s="47" t="s">
        <v>54</v>
      </c>
      <c r="J36" s="52" t="n">
        <v>115.97</v>
      </c>
      <c r="K36" s="53" t="n">
        <f aca="false">D36*J36</f>
        <v>9277.6</v>
      </c>
      <c r="L36" s="53" t="s">
        <v>41</v>
      </c>
      <c r="M36" s="52" t="n">
        <v>125.69</v>
      </c>
      <c r="N36" s="53" t="n">
        <f aca="false">D36*M36</f>
        <v>10055.2</v>
      </c>
      <c r="O36" s="54" t="n">
        <f aca="false">AVERAGE(G36,J36,M36)</f>
        <v>117.613333333333</v>
      </c>
      <c r="P36" s="55" t="n">
        <f aca="false">E36*100/O36-100</f>
        <v>-1.28670218796056</v>
      </c>
      <c r="Q36" s="54" t="n">
        <f aca="false">D36*E36</f>
        <v>9288</v>
      </c>
      <c r="R36" s="56"/>
      <c r="T36" s="57" t="n">
        <f aca="false">ROUND(G36*100/O36-100,0)</f>
        <v>-5</v>
      </c>
      <c r="U36" s="57" t="n">
        <f aca="false">ROUND(J36*100/O36-100,0)</f>
        <v>-1</v>
      </c>
      <c r="V36" s="57" t="n">
        <f aca="false">ROUND(M36*100/O36-100,0)</f>
        <v>7</v>
      </c>
    </row>
    <row r="37" s="43" customFormat="true" ht="73.5" hidden="false" customHeight="true" outlineLevel="0" collapsed="false">
      <c r="A37" s="45" t="n">
        <v>26</v>
      </c>
      <c r="B37" s="46" t="s">
        <v>73</v>
      </c>
      <c r="C37" s="47" t="s">
        <v>25</v>
      </c>
      <c r="D37" s="48" t="n">
        <v>40</v>
      </c>
      <c r="E37" s="50" t="n">
        <v>19</v>
      </c>
      <c r="F37" s="47" t="s">
        <v>39</v>
      </c>
      <c r="G37" s="52" t="n">
        <v>18.24</v>
      </c>
      <c r="H37" s="53" t="n">
        <f aca="false">D37*G37</f>
        <v>729.6</v>
      </c>
      <c r="I37" s="47" t="s">
        <v>54</v>
      </c>
      <c r="J37" s="52" t="n">
        <v>17.48</v>
      </c>
      <c r="K37" s="53" t="n">
        <f aca="false">D37*J37</f>
        <v>699.2</v>
      </c>
      <c r="L37" s="53" t="s">
        <v>41</v>
      </c>
      <c r="M37" s="52" t="n">
        <v>21.47</v>
      </c>
      <c r="N37" s="53" t="n">
        <f aca="false">D37*M37</f>
        <v>858.8</v>
      </c>
      <c r="O37" s="54" t="n">
        <f aca="false">AVERAGE(G37,J37,M37)</f>
        <v>19.0633333333333</v>
      </c>
      <c r="P37" s="55" t="n">
        <f aca="false">E37*100/O37-100</f>
        <v>-0.332225913621258</v>
      </c>
      <c r="Q37" s="54" t="n">
        <f aca="false">D37*E37</f>
        <v>760</v>
      </c>
      <c r="R37" s="56"/>
      <c r="T37" s="57" t="n">
        <f aca="false">ROUND(G37*100/O37-100,0)</f>
        <v>-4</v>
      </c>
      <c r="U37" s="57" t="n">
        <f aca="false">ROUND(J37*100/O37-100,0)</f>
        <v>-8</v>
      </c>
      <c r="V37" s="57" t="n">
        <f aca="false">ROUND(M37*100/O37-100,0)</f>
        <v>13</v>
      </c>
    </row>
    <row r="38" s="43" customFormat="true" ht="73.5" hidden="false" customHeight="true" outlineLevel="0" collapsed="false">
      <c r="A38" s="45" t="n">
        <v>27</v>
      </c>
      <c r="B38" s="46" t="s">
        <v>74</v>
      </c>
      <c r="C38" s="47" t="s">
        <v>25</v>
      </c>
      <c r="D38" s="48" t="n">
        <v>20</v>
      </c>
      <c r="E38" s="50" t="n">
        <v>27.3</v>
      </c>
      <c r="F38" s="47" t="s">
        <v>39</v>
      </c>
      <c r="G38" s="52" t="n">
        <v>26.95</v>
      </c>
      <c r="H38" s="53" t="n">
        <f aca="false">D38*G38</f>
        <v>539</v>
      </c>
      <c r="I38" s="47" t="s">
        <v>54</v>
      </c>
      <c r="J38" s="52" t="n">
        <v>24.38</v>
      </c>
      <c r="K38" s="53" t="n">
        <f aca="false">D38*J38</f>
        <v>487.6</v>
      </c>
      <c r="L38" s="53" t="s">
        <v>41</v>
      </c>
      <c r="M38" s="52" t="n">
        <v>31.4</v>
      </c>
      <c r="N38" s="53" t="n">
        <f aca="false">D38*M38</f>
        <v>628</v>
      </c>
      <c r="O38" s="54" t="n">
        <f aca="false">AVERAGE(G38,J38,M38)</f>
        <v>27.5766666666667</v>
      </c>
      <c r="P38" s="55" t="n">
        <f aca="false">E38*100/O38-100</f>
        <v>-1.00326362867158</v>
      </c>
      <c r="Q38" s="54" t="n">
        <f aca="false">D38*E38</f>
        <v>546</v>
      </c>
      <c r="R38" s="56"/>
      <c r="T38" s="57" t="n">
        <f aca="false">ROUND(G38*100/O38-100,0)</f>
        <v>-2</v>
      </c>
      <c r="U38" s="57" t="n">
        <f aca="false">ROUND(J38*100/O38-100,0)</f>
        <v>-12</v>
      </c>
      <c r="V38" s="57" t="n">
        <f aca="false">ROUND(M38*100/O38-100,0)</f>
        <v>14</v>
      </c>
    </row>
    <row r="39" s="43" customFormat="true" ht="73.5" hidden="false" customHeight="true" outlineLevel="0" collapsed="false">
      <c r="A39" s="45" t="n">
        <v>28</v>
      </c>
      <c r="B39" s="46" t="s">
        <v>75</v>
      </c>
      <c r="C39" s="47" t="s">
        <v>25</v>
      </c>
      <c r="D39" s="48" t="n">
        <v>240</v>
      </c>
      <c r="E39" s="50" t="n">
        <v>34.3</v>
      </c>
      <c r="F39" s="47" t="s">
        <v>39</v>
      </c>
      <c r="G39" s="52" t="n">
        <v>33.17</v>
      </c>
      <c r="H39" s="53" t="n">
        <f aca="false">D39*G39</f>
        <v>7960.8</v>
      </c>
      <c r="I39" s="47" t="s">
        <v>54</v>
      </c>
      <c r="J39" s="52" t="n">
        <v>32.17</v>
      </c>
      <c r="K39" s="53" t="n">
        <f aca="false">D39*J39</f>
        <v>7720.8</v>
      </c>
      <c r="L39" s="53" t="s">
        <v>41</v>
      </c>
      <c r="M39" s="52" t="n">
        <v>38.74</v>
      </c>
      <c r="N39" s="53" t="n">
        <f aca="false">D39*M39</f>
        <v>9297.6</v>
      </c>
      <c r="O39" s="54" t="n">
        <f aca="false">AVERAGE(G39,J39,M39)</f>
        <v>34.6933333333333</v>
      </c>
      <c r="P39" s="55" t="n">
        <f aca="false">E39*100/O39-100</f>
        <v>-1.13374327440432</v>
      </c>
      <c r="Q39" s="54" t="n">
        <f aca="false">D39*E39</f>
        <v>8232</v>
      </c>
      <c r="R39" s="56"/>
      <c r="T39" s="57" t="n">
        <f aca="false">ROUND(G39*100/O39-100,0)</f>
        <v>-4</v>
      </c>
      <c r="U39" s="57" t="n">
        <f aca="false">ROUND(J39*100/O39-100,0)</f>
        <v>-7</v>
      </c>
      <c r="V39" s="57" t="n">
        <f aca="false">ROUND(M39*100/O39-100,0)</f>
        <v>12</v>
      </c>
    </row>
    <row r="40" s="43" customFormat="true" ht="73.5" hidden="false" customHeight="true" outlineLevel="0" collapsed="false">
      <c r="A40" s="45" t="n">
        <v>29</v>
      </c>
      <c r="B40" s="46" t="s">
        <v>76</v>
      </c>
      <c r="C40" s="47" t="s">
        <v>25</v>
      </c>
      <c r="D40" s="48" t="n">
        <v>264</v>
      </c>
      <c r="E40" s="50" t="n">
        <v>52</v>
      </c>
      <c r="F40" s="47" t="s">
        <v>39</v>
      </c>
      <c r="G40" s="52" t="n">
        <v>49.76</v>
      </c>
      <c r="H40" s="53" t="n">
        <f aca="false">D40*G40</f>
        <v>13136.64</v>
      </c>
      <c r="I40" s="47" t="s">
        <v>54</v>
      </c>
      <c r="J40" s="52" t="n">
        <v>51.47</v>
      </c>
      <c r="K40" s="53" t="n">
        <f aca="false">D40*J40</f>
        <v>13588.08</v>
      </c>
      <c r="L40" s="53" t="s">
        <v>41</v>
      </c>
      <c r="M40" s="52" t="n">
        <v>55.16</v>
      </c>
      <c r="N40" s="53" t="n">
        <f aca="false">D40*M40</f>
        <v>14562.24</v>
      </c>
      <c r="O40" s="54" t="n">
        <f aca="false">AVERAGE(G40,J40,M40)</f>
        <v>52.13</v>
      </c>
      <c r="P40" s="55" t="n">
        <f aca="false">E40*100/O40-100</f>
        <v>-0.249376558603487</v>
      </c>
      <c r="Q40" s="54" t="n">
        <f aca="false">D40*E40</f>
        <v>13728</v>
      </c>
      <c r="R40" s="56"/>
      <c r="T40" s="57" t="n">
        <f aca="false">ROUND(G40*100/O40-100,0)</f>
        <v>-5</v>
      </c>
      <c r="U40" s="57" t="n">
        <f aca="false">ROUND(J40*100/O40-100,0)</f>
        <v>-1</v>
      </c>
      <c r="V40" s="57" t="n">
        <f aca="false">ROUND(M40*100/O40-100,0)</f>
        <v>6</v>
      </c>
    </row>
    <row r="41" s="43" customFormat="true" ht="73.5" hidden="false" customHeight="true" outlineLevel="0" collapsed="false">
      <c r="A41" s="45" t="n">
        <v>30</v>
      </c>
      <c r="B41" s="46" t="s">
        <v>77</v>
      </c>
      <c r="C41" s="47" t="s">
        <v>25</v>
      </c>
      <c r="D41" s="48" t="n">
        <v>1200</v>
      </c>
      <c r="E41" s="50" t="n">
        <v>98.2</v>
      </c>
      <c r="F41" s="47" t="s">
        <v>39</v>
      </c>
      <c r="G41" s="52" t="n">
        <v>97.92</v>
      </c>
      <c r="H41" s="53" t="n">
        <f aca="false">D41*G41</f>
        <v>117504</v>
      </c>
      <c r="I41" s="47" t="s">
        <v>54</v>
      </c>
      <c r="J41" s="52" t="n">
        <v>92.97</v>
      </c>
      <c r="K41" s="53" t="n">
        <f aca="false">D41*J41</f>
        <v>111564</v>
      </c>
      <c r="L41" s="53" t="s">
        <v>41</v>
      </c>
      <c r="M41" s="52" t="n">
        <v>105.36</v>
      </c>
      <c r="N41" s="53" t="n">
        <f aca="false">D41*M41</f>
        <v>126432</v>
      </c>
      <c r="O41" s="54" t="n">
        <f aca="false">AVERAGE(G41,J41,M41)</f>
        <v>98.75</v>
      </c>
      <c r="P41" s="55" t="n">
        <f aca="false">E41*100/O41-100</f>
        <v>-0.556962025316452</v>
      </c>
      <c r="Q41" s="54" t="n">
        <f aca="false">D41*E41</f>
        <v>117840</v>
      </c>
      <c r="R41" s="56"/>
      <c r="T41" s="57" t="n">
        <f aca="false">ROUND(G41*100/O41-100,0)</f>
        <v>-1</v>
      </c>
      <c r="U41" s="57" t="n">
        <f aca="false">ROUND(J41*100/O41-100,0)</f>
        <v>-6</v>
      </c>
      <c r="V41" s="57" t="n">
        <f aca="false">ROUND(M41*100/O41-100,0)</f>
        <v>7</v>
      </c>
    </row>
    <row r="42" s="43" customFormat="true" ht="73.5" hidden="false" customHeight="true" outlineLevel="0" collapsed="false">
      <c r="A42" s="45" t="n">
        <v>31</v>
      </c>
      <c r="B42" s="46" t="s">
        <v>78</v>
      </c>
      <c r="C42" s="47" t="s">
        <v>25</v>
      </c>
      <c r="D42" s="48" t="n">
        <v>40</v>
      </c>
      <c r="E42" s="50" t="n">
        <v>5.4</v>
      </c>
      <c r="F42" s="47" t="s">
        <v>39</v>
      </c>
      <c r="G42" s="52" t="n">
        <v>5.38</v>
      </c>
      <c r="H42" s="53" t="n">
        <f aca="false">D42*G42</f>
        <v>215.2</v>
      </c>
      <c r="I42" s="47" t="s">
        <v>54</v>
      </c>
      <c r="J42" s="52" t="n">
        <v>5.45</v>
      </c>
      <c r="K42" s="53" t="n">
        <f aca="false">D42*J42</f>
        <v>218</v>
      </c>
      <c r="L42" s="53" t="s">
        <v>41</v>
      </c>
      <c r="M42" s="52" t="n">
        <v>5.5</v>
      </c>
      <c r="N42" s="53" t="n">
        <f aca="false">D42*M42</f>
        <v>220</v>
      </c>
      <c r="O42" s="54" t="n">
        <f aca="false">AVERAGE(G42,J42,M42)</f>
        <v>5.44333333333333</v>
      </c>
      <c r="P42" s="55" t="n">
        <f aca="false">E42*100/O42-100</f>
        <v>-0.796080832823009</v>
      </c>
      <c r="Q42" s="54" t="n">
        <f aca="false">D42*E42</f>
        <v>216</v>
      </c>
      <c r="R42" s="56"/>
      <c r="T42" s="57" t="n">
        <f aca="false">ROUND(G42*100/O42-100,0)</f>
        <v>-1</v>
      </c>
      <c r="U42" s="57" t="n">
        <f aca="false">ROUND(J42*100/O42-100,0)</f>
        <v>0</v>
      </c>
      <c r="V42" s="57" t="n">
        <f aca="false">ROUND(M42*100/O42-100,0)</f>
        <v>1</v>
      </c>
    </row>
    <row r="43" s="43" customFormat="true" ht="73.5" hidden="false" customHeight="true" outlineLevel="0" collapsed="false">
      <c r="A43" s="45" t="n">
        <v>32</v>
      </c>
      <c r="B43" s="46" t="s">
        <v>79</v>
      </c>
      <c r="C43" s="47" t="s">
        <v>25</v>
      </c>
      <c r="D43" s="48" t="n">
        <v>30</v>
      </c>
      <c r="E43" s="50" t="n">
        <v>11.82</v>
      </c>
      <c r="F43" s="47" t="s">
        <v>39</v>
      </c>
      <c r="G43" s="52" t="n">
        <v>11.56</v>
      </c>
      <c r="H43" s="53" t="n">
        <f aca="false">D43*G43</f>
        <v>346.8</v>
      </c>
      <c r="I43" s="47" t="s">
        <v>54</v>
      </c>
      <c r="J43" s="52" t="n">
        <v>11.47</v>
      </c>
      <c r="K43" s="53" t="n">
        <f aca="false">D43*J43</f>
        <v>344.1</v>
      </c>
      <c r="L43" s="53" t="s">
        <v>41</v>
      </c>
      <c r="M43" s="52" t="n">
        <v>12.68</v>
      </c>
      <c r="N43" s="53" t="n">
        <f aca="false">D43*M43</f>
        <v>380.4</v>
      </c>
      <c r="O43" s="54" t="n">
        <f aca="false">AVERAGE(G43,J43,M43)</f>
        <v>11.9033333333333</v>
      </c>
      <c r="P43" s="55" t="n">
        <f aca="false">E43*100/O43-100</f>
        <v>-0.700084010081213</v>
      </c>
      <c r="Q43" s="54" t="n">
        <f aca="false">D43*E43</f>
        <v>354.6</v>
      </c>
      <c r="R43" s="56"/>
      <c r="T43" s="57" t="n">
        <f aca="false">ROUND(G43*100/O43-100,0)</f>
        <v>-3</v>
      </c>
      <c r="U43" s="57" t="n">
        <f aca="false">ROUND(J43*100/O43-100,0)</f>
        <v>-4</v>
      </c>
      <c r="V43" s="57" t="n">
        <f aca="false">ROUND(M43*100/O43-100,0)</f>
        <v>7</v>
      </c>
    </row>
    <row r="44" s="43" customFormat="true" ht="73.5" hidden="false" customHeight="true" outlineLevel="0" collapsed="false">
      <c r="A44" s="45" t="n">
        <v>33</v>
      </c>
      <c r="B44" s="46" t="s">
        <v>80</v>
      </c>
      <c r="C44" s="47" t="s">
        <v>81</v>
      </c>
      <c r="D44" s="48" t="n">
        <v>560</v>
      </c>
      <c r="E44" s="50" t="n">
        <v>169.2</v>
      </c>
      <c r="F44" s="47" t="s">
        <v>82</v>
      </c>
      <c r="G44" s="52" t="n">
        <v>166.13</v>
      </c>
      <c r="H44" s="53" t="n">
        <f aca="false">D44*G44</f>
        <v>93032.8</v>
      </c>
      <c r="I44" s="47" t="s">
        <v>46</v>
      </c>
      <c r="J44" s="52" t="n">
        <v>182.47</v>
      </c>
      <c r="K44" s="53" t="n">
        <f aca="false">D44*J44</f>
        <v>102183.2</v>
      </c>
      <c r="L44" s="47" t="s">
        <v>58</v>
      </c>
      <c r="M44" s="52" t="n">
        <v>163.57</v>
      </c>
      <c r="N44" s="53" t="n">
        <f aca="false">D44*M44</f>
        <v>91599.2</v>
      </c>
      <c r="O44" s="54" t="n">
        <f aca="false">AVERAGE(G44,J44,M44)</f>
        <v>170.723333333333</v>
      </c>
      <c r="P44" s="55" t="n">
        <f aca="false">E44*100/O44-100</f>
        <v>-0.892281859538826</v>
      </c>
      <c r="Q44" s="54" t="n">
        <f aca="false">D44*E44</f>
        <v>94752</v>
      </c>
      <c r="R44" s="56"/>
      <c r="T44" s="57" t="n">
        <f aca="false">ROUND(G44*100/O44-100,0)</f>
        <v>-3</v>
      </c>
      <c r="U44" s="57" t="n">
        <f aca="false">ROUND(J44*100/O44-100,0)</f>
        <v>7</v>
      </c>
      <c r="V44" s="57" t="n">
        <f aca="false">ROUND(M44*100/O44-100,0)</f>
        <v>-4</v>
      </c>
    </row>
    <row r="45" s="43" customFormat="true" ht="73.5" hidden="false" customHeight="true" outlineLevel="0" collapsed="false">
      <c r="A45" s="45" t="n">
        <v>34</v>
      </c>
      <c r="B45" s="46" t="s">
        <v>83</v>
      </c>
      <c r="C45" s="47" t="s">
        <v>25</v>
      </c>
      <c r="D45" s="48" t="n">
        <v>12</v>
      </c>
      <c r="E45" s="50" t="n">
        <v>3339.3</v>
      </c>
      <c r="F45" s="47" t="s">
        <v>84</v>
      </c>
      <c r="G45" s="52" t="n">
        <f aca="false">3600/1.2</f>
        <v>3000</v>
      </c>
      <c r="H45" s="53" t="n">
        <f aca="false">D45*G45</f>
        <v>36000</v>
      </c>
      <c r="I45" s="53" t="s">
        <v>28</v>
      </c>
      <c r="J45" s="52" t="n">
        <f aca="false">4320/1.2</f>
        <v>3600</v>
      </c>
      <c r="K45" s="53" t="n">
        <f aca="false">D45*J45</f>
        <v>43200</v>
      </c>
      <c r="L45" s="47" t="s">
        <v>29</v>
      </c>
      <c r="M45" s="52" t="n">
        <v>3480</v>
      </c>
      <c r="N45" s="53" t="n">
        <f aca="false">D45*M45</f>
        <v>41760</v>
      </c>
      <c r="O45" s="54" t="n">
        <f aca="false">AVERAGE(G45,J45,M45)</f>
        <v>3360</v>
      </c>
      <c r="P45" s="55" t="n">
        <f aca="false">E45*100/O45-100</f>
        <v>-0.616071428571431</v>
      </c>
      <c r="Q45" s="54" t="n">
        <f aca="false">D45*E45</f>
        <v>40071.6</v>
      </c>
      <c r="R45" s="56"/>
      <c r="T45" s="57" t="n">
        <f aca="false">ROUND(G45*100/O45-100,0)</f>
        <v>-11</v>
      </c>
      <c r="U45" s="57" t="n">
        <f aca="false">ROUND(J45*100/O45-100,0)</f>
        <v>7</v>
      </c>
      <c r="V45" s="57" t="n">
        <f aca="false">ROUND(M45*100/O45-100,0)</f>
        <v>4</v>
      </c>
    </row>
    <row r="46" s="43" customFormat="true" ht="73.5" hidden="false" customHeight="true" outlineLevel="0" collapsed="false">
      <c r="A46" s="45" t="n">
        <v>35</v>
      </c>
      <c r="B46" s="46" t="s">
        <v>85</v>
      </c>
      <c r="C46" s="47" t="s">
        <v>25</v>
      </c>
      <c r="D46" s="48" t="n">
        <v>5</v>
      </c>
      <c r="E46" s="50" t="n">
        <v>3550.4</v>
      </c>
      <c r="F46" s="47" t="s">
        <v>27</v>
      </c>
      <c r="G46" s="52" t="n">
        <f aca="false">4107.16/1.2</f>
        <v>3422.63333333333</v>
      </c>
      <c r="H46" s="53" t="n">
        <f aca="false">D46*G46</f>
        <v>17113.1666666667</v>
      </c>
      <c r="I46" s="53" t="s">
        <v>28</v>
      </c>
      <c r="J46" s="52" t="n">
        <v>3502.11</v>
      </c>
      <c r="K46" s="53" t="n">
        <f aca="false">D46*J46</f>
        <v>17510.55</v>
      </c>
      <c r="L46" s="47" t="s">
        <v>29</v>
      </c>
      <c r="M46" s="52" t="n">
        <v>3779.24</v>
      </c>
      <c r="N46" s="53" t="n">
        <f aca="false">D46*M46</f>
        <v>18896.2</v>
      </c>
      <c r="O46" s="54" t="n">
        <f aca="false">AVERAGE(G46,J46,M46)</f>
        <v>3567.99444444444</v>
      </c>
      <c r="P46" s="55" t="n">
        <f aca="false">E46*100/O46-100</f>
        <v>-0.493118605378996</v>
      </c>
      <c r="Q46" s="54" t="n">
        <f aca="false">D46*E46</f>
        <v>17752</v>
      </c>
      <c r="R46" s="56"/>
      <c r="T46" s="57" t="n">
        <f aca="false">ROUND(G46*100/O46-100,0)</f>
        <v>-4</v>
      </c>
      <c r="U46" s="57" t="n">
        <f aca="false">ROUND(J46*100/O46-100,0)</f>
        <v>-2</v>
      </c>
      <c r="V46" s="57" t="n">
        <f aca="false">ROUND(M46*100/O46-100,0)</f>
        <v>6</v>
      </c>
    </row>
    <row r="47" s="43" customFormat="true" ht="73.5" hidden="false" customHeight="true" outlineLevel="0" collapsed="false">
      <c r="A47" s="45" t="n">
        <v>36</v>
      </c>
      <c r="B47" s="46" t="s">
        <v>86</v>
      </c>
      <c r="C47" s="47" t="s">
        <v>25</v>
      </c>
      <c r="D47" s="48" t="n">
        <v>13</v>
      </c>
      <c r="E47" s="50" t="n">
        <v>11152.87</v>
      </c>
      <c r="F47" s="47" t="s">
        <v>66</v>
      </c>
      <c r="G47" s="52" t="n">
        <f aca="false">12597.13/1.2</f>
        <v>10497.6083333333</v>
      </c>
      <c r="H47" s="53" t="n">
        <f aca="false">D47*G47</f>
        <v>136468.908333333</v>
      </c>
      <c r="I47" s="53" t="s">
        <v>67</v>
      </c>
      <c r="J47" s="52" t="n">
        <f aca="false">13529.76/1.2</f>
        <v>11274.8</v>
      </c>
      <c r="K47" s="53" t="n">
        <f aca="false">D47*J47</f>
        <v>146572.4</v>
      </c>
      <c r="L47" s="53" t="s">
        <v>68</v>
      </c>
      <c r="M47" s="52" t="n">
        <v>11847.32</v>
      </c>
      <c r="N47" s="53" t="n">
        <f aca="false">D47*M47</f>
        <v>154015.16</v>
      </c>
      <c r="O47" s="54" t="n">
        <f aca="false">AVERAGE(G47,J47,M47)</f>
        <v>11206.5761111111</v>
      </c>
      <c r="P47" s="55" t="n">
        <f aca="false">E47*100/O47-100</f>
        <v>-0.479237463598381</v>
      </c>
      <c r="Q47" s="54" t="n">
        <f aca="false">D47*E47</f>
        <v>144987.31</v>
      </c>
      <c r="R47" s="56"/>
      <c r="T47" s="57" t="n">
        <f aca="false">ROUND(G47*100/O47-100,0)</f>
        <v>-6</v>
      </c>
      <c r="U47" s="57" t="n">
        <f aca="false">ROUND(J47*100/O47-100,0)</f>
        <v>1</v>
      </c>
      <c r="V47" s="57" t="n">
        <f aca="false">ROUND(M47*100/O47-100,0)</f>
        <v>6</v>
      </c>
    </row>
    <row r="48" s="43" customFormat="true" ht="73.5" hidden="false" customHeight="true" outlineLevel="0" collapsed="false">
      <c r="A48" s="45" t="n">
        <v>37</v>
      </c>
      <c r="B48" s="46" t="s">
        <v>87</v>
      </c>
      <c r="C48" s="47" t="s">
        <v>25</v>
      </c>
      <c r="D48" s="48" t="n">
        <v>14</v>
      </c>
      <c r="E48" s="50" t="n">
        <v>95</v>
      </c>
      <c r="F48" s="47" t="s">
        <v>27</v>
      </c>
      <c r="G48" s="52" t="n">
        <f aca="false">108.22/1.2</f>
        <v>90.1833333333333</v>
      </c>
      <c r="H48" s="53" t="n">
        <f aca="false">D48*G48</f>
        <v>1262.56666666667</v>
      </c>
      <c r="I48" s="53" t="s">
        <v>28</v>
      </c>
      <c r="J48" s="52" t="n">
        <v>92.03</v>
      </c>
      <c r="K48" s="53" t="n">
        <f aca="false">D48*J48</f>
        <v>1288.42</v>
      </c>
      <c r="L48" s="47" t="s">
        <v>29</v>
      </c>
      <c r="M48" s="52" t="n">
        <v>103.61</v>
      </c>
      <c r="N48" s="53" t="n">
        <f aca="false">D48*M48</f>
        <v>1450.54</v>
      </c>
      <c r="O48" s="54" t="n">
        <f aca="false">AVERAGE(G48,J48,M48)</f>
        <v>95.2744444444444</v>
      </c>
      <c r="P48" s="55" t="n">
        <f aca="false">E48*100/O48-100</f>
        <v>-0.288056725016617</v>
      </c>
      <c r="Q48" s="54" t="n">
        <f aca="false">D48*E48</f>
        <v>1330</v>
      </c>
      <c r="R48" s="56"/>
      <c r="T48" s="57" t="n">
        <f aca="false">ROUND(G48*100/O48-100,0)</f>
        <v>-5</v>
      </c>
      <c r="U48" s="57" t="n">
        <f aca="false">ROUND(J48*100/O48-100,0)</f>
        <v>-3</v>
      </c>
      <c r="V48" s="57" t="n">
        <f aca="false">ROUND(M48*100/O48-100,0)</f>
        <v>9</v>
      </c>
    </row>
    <row r="49" s="43" customFormat="true" ht="73.5" hidden="false" customHeight="true" outlineLevel="0" collapsed="false">
      <c r="A49" s="45" t="n">
        <v>38</v>
      </c>
      <c r="B49" s="46" t="s">
        <v>88</v>
      </c>
      <c r="C49" s="47" t="s">
        <v>25</v>
      </c>
      <c r="D49" s="48" t="n">
        <v>28</v>
      </c>
      <c r="E49" s="50" t="n">
        <v>73.01</v>
      </c>
      <c r="F49" s="47" t="s">
        <v>39</v>
      </c>
      <c r="G49" s="52" t="n">
        <v>67.09</v>
      </c>
      <c r="H49" s="53" t="n">
        <f aca="false">D49*G49</f>
        <v>1878.52</v>
      </c>
      <c r="I49" s="53" t="s">
        <v>68</v>
      </c>
      <c r="J49" s="52" t="n">
        <v>83</v>
      </c>
      <c r="K49" s="53" t="n">
        <f aca="false">D49*J49</f>
        <v>2324</v>
      </c>
      <c r="L49" s="53" t="s">
        <v>41</v>
      </c>
      <c r="M49" s="52" t="n">
        <v>72.34</v>
      </c>
      <c r="N49" s="53" t="n">
        <f aca="false">D49*M49</f>
        <v>2025.52</v>
      </c>
      <c r="O49" s="54" t="n">
        <f aca="false">AVERAGE(G49,J49,M49)</f>
        <v>74.1433333333333</v>
      </c>
      <c r="P49" s="55" t="n">
        <f aca="false">E49*100/O49-100</f>
        <v>-1.52857078631477</v>
      </c>
      <c r="Q49" s="54" t="n">
        <f aca="false">D49*E49</f>
        <v>2044.28</v>
      </c>
      <c r="R49" s="56"/>
      <c r="T49" s="57" t="n">
        <f aca="false">ROUND(G49*100/O49-100,0)</f>
        <v>-10</v>
      </c>
      <c r="U49" s="57" t="n">
        <f aca="false">ROUND(J49*100/O49-100,0)</f>
        <v>12</v>
      </c>
      <c r="V49" s="57" t="n">
        <f aca="false">ROUND(M49*100/O49-100,0)</f>
        <v>-2</v>
      </c>
    </row>
    <row r="50" s="43" customFormat="true" ht="73.5" hidden="false" customHeight="true" outlineLevel="0" collapsed="false">
      <c r="A50" s="45" t="n">
        <v>39</v>
      </c>
      <c r="B50" s="46" t="s">
        <v>89</v>
      </c>
      <c r="C50" s="47" t="s">
        <v>81</v>
      </c>
      <c r="D50" s="48" t="n">
        <v>72</v>
      </c>
      <c r="E50" s="50" t="n">
        <v>3120.3</v>
      </c>
      <c r="F50" s="47" t="s">
        <v>90</v>
      </c>
      <c r="G50" s="52" t="n">
        <f aca="false">3609.86/1.2</f>
        <v>3008.21666666667</v>
      </c>
      <c r="H50" s="53" t="n">
        <f aca="false">D50*G50</f>
        <v>216591.6</v>
      </c>
      <c r="I50" s="47" t="s">
        <v>46</v>
      </c>
      <c r="J50" s="52" t="n">
        <v>3152.91</v>
      </c>
      <c r="K50" s="53" t="n">
        <f aca="false">D50*J50</f>
        <v>227009.52</v>
      </c>
      <c r="L50" s="47" t="s">
        <v>58</v>
      </c>
      <c r="M50" s="52" t="n">
        <v>3256.66</v>
      </c>
      <c r="N50" s="53" t="n">
        <f aca="false">D50*M50</f>
        <v>234479.52</v>
      </c>
      <c r="O50" s="54" t="n">
        <f aca="false">AVERAGE(G50,J50,M50)</f>
        <v>3139.26222222222</v>
      </c>
      <c r="P50" s="55" t="n">
        <f aca="false">E50*100/O50-100</f>
        <v>-0.604034352020435</v>
      </c>
      <c r="Q50" s="54" t="n">
        <f aca="false">D50*E50</f>
        <v>224661.6</v>
      </c>
      <c r="R50" s="56"/>
      <c r="T50" s="57" t="n">
        <f aca="false">ROUND(G50*100/O50-100,0)</f>
        <v>-4</v>
      </c>
      <c r="U50" s="57" t="n">
        <f aca="false">ROUND(J50*100/O50-100,0)</f>
        <v>0</v>
      </c>
      <c r="V50" s="57" t="n">
        <f aca="false">ROUND(M50*100/O50-100,0)</f>
        <v>4</v>
      </c>
    </row>
    <row r="51" s="43" customFormat="true" ht="73.5" hidden="false" customHeight="true" outlineLevel="0" collapsed="false">
      <c r="A51" s="45" t="n">
        <v>40</v>
      </c>
      <c r="B51" s="46" t="s">
        <v>91</v>
      </c>
      <c r="C51" s="47" t="s">
        <v>25</v>
      </c>
      <c r="D51" s="48" t="n">
        <v>2</v>
      </c>
      <c r="E51" s="50" t="n">
        <v>198500</v>
      </c>
      <c r="F51" s="47" t="s">
        <v>27</v>
      </c>
      <c r="G51" s="52" t="n">
        <f aca="false">234758.4/1.2</f>
        <v>195632</v>
      </c>
      <c r="H51" s="53" t="n">
        <f aca="false">D51*G51</f>
        <v>391264</v>
      </c>
      <c r="I51" s="53" t="s">
        <v>28</v>
      </c>
      <c r="J51" s="52" t="n">
        <v>199452.67</v>
      </c>
      <c r="K51" s="53" t="n">
        <f aca="false">D51*J51</f>
        <v>398905.34</v>
      </c>
      <c r="L51" s="47" t="s">
        <v>29</v>
      </c>
      <c r="M51" s="52" t="n">
        <v>201347.8</v>
      </c>
      <c r="N51" s="53" t="n">
        <f aca="false">D51*M51</f>
        <v>402695.6</v>
      </c>
      <c r="O51" s="54" t="n">
        <f aca="false">AVERAGE(G51,J51,M51)</f>
        <v>198810.823333333</v>
      </c>
      <c r="P51" s="55" t="n">
        <f aca="false">E51*100/O51-100</f>
        <v>-0.156341253520282</v>
      </c>
      <c r="Q51" s="54" t="n">
        <f aca="false">D51*E51</f>
        <v>397000</v>
      </c>
      <c r="R51" s="83"/>
      <c r="T51" s="57" t="n">
        <f aca="false">ROUND(G51*100/O51-100,0)</f>
        <v>-2</v>
      </c>
      <c r="U51" s="57" t="n">
        <f aca="false">ROUND(J51*100/O51-100,0)</f>
        <v>0</v>
      </c>
      <c r="V51" s="57" t="n">
        <f aca="false">ROUND(M51*100/O51-100,0)</f>
        <v>1</v>
      </c>
    </row>
    <row r="52" s="43" customFormat="true" ht="73.5" hidden="false" customHeight="true" outlineLevel="0" collapsed="false">
      <c r="A52" s="45" t="n">
        <v>41</v>
      </c>
      <c r="B52" s="46" t="s">
        <v>92</v>
      </c>
      <c r="C52" s="47" t="s">
        <v>25</v>
      </c>
      <c r="D52" s="48" t="n">
        <v>2</v>
      </c>
      <c r="E52" s="50" t="n">
        <v>5754.2</v>
      </c>
      <c r="F52" s="47" t="s">
        <v>27</v>
      </c>
      <c r="G52" s="52" t="n">
        <f aca="false">6701.48/1.2</f>
        <v>5584.56666666667</v>
      </c>
      <c r="H52" s="53" t="n">
        <f aca="false">D52*G52</f>
        <v>11169.1333333333</v>
      </c>
      <c r="I52" s="53" t="s">
        <v>28</v>
      </c>
      <c r="J52" s="52" t="n">
        <v>5784.3</v>
      </c>
      <c r="K52" s="53" t="n">
        <f aca="false">D52*J52</f>
        <v>11568.6</v>
      </c>
      <c r="L52" s="47" t="s">
        <v>29</v>
      </c>
      <c r="M52" s="52" t="n">
        <v>5944.87</v>
      </c>
      <c r="N52" s="53" t="n">
        <f aca="false">D52*M52</f>
        <v>11889.74</v>
      </c>
      <c r="O52" s="54" t="n">
        <f aca="false">AVERAGE(G52,J52,M52)</f>
        <v>5771.24555555556</v>
      </c>
      <c r="P52" s="55" t="n">
        <f aca="false">E52*100/O52-100</f>
        <v>-0.29535315022504</v>
      </c>
      <c r="Q52" s="54" t="n">
        <f aca="false">D52*E52</f>
        <v>11508.4</v>
      </c>
      <c r="R52" s="56"/>
      <c r="T52" s="57" t="n">
        <f aca="false">ROUND(G52*100/O52-100,0)</f>
        <v>-3</v>
      </c>
      <c r="U52" s="57" t="n">
        <f aca="false">ROUND(J52*100/O52-100,0)</f>
        <v>0</v>
      </c>
      <c r="V52" s="57" t="n">
        <f aca="false">ROUND(M52*100/O52-100,0)</f>
        <v>3</v>
      </c>
    </row>
    <row r="53" s="43" customFormat="true" ht="73.5" hidden="false" customHeight="true" outlineLevel="0" collapsed="false">
      <c r="A53" s="45" t="n">
        <v>42</v>
      </c>
      <c r="B53" s="46" t="s">
        <v>93</v>
      </c>
      <c r="C53" s="47" t="s">
        <v>25</v>
      </c>
      <c r="D53" s="48" t="n">
        <v>10</v>
      </c>
      <c r="E53" s="50" t="n">
        <v>523.3</v>
      </c>
      <c r="F53" s="47" t="s">
        <v>27</v>
      </c>
      <c r="G53" s="52" t="n">
        <f aca="false">597.91/1.2</f>
        <v>498.258333333333</v>
      </c>
      <c r="H53" s="53" t="n">
        <f aca="false">D53*G53</f>
        <v>4982.58333333333</v>
      </c>
      <c r="I53" s="53" t="s">
        <v>28</v>
      </c>
      <c r="J53" s="52" t="n">
        <v>521.2</v>
      </c>
      <c r="K53" s="53" t="n">
        <f aca="false">D53*J53</f>
        <v>5212</v>
      </c>
      <c r="L53" s="47" t="s">
        <v>29</v>
      </c>
      <c r="M53" s="52" t="n">
        <v>554.34</v>
      </c>
      <c r="N53" s="53" t="n">
        <f aca="false">D53*M53</f>
        <v>5543.4</v>
      </c>
      <c r="O53" s="54" t="n">
        <f aca="false">AVERAGE(G53,J53,M53)</f>
        <v>524.599444444444</v>
      </c>
      <c r="P53" s="55" t="n">
        <f aca="false">E53*100/O53-100</f>
        <v>-0.247702215129223</v>
      </c>
      <c r="Q53" s="54" t="n">
        <f aca="false">D53*E53</f>
        <v>5233</v>
      </c>
      <c r="R53" s="56"/>
      <c r="T53" s="57" t="n">
        <f aca="false">ROUND(G53*100/O53-100,0)</f>
        <v>-5</v>
      </c>
      <c r="U53" s="57" t="n">
        <f aca="false">ROUND(J53*100/O53-100,0)</f>
        <v>-1</v>
      </c>
      <c r="V53" s="57" t="n">
        <f aca="false">ROUND(M53*100/O53-100,0)</f>
        <v>6</v>
      </c>
    </row>
    <row r="54" s="43" customFormat="true" ht="73.5" hidden="false" customHeight="true" outlineLevel="0" collapsed="false">
      <c r="A54" s="45" t="n">
        <v>43</v>
      </c>
      <c r="B54" s="46" t="s">
        <v>94</v>
      </c>
      <c r="C54" s="47" t="s">
        <v>25</v>
      </c>
      <c r="D54" s="48" t="s">
        <v>95</v>
      </c>
      <c r="E54" s="50" t="n">
        <v>517.11</v>
      </c>
      <c r="F54" s="47" t="s">
        <v>27</v>
      </c>
      <c r="G54" s="52" t="n">
        <f aca="false">583.14/1.2</f>
        <v>485.95</v>
      </c>
      <c r="H54" s="53" t="n">
        <f aca="false">D54*G54</f>
        <v>23325.6</v>
      </c>
      <c r="I54" s="53" t="s">
        <v>28</v>
      </c>
      <c r="J54" s="52" t="n">
        <v>519.3</v>
      </c>
      <c r="K54" s="53" t="n">
        <f aca="false">D54*J54</f>
        <v>24926.4</v>
      </c>
      <c r="L54" s="47" t="s">
        <v>29</v>
      </c>
      <c r="M54" s="52" t="n">
        <v>550.4</v>
      </c>
      <c r="N54" s="53" t="n">
        <f aca="false">D54*M54</f>
        <v>26419.2</v>
      </c>
      <c r="O54" s="54" t="n">
        <f aca="false">AVERAGE(G54,J54,M54)</f>
        <v>518.55</v>
      </c>
      <c r="P54" s="55" t="n">
        <f aca="false">E54*100/O54-100</f>
        <v>-0.277697425513438</v>
      </c>
      <c r="Q54" s="54" t="n">
        <f aca="false">D54*E54</f>
        <v>24821.28</v>
      </c>
      <c r="R54" s="56"/>
      <c r="T54" s="57" t="n">
        <f aca="false">ROUND(G54*100/O54-100,0)</f>
        <v>-6</v>
      </c>
      <c r="U54" s="57" t="n">
        <f aca="false">ROUND(J54*100/O54-100,0)</f>
        <v>0</v>
      </c>
      <c r="V54" s="57" t="n">
        <f aca="false">ROUND(M54*100/O54-100,0)</f>
        <v>6</v>
      </c>
    </row>
    <row r="55" s="43" customFormat="true" ht="73.5" hidden="false" customHeight="true" outlineLevel="0" collapsed="false">
      <c r="A55" s="45" t="n">
        <v>44</v>
      </c>
      <c r="B55" s="46" t="s">
        <v>96</v>
      </c>
      <c r="C55" s="47" t="s">
        <v>25</v>
      </c>
      <c r="D55" s="48" t="s">
        <v>97</v>
      </c>
      <c r="E55" s="50" t="n">
        <v>5116.7</v>
      </c>
      <c r="F55" s="47" t="s">
        <v>27</v>
      </c>
      <c r="G55" s="52" t="n">
        <f aca="false">5997.8/1.2</f>
        <v>4998.16666666667</v>
      </c>
      <c r="H55" s="53" t="n">
        <f aca="false">D55*G55</f>
        <v>4998.16666666667</v>
      </c>
      <c r="I55" s="53" t="s">
        <v>28</v>
      </c>
      <c r="J55" s="52" t="n">
        <v>5100.67</v>
      </c>
      <c r="K55" s="53" t="n">
        <f aca="false">D55*J55</f>
        <v>5100.67</v>
      </c>
      <c r="L55" s="47" t="s">
        <v>29</v>
      </c>
      <c r="M55" s="52" t="n">
        <v>5427.9</v>
      </c>
      <c r="N55" s="53" t="n">
        <f aca="false">D55*M55</f>
        <v>5427.9</v>
      </c>
      <c r="O55" s="54" t="n">
        <f aca="false">AVERAGE(G55,J55,M55)</f>
        <v>5175.57888888889</v>
      </c>
      <c r="P55" s="55" t="n">
        <f aca="false">E55*100/O55-100</f>
        <v>-1.13762904890297</v>
      </c>
      <c r="Q55" s="54" t="n">
        <f aca="false">D55*E55</f>
        <v>5116.7</v>
      </c>
      <c r="R55" s="56"/>
      <c r="T55" s="57" t="n">
        <f aca="false">ROUND(G55*100/O55-100,0)</f>
        <v>-3</v>
      </c>
      <c r="U55" s="57" t="n">
        <f aca="false">ROUND(J55*100/O55-100,0)</f>
        <v>-1</v>
      </c>
      <c r="V55" s="57" t="n">
        <f aca="false">ROUND(M55*100/O55-100,0)</f>
        <v>5</v>
      </c>
    </row>
    <row r="56" s="43" customFormat="true" ht="73.5" hidden="false" customHeight="true" outlineLevel="0" collapsed="false">
      <c r="A56" s="45" t="n">
        <v>45</v>
      </c>
      <c r="B56" s="46" t="s">
        <v>98</v>
      </c>
      <c r="C56" s="47" t="s">
        <v>25</v>
      </c>
      <c r="D56" s="48" t="n">
        <v>1</v>
      </c>
      <c r="E56" s="50" t="n">
        <v>5200.4</v>
      </c>
      <c r="F56" s="47" t="s">
        <v>27</v>
      </c>
      <c r="G56" s="52" t="n">
        <f aca="false">6038.66/1.2</f>
        <v>5032.21666666667</v>
      </c>
      <c r="H56" s="53" t="n">
        <f aca="false">D56*G56</f>
        <v>5032.21666666667</v>
      </c>
      <c r="I56" s="53" t="s">
        <v>28</v>
      </c>
      <c r="J56" s="52" t="n">
        <v>5201.7</v>
      </c>
      <c r="K56" s="53" t="n">
        <f aca="false">D56*J56</f>
        <v>5201.7</v>
      </c>
      <c r="L56" s="47" t="s">
        <v>29</v>
      </c>
      <c r="M56" s="52" t="n">
        <v>5504.9</v>
      </c>
      <c r="N56" s="53" t="n">
        <f aca="false">D56*M56</f>
        <v>5504.9</v>
      </c>
      <c r="O56" s="54" t="n">
        <f aca="false">AVERAGE(G56,J56,M56)</f>
        <v>5246.27222222222</v>
      </c>
      <c r="P56" s="55" t="n">
        <f aca="false">E56*100/O56-100</f>
        <v>-0.874377468022274</v>
      </c>
      <c r="Q56" s="54" t="n">
        <f aca="false">D56*E56</f>
        <v>5200.4</v>
      </c>
      <c r="R56" s="56"/>
      <c r="T56" s="57" t="n">
        <f aca="false">ROUND(G56*100/O56-100,0)</f>
        <v>-4</v>
      </c>
      <c r="U56" s="57" t="n">
        <f aca="false">ROUND(J56*100/O56-100,0)</f>
        <v>-1</v>
      </c>
      <c r="V56" s="57" t="n">
        <f aca="false">ROUND(M56*100/O56-100,0)</f>
        <v>5</v>
      </c>
    </row>
    <row r="57" s="43" customFormat="true" ht="73.5" hidden="false" customHeight="true" outlineLevel="0" collapsed="false">
      <c r="A57" s="45" t="n">
        <v>46</v>
      </c>
      <c r="B57" s="46" t="s">
        <v>99</v>
      </c>
      <c r="C57" s="47" t="s">
        <v>25</v>
      </c>
      <c r="D57" s="48" t="n">
        <v>3</v>
      </c>
      <c r="E57" s="50" t="n">
        <v>1796.4</v>
      </c>
      <c r="F57" s="47" t="s">
        <v>27</v>
      </c>
      <c r="G57" s="52" t="n">
        <f aca="false">2109.78/1.2</f>
        <v>1758.15</v>
      </c>
      <c r="H57" s="53" t="n">
        <f aca="false">D57*G57</f>
        <v>5274.45</v>
      </c>
      <c r="I57" s="53" t="s">
        <v>28</v>
      </c>
      <c r="J57" s="52" t="n">
        <v>1801.3</v>
      </c>
      <c r="K57" s="53" t="n">
        <f aca="false">D57*J57</f>
        <v>5403.9</v>
      </c>
      <c r="L57" s="47" t="s">
        <v>29</v>
      </c>
      <c r="M57" s="52" t="n">
        <v>1956.8</v>
      </c>
      <c r="N57" s="53" t="n">
        <f aca="false">D57*M57</f>
        <v>5870.4</v>
      </c>
      <c r="O57" s="54" t="n">
        <f aca="false">AVERAGE(G57,J57,M57)</f>
        <v>1838.75</v>
      </c>
      <c r="P57" s="55" t="n">
        <f aca="false">E57*100/O57-100</f>
        <v>-2.30319510537049</v>
      </c>
      <c r="Q57" s="54" t="n">
        <f aca="false">D57*E57</f>
        <v>5389.2</v>
      </c>
      <c r="R57" s="56"/>
      <c r="T57" s="57" t="n">
        <f aca="false">ROUND(G57*100/O57-100,0)</f>
        <v>-4</v>
      </c>
      <c r="U57" s="57" t="n">
        <f aca="false">ROUND(J57*100/O57-100,0)</f>
        <v>-2</v>
      </c>
      <c r="V57" s="57" t="n">
        <f aca="false">ROUND(M57*100/O57-100,0)</f>
        <v>6</v>
      </c>
    </row>
    <row r="58" s="43" customFormat="true" ht="73.5" hidden="false" customHeight="true" outlineLevel="0" collapsed="false">
      <c r="A58" s="45" t="n">
        <v>47</v>
      </c>
      <c r="B58" s="46" t="s">
        <v>100</v>
      </c>
      <c r="C58" s="47" t="s">
        <v>25</v>
      </c>
      <c r="D58" s="48" t="n">
        <v>11</v>
      </c>
      <c r="E58" s="50" t="n">
        <v>7180.45</v>
      </c>
      <c r="F58" s="47" t="s">
        <v>27</v>
      </c>
      <c r="G58" s="52" t="n">
        <f aca="false">8361.03/1.2</f>
        <v>6967.525</v>
      </c>
      <c r="H58" s="53" t="n">
        <f aca="false">D58*G58</f>
        <v>76642.775</v>
      </c>
      <c r="I58" s="53" t="s">
        <v>28</v>
      </c>
      <c r="J58" s="52" t="n">
        <v>7201.4</v>
      </c>
      <c r="K58" s="53" t="n">
        <f aca="false">D58*J58</f>
        <v>79215.4</v>
      </c>
      <c r="L58" s="47" t="s">
        <v>29</v>
      </c>
      <c r="M58" s="52" t="n">
        <v>7422.6</v>
      </c>
      <c r="N58" s="53" t="n">
        <f aca="false">D58*M58</f>
        <v>81648.6</v>
      </c>
      <c r="O58" s="54" t="n">
        <f aca="false">AVERAGE(G58,J58,M58)</f>
        <v>7197.175</v>
      </c>
      <c r="P58" s="55" t="n">
        <f aca="false">E58*100/O58-100</f>
        <v>-0.232382844657806</v>
      </c>
      <c r="Q58" s="54" t="n">
        <f aca="false">D58*E58</f>
        <v>78984.95</v>
      </c>
      <c r="R58" s="56"/>
      <c r="T58" s="57" t="n">
        <f aca="false">ROUND(G58*100/O58-100,0)</f>
        <v>-3</v>
      </c>
      <c r="U58" s="57" t="n">
        <f aca="false">ROUND(J58*100/O58-100,0)</f>
        <v>0</v>
      </c>
      <c r="V58" s="57" t="n">
        <f aca="false">ROUND(M58*100/O58-100,0)</f>
        <v>3</v>
      </c>
    </row>
    <row r="59" s="43" customFormat="true" ht="73.5" hidden="false" customHeight="true" outlineLevel="0" collapsed="false">
      <c r="A59" s="45" t="n">
        <v>48</v>
      </c>
      <c r="B59" s="46" t="s">
        <v>101</v>
      </c>
      <c r="C59" s="47" t="s">
        <v>25</v>
      </c>
      <c r="D59" s="48" t="n">
        <v>6</v>
      </c>
      <c r="E59" s="50" t="n">
        <v>138.5</v>
      </c>
      <c r="F59" s="47" t="s">
        <v>27</v>
      </c>
      <c r="G59" s="52" t="n">
        <f aca="false">159.22/1.2</f>
        <v>132.683333333333</v>
      </c>
      <c r="H59" s="53" t="n">
        <f aca="false">D59*G59</f>
        <v>796.1</v>
      </c>
      <c r="I59" s="53" t="s">
        <v>28</v>
      </c>
      <c r="J59" s="52" t="n">
        <v>139.87</v>
      </c>
      <c r="K59" s="53" t="n">
        <f aca="false">D59*J59</f>
        <v>839.22</v>
      </c>
      <c r="L59" s="47" t="s">
        <v>29</v>
      </c>
      <c r="M59" s="52" t="n">
        <v>145.24</v>
      </c>
      <c r="N59" s="53" t="n">
        <f aca="false">D59*M59</f>
        <v>871.44</v>
      </c>
      <c r="O59" s="54" t="n">
        <f aca="false">AVERAGE(G59,J59,M59)</f>
        <v>139.264444444444</v>
      </c>
      <c r="P59" s="55" t="n">
        <f aca="false">E59*100/O59-100</f>
        <v>-0.548915731861058</v>
      </c>
      <c r="Q59" s="54" t="n">
        <f aca="false">D59*E59</f>
        <v>831</v>
      </c>
      <c r="R59" s="56"/>
      <c r="T59" s="57" t="n">
        <f aca="false">ROUND(G59*100/O59-100,0)</f>
        <v>-5</v>
      </c>
      <c r="U59" s="57" t="n">
        <f aca="false">ROUND(J59*100/O59-100,0)</f>
        <v>0</v>
      </c>
      <c r="V59" s="57" t="n">
        <f aca="false">ROUND(M59*100/O59-100,0)</f>
        <v>4</v>
      </c>
    </row>
    <row r="60" s="43" customFormat="true" ht="73.5" hidden="false" customHeight="true" outlineLevel="0" collapsed="false">
      <c r="A60" s="45" t="n">
        <v>49</v>
      </c>
      <c r="B60" s="46" t="s">
        <v>102</v>
      </c>
      <c r="C60" s="47" t="s">
        <v>25</v>
      </c>
      <c r="D60" s="48" t="s">
        <v>103</v>
      </c>
      <c r="E60" s="50" t="n">
        <v>118.5</v>
      </c>
      <c r="F60" s="47" t="s">
        <v>27</v>
      </c>
      <c r="G60" s="52" t="n">
        <f aca="false">137.81/1.2</f>
        <v>114.841666666667</v>
      </c>
      <c r="H60" s="53" t="n">
        <f aca="false">D60*G60</f>
        <v>2871.04166666667</v>
      </c>
      <c r="I60" s="53" t="s">
        <v>28</v>
      </c>
      <c r="J60" s="52" t="n">
        <v>121.47</v>
      </c>
      <c r="K60" s="53" t="n">
        <f aca="false">D60*J60</f>
        <v>3036.75</v>
      </c>
      <c r="L60" s="47" t="s">
        <v>29</v>
      </c>
      <c r="M60" s="52" t="n">
        <v>119.8</v>
      </c>
      <c r="N60" s="53" t="n">
        <f aca="false">D60*M60</f>
        <v>2995</v>
      </c>
      <c r="O60" s="54" t="n">
        <f aca="false">AVERAGE(G60,J60,M60)</f>
        <v>118.703888888889</v>
      </c>
      <c r="P60" s="55" t="n">
        <f aca="false">E60*100/O60-100</f>
        <v>-0.171762602554452</v>
      </c>
      <c r="Q60" s="54" t="n">
        <f aca="false">D60*E60</f>
        <v>2962.5</v>
      </c>
      <c r="R60" s="56"/>
      <c r="T60" s="57" t="n">
        <f aca="false">ROUND(G60*100/O60-100,0)</f>
        <v>-3</v>
      </c>
      <c r="U60" s="57" t="n">
        <f aca="false">ROUND(J60*100/O60-100,0)</f>
        <v>2</v>
      </c>
      <c r="V60" s="57" t="n">
        <f aca="false">ROUND(M60*100/O60-100,0)</f>
        <v>1</v>
      </c>
    </row>
    <row r="61" s="43" customFormat="true" ht="73.5" hidden="false" customHeight="true" outlineLevel="0" collapsed="false">
      <c r="A61" s="45" t="n">
        <v>50</v>
      </c>
      <c r="B61" s="46" t="s">
        <v>104</v>
      </c>
      <c r="C61" s="47" t="s">
        <v>25</v>
      </c>
      <c r="D61" s="48" t="s">
        <v>105</v>
      </c>
      <c r="E61" s="50" t="n">
        <v>174.59</v>
      </c>
      <c r="F61" s="47" t="s">
        <v>27</v>
      </c>
      <c r="G61" s="52" t="n">
        <f aca="false">203.54/1.2</f>
        <v>169.616666666667</v>
      </c>
      <c r="H61" s="53" t="n">
        <f aca="false">D61*G61</f>
        <v>1356.93333333333</v>
      </c>
      <c r="I61" s="53" t="s">
        <v>28</v>
      </c>
      <c r="J61" s="52" t="n">
        <v>175.54</v>
      </c>
      <c r="K61" s="53" t="n">
        <f aca="false">D61*J61</f>
        <v>1404.32</v>
      </c>
      <c r="L61" s="47" t="s">
        <v>29</v>
      </c>
      <c r="M61" s="52" t="n">
        <v>181.7</v>
      </c>
      <c r="N61" s="53" t="n">
        <f aca="false">D61*M61</f>
        <v>1453.6</v>
      </c>
      <c r="O61" s="54" t="n">
        <f aca="false">AVERAGE(G61,J61,M61)</f>
        <v>175.618888888889</v>
      </c>
      <c r="P61" s="55" t="n">
        <f aca="false">E61*100/O61-100</f>
        <v>-0.585864593153119</v>
      </c>
      <c r="Q61" s="54" t="n">
        <f aca="false">D61*E61</f>
        <v>1396.72</v>
      </c>
      <c r="R61" s="56"/>
      <c r="T61" s="57" t="n">
        <f aca="false">ROUND(G61*100/O61-100,0)</f>
        <v>-3</v>
      </c>
      <c r="U61" s="57" t="n">
        <f aca="false">ROUND(J61*100/O61-100,0)</f>
        <v>-0</v>
      </c>
      <c r="V61" s="57" t="n">
        <f aca="false">ROUND(M61*100/O61-100,0)</f>
        <v>3</v>
      </c>
    </row>
    <row r="62" s="43" customFormat="true" ht="73.5" hidden="false" customHeight="true" outlineLevel="0" collapsed="false">
      <c r="A62" s="45" t="n">
        <v>51</v>
      </c>
      <c r="B62" s="46" t="s">
        <v>106</v>
      </c>
      <c r="C62" s="47" t="s">
        <v>25</v>
      </c>
      <c r="D62" s="48" t="n">
        <v>1</v>
      </c>
      <c r="E62" s="50" t="n">
        <v>800.12</v>
      </c>
      <c r="F62" s="47" t="s">
        <v>27</v>
      </c>
      <c r="G62" s="52" t="n">
        <f aca="false">945.37/1.2</f>
        <v>787.808333333333</v>
      </c>
      <c r="H62" s="53" t="n">
        <f aca="false">D62*G62</f>
        <v>787.808333333333</v>
      </c>
      <c r="I62" s="53" t="s">
        <v>28</v>
      </c>
      <c r="J62" s="52" t="n">
        <v>799.9</v>
      </c>
      <c r="K62" s="53" t="n">
        <f aca="false">D62*J62</f>
        <v>799.9</v>
      </c>
      <c r="L62" s="47" t="s">
        <v>29</v>
      </c>
      <c r="M62" s="52" t="n">
        <v>820.4</v>
      </c>
      <c r="N62" s="53" t="n">
        <f aca="false">D62*M62</f>
        <v>820.4</v>
      </c>
      <c r="O62" s="54" t="n">
        <f aca="false">AVERAGE(G62,J62,M62)</f>
        <v>802.702777777778</v>
      </c>
      <c r="P62" s="55" t="n">
        <f aca="false">E62*100/O62-100</f>
        <v>-0.321760164444441</v>
      </c>
      <c r="Q62" s="54" t="n">
        <f aca="false">D62*E62</f>
        <v>800.12</v>
      </c>
      <c r="R62" s="56"/>
      <c r="T62" s="57" t="n">
        <f aca="false">ROUND(G62*100/O62-100,0)</f>
        <v>-2</v>
      </c>
      <c r="U62" s="57" t="n">
        <f aca="false">ROUND(J62*100/O62-100,0)</f>
        <v>-0</v>
      </c>
      <c r="V62" s="57" t="n">
        <f aca="false">ROUND(M62*100/O62-100,0)</f>
        <v>2</v>
      </c>
    </row>
    <row r="63" s="43" customFormat="true" ht="73.5" hidden="false" customHeight="true" outlineLevel="0" collapsed="false">
      <c r="A63" s="45" t="n">
        <v>52</v>
      </c>
      <c r="B63" s="46" t="s">
        <v>107</v>
      </c>
      <c r="C63" s="47" t="s">
        <v>45</v>
      </c>
      <c r="D63" s="48" t="n">
        <v>30.2</v>
      </c>
      <c r="E63" s="50" t="n">
        <v>12456.8</v>
      </c>
      <c r="F63" s="47" t="s">
        <v>39</v>
      </c>
      <c r="G63" s="52" t="n">
        <f aca="false">5074.31*1000/400</f>
        <v>12685.775</v>
      </c>
      <c r="H63" s="53" t="n">
        <f aca="false">D63*G63</f>
        <v>383110.405</v>
      </c>
      <c r="I63" s="47" t="s">
        <v>40</v>
      </c>
      <c r="J63" s="52" t="n">
        <f aca="false">5560*1000/400/1.2</f>
        <v>11583.3333333333</v>
      </c>
      <c r="K63" s="53" t="n">
        <f aca="false">D63*J63</f>
        <v>349816.666666667</v>
      </c>
      <c r="L63" s="47" t="s">
        <v>108</v>
      </c>
      <c r="M63" s="52" t="n">
        <f aca="false">5299.17*1000/400</f>
        <v>13247.925</v>
      </c>
      <c r="N63" s="53" t="n">
        <f aca="false">D63*M63</f>
        <v>400087.335</v>
      </c>
      <c r="O63" s="54" t="n">
        <f aca="false">AVERAGE(G63,J63,M63)</f>
        <v>12505.6777777778</v>
      </c>
      <c r="P63" s="55" t="n">
        <f aca="false">E63*100/O63-100</f>
        <v>-0.390844691877732</v>
      </c>
      <c r="Q63" s="54" t="n">
        <f aca="false">D63*E63</f>
        <v>376195.36</v>
      </c>
      <c r="R63" s="83"/>
      <c r="T63" s="57" t="n">
        <f aca="false">ROUND(G63*100/O63-100,0)</f>
        <v>1</v>
      </c>
      <c r="U63" s="57" t="n">
        <f aca="false">ROUND(J63*100/O63-100,0)</f>
        <v>-7</v>
      </c>
      <c r="V63" s="57" t="n">
        <f aca="false">ROUND(M63*100/O63-100,0)</f>
        <v>6</v>
      </c>
    </row>
    <row r="64" s="43" customFormat="true" ht="73.5" hidden="false" customHeight="true" outlineLevel="0" collapsed="false">
      <c r="A64" s="45" t="n">
        <v>53</v>
      </c>
      <c r="B64" s="46" t="s">
        <v>109</v>
      </c>
      <c r="C64" s="47" t="s">
        <v>25</v>
      </c>
      <c r="D64" s="48" t="n">
        <v>40</v>
      </c>
      <c r="E64" s="50" t="n">
        <v>5.11</v>
      </c>
      <c r="F64" s="47" t="s">
        <v>39</v>
      </c>
      <c r="G64" s="52" t="n">
        <v>4.83</v>
      </c>
      <c r="H64" s="53" t="n">
        <f aca="false">D64*G64</f>
        <v>193.2</v>
      </c>
      <c r="I64" s="47" t="s">
        <v>54</v>
      </c>
      <c r="J64" s="52" t="n">
        <v>5.12</v>
      </c>
      <c r="K64" s="53" t="n">
        <f aca="false">D64*J64</f>
        <v>204.8</v>
      </c>
      <c r="L64" s="53" t="s">
        <v>41</v>
      </c>
      <c r="M64" s="52" t="n">
        <v>5.8</v>
      </c>
      <c r="N64" s="53" t="n">
        <f aca="false">D64*M64</f>
        <v>232</v>
      </c>
      <c r="O64" s="54" t="n">
        <f aca="false">AVERAGE(G64,J64,M64)</f>
        <v>5.25</v>
      </c>
      <c r="P64" s="55" t="n">
        <f aca="false">E64*100/O64-100</f>
        <v>-2.66666666666666</v>
      </c>
      <c r="Q64" s="54" t="n">
        <f aca="false">D64*E64</f>
        <v>204.4</v>
      </c>
      <c r="R64" s="56"/>
      <c r="T64" s="57" t="n">
        <f aca="false">ROUND(G64*100/O64-100,0)</f>
        <v>-8</v>
      </c>
      <c r="U64" s="57" t="n">
        <f aca="false">ROUND(J64*100/O64-100,0)</f>
        <v>-2</v>
      </c>
      <c r="V64" s="57" t="n">
        <f aca="false">ROUND(M64*100/O64-100,0)</f>
        <v>10</v>
      </c>
    </row>
    <row r="65" s="43" customFormat="true" ht="73.5" hidden="false" customHeight="true" outlineLevel="0" collapsed="false">
      <c r="A65" s="45" t="n">
        <v>54</v>
      </c>
      <c r="B65" s="46" t="s">
        <v>110</v>
      </c>
      <c r="C65" s="47" t="s">
        <v>25</v>
      </c>
      <c r="D65" s="48" t="n">
        <v>20</v>
      </c>
      <c r="E65" s="50" t="n">
        <v>7.08</v>
      </c>
      <c r="F65" s="47" t="s">
        <v>39</v>
      </c>
      <c r="G65" s="52" t="n">
        <v>6.95</v>
      </c>
      <c r="H65" s="53" t="n">
        <f aca="false">D65*G65</f>
        <v>139</v>
      </c>
      <c r="I65" s="47" t="s">
        <v>54</v>
      </c>
      <c r="J65" s="52" t="n">
        <v>7.32</v>
      </c>
      <c r="K65" s="53" t="n">
        <f aca="false">D65*J65</f>
        <v>146.4</v>
      </c>
      <c r="L65" s="53" t="s">
        <v>41</v>
      </c>
      <c r="M65" s="52" t="n">
        <v>7.13</v>
      </c>
      <c r="N65" s="53" t="n">
        <f aca="false">D65*M65</f>
        <v>142.6</v>
      </c>
      <c r="O65" s="54" t="n">
        <f aca="false">AVERAGE(G65,J65,M65)</f>
        <v>7.13333333333333</v>
      </c>
      <c r="P65" s="55" t="n">
        <f aca="false">E65*100/O65-100</f>
        <v>-0.747663551401857</v>
      </c>
      <c r="Q65" s="54" t="n">
        <f aca="false">D65*E65</f>
        <v>141.6</v>
      </c>
      <c r="R65" s="56"/>
      <c r="T65" s="57" t="n">
        <f aca="false">ROUND(G65*100/O65-100,0)</f>
        <v>-3</v>
      </c>
      <c r="U65" s="57" t="n">
        <f aca="false">ROUND(J65*100/O65-100,0)</f>
        <v>3</v>
      </c>
      <c r="V65" s="57" t="n">
        <f aca="false">ROUND(M65*100/O65-100,0)</f>
        <v>-0</v>
      </c>
    </row>
    <row r="66" s="43" customFormat="true" ht="73.5" hidden="false" customHeight="true" outlineLevel="0" collapsed="false">
      <c r="A66" s="45" t="n">
        <v>55</v>
      </c>
      <c r="B66" s="46" t="s">
        <v>111</v>
      </c>
      <c r="C66" s="47" t="s">
        <v>25</v>
      </c>
      <c r="D66" s="48" t="n">
        <v>480</v>
      </c>
      <c r="E66" s="50" t="n">
        <v>18.6</v>
      </c>
      <c r="F66" s="47" t="s">
        <v>39</v>
      </c>
      <c r="G66" s="52" t="n">
        <v>18.07</v>
      </c>
      <c r="H66" s="53" t="n">
        <f aca="false">D66*G66</f>
        <v>8673.6</v>
      </c>
      <c r="I66" s="47" t="s">
        <v>54</v>
      </c>
      <c r="J66" s="52" t="n">
        <v>17.59</v>
      </c>
      <c r="K66" s="53" t="n">
        <f aca="false">D66*J66</f>
        <v>8443.2</v>
      </c>
      <c r="L66" s="53" t="s">
        <v>41</v>
      </c>
      <c r="M66" s="52" t="n">
        <v>21.07</v>
      </c>
      <c r="N66" s="53" t="n">
        <f aca="false">D66*M66</f>
        <v>10113.6</v>
      </c>
      <c r="O66" s="54" t="n">
        <f aca="false">AVERAGE(G66,J66,M66)</f>
        <v>18.91</v>
      </c>
      <c r="P66" s="55" t="n">
        <f aca="false">E66*100/O66-100</f>
        <v>-1.63934426229507</v>
      </c>
      <c r="Q66" s="54" t="n">
        <f aca="false">D66*E66</f>
        <v>8928</v>
      </c>
      <c r="R66" s="56"/>
      <c r="T66" s="57" t="n">
        <f aca="false">ROUND(G66*100/O66-100,0)</f>
        <v>-4</v>
      </c>
      <c r="U66" s="57" t="n">
        <f aca="false">ROUND(J66*100/O66-100,0)</f>
        <v>-7</v>
      </c>
      <c r="V66" s="57" t="n">
        <f aca="false">ROUND(M66*100/O66-100,0)</f>
        <v>11</v>
      </c>
    </row>
    <row r="67" s="43" customFormat="true" ht="73.5" hidden="false" customHeight="true" outlineLevel="0" collapsed="false">
      <c r="A67" s="45" t="n">
        <v>56</v>
      </c>
      <c r="B67" s="46" t="s">
        <v>112</v>
      </c>
      <c r="C67" s="47" t="s">
        <v>25</v>
      </c>
      <c r="D67" s="48" t="n">
        <v>1200</v>
      </c>
      <c r="E67" s="50" t="n">
        <v>33.56</v>
      </c>
      <c r="F67" s="47" t="s">
        <v>39</v>
      </c>
      <c r="G67" s="52" t="n">
        <v>33.19</v>
      </c>
      <c r="H67" s="53" t="n">
        <f aca="false">D67*G67</f>
        <v>39828</v>
      </c>
      <c r="I67" s="47" t="s">
        <v>54</v>
      </c>
      <c r="J67" s="52" t="n">
        <v>36.54</v>
      </c>
      <c r="K67" s="53" t="n">
        <f aca="false">D67*J67</f>
        <v>43848</v>
      </c>
      <c r="L67" s="53" t="s">
        <v>41</v>
      </c>
      <c r="M67" s="52" t="n">
        <v>31.47</v>
      </c>
      <c r="N67" s="53" t="n">
        <f aca="false">D67*M67</f>
        <v>37764</v>
      </c>
      <c r="O67" s="54" t="n">
        <f aca="false">AVERAGE(G67,J67,M67)</f>
        <v>33.7333333333333</v>
      </c>
      <c r="P67" s="55" t="n">
        <f aca="false">E67*100/O67-100</f>
        <v>-0.513833992094845</v>
      </c>
      <c r="Q67" s="54" t="n">
        <f aca="false">D67*E67</f>
        <v>40272</v>
      </c>
      <c r="R67" s="56"/>
      <c r="T67" s="57" t="n">
        <f aca="false">ROUND(G67*100/O67-100,0)</f>
        <v>-2</v>
      </c>
      <c r="U67" s="57" t="n">
        <f aca="false">ROUND(J67*100/O67-100,0)</f>
        <v>8</v>
      </c>
      <c r="V67" s="57" t="n">
        <f aca="false">ROUND(M67*100/O67-100,0)</f>
        <v>-7</v>
      </c>
    </row>
    <row r="68" s="43" customFormat="true" ht="73.5" hidden="false" customHeight="true" outlineLevel="0" collapsed="false">
      <c r="A68" s="45" t="n">
        <v>57</v>
      </c>
      <c r="B68" s="46" t="s">
        <v>113</v>
      </c>
      <c r="C68" s="47" t="s">
        <v>25</v>
      </c>
      <c r="D68" s="48" t="n">
        <v>40</v>
      </c>
      <c r="E68" s="50" t="n">
        <v>1.5</v>
      </c>
      <c r="F68" s="47" t="s">
        <v>39</v>
      </c>
      <c r="G68" s="52" t="n">
        <v>1.47</v>
      </c>
      <c r="H68" s="53" t="n">
        <f aca="false">D68*G68</f>
        <v>58.8</v>
      </c>
      <c r="I68" s="47" t="s">
        <v>54</v>
      </c>
      <c r="J68" s="52" t="n">
        <v>1.4</v>
      </c>
      <c r="K68" s="53" t="n">
        <f aca="false">D68*J68</f>
        <v>56</v>
      </c>
      <c r="L68" s="53" t="s">
        <v>41</v>
      </c>
      <c r="M68" s="52" t="n">
        <v>1.65</v>
      </c>
      <c r="N68" s="53" t="n">
        <f aca="false">D68*M68</f>
        <v>66</v>
      </c>
      <c r="O68" s="54" t="n">
        <f aca="false">AVERAGE(G68,J68,M68)</f>
        <v>1.50666666666667</v>
      </c>
      <c r="P68" s="55" t="n">
        <f aca="false">E68*100/O68-100</f>
        <v>-0.442477876106196</v>
      </c>
      <c r="Q68" s="54" t="n">
        <f aca="false">D68*E68</f>
        <v>60</v>
      </c>
      <c r="R68" s="56"/>
      <c r="T68" s="57" t="n">
        <f aca="false">ROUND(G68*100/O68-100,0)</f>
        <v>-2</v>
      </c>
      <c r="U68" s="57" t="n">
        <f aca="false">ROUND(J68*100/O68-100,0)</f>
        <v>-7</v>
      </c>
      <c r="V68" s="57" t="n">
        <f aca="false">ROUND(M68*100/O68-100,0)</f>
        <v>10</v>
      </c>
    </row>
    <row r="69" s="43" customFormat="true" ht="73.5" hidden="false" customHeight="true" outlineLevel="0" collapsed="false">
      <c r="A69" s="45" t="n">
        <v>58</v>
      </c>
      <c r="B69" s="46" t="s">
        <v>114</v>
      </c>
      <c r="C69" s="47" t="s">
        <v>25</v>
      </c>
      <c r="D69" s="48" t="n">
        <v>30</v>
      </c>
      <c r="E69" s="50" t="n">
        <v>2.99</v>
      </c>
      <c r="F69" s="47" t="s">
        <v>39</v>
      </c>
      <c r="G69" s="52" t="n">
        <v>2.92</v>
      </c>
      <c r="H69" s="53" t="n">
        <f aca="false">D69*G69</f>
        <v>87.6</v>
      </c>
      <c r="I69" s="47" t="s">
        <v>54</v>
      </c>
      <c r="J69" s="52" t="n">
        <v>3.1</v>
      </c>
      <c r="K69" s="53" t="n">
        <f aca="false">D69*J69</f>
        <v>93</v>
      </c>
      <c r="L69" s="53" t="s">
        <v>41</v>
      </c>
      <c r="M69" s="52" t="n">
        <v>2.98</v>
      </c>
      <c r="N69" s="53" t="n">
        <f aca="false">D69*M69</f>
        <v>89.4</v>
      </c>
      <c r="O69" s="54" t="n">
        <f aca="false">AVERAGE(G69,J69,M69)</f>
        <v>3</v>
      </c>
      <c r="P69" s="55" t="n">
        <f aca="false">E69*100/O69-100</f>
        <v>-0.333333333333329</v>
      </c>
      <c r="Q69" s="54" t="n">
        <f aca="false">D69*E69</f>
        <v>89.7</v>
      </c>
      <c r="R69" s="56"/>
      <c r="T69" s="57" t="n">
        <f aca="false">ROUND(G69*100/O69-100,0)</f>
        <v>-3</v>
      </c>
      <c r="U69" s="57" t="n">
        <f aca="false">ROUND(J69*100/O69-100,0)</f>
        <v>3</v>
      </c>
      <c r="V69" s="57" t="n">
        <f aca="false">ROUND(M69*100/O69-100,0)</f>
        <v>-1</v>
      </c>
    </row>
    <row r="70" s="43" customFormat="true" ht="60" hidden="false" customHeight="true" outlineLevel="0" collapsed="false">
      <c r="A70" s="45" t="n">
        <v>59</v>
      </c>
      <c r="B70" s="46" t="s">
        <v>115</v>
      </c>
      <c r="C70" s="47" t="s">
        <v>25</v>
      </c>
      <c r="D70" s="48" t="n">
        <v>6</v>
      </c>
      <c r="E70" s="50" t="n">
        <v>235.6</v>
      </c>
      <c r="F70" s="47" t="s">
        <v>469</v>
      </c>
      <c r="G70" s="52" t="n">
        <v>214</v>
      </c>
      <c r="H70" s="53" t="n">
        <f aca="false">D70*G70</f>
        <v>1284</v>
      </c>
      <c r="I70" s="47" t="s">
        <v>470</v>
      </c>
      <c r="J70" s="52" t="n">
        <v>278.67</v>
      </c>
      <c r="K70" s="53" t="n">
        <f aca="false">D70*J70</f>
        <v>1672.02</v>
      </c>
      <c r="L70" s="53" t="s">
        <v>471</v>
      </c>
      <c r="M70" s="52" t="n">
        <v>221.08</v>
      </c>
      <c r="N70" s="53" t="n">
        <f aca="false">D70*M70</f>
        <v>1326.48</v>
      </c>
      <c r="O70" s="54" t="n">
        <f aca="false">AVERAGE(G70,J70,M70)</f>
        <v>237.916666666667</v>
      </c>
      <c r="P70" s="55" t="n">
        <f aca="false">E70*100/O70-100</f>
        <v>-0.973730297723293</v>
      </c>
      <c r="Q70" s="54" t="n">
        <f aca="false">D70*E70</f>
        <v>1413.6</v>
      </c>
      <c r="R70" s="62" t="s">
        <v>472</v>
      </c>
      <c r="T70" s="57" t="n">
        <f aca="false">ROUND(G70*100/O70-100,0)</f>
        <v>-10</v>
      </c>
      <c r="U70" s="57" t="n">
        <f aca="false">ROUND(J70*100/O70-100,0)</f>
        <v>17</v>
      </c>
      <c r="V70" s="57" t="n">
        <f aca="false">ROUND(M70*100/O70-100,0)</f>
        <v>-7</v>
      </c>
    </row>
    <row r="71" s="43" customFormat="true" ht="73.5" hidden="false" customHeight="true" outlineLevel="0" collapsed="false">
      <c r="A71" s="45" t="n">
        <v>60</v>
      </c>
      <c r="B71" s="46" t="s">
        <v>117</v>
      </c>
      <c r="C71" s="47" t="s">
        <v>118</v>
      </c>
      <c r="D71" s="48" t="n">
        <v>135</v>
      </c>
      <c r="E71" s="50" t="n">
        <v>203.5</v>
      </c>
      <c r="F71" s="47" t="s">
        <v>56</v>
      </c>
      <c r="G71" s="52" t="n">
        <v>197.36</v>
      </c>
      <c r="H71" s="53" t="n">
        <f aca="false">D71*G71</f>
        <v>26643.6</v>
      </c>
      <c r="I71" s="47" t="s">
        <v>57</v>
      </c>
      <c r="J71" s="52" t="n">
        <v>220.92</v>
      </c>
      <c r="K71" s="53" t="n">
        <f aca="false">D71*J71</f>
        <v>29824.2</v>
      </c>
      <c r="L71" s="47" t="s">
        <v>119</v>
      </c>
      <c r="M71" s="52" t="n">
        <v>193.78</v>
      </c>
      <c r="N71" s="53" t="n">
        <f aca="false">D71*M71</f>
        <v>26160.3</v>
      </c>
      <c r="O71" s="54" t="n">
        <f aca="false">AVERAGE(G71,J71,M71)</f>
        <v>204.02</v>
      </c>
      <c r="P71" s="55" t="n">
        <f aca="false">E71*100/O71-100</f>
        <v>-0.254876972845793</v>
      </c>
      <c r="Q71" s="54" t="n">
        <f aca="false">D71*E71</f>
        <v>27472.5</v>
      </c>
      <c r="R71" s="62"/>
      <c r="T71" s="57" t="n">
        <f aca="false">ROUND(G71*100/O71-100,0)</f>
        <v>-3</v>
      </c>
      <c r="U71" s="57" t="n">
        <f aca="false">ROUND(J71*100/O71-100,0)</f>
        <v>8</v>
      </c>
      <c r="V71" s="57" t="n">
        <f aca="false">ROUND(M71*100/O71-100,0)</f>
        <v>-5</v>
      </c>
    </row>
    <row r="72" s="43" customFormat="true" ht="71.25" hidden="false" customHeight="true" outlineLevel="0" collapsed="false">
      <c r="A72" s="45" t="n">
        <v>61</v>
      </c>
      <c r="B72" s="46" t="s">
        <v>120</v>
      </c>
      <c r="C72" s="47" t="s">
        <v>25</v>
      </c>
      <c r="D72" s="48" t="n">
        <v>6</v>
      </c>
      <c r="E72" s="50" t="n">
        <v>175500</v>
      </c>
      <c r="F72" s="47" t="s">
        <v>56</v>
      </c>
      <c r="G72" s="52" t="n">
        <v>167514.67</v>
      </c>
      <c r="H72" s="53" t="n">
        <f aca="false">D72*G72</f>
        <v>1005088.02</v>
      </c>
      <c r="I72" s="47" t="s">
        <v>57</v>
      </c>
      <c r="J72" s="52" t="n">
        <v>184511.4</v>
      </c>
      <c r="K72" s="53" t="n">
        <f aca="false">D72*J72</f>
        <v>1107068.4</v>
      </c>
      <c r="L72" s="47" t="s">
        <v>119</v>
      </c>
      <c r="M72" s="52" t="n">
        <v>175488.6</v>
      </c>
      <c r="N72" s="53" t="n">
        <f aca="false">D72*M72</f>
        <v>1052931.6</v>
      </c>
      <c r="O72" s="54" t="n">
        <f aca="false">AVERAGE(G72,J72,M72)</f>
        <v>175838.223333333</v>
      </c>
      <c r="P72" s="55" t="n">
        <f aca="false">E72*100/O72-100</f>
        <v>-0.192349153057691</v>
      </c>
      <c r="Q72" s="54" t="n">
        <f aca="false">D72*E72</f>
        <v>1053000</v>
      </c>
      <c r="R72" s="62" t="s">
        <v>116</v>
      </c>
      <c r="T72" s="57" t="n">
        <f aca="false">ROUND(G72*100/O72-100,0)</f>
        <v>-5</v>
      </c>
      <c r="U72" s="57" t="n">
        <f aca="false">ROUND(J72*100/O72-100,0)</f>
        <v>5</v>
      </c>
      <c r="V72" s="57" t="n">
        <f aca="false">ROUND(M72*100/O72-100,0)</f>
        <v>-0</v>
      </c>
    </row>
    <row r="73" s="43" customFormat="true" ht="73.5" hidden="false" customHeight="true" outlineLevel="0" collapsed="false">
      <c r="A73" s="45" t="n">
        <v>62</v>
      </c>
      <c r="B73" s="46" t="s">
        <v>121</v>
      </c>
      <c r="C73" s="47" t="s">
        <v>25</v>
      </c>
      <c r="D73" s="48" t="n">
        <v>2</v>
      </c>
      <c r="E73" s="50" t="n">
        <v>219</v>
      </c>
      <c r="F73" s="47" t="s">
        <v>27</v>
      </c>
      <c r="G73" s="52" t="n">
        <f aca="false">261.07/1.2</f>
        <v>217.558333333333</v>
      </c>
      <c r="H73" s="53" t="n">
        <f aca="false">D73*G73</f>
        <v>435.116666666667</v>
      </c>
      <c r="I73" s="53" t="s">
        <v>28</v>
      </c>
      <c r="J73" s="52" t="n">
        <v>221.09</v>
      </c>
      <c r="K73" s="53" t="n">
        <f aca="false">D73*J73</f>
        <v>442.18</v>
      </c>
      <c r="L73" s="47" t="s">
        <v>29</v>
      </c>
      <c r="M73" s="52" t="n">
        <v>220.74</v>
      </c>
      <c r="N73" s="53" t="n">
        <f aca="false">D73*M73</f>
        <v>441.48</v>
      </c>
      <c r="O73" s="54" t="n">
        <f aca="false">AVERAGE(G73,J73,M73)</f>
        <v>219.796111111111</v>
      </c>
      <c r="P73" s="55" t="n">
        <f aca="false">E73*100/O73-100</f>
        <v>-0.362204366167632</v>
      </c>
      <c r="Q73" s="54" t="n">
        <f aca="false">D73*E73</f>
        <v>438</v>
      </c>
      <c r="R73" s="62"/>
      <c r="T73" s="57" t="n">
        <f aca="false">ROUND(G73*100/O73-100,0)</f>
        <v>-1</v>
      </c>
      <c r="U73" s="57" t="n">
        <f aca="false">ROUND(J73*100/O73-100,0)</f>
        <v>1</v>
      </c>
      <c r="V73" s="57" t="n">
        <f aca="false">ROUND(M73*100/O73-100,0)</f>
        <v>0</v>
      </c>
    </row>
    <row r="74" s="43" customFormat="true" ht="73.5" hidden="false" customHeight="true" outlineLevel="0" collapsed="false">
      <c r="A74" s="45" t="n">
        <v>63</v>
      </c>
      <c r="B74" s="46" t="s">
        <v>122</v>
      </c>
      <c r="C74" s="47" t="s">
        <v>25</v>
      </c>
      <c r="D74" s="48" t="n">
        <v>12</v>
      </c>
      <c r="E74" s="50" t="n">
        <v>14005.5</v>
      </c>
      <c r="F74" s="53" t="s">
        <v>67</v>
      </c>
      <c r="G74" s="52" t="n">
        <f aca="false">16424.57/1.2</f>
        <v>13687.1416666667</v>
      </c>
      <c r="H74" s="53" t="n">
        <f aca="false">D74*G74</f>
        <v>164245.7</v>
      </c>
      <c r="I74" s="47" t="s">
        <v>46</v>
      </c>
      <c r="J74" s="52" t="n">
        <v>13897.5</v>
      </c>
      <c r="K74" s="53" t="n">
        <f aca="false">D74*J74</f>
        <v>166770</v>
      </c>
      <c r="L74" s="47" t="s">
        <v>119</v>
      </c>
      <c r="M74" s="52" t="n">
        <v>14510.42</v>
      </c>
      <c r="N74" s="53" t="n">
        <f aca="false">D74*M74</f>
        <v>174125.04</v>
      </c>
      <c r="O74" s="54" t="n">
        <f aca="false">AVERAGE(G74,J74,M74)</f>
        <v>14031.6872222222</v>
      </c>
      <c r="P74" s="55" t="n">
        <f aca="false">E74*100/O74-100</f>
        <v>-0.186629175860972</v>
      </c>
      <c r="Q74" s="54" t="n">
        <f aca="false">D74*E74</f>
        <v>168066</v>
      </c>
      <c r="R74" s="63"/>
      <c r="T74" s="57" t="n">
        <f aca="false">ROUND(G74*100/O74-100,0)</f>
        <v>-2</v>
      </c>
      <c r="U74" s="57" t="n">
        <f aca="false">ROUND(J74*100/O74-100,0)</f>
        <v>-1</v>
      </c>
      <c r="V74" s="57" t="n">
        <f aca="false">ROUND(M74*100/O74-100,0)</f>
        <v>3</v>
      </c>
    </row>
    <row r="75" s="43" customFormat="true" ht="73.5" hidden="false" customHeight="true" outlineLevel="0" collapsed="false">
      <c r="A75" s="45" t="n">
        <v>64</v>
      </c>
      <c r="B75" s="46" t="s">
        <v>123</v>
      </c>
      <c r="C75" s="47" t="s">
        <v>25</v>
      </c>
      <c r="D75" s="48" t="n">
        <v>10</v>
      </c>
      <c r="E75" s="50" t="n">
        <v>1705.6</v>
      </c>
      <c r="F75" s="47" t="s">
        <v>27</v>
      </c>
      <c r="G75" s="52" t="n">
        <f aca="false">2031.58/1.2</f>
        <v>1692.98333333333</v>
      </c>
      <c r="H75" s="53" t="n">
        <f aca="false">D75*G75</f>
        <v>16929.8333333333</v>
      </c>
      <c r="I75" s="53" t="s">
        <v>28</v>
      </c>
      <c r="J75" s="52" t="n">
        <v>1709.88</v>
      </c>
      <c r="K75" s="53" t="n">
        <f aca="false">D75*J75</f>
        <v>17098.8</v>
      </c>
      <c r="L75" s="47" t="s">
        <v>29</v>
      </c>
      <c r="M75" s="52" t="n">
        <v>1726.06</v>
      </c>
      <c r="N75" s="53" t="n">
        <f aca="false">D75*M75</f>
        <v>17260.6</v>
      </c>
      <c r="O75" s="54" t="n">
        <f aca="false">AVERAGE(G75,J75,M75)</f>
        <v>1709.64111111111</v>
      </c>
      <c r="P75" s="55" t="n">
        <f aca="false">E75*100/O75-100</f>
        <v>-0.236371896115941</v>
      </c>
      <c r="Q75" s="54" t="n">
        <f aca="false">D75*E75</f>
        <v>17056</v>
      </c>
      <c r="R75" s="63"/>
      <c r="T75" s="57" t="n">
        <f aca="false">ROUND(G75*100/O75-100,0)</f>
        <v>-1</v>
      </c>
      <c r="U75" s="57" t="n">
        <f aca="false">ROUND(J75*100/O75-100,0)</f>
        <v>0</v>
      </c>
      <c r="V75" s="57" t="n">
        <f aca="false">ROUND(M75*100/O75-100,0)</f>
        <v>1</v>
      </c>
    </row>
    <row r="76" s="43" customFormat="true" ht="73.5" hidden="false" customHeight="true" outlineLevel="0" collapsed="false">
      <c r="A76" s="45" t="n">
        <v>65</v>
      </c>
      <c r="B76" s="46" t="s">
        <v>124</v>
      </c>
      <c r="C76" s="47" t="s">
        <v>25</v>
      </c>
      <c r="D76" s="48" t="n">
        <v>3</v>
      </c>
      <c r="E76" s="50" t="n">
        <v>2340</v>
      </c>
      <c r="F76" s="47" t="s">
        <v>27</v>
      </c>
      <c r="G76" s="52" t="n">
        <f aca="false">2816.81/1.2</f>
        <v>2347.34166666667</v>
      </c>
      <c r="H76" s="53" t="n">
        <f aca="false">D76*G76</f>
        <v>7042.025</v>
      </c>
      <c r="I76" s="53" t="s">
        <v>28</v>
      </c>
      <c r="J76" s="52" t="n">
        <v>2317.52</v>
      </c>
      <c r="K76" s="53" t="n">
        <f aca="false">D76*J76</f>
        <v>6952.56</v>
      </c>
      <c r="L76" s="47" t="s">
        <v>29</v>
      </c>
      <c r="M76" s="52" t="n">
        <v>2358.33</v>
      </c>
      <c r="N76" s="53" t="n">
        <f aca="false">D76*M76</f>
        <v>7074.99</v>
      </c>
      <c r="O76" s="54" t="n">
        <f aca="false">AVERAGE(G76,J76,M76)</f>
        <v>2341.06388888889</v>
      </c>
      <c r="P76" s="55" t="n">
        <f aca="false">E76*100/O76-100</f>
        <v>-0.0454446755570501</v>
      </c>
      <c r="Q76" s="54" t="n">
        <f aca="false">D76*E76</f>
        <v>7020</v>
      </c>
      <c r="R76" s="56"/>
      <c r="T76" s="57" t="n">
        <f aca="false">ROUND(G76*100/O76-100,0)</f>
        <v>0</v>
      </c>
      <c r="U76" s="57" t="n">
        <f aca="false">ROUND(J76*100/O76-100,0)</f>
        <v>-1</v>
      </c>
      <c r="V76" s="57" t="n">
        <f aca="false">ROUND(M76*100/O76-100,0)</f>
        <v>1</v>
      </c>
    </row>
    <row r="77" s="43" customFormat="true" ht="73.5" hidden="false" customHeight="true" outlineLevel="0" collapsed="false">
      <c r="A77" s="45" t="n">
        <v>66</v>
      </c>
      <c r="B77" s="46" t="s">
        <v>125</v>
      </c>
      <c r="C77" s="47" t="s">
        <v>25</v>
      </c>
      <c r="D77" s="48" t="n">
        <v>15</v>
      </c>
      <c r="E77" s="50" t="n">
        <v>5605.6</v>
      </c>
      <c r="F77" s="47" t="s">
        <v>27</v>
      </c>
      <c r="G77" s="52" t="n">
        <f aca="false">6814.33/1.2</f>
        <v>5678.60833333333</v>
      </c>
      <c r="H77" s="53" t="n">
        <f aca="false">D77*G77</f>
        <v>85179.125</v>
      </c>
      <c r="I77" s="53" t="s">
        <v>28</v>
      </c>
      <c r="J77" s="52" t="n">
        <v>5594.41</v>
      </c>
      <c r="K77" s="53" t="n">
        <f aca="false">D77*J77</f>
        <v>83916.15</v>
      </c>
      <c r="L77" s="47" t="s">
        <v>29</v>
      </c>
      <c r="M77" s="52" t="n">
        <v>5611.85</v>
      </c>
      <c r="N77" s="53" t="n">
        <f aca="false">D77*M77</f>
        <v>84177.75</v>
      </c>
      <c r="O77" s="54" t="n">
        <f aca="false">AVERAGE(G77,J77,M77)</f>
        <v>5628.28944444444</v>
      </c>
      <c r="P77" s="55" t="n">
        <f aca="false">E77*100/O77-100</f>
        <v>-0.403132153532724</v>
      </c>
      <c r="Q77" s="54" t="n">
        <f aca="false">D77*E77</f>
        <v>84084</v>
      </c>
      <c r="R77" s="56"/>
      <c r="T77" s="57" t="n">
        <f aca="false">ROUND(G77*100/O77-100,0)</f>
        <v>1</v>
      </c>
      <c r="U77" s="57" t="n">
        <f aca="false">ROUND(J77*100/O77-100,0)</f>
        <v>-1</v>
      </c>
      <c r="V77" s="57" t="n">
        <f aca="false">ROUND(M77*100/O77-100,0)</f>
        <v>-0</v>
      </c>
    </row>
    <row r="78" s="43" customFormat="true" ht="73.5" hidden="false" customHeight="true" outlineLevel="0" collapsed="false">
      <c r="A78" s="45" t="n">
        <v>67</v>
      </c>
      <c r="B78" s="46" t="s">
        <v>126</v>
      </c>
      <c r="C78" s="47" t="s">
        <v>25</v>
      </c>
      <c r="D78" s="48" t="n">
        <v>14</v>
      </c>
      <c r="E78" s="50" t="n">
        <v>3200.5</v>
      </c>
      <c r="F78" s="47" t="s">
        <v>27</v>
      </c>
      <c r="G78" s="52" t="n">
        <f aca="false">3807.04/1.2</f>
        <v>3172.53333333333</v>
      </c>
      <c r="H78" s="53" t="n">
        <f aca="false">D78*G78</f>
        <v>44415.4666666667</v>
      </c>
      <c r="I78" s="53" t="s">
        <v>28</v>
      </c>
      <c r="J78" s="52" t="n">
        <v>3199.28</v>
      </c>
      <c r="K78" s="53" t="n">
        <f aca="false">D78*J78</f>
        <v>44789.92</v>
      </c>
      <c r="L78" s="47" t="s">
        <v>29</v>
      </c>
      <c r="M78" s="52" t="n">
        <v>3253.76</v>
      </c>
      <c r="N78" s="53" t="n">
        <f aca="false">D78*M78</f>
        <v>45552.64</v>
      </c>
      <c r="O78" s="54" t="n">
        <f aca="false">AVERAGE(G78,J78,M78)</f>
        <v>3208.52444444444</v>
      </c>
      <c r="P78" s="55" t="n">
        <f aca="false">E78*100/O78-100</f>
        <v>-0.250097656520552</v>
      </c>
      <c r="Q78" s="54" t="n">
        <f aca="false">D78*E78</f>
        <v>44807</v>
      </c>
      <c r="R78" s="56"/>
      <c r="T78" s="57" t="n">
        <f aca="false">ROUND(G78*100/O78-100,0)</f>
        <v>-1</v>
      </c>
      <c r="U78" s="57" t="n">
        <f aca="false">ROUND(J78*100/O78-100,0)</f>
        <v>-0</v>
      </c>
      <c r="V78" s="57" t="n">
        <f aca="false">ROUND(M78*100/O78-100,0)</f>
        <v>1</v>
      </c>
    </row>
    <row r="79" s="43" customFormat="true" ht="73.5" hidden="false" customHeight="true" outlineLevel="0" collapsed="false">
      <c r="A79" s="45" t="n">
        <v>68</v>
      </c>
      <c r="B79" s="46" t="s">
        <v>127</v>
      </c>
      <c r="C79" s="47" t="s">
        <v>25</v>
      </c>
      <c r="D79" s="48" t="n">
        <v>10</v>
      </c>
      <c r="E79" s="50" t="n">
        <v>5345.3</v>
      </c>
      <c r="F79" s="47" t="s">
        <v>27</v>
      </c>
      <c r="G79" s="52" t="n">
        <f aca="false">6364.89/1.2</f>
        <v>5304.075</v>
      </c>
      <c r="H79" s="53" t="n">
        <f aca="false">D79*G79</f>
        <v>53040.75</v>
      </c>
      <c r="I79" s="53" t="s">
        <v>28</v>
      </c>
      <c r="J79" s="52" t="n">
        <v>5388.67</v>
      </c>
      <c r="K79" s="53" t="n">
        <f aca="false">D79*J79</f>
        <v>53886.7</v>
      </c>
      <c r="L79" s="47" t="s">
        <v>29</v>
      </c>
      <c r="M79" s="52" t="n">
        <v>5357.13</v>
      </c>
      <c r="N79" s="53" t="n">
        <f aca="false">D79*M79</f>
        <v>53571.3</v>
      </c>
      <c r="O79" s="54" t="n">
        <f aca="false">AVERAGE(G79,J79,M79)</f>
        <v>5349.95833333333</v>
      </c>
      <c r="P79" s="55" t="n">
        <f aca="false">E79*100/O79-100</f>
        <v>-0.0870723292237443</v>
      </c>
      <c r="Q79" s="54" t="n">
        <f aca="false">D79*E79</f>
        <v>53453</v>
      </c>
      <c r="R79" s="56"/>
      <c r="T79" s="57" t="n">
        <f aca="false">ROUND(G79*100/O79-100,0)</f>
        <v>-1</v>
      </c>
      <c r="U79" s="57" t="n">
        <f aca="false">ROUND(J79*100/O79-100,0)</f>
        <v>1</v>
      </c>
      <c r="V79" s="57" t="n">
        <f aca="false">ROUND(M79*100/O79-100,0)</f>
        <v>0</v>
      </c>
    </row>
    <row r="80" s="43" customFormat="true" ht="73.5" hidden="false" customHeight="true" outlineLevel="0" collapsed="false">
      <c r="A80" s="45" t="n">
        <v>69</v>
      </c>
      <c r="B80" s="46" t="s">
        <v>128</v>
      </c>
      <c r="C80" s="47" t="s">
        <v>25</v>
      </c>
      <c r="D80" s="48" t="n">
        <v>76</v>
      </c>
      <c r="E80" s="50" t="n">
        <v>5560.15</v>
      </c>
      <c r="F80" s="47" t="s">
        <v>27</v>
      </c>
      <c r="G80" s="52" t="n">
        <f aca="false">6612.37/1.2</f>
        <v>5510.30833333333</v>
      </c>
      <c r="H80" s="53" t="n">
        <f aca="false">D80*G80</f>
        <v>418783.433333333</v>
      </c>
      <c r="I80" s="53" t="s">
        <v>28</v>
      </c>
      <c r="J80" s="52" t="n">
        <v>5580.04</v>
      </c>
      <c r="K80" s="53" t="n">
        <f aca="false">D80*J80</f>
        <v>424083.04</v>
      </c>
      <c r="L80" s="47" t="s">
        <v>29</v>
      </c>
      <c r="M80" s="52" t="n">
        <v>5607.97</v>
      </c>
      <c r="N80" s="53" t="n">
        <f aca="false">D80*M80</f>
        <v>426205.72</v>
      </c>
      <c r="O80" s="54" t="n">
        <f aca="false">AVERAGE(G80,J80,M80)</f>
        <v>5566.10611111111</v>
      </c>
      <c r="P80" s="55" t="n">
        <f aca="false">E80*100/O80-100</f>
        <v>-0.107006783417617</v>
      </c>
      <c r="Q80" s="54" t="n">
        <f aca="false">D80*E80</f>
        <v>422571.4</v>
      </c>
      <c r="R80" s="56"/>
      <c r="T80" s="57" t="n">
        <f aca="false">ROUND(G80*100/O80-100,0)</f>
        <v>-1</v>
      </c>
      <c r="U80" s="57" t="n">
        <f aca="false">ROUND(J80*100/O80-100,0)</f>
        <v>0</v>
      </c>
      <c r="V80" s="57" t="n">
        <f aca="false">ROUND(M80*100/O80-100,0)</f>
        <v>1</v>
      </c>
    </row>
    <row r="81" s="43" customFormat="true" ht="73.5" hidden="false" customHeight="true" outlineLevel="0" collapsed="false">
      <c r="A81" s="45" t="n">
        <v>70</v>
      </c>
      <c r="B81" s="46" t="s">
        <v>129</v>
      </c>
      <c r="C81" s="47" t="s">
        <v>25</v>
      </c>
      <c r="D81" s="48" t="n">
        <v>5</v>
      </c>
      <c r="E81" s="50" t="n">
        <v>543.5</v>
      </c>
      <c r="F81" s="47" t="s">
        <v>27</v>
      </c>
      <c r="G81" s="52" t="n">
        <f aca="false">638.2/1.2</f>
        <v>531.833333333333</v>
      </c>
      <c r="H81" s="53" t="n">
        <f aca="false">D81*G81</f>
        <v>2659.16666666667</v>
      </c>
      <c r="I81" s="53" t="s">
        <v>28</v>
      </c>
      <c r="J81" s="52" t="n">
        <f aca="false">671.58/1.2</f>
        <v>559.65</v>
      </c>
      <c r="K81" s="53" t="n">
        <f aca="false">D81*J81</f>
        <v>2798.25</v>
      </c>
      <c r="L81" s="47" t="s">
        <v>29</v>
      </c>
      <c r="M81" s="52" t="n">
        <v>541.09</v>
      </c>
      <c r="N81" s="53" t="n">
        <f aca="false">D81*M81</f>
        <v>2705.45</v>
      </c>
      <c r="O81" s="54" t="n">
        <f aca="false">AVERAGE(G81,J81,M81)</f>
        <v>544.191111111111</v>
      </c>
      <c r="P81" s="55" t="n">
        <f aca="false">E81*100/O81-100</f>
        <v>-0.126997868395904</v>
      </c>
      <c r="Q81" s="54" t="n">
        <f aca="false">D81*E81</f>
        <v>2717.5</v>
      </c>
      <c r="R81" s="56"/>
      <c r="T81" s="57" t="n">
        <f aca="false">ROUND(G81*100/O81-100,0)</f>
        <v>-2</v>
      </c>
      <c r="U81" s="57" t="n">
        <f aca="false">ROUND(J81*100/O81-100,0)</f>
        <v>3</v>
      </c>
      <c r="V81" s="57" t="n">
        <f aca="false">ROUND(M81*100/O81-100,0)</f>
        <v>-1</v>
      </c>
    </row>
    <row r="82" s="43" customFormat="true" ht="73.5" hidden="false" customHeight="true" outlineLevel="0" collapsed="false">
      <c r="A82" s="45" t="n">
        <v>71</v>
      </c>
      <c r="B82" s="46" t="s">
        <v>130</v>
      </c>
      <c r="C82" s="47" t="s">
        <v>25</v>
      </c>
      <c r="D82" s="48" t="s">
        <v>131</v>
      </c>
      <c r="E82" s="50" t="n">
        <v>0.94</v>
      </c>
      <c r="F82" s="47" t="s">
        <v>39</v>
      </c>
      <c r="G82" s="52" t="n">
        <f aca="false">88.7/100</f>
        <v>0.887</v>
      </c>
      <c r="H82" s="53" t="n">
        <f aca="false">D82*G82</f>
        <v>7096</v>
      </c>
      <c r="I82" s="47" t="s">
        <v>54</v>
      </c>
      <c r="J82" s="52" t="n">
        <v>0.94</v>
      </c>
      <c r="K82" s="53" t="n">
        <f aca="false">D82*J82</f>
        <v>7520</v>
      </c>
      <c r="L82" s="53" t="s">
        <v>41</v>
      </c>
      <c r="M82" s="52" t="n">
        <v>1.02</v>
      </c>
      <c r="N82" s="53" t="n">
        <f aca="false">D82*M82</f>
        <v>8160</v>
      </c>
      <c r="O82" s="54" t="n">
        <f aca="false">AVERAGE(G82,J82,M82)</f>
        <v>0.949</v>
      </c>
      <c r="P82" s="55" t="n">
        <f aca="false">E82*100/O82-100</f>
        <v>-0.948366701791358</v>
      </c>
      <c r="Q82" s="54" t="n">
        <f aca="false">D82*E82</f>
        <v>7520</v>
      </c>
      <c r="R82" s="56"/>
      <c r="T82" s="57" t="n">
        <f aca="false">ROUND(G82*100/O82-100,0)</f>
        <v>-7</v>
      </c>
      <c r="U82" s="57" t="n">
        <f aca="false">ROUND(J82*100/O82-100,0)</f>
        <v>-1</v>
      </c>
      <c r="V82" s="57" t="n">
        <f aca="false">ROUND(M82*100/O82-100,0)</f>
        <v>7</v>
      </c>
    </row>
    <row r="83" s="43" customFormat="true" ht="73.5" hidden="false" customHeight="true" outlineLevel="0" collapsed="false">
      <c r="A83" s="45" t="n">
        <v>72</v>
      </c>
      <c r="B83" s="46" t="s">
        <v>132</v>
      </c>
      <c r="C83" s="47" t="s">
        <v>25</v>
      </c>
      <c r="D83" s="48" t="n">
        <v>17</v>
      </c>
      <c r="E83" s="50" t="n">
        <v>542.5</v>
      </c>
      <c r="F83" s="47" t="s">
        <v>27</v>
      </c>
      <c r="G83" s="52" t="n">
        <f aca="false">609.85/1.2</f>
        <v>508.208333333333</v>
      </c>
      <c r="H83" s="53" t="n">
        <f aca="false">D83*G83</f>
        <v>8639.54166666667</v>
      </c>
      <c r="I83" s="53" t="s">
        <v>28</v>
      </c>
      <c r="J83" s="52" t="n">
        <v>553.87</v>
      </c>
      <c r="K83" s="53" t="n">
        <f aca="false">D83*J83</f>
        <v>9415.79</v>
      </c>
      <c r="L83" s="47" t="s">
        <v>29</v>
      </c>
      <c r="M83" s="52" t="n">
        <v>567.42</v>
      </c>
      <c r="N83" s="53" t="n">
        <f aca="false">D83*M83</f>
        <v>9646.14</v>
      </c>
      <c r="O83" s="54" t="n">
        <f aca="false">AVERAGE(G83,J83,M83)</f>
        <v>543.166111111111</v>
      </c>
      <c r="P83" s="55" t="n">
        <f aca="false">E83*100/O83-100</f>
        <v>-0.122634880469349</v>
      </c>
      <c r="Q83" s="54" t="n">
        <f aca="false">D83*E83</f>
        <v>9222.5</v>
      </c>
      <c r="R83" s="63"/>
      <c r="T83" s="57" t="n">
        <f aca="false">ROUND(G83*100/O83-100,0)</f>
        <v>-6</v>
      </c>
      <c r="U83" s="57" t="n">
        <f aca="false">ROUND(J83*100/O83-100,0)</f>
        <v>2</v>
      </c>
      <c r="V83" s="57" t="n">
        <f aca="false">ROUND(M83*100/O83-100,0)</f>
        <v>4</v>
      </c>
    </row>
    <row r="84" s="43" customFormat="true" ht="73.5" hidden="false" customHeight="true" outlineLevel="0" collapsed="false">
      <c r="A84" s="45" t="n">
        <v>73</v>
      </c>
      <c r="B84" s="46" t="s">
        <v>133</v>
      </c>
      <c r="C84" s="47" t="s">
        <v>25</v>
      </c>
      <c r="D84" s="48" t="n">
        <v>10</v>
      </c>
      <c r="E84" s="50" t="n">
        <v>37.5</v>
      </c>
      <c r="F84" s="47" t="s">
        <v>39</v>
      </c>
      <c r="G84" s="52" t="n">
        <v>33.14</v>
      </c>
      <c r="H84" s="53" t="n">
        <f aca="false">D84*G84</f>
        <v>331.4</v>
      </c>
      <c r="I84" s="47" t="s">
        <v>54</v>
      </c>
      <c r="J84" s="52" t="n">
        <v>39.51</v>
      </c>
      <c r="K84" s="53" t="n">
        <f aca="false">D84*J84</f>
        <v>395.1</v>
      </c>
      <c r="L84" s="47" t="s">
        <v>29</v>
      </c>
      <c r="M84" s="52" t="n">
        <v>40.06</v>
      </c>
      <c r="N84" s="53" t="n">
        <f aca="false">D84*M84</f>
        <v>400.6</v>
      </c>
      <c r="O84" s="54" t="n">
        <f aca="false">AVERAGE(G84,J84,M84)</f>
        <v>37.57</v>
      </c>
      <c r="P84" s="55" t="n">
        <f aca="false">E84*100/O84-100</f>
        <v>-0.18631887143998</v>
      </c>
      <c r="Q84" s="54" t="n">
        <f aca="false">D84*E84</f>
        <v>375</v>
      </c>
      <c r="R84" s="62" t="s">
        <v>116</v>
      </c>
      <c r="T84" s="57" t="n">
        <f aca="false">ROUND(G84*100/O84-100,0)</f>
        <v>-12</v>
      </c>
      <c r="U84" s="57" t="n">
        <f aca="false">ROUND(J84*100/O84-100,0)</f>
        <v>5</v>
      </c>
      <c r="V84" s="57" t="n">
        <f aca="false">ROUND(M84*100/O84-100,0)</f>
        <v>7</v>
      </c>
    </row>
    <row r="85" s="43" customFormat="true" ht="73.5" hidden="false" customHeight="true" outlineLevel="0" collapsed="false">
      <c r="A85" s="45" t="n">
        <v>74</v>
      </c>
      <c r="B85" s="46" t="s">
        <v>134</v>
      </c>
      <c r="C85" s="47" t="s">
        <v>25</v>
      </c>
      <c r="D85" s="48" t="n">
        <v>100</v>
      </c>
      <c r="E85" s="50" t="n">
        <v>139</v>
      </c>
      <c r="F85" s="47" t="s">
        <v>27</v>
      </c>
      <c r="G85" s="52" t="n">
        <f aca="false">159.86/1.2</f>
        <v>133.216666666667</v>
      </c>
      <c r="H85" s="53" t="n">
        <f aca="false">D85*G85</f>
        <v>13321.6666666667</v>
      </c>
      <c r="I85" s="53" t="s">
        <v>28</v>
      </c>
      <c r="J85" s="52" t="n">
        <v>140.09</v>
      </c>
      <c r="K85" s="53" t="n">
        <f aca="false">D85*J85</f>
        <v>14009</v>
      </c>
      <c r="L85" s="47" t="s">
        <v>29</v>
      </c>
      <c r="M85" s="52" t="n">
        <v>145.05</v>
      </c>
      <c r="N85" s="53" t="n">
        <f aca="false">D85*M85</f>
        <v>14505</v>
      </c>
      <c r="O85" s="54" t="n">
        <f aca="false">AVERAGE(G85,J85,M85)</f>
        <v>139.452222222222</v>
      </c>
      <c r="P85" s="55" t="n">
        <f aca="false">E85*100/O85-100</f>
        <v>-0.324284701251713</v>
      </c>
      <c r="Q85" s="54" t="n">
        <f aca="false">D85*E85</f>
        <v>13900</v>
      </c>
      <c r="R85" s="63"/>
      <c r="T85" s="57" t="n">
        <f aca="false">ROUND(G85*100/O85-100,0)</f>
        <v>-4</v>
      </c>
      <c r="U85" s="57" t="n">
        <f aca="false">ROUND(J85*100/O85-100,0)</f>
        <v>0</v>
      </c>
      <c r="V85" s="57" t="n">
        <f aca="false">ROUND(M85*100/O85-100,0)</f>
        <v>4</v>
      </c>
    </row>
    <row r="86" s="43" customFormat="true" ht="73.5" hidden="false" customHeight="true" outlineLevel="0" collapsed="false">
      <c r="A86" s="45" t="n">
        <v>75</v>
      </c>
      <c r="B86" s="46" t="s">
        <v>135</v>
      </c>
      <c r="C86" s="47" t="s">
        <v>25</v>
      </c>
      <c r="D86" s="48" t="n">
        <v>10</v>
      </c>
      <c r="E86" s="50" t="n">
        <v>2928.4</v>
      </c>
      <c r="F86" s="47" t="s">
        <v>27</v>
      </c>
      <c r="G86" s="52" t="n">
        <f aca="false">3373.67/1.2</f>
        <v>2811.39166666667</v>
      </c>
      <c r="H86" s="53" t="n">
        <f aca="false">D86*G86</f>
        <v>28113.9166666667</v>
      </c>
      <c r="I86" s="53" t="s">
        <v>28</v>
      </c>
      <c r="J86" s="52" t="n">
        <f aca="false">3608.66/1.2</f>
        <v>3007.21666666667</v>
      </c>
      <c r="K86" s="53" t="n">
        <f aca="false">D86*J86</f>
        <v>30072.1666666667</v>
      </c>
      <c r="L86" s="47" t="s">
        <v>29</v>
      </c>
      <c r="M86" s="52" t="n">
        <v>2973.43</v>
      </c>
      <c r="N86" s="53" t="n">
        <f aca="false">D86*M86</f>
        <v>29734.3</v>
      </c>
      <c r="O86" s="54" t="n">
        <f aca="false">AVERAGE(G86,J86,M86)</f>
        <v>2930.67944444444</v>
      </c>
      <c r="P86" s="55" t="n">
        <f aca="false">E86*100/O86-100</f>
        <v>-0.0777787024358929</v>
      </c>
      <c r="Q86" s="54" t="n">
        <f aca="false">D86*E86</f>
        <v>29284</v>
      </c>
      <c r="R86" s="63"/>
      <c r="T86" s="57" t="n">
        <f aca="false">ROUND(G86*100/O86-100,0)</f>
        <v>-4</v>
      </c>
      <c r="U86" s="57" t="n">
        <f aca="false">ROUND(J86*100/O86-100,0)</f>
        <v>3</v>
      </c>
      <c r="V86" s="57" t="n">
        <f aca="false">ROUND(M86*100/O86-100,0)</f>
        <v>1</v>
      </c>
    </row>
    <row r="87" s="43" customFormat="true" ht="73.5" hidden="false" customHeight="true" outlineLevel="0" collapsed="false">
      <c r="A87" s="45" t="n">
        <v>76</v>
      </c>
      <c r="B87" s="46" t="s">
        <v>136</v>
      </c>
      <c r="C87" s="47" t="s">
        <v>25</v>
      </c>
      <c r="D87" s="48" t="n">
        <v>31</v>
      </c>
      <c r="E87" s="50" t="n">
        <v>10103.6</v>
      </c>
      <c r="F87" s="47" t="s">
        <v>27</v>
      </c>
      <c r="G87" s="52" t="n">
        <f aca="false">12295.88/1.2</f>
        <v>10246.5666666667</v>
      </c>
      <c r="H87" s="53" t="n">
        <f aca="false">D87*G87</f>
        <v>317643.566666667</v>
      </c>
      <c r="I87" s="53" t="s">
        <v>28</v>
      </c>
      <c r="J87" s="52" t="n">
        <f aca="false">11961.83/1.2</f>
        <v>9968.19166666667</v>
      </c>
      <c r="K87" s="53" t="n">
        <f aca="false">D87*J87</f>
        <v>309013.941666667</v>
      </c>
      <c r="L87" s="47" t="s">
        <v>29</v>
      </c>
      <c r="M87" s="52" t="n">
        <v>10105.82</v>
      </c>
      <c r="N87" s="53" t="n">
        <f aca="false">D87*M87</f>
        <v>313280.42</v>
      </c>
      <c r="O87" s="54" t="n">
        <f aca="false">AVERAGE(G87,J87,M87)</f>
        <v>10106.8594444444</v>
      </c>
      <c r="P87" s="55" t="n">
        <f aca="false">E87*100/O87-100</f>
        <v>-0.032249824610318</v>
      </c>
      <c r="Q87" s="54" t="n">
        <f aca="false">D87*E87</f>
        <v>313211.6</v>
      </c>
      <c r="R87" s="63"/>
      <c r="T87" s="57" t="n">
        <f aca="false">ROUND(G87*100/O87-100,0)</f>
        <v>1</v>
      </c>
      <c r="U87" s="57" t="n">
        <f aca="false">ROUND(J87*100/O87-100,0)</f>
        <v>-1</v>
      </c>
      <c r="V87" s="57" t="n">
        <f aca="false">ROUND(M87*100/O87-100,0)</f>
        <v>-0</v>
      </c>
    </row>
    <row r="88" s="43" customFormat="true" ht="73.5" hidden="false" customHeight="true" outlineLevel="0" collapsed="false">
      <c r="A88" s="45" t="n">
        <v>77</v>
      </c>
      <c r="B88" s="46" t="s">
        <v>137</v>
      </c>
      <c r="C88" s="47" t="s">
        <v>25</v>
      </c>
      <c r="D88" s="48" t="n">
        <v>48</v>
      </c>
      <c r="E88" s="50" t="n">
        <v>1361.15</v>
      </c>
      <c r="F88" s="47" t="s">
        <v>27</v>
      </c>
      <c r="G88" s="52" t="n">
        <f aca="false">1705.33/1.2</f>
        <v>1421.10833333333</v>
      </c>
      <c r="H88" s="53" t="n">
        <f aca="false">D88*G88</f>
        <v>68213.2</v>
      </c>
      <c r="I88" s="53" t="s">
        <v>28</v>
      </c>
      <c r="J88" s="52" t="n">
        <f aca="false">1553.32/1.2</f>
        <v>1294.43333333333</v>
      </c>
      <c r="K88" s="53" t="n">
        <f aca="false">D88*J88</f>
        <v>62132.8</v>
      </c>
      <c r="L88" s="47" t="s">
        <v>29</v>
      </c>
      <c r="M88" s="52" t="n">
        <v>1382.77</v>
      </c>
      <c r="N88" s="53" t="n">
        <f aca="false">D88*M88</f>
        <v>66372.96</v>
      </c>
      <c r="O88" s="54" t="n">
        <f aca="false">AVERAGE(G88,J88,M88)</f>
        <v>1366.10388888889</v>
      </c>
      <c r="P88" s="55" t="n">
        <f aca="false">E88*100/O88-100</f>
        <v>-0.362629001291992</v>
      </c>
      <c r="Q88" s="54" t="n">
        <f aca="false">D88*E88</f>
        <v>65335.2</v>
      </c>
      <c r="R88" s="63"/>
      <c r="T88" s="57" t="n">
        <f aca="false">ROUND(G88*100/O88-100,0)</f>
        <v>4</v>
      </c>
      <c r="U88" s="57" t="n">
        <f aca="false">ROUND(J88*100/O88-100,0)</f>
        <v>-5</v>
      </c>
      <c r="V88" s="57" t="n">
        <f aca="false">ROUND(M88*100/O88-100,0)</f>
        <v>1</v>
      </c>
    </row>
    <row r="89" s="43" customFormat="true" ht="73.5" hidden="false" customHeight="true" outlineLevel="0" collapsed="false">
      <c r="A89" s="45" t="n">
        <v>78</v>
      </c>
      <c r="B89" s="46" t="s">
        <v>138</v>
      </c>
      <c r="C89" s="47" t="s">
        <v>25</v>
      </c>
      <c r="D89" s="48" t="n">
        <v>75</v>
      </c>
      <c r="E89" s="50" t="n">
        <v>163.1</v>
      </c>
      <c r="F89" s="47" t="s">
        <v>27</v>
      </c>
      <c r="G89" s="52" t="n">
        <f aca="false">194.31/1.2</f>
        <v>161.925</v>
      </c>
      <c r="H89" s="53" t="n">
        <f aca="false">D89*G89</f>
        <v>12144.375</v>
      </c>
      <c r="I89" s="53" t="s">
        <v>28</v>
      </c>
      <c r="J89" s="52" t="n">
        <v>159.03</v>
      </c>
      <c r="K89" s="53" t="n">
        <f aca="false">D89*J89</f>
        <v>11927.25</v>
      </c>
      <c r="L89" s="47" t="s">
        <v>29</v>
      </c>
      <c r="M89" s="52" t="n">
        <v>168.77</v>
      </c>
      <c r="N89" s="53" t="n">
        <f aca="false">D89*M89</f>
        <v>12657.75</v>
      </c>
      <c r="O89" s="54" t="n">
        <f aca="false">AVERAGE(G89,J89,M89)</f>
        <v>163.241666666667</v>
      </c>
      <c r="P89" s="55" t="n">
        <f aca="false">E89*100/O89-100</f>
        <v>-0.0867833988462934</v>
      </c>
      <c r="Q89" s="54" t="n">
        <f aca="false">D89*E89</f>
        <v>12232.5</v>
      </c>
      <c r="R89" s="63"/>
      <c r="T89" s="57" t="n">
        <f aca="false">ROUND(G89*100/O89-100,0)</f>
        <v>-1</v>
      </c>
      <c r="U89" s="57" t="n">
        <f aca="false">ROUND(J89*100/O89-100,0)</f>
        <v>-3</v>
      </c>
      <c r="V89" s="57" t="n">
        <f aca="false">ROUND(M89*100/O89-100,0)</f>
        <v>3</v>
      </c>
    </row>
    <row r="90" s="43" customFormat="true" ht="73.5" hidden="false" customHeight="true" outlineLevel="0" collapsed="false">
      <c r="A90" s="45" t="n">
        <v>79</v>
      </c>
      <c r="B90" s="46" t="s">
        <v>139</v>
      </c>
      <c r="C90" s="47" t="s">
        <v>25</v>
      </c>
      <c r="D90" s="48" t="n">
        <v>75</v>
      </c>
      <c r="E90" s="50" t="n">
        <v>134.2</v>
      </c>
      <c r="F90" s="47" t="s">
        <v>27</v>
      </c>
      <c r="G90" s="52" t="n">
        <f aca="false">157.25/1.2</f>
        <v>131.041666666667</v>
      </c>
      <c r="H90" s="53" t="n">
        <f aca="false">D90*G90</f>
        <v>9828.125</v>
      </c>
      <c r="I90" s="53" t="s">
        <v>28</v>
      </c>
      <c r="J90" s="52" t="n">
        <v>138.74</v>
      </c>
      <c r="K90" s="53" t="n">
        <f aca="false">D90*J90</f>
        <v>10405.5</v>
      </c>
      <c r="L90" s="47" t="s">
        <v>29</v>
      </c>
      <c r="M90" s="52" t="n">
        <v>135.51</v>
      </c>
      <c r="N90" s="53" t="n">
        <f aca="false">D90*M90</f>
        <v>10163.25</v>
      </c>
      <c r="O90" s="54" t="n">
        <f aca="false">AVERAGE(G90,J90,M90)</f>
        <v>135.097222222222</v>
      </c>
      <c r="P90" s="55" t="n">
        <f aca="false">E90*100/O90-100</f>
        <v>-0.664130770021615</v>
      </c>
      <c r="Q90" s="54" t="n">
        <f aca="false">D90*E90</f>
        <v>10065</v>
      </c>
      <c r="R90" s="56"/>
      <c r="T90" s="57" t="n">
        <f aca="false">ROUND(G90*100/O90-100,0)</f>
        <v>-3</v>
      </c>
      <c r="U90" s="57" t="n">
        <f aca="false">ROUND(J90*100/O90-100,0)</f>
        <v>3</v>
      </c>
      <c r="V90" s="57" t="n">
        <f aca="false">ROUND(M90*100/O90-100,0)</f>
        <v>0</v>
      </c>
    </row>
    <row r="91" s="43" customFormat="true" ht="73.5" hidden="false" customHeight="true" outlineLevel="0" collapsed="false">
      <c r="A91" s="45" t="n">
        <v>80</v>
      </c>
      <c r="B91" s="46" t="s">
        <v>140</v>
      </c>
      <c r="C91" s="47" t="s">
        <v>25</v>
      </c>
      <c r="D91" s="48" t="s">
        <v>141</v>
      </c>
      <c r="E91" s="50" t="n">
        <v>1361.34</v>
      </c>
      <c r="F91" s="47" t="s">
        <v>27</v>
      </c>
      <c r="G91" s="52" t="n">
        <f aca="false">1705.33/1.2</f>
        <v>1421.10833333333</v>
      </c>
      <c r="H91" s="53" t="n">
        <f aca="false">D91*G91</f>
        <v>29843.275</v>
      </c>
      <c r="I91" s="53" t="s">
        <v>28</v>
      </c>
      <c r="J91" s="52" t="n">
        <f aca="false">1553.32/1.2</f>
        <v>1294.43333333333</v>
      </c>
      <c r="K91" s="53" t="n">
        <f aca="false">D91*J91</f>
        <v>27183.1</v>
      </c>
      <c r="L91" s="47" t="s">
        <v>29</v>
      </c>
      <c r="M91" s="52" t="n">
        <v>1382.77</v>
      </c>
      <c r="N91" s="53" t="n">
        <f aca="false">D91*M91</f>
        <v>29038.17</v>
      </c>
      <c r="O91" s="54" t="n">
        <f aca="false">AVERAGE(G91,J91,M91)</f>
        <v>1366.10388888889</v>
      </c>
      <c r="P91" s="55" t="n">
        <f aca="false">E91*100/O91-100</f>
        <v>-0.348720835043039</v>
      </c>
      <c r="Q91" s="54" t="n">
        <f aca="false">D91*E91</f>
        <v>28588.14</v>
      </c>
      <c r="R91" s="56"/>
      <c r="T91" s="57" t="n">
        <f aca="false">ROUND(G91*100/O91-100,0)</f>
        <v>4</v>
      </c>
      <c r="U91" s="57" t="n">
        <f aca="false">ROUND(J91*100/O91-100,0)</f>
        <v>-5</v>
      </c>
      <c r="V91" s="57" t="n">
        <f aca="false">ROUND(M91*100/O91-100,0)</f>
        <v>1</v>
      </c>
    </row>
    <row r="92" s="43" customFormat="true" ht="73.5" hidden="false" customHeight="true" outlineLevel="0" collapsed="false">
      <c r="A92" s="45" t="n">
        <v>81</v>
      </c>
      <c r="B92" s="46" t="s">
        <v>143</v>
      </c>
      <c r="C92" s="47" t="s">
        <v>25</v>
      </c>
      <c r="D92" s="48" t="n">
        <v>274</v>
      </c>
      <c r="E92" s="50" t="n">
        <v>1765.2</v>
      </c>
      <c r="F92" s="47" t="s">
        <v>27</v>
      </c>
      <c r="G92" s="52" t="n">
        <f aca="false">2103.82/1.2</f>
        <v>1753.18333333333</v>
      </c>
      <c r="H92" s="53" t="n">
        <f aca="false">D92*G92</f>
        <v>480372.233333333</v>
      </c>
      <c r="I92" s="53" t="s">
        <v>28</v>
      </c>
      <c r="J92" s="52" t="n">
        <v>1799.62</v>
      </c>
      <c r="K92" s="53" t="n">
        <f aca="false">D92*J92</f>
        <v>493095.88</v>
      </c>
      <c r="L92" s="47" t="s">
        <v>29</v>
      </c>
      <c r="M92" s="52" t="n">
        <v>1751.94</v>
      </c>
      <c r="N92" s="53" t="n">
        <f aca="false">D92*M92</f>
        <v>480031.56</v>
      </c>
      <c r="O92" s="54" t="n">
        <f aca="false">AVERAGE(G92,J92,M92)</f>
        <v>1768.24777777778</v>
      </c>
      <c r="P92" s="55" t="n">
        <f aca="false">E92*100/O92-100</f>
        <v>-0.172361465179279</v>
      </c>
      <c r="Q92" s="54" t="n">
        <f aca="false">D92*E92</f>
        <v>483664.8</v>
      </c>
      <c r="R92" s="56"/>
      <c r="T92" s="57" t="n">
        <f aca="false">ROUND(G92*100/O92-100,0)</f>
        <v>-1</v>
      </c>
      <c r="U92" s="57" t="n">
        <f aca="false">ROUND(J92*100/O92-100,0)</f>
        <v>2</v>
      </c>
      <c r="V92" s="57" t="n">
        <f aca="false">ROUND(M92*100/O92-100,0)</f>
        <v>-1</v>
      </c>
    </row>
    <row r="93" s="43" customFormat="true" ht="73.5" hidden="false" customHeight="true" outlineLevel="0" collapsed="false">
      <c r="A93" s="45" t="n">
        <v>82</v>
      </c>
      <c r="B93" s="46" t="s">
        <v>144</v>
      </c>
      <c r="C93" s="47" t="s">
        <v>25</v>
      </c>
      <c r="D93" s="48" t="n">
        <v>50</v>
      </c>
      <c r="E93" s="50" t="n">
        <v>832</v>
      </c>
      <c r="F93" s="47" t="s">
        <v>27</v>
      </c>
      <c r="G93" s="52" t="n">
        <f aca="false">983.07/1.2</f>
        <v>819.225</v>
      </c>
      <c r="H93" s="53" t="n">
        <f aca="false">D93*G93</f>
        <v>40961.25</v>
      </c>
      <c r="I93" s="53" t="s">
        <v>28</v>
      </c>
      <c r="J93" s="52" t="n">
        <v>825.76</v>
      </c>
      <c r="K93" s="53" t="n">
        <f aca="false">D93*J93</f>
        <v>41288</v>
      </c>
      <c r="L93" s="47" t="s">
        <v>29</v>
      </c>
      <c r="M93" s="52" t="n">
        <v>857.11</v>
      </c>
      <c r="N93" s="53" t="n">
        <f aca="false">D93*M93</f>
        <v>42855.5</v>
      </c>
      <c r="O93" s="54" t="n">
        <f aca="false">AVERAGE(G93,J93,M93)</f>
        <v>834.031666666667</v>
      </c>
      <c r="P93" s="55" t="n">
        <f aca="false">E93*100/O93-100</f>
        <v>-0.243595866663739</v>
      </c>
      <c r="Q93" s="54" t="n">
        <f aca="false">D93*E93</f>
        <v>41600</v>
      </c>
      <c r="R93" s="56"/>
      <c r="T93" s="57" t="n">
        <f aca="false">ROUND(G93*100/O93-100,0)</f>
        <v>-2</v>
      </c>
      <c r="U93" s="57" t="n">
        <f aca="false">ROUND(J93*100/O93-100,0)</f>
        <v>-1</v>
      </c>
      <c r="V93" s="57" t="n">
        <f aca="false">ROUND(M93*100/O93-100,0)</f>
        <v>3</v>
      </c>
    </row>
    <row r="94" s="43" customFormat="true" ht="73.5" hidden="false" customHeight="true" outlineLevel="0" collapsed="false">
      <c r="A94" s="45" t="n">
        <v>83</v>
      </c>
      <c r="B94" s="46" t="s">
        <v>145</v>
      </c>
      <c r="C94" s="47" t="s">
        <v>25</v>
      </c>
      <c r="D94" s="48" t="n">
        <v>459</v>
      </c>
      <c r="E94" s="50" t="n">
        <v>1660.5</v>
      </c>
      <c r="F94" s="47" t="s">
        <v>27</v>
      </c>
      <c r="G94" s="52" t="n">
        <f aca="false">1972.84/1.2</f>
        <v>1644.03333333333</v>
      </c>
      <c r="H94" s="53" t="n">
        <f aca="false">D94*G94</f>
        <v>754611.3</v>
      </c>
      <c r="I94" s="53" t="s">
        <v>28</v>
      </c>
      <c r="J94" s="52" t="n">
        <v>1689.93</v>
      </c>
      <c r="K94" s="53" t="n">
        <f aca="false">D94*J94</f>
        <v>775677.87</v>
      </c>
      <c r="L94" s="47" t="s">
        <v>29</v>
      </c>
      <c r="M94" s="52" t="n">
        <v>1650.69</v>
      </c>
      <c r="N94" s="53" t="n">
        <f aca="false">D94*M94</f>
        <v>757666.71</v>
      </c>
      <c r="O94" s="54" t="n">
        <f aca="false">AVERAGE(G94,J94,M94)</f>
        <v>1661.55111111111</v>
      </c>
      <c r="P94" s="55" t="n">
        <f aca="false">E94*100/O94-100</f>
        <v>-0.0632608352570117</v>
      </c>
      <c r="Q94" s="54" t="n">
        <f aca="false">D94*E94</f>
        <v>762169.5</v>
      </c>
      <c r="R94" s="56"/>
      <c r="T94" s="57" t="n">
        <f aca="false">ROUND(G94*100/O94-100,0)</f>
        <v>-1</v>
      </c>
      <c r="U94" s="57" t="n">
        <f aca="false">ROUND(J94*100/O94-100,0)</f>
        <v>2</v>
      </c>
      <c r="V94" s="57" t="n">
        <f aca="false">ROUND(M94*100/O94-100,0)</f>
        <v>-1</v>
      </c>
    </row>
    <row r="95" s="43" customFormat="true" ht="73.5" hidden="false" customHeight="true" outlineLevel="0" collapsed="false">
      <c r="A95" s="45" t="n">
        <v>84</v>
      </c>
      <c r="B95" s="46" t="s">
        <v>146</v>
      </c>
      <c r="C95" s="47" t="s">
        <v>147</v>
      </c>
      <c r="D95" s="48" t="n">
        <v>50</v>
      </c>
      <c r="E95" s="50" t="n">
        <v>130.9</v>
      </c>
      <c r="F95" s="47" t="s">
        <v>90</v>
      </c>
      <c r="G95" s="52" t="n">
        <f aca="false">148.16/1.2</f>
        <v>123.466666666667</v>
      </c>
      <c r="H95" s="53" t="n">
        <f aca="false">G95*D95</f>
        <v>6173.33333333333</v>
      </c>
      <c r="I95" s="47" t="s">
        <v>148</v>
      </c>
      <c r="J95" s="52" t="n">
        <f aca="false">151.19/1.2</f>
        <v>125.991666666667</v>
      </c>
      <c r="K95" s="53" t="n">
        <f aca="false">D95*J95</f>
        <v>6299.58333333333</v>
      </c>
      <c r="L95" s="47" t="s">
        <v>149</v>
      </c>
      <c r="M95" s="52" t="n">
        <f aca="false">173.44/1.2</f>
        <v>144.533333333333</v>
      </c>
      <c r="N95" s="53" t="n">
        <f aca="false">D95*M95</f>
        <v>7226.66666666667</v>
      </c>
      <c r="O95" s="54" t="n">
        <f aca="false">AVERAGE(G95,J95,M95)</f>
        <v>131.330555555556</v>
      </c>
      <c r="P95" s="55" t="n">
        <f aca="false">E95*100/O95-100</f>
        <v>-0.327841113390718</v>
      </c>
      <c r="Q95" s="54" t="n">
        <f aca="false">D95*E95</f>
        <v>6545</v>
      </c>
      <c r="R95" s="56"/>
      <c r="T95" s="57" t="n">
        <f aca="false">ROUND(G95*100/O95-100,0)</f>
        <v>-6</v>
      </c>
      <c r="U95" s="57" t="n">
        <f aca="false">ROUND(J95*100/O95-100,0)</f>
        <v>-4</v>
      </c>
      <c r="V95" s="57" t="n">
        <f aca="false">ROUND(M95*100/O95-100,0)</f>
        <v>10</v>
      </c>
    </row>
    <row r="96" s="43" customFormat="true" ht="73.5" hidden="false" customHeight="true" outlineLevel="0" collapsed="false">
      <c r="A96" s="45" t="n">
        <v>85</v>
      </c>
      <c r="B96" s="46" t="s">
        <v>150</v>
      </c>
      <c r="C96" s="47" t="s">
        <v>147</v>
      </c>
      <c r="D96" s="48" t="n">
        <v>20</v>
      </c>
      <c r="E96" s="50" t="n">
        <v>256.7</v>
      </c>
      <c r="F96" s="47" t="s">
        <v>90</v>
      </c>
      <c r="G96" s="52" t="n">
        <f aca="false">327.19/1.2</f>
        <v>272.658333333333</v>
      </c>
      <c r="H96" s="53" t="n">
        <f aca="false">G96*D96</f>
        <v>5453.16666666667</v>
      </c>
      <c r="I96" s="47" t="s">
        <v>148</v>
      </c>
      <c r="J96" s="52" t="n">
        <f aca="false">297.67/1.2</f>
        <v>248.058333333333</v>
      </c>
      <c r="K96" s="53" t="n">
        <f aca="false">D96*J96</f>
        <v>4961.16666666667</v>
      </c>
      <c r="L96" s="47" t="s">
        <v>149</v>
      </c>
      <c r="M96" s="52" t="n">
        <f aca="false">305.74/1.2</f>
        <v>254.783333333333</v>
      </c>
      <c r="N96" s="53" t="n">
        <f aca="false">D96*M96</f>
        <v>5095.66666666667</v>
      </c>
      <c r="O96" s="54" t="n">
        <f aca="false">AVERAGE(G96,J96,M96)</f>
        <v>258.5</v>
      </c>
      <c r="P96" s="55" t="n">
        <f aca="false">E96*100/O96-100</f>
        <v>-0.696324951644129</v>
      </c>
      <c r="Q96" s="54" t="n">
        <f aca="false">D96*E96</f>
        <v>5134</v>
      </c>
      <c r="R96" s="56"/>
      <c r="T96" s="57" t="n">
        <f aca="false">ROUND(G96*100/O96-100,0)</f>
        <v>5</v>
      </c>
      <c r="U96" s="57" t="n">
        <f aca="false">ROUND(J96*100/O96-100,0)</f>
        <v>-4</v>
      </c>
      <c r="V96" s="57" t="n">
        <f aca="false">ROUND(M96*100/O96-100,0)</f>
        <v>-1</v>
      </c>
    </row>
    <row r="97" s="43" customFormat="true" ht="73.5" hidden="false" customHeight="true" outlineLevel="0" collapsed="false">
      <c r="A97" s="45" t="n">
        <v>86</v>
      </c>
      <c r="B97" s="46" t="s">
        <v>151</v>
      </c>
      <c r="C97" s="47" t="s">
        <v>147</v>
      </c>
      <c r="D97" s="48" t="n">
        <v>50</v>
      </c>
      <c r="E97" s="50" t="n">
        <v>3181.4</v>
      </c>
      <c r="F97" s="47" t="s">
        <v>90</v>
      </c>
      <c r="G97" s="52" t="n">
        <f aca="false">3780.88/1.2</f>
        <v>3150.73333333333</v>
      </c>
      <c r="H97" s="53" t="n">
        <f aca="false">G97*D97</f>
        <v>157536.666666667</v>
      </c>
      <c r="I97" s="47" t="s">
        <v>148</v>
      </c>
      <c r="J97" s="52" t="n">
        <f aca="false">3719.2/1.2</f>
        <v>3099.33333333333</v>
      </c>
      <c r="K97" s="53" t="n">
        <f aca="false">D97*J97</f>
        <v>154966.666666667</v>
      </c>
      <c r="L97" s="47" t="s">
        <v>149</v>
      </c>
      <c r="M97" s="52" t="n">
        <f aca="false">3960.29/1.2</f>
        <v>3300.24166666667</v>
      </c>
      <c r="N97" s="53" t="n">
        <f aca="false">D97*M97</f>
        <v>165012.083333333</v>
      </c>
      <c r="O97" s="54" t="n">
        <f aca="false">AVERAGE(G97,J97,M97)</f>
        <v>3183.43611111111</v>
      </c>
      <c r="P97" s="55" t="n">
        <f aca="false">E97*100/O97-100</f>
        <v>-0.0639595405733076</v>
      </c>
      <c r="Q97" s="54" t="n">
        <f aca="false">D97*E97</f>
        <v>159070</v>
      </c>
      <c r="R97" s="56"/>
      <c r="T97" s="57" t="n">
        <f aca="false">ROUND(G97*100/O97-100,0)</f>
        <v>-1</v>
      </c>
      <c r="U97" s="57" t="n">
        <f aca="false">ROUND(J97*100/O97-100,0)</f>
        <v>-3</v>
      </c>
      <c r="V97" s="57" t="n">
        <f aca="false">ROUND(M97*100/O97-100,0)</f>
        <v>4</v>
      </c>
    </row>
    <row r="98" s="43" customFormat="true" ht="73.5" hidden="false" customHeight="true" outlineLevel="0" collapsed="false">
      <c r="A98" s="45" t="n">
        <v>87</v>
      </c>
      <c r="B98" s="46" t="s">
        <v>152</v>
      </c>
      <c r="C98" s="47" t="s">
        <v>147</v>
      </c>
      <c r="D98" s="48" t="n">
        <v>20</v>
      </c>
      <c r="E98" s="50" t="n">
        <v>348.66</v>
      </c>
      <c r="F98" s="47" t="s">
        <v>90</v>
      </c>
      <c r="G98" s="52" t="n">
        <f aca="false">424.93/1.2</f>
        <v>354.108333333333</v>
      </c>
      <c r="H98" s="53" t="n">
        <f aca="false">G98*D98</f>
        <v>7082.16666666667</v>
      </c>
      <c r="I98" s="47" t="s">
        <v>148</v>
      </c>
      <c r="J98" s="52" t="n">
        <f aca="false">387.54/1.2</f>
        <v>322.95</v>
      </c>
      <c r="K98" s="53" t="n">
        <f aca="false">D98*J98</f>
        <v>6459</v>
      </c>
      <c r="L98" s="47" t="s">
        <v>149</v>
      </c>
      <c r="M98" s="52" t="n">
        <f aca="false">450.43/1.2</f>
        <v>375.358333333333</v>
      </c>
      <c r="N98" s="53" t="n">
        <f aca="false">D98*M98</f>
        <v>7507.16666666667</v>
      </c>
      <c r="O98" s="54" t="n">
        <f aca="false">AVERAGE(G98,J98,M98)</f>
        <v>350.805555555556</v>
      </c>
      <c r="P98" s="55" t="n">
        <f aca="false">E98*100/O98-100</f>
        <v>-0.611608203341532</v>
      </c>
      <c r="Q98" s="54" t="n">
        <f aca="false">D98*E98</f>
        <v>6973.2</v>
      </c>
      <c r="R98" s="56"/>
      <c r="T98" s="57" t="n">
        <f aca="false">ROUND(G98*100/O98-100,0)</f>
        <v>1</v>
      </c>
      <c r="U98" s="57" t="n">
        <f aca="false">ROUND(J98*100/O98-100,0)</f>
        <v>-8</v>
      </c>
      <c r="V98" s="57" t="n">
        <f aca="false">ROUND(M98*100/O98-100,0)</f>
        <v>7</v>
      </c>
    </row>
    <row r="99" s="43" customFormat="true" ht="92.25" hidden="false" customHeight="true" outlineLevel="0" collapsed="false">
      <c r="A99" s="45" t="n">
        <v>88</v>
      </c>
      <c r="B99" s="46" t="s">
        <v>153</v>
      </c>
      <c r="C99" s="47" t="s">
        <v>154</v>
      </c>
      <c r="D99" s="48" t="n">
        <v>0.5</v>
      </c>
      <c r="E99" s="50" t="n">
        <f aca="false">253.56*1000</f>
        <v>253560</v>
      </c>
      <c r="F99" s="47" t="s">
        <v>90</v>
      </c>
      <c r="G99" s="52" t="n">
        <f aca="false">327.58/1.2*1000</f>
        <v>272983.333333333</v>
      </c>
      <c r="H99" s="53" t="n">
        <f aca="false">G99*D99</f>
        <v>136491.666666667</v>
      </c>
      <c r="I99" s="47" t="s">
        <v>148</v>
      </c>
      <c r="J99" s="52" t="n">
        <f aca="false">286.76/1.2*1000</f>
        <v>238966.666666667</v>
      </c>
      <c r="K99" s="53" t="n">
        <f aca="false">D99*J99</f>
        <v>119483.333333333</v>
      </c>
      <c r="L99" s="47" t="s">
        <v>149</v>
      </c>
      <c r="M99" s="52" t="n">
        <f aca="false">300.53/1.2*1000</f>
        <v>250441.666666667</v>
      </c>
      <c r="N99" s="53" t="n">
        <f aca="false">D99*M99</f>
        <v>125220.833333333</v>
      </c>
      <c r="O99" s="54" t="n">
        <f aca="false">AVERAGE(G99,J99,M99)</f>
        <v>254130.555555556</v>
      </c>
      <c r="P99" s="55" t="n">
        <f aca="false">E99*100/O99-100</f>
        <v>-0.224512772306468</v>
      </c>
      <c r="Q99" s="54" t="n">
        <f aca="false">D99*E99</f>
        <v>126780</v>
      </c>
      <c r="R99" s="56"/>
      <c r="T99" s="57" t="n">
        <f aca="false">ROUND(G99*100/O99-100,0)</f>
        <v>7</v>
      </c>
      <c r="U99" s="57" t="n">
        <f aca="false">ROUND(J99*100/O99-100,0)</f>
        <v>-6</v>
      </c>
      <c r="V99" s="57" t="n">
        <f aca="false">ROUND(M99*100/O99-100,0)</f>
        <v>-1</v>
      </c>
    </row>
    <row r="100" s="43" customFormat="true" ht="73.5" hidden="false" customHeight="true" outlineLevel="0" collapsed="false">
      <c r="A100" s="45" t="n">
        <v>89</v>
      </c>
      <c r="B100" s="46" t="s">
        <v>155</v>
      </c>
      <c r="C100" s="47" t="s">
        <v>25</v>
      </c>
      <c r="D100" s="48" t="n">
        <v>4</v>
      </c>
      <c r="E100" s="50" t="n">
        <v>122.9</v>
      </c>
      <c r="F100" s="47" t="s">
        <v>27</v>
      </c>
      <c r="G100" s="52" t="n">
        <f aca="false">142.75/1.2</f>
        <v>118.958333333333</v>
      </c>
      <c r="H100" s="53" t="n">
        <f aca="false">D100*G100</f>
        <v>475.833333333333</v>
      </c>
      <c r="I100" s="53" t="s">
        <v>28</v>
      </c>
      <c r="J100" s="52" t="n">
        <v>122.36</v>
      </c>
      <c r="K100" s="53" t="n">
        <f aca="false">D100*J100</f>
        <v>489.44</v>
      </c>
      <c r="L100" s="47" t="s">
        <v>29</v>
      </c>
      <c r="M100" s="52" t="n">
        <v>129.47</v>
      </c>
      <c r="N100" s="53" t="n">
        <f aca="false">D100*M100</f>
        <v>517.88</v>
      </c>
      <c r="O100" s="54" t="n">
        <f aca="false">AVERAGE(G100,J100,M100)</f>
        <v>123.596111111111</v>
      </c>
      <c r="P100" s="55" t="n">
        <f aca="false">E100*100/O100-100</f>
        <v>-0.563214412535459</v>
      </c>
      <c r="Q100" s="54" t="n">
        <f aca="false">D100*E100</f>
        <v>491.6</v>
      </c>
      <c r="R100" s="56"/>
      <c r="T100" s="57" t="n">
        <f aca="false">ROUND(G100*100/O100-100,0)</f>
        <v>-4</v>
      </c>
      <c r="U100" s="57" t="n">
        <f aca="false">ROUND(J100*100/O100-100,0)</f>
        <v>-1</v>
      </c>
      <c r="V100" s="57" t="n">
        <f aca="false">ROUND(M100*100/O100-100,0)</f>
        <v>5</v>
      </c>
    </row>
    <row r="101" s="43" customFormat="true" ht="73.5" hidden="false" customHeight="true" outlineLevel="0" collapsed="false">
      <c r="A101" s="45" t="n">
        <v>90</v>
      </c>
      <c r="B101" s="46" t="s">
        <v>156</v>
      </c>
      <c r="C101" s="47" t="s">
        <v>25</v>
      </c>
      <c r="D101" s="48" t="s">
        <v>157</v>
      </c>
      <c r="E101" s="50" t="n">
        <v>296587.13</v>
      </c>
      <c r="F101" s="47" t="s">
        <v>56</v>
      </c>
      <c r="G101" s="52" t="n">
        <v>291473.5</v>
      </c>
      <c r="H101" s="53" t="n">
        <f aca="false">D101*G101</f>
        <v>1457367.5</v>
      </c>
      <c r="I101" s="47" t="s">
        <v>57</v>
      </c>
      <c r="J101" s="52" t="n">
        <v>301685</v>
      </c>
      <c r="K101" s="53" t="n">
        <f aca="false">D101*J101</f>
        <v>1508425</v>
      </c>
      <c r="L101" s="47" t="s">
        <v>119</v>
      </c>
      <c r="M101" s="52" t="n">
        <v>298069</v>
      </c>
      <c r="N101" s="53" t="n">
        <f aca="false">D101*M101</f>
        <v>1490345</v>
      </c>
      <c r="O101" s="54" t="n">
        <f aca="false">AVERAGE(G101,J101,M101)</f>
        <v>297075.833333333</v>
      </c>
      <c r="P101" s="55" t="n">
        <f aca="false">E101*100/O101-100</f>
        <v>-0.164504573748005</v>
      </c>
      <c r="Q101" s="54" t="n">
        <f aca="false">D101*E101</f>
        <v>1482935.65</v>
      </c>
      <c r="R101" s="56"/>
      <c r="T101" s="57" t="n">
        <f aca="false">ROUND(G101*100/O101-100,0)</f>
        <v>-2</v>
      </c>
      <c r="U101" s="57" t="n">
        <f aca="false">ROUND(J101*100/O101-100,0)</f>
        <v>2</v>
      </c>
      <c r="V101" s="57" t="n">
        <f aca="false">ROUND(M101*100/O101-100,0)</f>
        <v>0</v>
      </c>
    </row>
    <row r="102" s="43" customFormat="true" ht="73.5" hidden="false" customHeight="true" outlineLevel="0" collapsed="false">
      <c r="A102" s="45" t="n">
        <v>91</v>
      </c>
      <c r="B102" s="46" t="s">
        <v>158</v>
      </c>
      <c r="C102" s="47" t="s">
        <v>25</v>
      </c>
      <c r="D102" s="48" t="n">
        <v>39</v>
      </c>
      <c r="E102" s="50" t="n">
        <v>104.2</v>
      </c>
      <c r="F102" s="47" t="s">
        <v>27</v>
      </c>
      <c r="G102" s="52" t="n">
        <f aca="false">120.19/1.2</f>
        <v>100.158333333333</v>
      </c>
      <c r="H102" s="53" t="n">
        <f aca="false">D102*G102</f>
        <v>3906.175</v>
      </c>
      <c r="I102" s="53" t="s">
        <v>28</v>
      </c>
      <c r="J102" s="52" t="n">
        <v>97.82</v>
      </c>
      <c r="K102" s="53" t="n">
        <f aca="false">D102*J102</f>
        <v>3814.98</v>
      </c>
      <c r="L102" s="47" t="s">
        <v>29</v>
      </c>
      <c r="M102" s="52" t="n">
        <v>115.39</v>
      </c>
      <c r="N102" s="53" t="n">
        <f aca="false">D102*M102</f>
        <v>4500.21</v>
      </c>
      <c r="O102" s="54" t="n">
        <f aca="false">AVERAGE(G102,J102,M102)</f>
        <v>104.456111111111</v>
      </c>
      <c r="P102" s="55" t="n">
        <f aca="false">E102*100/O102-100</f>
        <v>-0.245185378229024</v>
      </c>
      <c r="Q102" s="54" t="n">
        <f aca="false">D102*E102</f>
        <v>4063.8</v>
      </c>
      <c r="R102" s="56"/>
      <c r="T102" s="57" t="n">
        <f aca="false">ROUND(G102*100/O102-100,0)</f>
        <v>-4</v>
      </c>
      <c r="U102" s="57" t="n">
        <f aca="false">ROUND(J102*100/O102-100,0)</f>
        <v>-6</v>
      </c>
      <c r="V102" s="57" t="n">
        <f aca="false">ROUND(M102*100/O102-100,0)</f>
        <v>10</v>
      </c>
    </row>
    <row r="103" s="43" customFormat="true" ht="73.5" hidden="false" customHeight="true" outlineLevel="0" collapsed="false">
      <c r="A103" s="45" t="n">
        <v>92</v>
      </c>
      <c r="B103" s="46" t="s">
        <v>159</v>
      </c>
      <c r="C103" s="47" t="s">
        <v>25</v>
      </c>
      <c r="D103" s="48" t="n">
        <v>65</v>
      </c>
      <c r="E103" s="50" t="n">
        <v>125.1</v>
      </c>
      <c r="F103" s="47" t="s">
        <v>27</v>
      </c>
      <c r="G103" s="52" t="n">
        <f aca="false">143.32/1.2</f>
        <v>119.433333333333</v>
      </c>
      <c r="H103" s="53" t="n">
        <f aca="false">D103*G103</f>
        <v>7763.16666666667</v>
      </c>
      <c r="I103" s="53" t="s">
        <v>28</v>
      </c>
      <c r="J103" s="52" t="n">
        <v>130.07</v>
      </c>
      <c r="K103" s="53" t="n">
        <f aca="false">D103*J103</f>
        <v>8454.55</v>
      </c>
      <c r="L103" s="47" t="s">
        <v>29</v>
      </c>
      <c r="M103" s="52" t="n">
        <v>127.08</v>
      </c>
      <c r="N103" s="53" t="n">
        <f aca="false">D103*M103</f>
        <v>8260.2</v>
      </c>
      <c r="O103" s="54" t="n">
        <f aca="false">AVERAGE(G103,J103,M103)</f>
        <v>125.527777777778</v>
      </c>
      <c r="P103" s="55" t="n">
        <f aca="false">E103*100/O103-100</f>
        <v>-0.340783359150251</v>
      </c>
      <c r="Q103" s="54" t="n">
        <f aca="false">D103*E103</f>
        <v>8131.5</v>
      </c>
      <c r="R103" s="56"/>
      <c r="T103" s="57" t="n">
        <f aca="false">ROUND(G103*100/O103-100,0)</f>
        <v>-5</v>
      </c>
      <c r="U103" s="57" t="n">
        <f aca="false">ROUND(J103*100/O103-100,0)</f>
        <v>4</v>
      </c>
      <c r="V103" s="57" t="n">
        <f aca="false">ROUND(M103*100/O103-100,0)</f>
        <v>1</v>
      </c>
    </row>
    <row r="104" s="43" customFormat="true" ht="73.5" hidden="false" customHeight="true" outlineLevel="0" collapsed="false">
      <c r="A104" s="45" t="n">
        <v>93</v>
      </c>
      <c r="B104" s="46" t="s">
        <v>160</v>
      </c>
      <c r="C104" s="47" t="s">
        <v>25</v>
      </c>
      <c r="D104" s="48" t="n">
        <v>8</v>
      </c>
      <c r="E104" s="50" t="n">
        <v>19.5</v>
      </c>
      <c r="F104" s="47" t="s">
        <v>27</v>
      </c>
      <c r="G104" s="52" t="n">
        <f aca="false">1097.79/50/1.2</f>
        <v>18.2965</v>
      </c>
      <c r="H104" s="53" t="n">
        <f aca="false">D104*G104</f>
        <v>146.372</v>
      </c>
      <c r="I104" s="53" t="s">
        <v>28</v>
      </c>
      <c r="J104" s="52" t="n">
        <v>20.51</v>
      </c>
      <c r="K104" s="53" t="n">
        <f aca="false">D104*J104</f>
        <v>164.08</v>
      </c>
      <c r="L104" s="47" t="s">
        <v>29</v>
      </c>
      <c r="M104" s="52" t="n">
        <v>21.22</v>
      </c>
      <c r="N104" s="53" t="n">
        <f aca="false">D104*M104</f>
        <v>169.76</v>
      </c>
      <c r="O104" s="54" t="n">
        <f aca="false">AVERAGE(G104,J104,M104)</f>
        <v>20.0088333333333</v>
      </c>
      <c r="P104" s="55" t="n">
        <f aca="false">E104*100/O104-100</f>
        <v>-2.54304348912562</v>
      </c>
      <c r="Q104" s="54" t="n">
        <f aca="false">D104*E104</f>
        <v>156</v>
      </c>
      <c r="R104" s="56"/>
      <c r="T104" s="57" t="n">
        <f aca="false">ROUND(G104*100/O104-100,0)</f>
        <v>-9</v>
      </c>
      <c r="U104" s="57" t="n">
        <f aca="false">ROUND(J104*100/O104-100,0)</f>
        <v>3</v>
      </c>
      <c r="V104" s="57" t="n">
        <f aca="false">ROUND(M104*100/O104-100,0)</f>
        <v>6</v>
      </c>
    </row>
    <row r="105" s="43" customFormat="true" ht="73.5" hidden="false" customHeight="true" outlineLevel="0" collapsed="false">
      <c r="A105" s="45" t="n">
        <v>94</v>
      </c>
      <c r="B105" s="46" t="s">
        <v>161</v>
      </c>
      <c r="C105" s="47" t="s">
        <v>25</v>
      </c>
      <c r="D105" s="48" t="n">
        <v>1190</v>
      </c>
      <c r="E105" s="50" t="n">
        <v>57.5</v>
      </c>
      <c r="F105" s="47" t="s">
        <v>27</v>
      </c>
      <c r="G105" s="52" t="n">
        <f aca="false">3253.27/1.2/50</f>
        <v>54.2211666666667</v>
      </c>
      <c r="H105" s="53" t="n">
        <f aca="false">D105*G105</f>
        <v>64523.1883333333</v>
      </c>
      <c r="I105" s="53" t="s">
        <v>28</v>
      </c>
      <c r="J105" s="52" t="n">
        <v>59.4</v>
      </c>
      <c r="K105" s="53" t="n">
        <f aca="false">D105*J105</f>
        <v>70686</v>
      </c>
      <c r="L105" s="47" t="s">
        <v>29</v>
      </c>
      <c r="M105" s="52" t="n">
        <v>60.13</v>
      </c>
      <c r="N105" s="53" t="n">
        <f aca="false">D105*M105</f>
        <v>71554.7</v>
      </c>
      <c r="O105" s="54" t="n">
        <f aca="false">AVERAGE(G105,J105,M105)</f>
        <v>57.9170555555556</v>
      </c>
      <c r="P105" s="55" t="n">
        <f aca="false">E105*100/O105-100</f>
        <v>-0.7200910881174</v>
      </c>
      <c r="Q105" s="54" t="n">
        <f aca="false">D105*E105</f>
        <v>68425</v>
      </c>
      <c r="R105" s="56"/>
      <c r="T105" s="57" t="n">
        <f aca="false">ROUND(G105*100/O105-100,0)</f>
        <v>-6</v>
      </c>
      <c r="U105" s="57" t="n">
        <f aca="false">ROUND(J105*100/O105-100,0)</f>
        <v>3</v>
      </c>
      <c r="V105" s="57" t="n">
        <f aca="false">ROUND(M105*100/O105-100,0)</f>
        <v>4</v>
      </c>
    </row>
    <row r="106" s="43" customFormat="true" ht="73.5" hidden="false" customHeight="true" outlineLevel="0" collapsed="false">
      <c r="A106" s="45" t="n">
        <v>95</v>
      </c>
      <c r="B106" s="46" t="s">
        <v>162</v>
      </c>
      <c r="C106" s="47" t="s">
        <v>25</v>
      </c>
      <c r="D106" s="48" t="n">
        <v>3</v>
      </c>
      <c r="E106" s="50" t="n">
        <v>444.12</v>
      </c>
      <c r="F106" s="47" t="s">
        <v>27</v>
      </c>
      <c r="G106" s="52" t="n">
        <f aca="false">528.04/1.2</f>
        <v>440.033333333333</v>
      </c>
      <c r="H106" s="53" t="n">
        <f aca="false">D106*G106</f>
        <v>1320.1</v>
      </c>
      <c r="I106" s="53" t="s">
        <v>28</v>
      </c>
      <c r="J106" s="52" t="n">
        <v>451.75</v>
      </c>
      <c r="K106" s="53" t="n">
        <f aca="false">D106*J106</f>
        <v>1355.25</v>
      </c>
      <c r="L106" s="47" t="s">
        <v>29</v>
      </c>
      <c r="M106" s="52" t="n">
        <v>442.56</v>
      </c>
      <c r="N106" s="53" t="n">
        <f aca="false">D106*M106</f>
        <v>1327.68</v>
      </c>
      <c r="O106" s="54" t="n">
        <f aca="false">AVERAGE(G106,J106,M106)</f>
        <v>444.781111111111</v>
      </c>
      <c r="P106" s="55" t="n">
        <f aca="false">E106*100/O106-100</f>
        <v>-0.148637407164074</v>
      </c>
      <c r="Q106" s="54" t="n">
        <f aca="false">D106*E106</f>
        <v>1332.36</v>
      </c>
      <c r="R106" s="56"/>
      <c r="T106" s="57" t="n">
        <f aca="false">ROUND(G106*100/O106-100,0)</f>
        <v>-1</v>
      </c>
      <c r="U106" s="57" t="n">
        <f aca="false">ROUND(J106*100/O106-100,0)</f>
        <v>2</v>
      </c>
      <c r="V106" s="57" t="n">
        <f aca="false">ROUND(M106*100/O106-100,0)</f>
        <v>-0</v>
      </c>
    </row>
    <row r="107" s="43" customFormat="true" ht="73.5" hidden="false" customHeight="true" outlineLevel="0" collapsed="false">
      <c r="A107" s="45" t="n">
        <v>96</v>
      </c>
      <c r="B107" s="46" t="s">
        <v>163</v>
      </c>
      <c r="C107" s="47" t="s">
        <v>25</v>
      </c>
      <c r="D107" s="48" t="n">
        <v>200</v>
      </c>
      <c r="E107" s="50" t="n">
        <v>2749.4</v>
      </c>
      <c r="F107" s="47" t="s">
        <v>56</v>
      </c>
      <c r="G107" s="52" t="n">
        <v>2816.22</v>
      </c>
      <c r="H107" s="53" t="n">
        <f aca="false">D107*G107</f>
        <v>563244</v>
      </c>
      <c r="I107" s="47" t="s">
        <v>57</v>
      </c>
      <c r="J107" s="52" t="n">
        <v>2697.03</v>
      </c>
      <c r="K107" s="53" t="n">
        <f aca="false">D107*J107</f>
        <v>539406</v>
      </c>
      <c r="L107" s="47" t="s">
        <v>119</v>
      </c>
      <c r="M107" s="52" t="n">
        <v>2755.11</v>
      </c>
      <c r="N107" s="53" t="n">
        <f aca="false">D107*M107</f>
        <v>551022</v>
      </c>
      <c r="O107" s="54" t="n">
        <f aca="false">AVERAGE(G107,J107,M107)</f>
        <v>2756.12</v>
      </c>
      <c r="P107" s="55" t="n">
        <f aca="false">E107*100/O107-100</f>
        <v>-0.243821023758045</v>
      </c>
      <c r="Q107" s="54" t="n">
        <f aca="false">D107*E107</f>
        <v>549880</v>
      </c>
      <c r="R107" s="56"/>
      <c r="T107" s="57" t="n">
        <f aca="false">ROUND(G107*100/O107-100,0)</f>
        <v>2</v>
      </c>
      <c r="U107" s="57" t="n">
        <f aca="false">ROUND(J107*100/O107-100,0)</f>
        <v>-2</v>
      </c>
      <c r="V107" s="57" t="n">
        <f aca="false">ROUND(M107*100/O107-100,0)</f>
        <v>-0</v>
      </c>
    </row>
    <row r="108" s="43" customFormat="true" ht="73.5" hidden="false" customHeight="true" outlineLevel="0" collapsed="false">
      <c r="A108" s="45" t="n">
        <v>97</v>
      </c>
      <c r="B108" s="46" t="s">
        <v>164</v>
      </c>
      <c r="C108" s="47" t="s">
        <v>25</v>
      </c>
      <c r="D108" s="48" t="n">
        <v>5</v>
      </c>
      <c r="E108" s="50" t="n">
        <v>455.3</v>
      </c>
      <c r="F108" s="47" t="s">
        <v>27</v>
      </c>
      <c r="G108" s="52" t="n">
        <f aca="false">531.76/1.2</f>
        <v>443.133333333333</v>
      </c>
      <c r="H108" s="53" t="n">
        <f aca="false">D108*G108</f>
        <v>2215.66666666667</v>
      </c>
      <c r="I108" s="53" t="s">
        <v>28</v>
      </c>
      <c r="J108" s="52" t="n">
        <v>458.14</v>
      </c>
      <c r="K108" s="53" t="n">
        <f aca="false">D108*J108</f>
        <v>2290.7</v>
      </c>
      <c r="L108" s="47" t="s">
        <v>29</v>
      </c>
      <c r="M108" s="52" t="n">
        <v>465.87</v>
      </c>
      <c r="N108" s="53" t="n">
        <f aca="false">D108*M108</f>
        <v>2329.35</v>
      </c>
      <c r="O108" s="54" t="n">
        <f aca="false">AVERAGE(G108,J108,M108)</f>
        <v>455.714444444445</v>
      </c>
      <c r="P108" s="55" t="n">
        <f aca="false">E108*100/O108-100</f>
        <v>-0.0909438903016877</v>
      </c>
      <c r="Q108" s="54" t="n">
        <f aca="false">D108*E108</f>
        <v>2276.5</v>
      </c>
      <c r="R108" s="56"/>
      <c r="T108" s="57" t="n">
        <f aca="false">ROUND(G108*100/O108-100,0)</f>
        <v>-3</v>
      </c>
      <c r="U108" s="57" t="n">
        <f aca="false">ROUND(J108*100/O108-100,0)</f>
        <v>1</v>
      </c>
      <c r="V108" s="57" t="n">
        <f aca="false">ROUND(M108*100/O108-100,0)</f>
        <v>2</v>
      </c>
    </row>
    <row r="109" s="43" customFormat="true" ht="73.5" hidden="false" customHeight="true" outlineLevel="0" collapsed="false">
      <c r="A109" s="45" t="n">
        <v>98</v>
      </c>
      <c r="B109" s="46" t="s">
        <v>165</v>
      </c>
      <c r="C109" s="47" t="s">
        <v>25</v>
      </c>
      <c r="D109" s="48" t="n">
        <v>2</v>
      </c>
      <c r="E109" s="50" t="n">
        <v>578.5</v>
      </c>
      <c r="F109" s="47" t="s">
        <v>27</v>
      </c>
      <c r="G109" s="52" t="n">
        <f aca="false">704.39/1.2</f>
        <v>586.991666666667</v>
      </c>
      <c r="H109" s="53" t="n">
        <f aca="false">D109*G109</f>
        <v>1173.98333333333</v>
      </c>
      <c r="I109" s="53" t="s">
        <v>28</v>
      </c>
      <c r="J109" s="52" t="n">
        <v>579.83</v>
      </c>
      <c r="K109" s="53" t="n">
        <f aca="false">D109*J109</f>
        <v>1159.66</v>
      </c>
      <c r="L109" s="47" t="s">
        <v>29</v>
      </c>
      <c r="M109" s="52" t="n">
        <v>572.21</v>
      </c>
      <c r="N109" s="53" t="n">
        <f aca="false">D109*M109</f>
        <v>1144.42</v>
      </c>
      <c r="O109" s="54" t="n">
        <f aca="false">AVERAGE(G109,J109,M109)</f>
        <v>579.677222222222</v>
      </c>
      <c r="P109" s="55" t="n">
        <f aca="false">E109*100/O109-100</f>
        <v>-0.203082366719414</v>
      </c>
      <c r="Q109" s="54" t="n">
        <f aca="false">D109*E109</f>
        <v>1157</v>
      </c>
      <c r="R109" s="56"/>
      <c r="T109" s="57" t="n">
        <f aca="false">ROUND(G109*100/O109-100,0)</f>
        <v>1</v>
      </c>
      <c r="U109" s="57" t="n">
        <f aca="false">ROUND(J109*100/O109-100,0)</f>
        <v>0</v>
      </c>
      <c r="V109" s="57" t="n">
        <f aca="false">ROUND(M109*100/O109-100,0)</f>
        <v>-1</v>
      </c>
    </row>
    <row r="110" s="43" customFormat="true" ht="73.5" hidden="false" customHeight="true" outlineLevel="0" collapsed="false">
      <c r="A110" s="45" t="n">
        <v>99</v>
      </c>
      <c r="B110" s="46" t="s">
        <v>166</v>
      </c>
      <c r="C110" s="47" t="s">
        <v>25</v>
      </c>
      <c r="D110" s="48" t="n">
        <v>2</v>
      </c>
      <c r="E110" s="50" t="n">
        <v>586.44</v>
      </c>
      <c r="F110" s="47" t="s">
        <v>27</v>
      </c>
      <c r="G110" s="52" t="n">
        <f aca="false">704.39/1.2</f>
        <v>586.991666666667</v>
      </c>
      <c r="H110" s="53" t="n">
        <f aca="false">D110*G110</f>
        <v>1173.98333333333</v>
      </c>
      <c r="I110" s="53" t="s">
        <v>28</v>
      </c>
      <c r="J110" s="52" t="n">
        <v>579.83</v>
      </c>
      <c r="K110" s="53" t="n">
        <f aca="false">D110*J110</f>
        <v>1159.66</v>
      </c>
      <c r="L110" s="47" t="s">
        <v>29</v>
      </c>
      <c r="M110" s="52" t="n">
        <v>594.08</v>
      </c>
      <c r="N110" s="53" t="n">
        <f aca="false">D110*M110</f>
        <v>1188.16</v>
      </c>
      <c r="O110" s="54" t="n">
        <f aca="false">AVERAGE(G110,J110,M110)</f>
        <v>586.967222222222</v>
      </c>
      <c r="P110" s="55" t="n">
        <f aca="false">E110*100/O110-100</f>
        <v>-0.0898214077825514</v>
      </c>
      <c r="Q110" s="54" t="n">
        <f aca="false">D110*E110</f>
        <v>1172.88</v>
      </c>
      <c r="R110" s="56"/>
      <c r="T110" s="57" t="n">
        <f aca="false">ROUND(G110*100/O110-100,0)</f>
        <v>0</v>
      </c>
      <c r="U110" s="57" t="n">
        <f aca="false">ROUND(J110*100/O110-100,0)</f>
        <v>-1</v>
      </c>
      <c r="V110" s="57" t="n">
        <f aca="false">ROUND(M110*100/O110-100,0)</f>
        <v>1</v>
      </c>
    </row>
    <row r="111" s="43" customFormat="true" ht="73.5" hidden="false" customHeight="true" outlineLevel="0" collapsed="false">
      <c r="A111" s="45" t="n">
        <v>100</v>
      </c>
      <c r="B111" s="46" t="s">
        <v>167</v>
      </c>
      <c r="C111" s="47" t="s">
        <v>25</v>
      </c>
      <c r="D111" s="48" t="n">
        <v>4</v>
      </c>
      <c r="E111" s="50" t="n">
        <v>105450</v>
      </c>
      <c r="F111" s="47" t="s">
        <v>66</v>
      </c>
      <c r="G111" s="52" t="n">
        <f aca="false">122928.34/1.2</f>
        <v>102440.283333333</v>
      </c>
      <c r="H111" s="53" t="n">
        <f aca="false">D111*G111</f>
        <v>409761.133333333</v>
      </c>
      <c r="I111" s="53" t="s">
        <v>67</v>
      </c>
      <c r="J111" s="52" t="n">
        <f aca="false">126572.83/1.2</f>
        <v>105477.358333333</v>
      </c>
      <c r="K111" s="53" t="n">
        <f aca="false">D111*J111</f>
        <v>421909.433333333</v>
      </c>
      <c r="L111" s="53" t="s">
        <v>68</v>
      </c>
      <c r="M111" s="52" t="n">
        <v>108459.11</v>
      </c>
      <c r="N111" s="53" t="n">
        <f aca="false">D111*M111</f>
        <v>433836.44</v>
      </c>
      <c r="O111" s="54" t="n">
        <f aca="false">AVERAGE(G111,J111,M111)</f>
        <v>105458.917222222</v>
      </c>
      <c r="P111" s="55" t="n">
        <f aca="false">E111*100/O111-100</f>
        <v>-0.00845563604967481</v>
      </c>
      <c r="Q111" s="54" t="n">
        <f aca="false">D111*E111</f>
        <v>421800</v>
      </c>
      <c r="R111" s="83"/>
      <c r="T111" s="57" t="n">
        <f aca="false">ROUND(G111*100/O111-100,0)</f>
        <v>-3</v>
      </c>
      <c r="U111" s="57" t="n">
        <f aca="false">ROUND(J111*100/O111-100,0)</f>
        <v>0</v>
      </c>
      <c r="V111" s="57" t="n">
        <f aca="false">ROUND(M111*100/O111-100,0)</f>
        <v>3</v>
      </c>
    </row>
    <row r="112" s="43" customFormat="true" ht="73.5" hidden="false" customHeight="true" outlineLevel="0" collapsed="false">
      <c r="A112" s="45" t="n">
        <v>101</v>
      </c>
      <c r="B112" s="46" t="s">
        <v>168</v>
      </c>
      <c r="C112" s="47" t="s">
        <v>25</v>
      </c>
      <c r="D112" s="48" t="n">
        <v>9</v>
      </c>
      <c r="E112" s="50" t="n">
        <v>115250.4</v>
      </c>
      <c r="F112" s="47" t="s">
        <v>66</v>
      </c>
      <c r="G112" s="52" t="n">
        <f aca="false">134032.46/1.2</f>
        <v>111693.716666667</v>
      </c>
      <c r="H112" s="53" t="n">
        <f aca="false">D112*G112</f>
        <v>1005243.45</v>
      </c>
      <c r="I112" s="53" t="s">
        <v>67</v>
      </c>
      <c r="J112" s="52" t="n">
        <f aca="false">142081.19/1.2</f>
        <v>118400.991666667</v>
      </c>
      <c r="K112" s="53" t="n">
        <f aca="false">D112*J112</f>
        <v>1065608.925</v>
      </c>
      <c r="L112" s="53" t="s">
        <v>68</v>
      </c>
      <c r="M112" s="52" t="n">
        <v>115771.47</v>
      </c>
      <c r="N112" s="53" t="n">
        <f aca="false">D112*M112</f>
        <v>1041943.23</v>
      </c>
      <c r="O112" s="54" t="n">
        <f aca="false">AVERAGE(G112,J112,M112)</f>
        <v>115288.726111111</v>
      </c>
      <c r="P112" s="55" t="n">
        <f aca="false">E112*100/O112-100</f>
        <v>-0.0332435897280874</v>
      </c>
      <c r="Q112" s="54" t="n">
        <f aca="false">D112*E112</f>
        <v>1037253.6</v>
      </c>
      <c r="R112" s="83"/>
      <c r="T112" s="57" t="n">
        <f aca="false">ROUND(G112*100/O112-100,0)</f>
        <v>-3</v>
      </c>
      <c r="U112" s="57" t="n">
        <f aca="false">ROUND(J112*100/O112-100,0)</f>
        <v>3</v>
      </c>
      <c r="V112" s="57" t="n">
        <f aca="false">ROUND(M112*100/O112-100,0)</f>
        <v>0</v>
      </c>
    </row>
    <row r="113" s="43" customFormat="true" ht="73.5" hidden="false" customHeight="true" outlineLevel="0" collapsed="false">
      <c r="A113" s="45" t="n">
        <v>102</v>
      </c>
      <c r="B113" s="46" t="s">
        <v>169</v>
      </c>
      <c r="C113" s="47" t="s">
        <v>25</v>
      </c>
      <c r="D113" s="48" t="n">
        <v>4</v>
      </c>
      <c r="E113" s="50" t="n">
        <v>105203.9</v>
      </c>
      <c r="F113" s="47" t="s">
        <v>66</v>
      </c>
      <c r="G113" s="52" t="n">
        <f aca="false">121610.29/1.2</f>
        <v>101341.908333333</v>
      </c>
      <c r="H113" s="53" t="n">
        <f aca="false">D113*G113</f>
        <v>405367.633333333</v>
      </c>
      <c r="I113" s="53" t="s">
        <v>67</v>
      </c>
      <c r="J113" s="52" t="n">
        <f aca="false">125484.62/1.2</f>
        <v>104570.516666667</v>
      </c>
      <c r="K113" s="53" t="n">
        <f aca="false">D113*J113</f>
        <v>418282.066666667</v>
      </c>
      <c r="L113" s="53" t="s">
        <v>68</v>
      </c>
      <c r="M113" s="52" t="n">
        <v>109702.63</v>
      </c>
      <c r="N113" s="53" t="n">
        <f aca="false">D113*M113</f>
        <v>438810.52</v>
      </c>
      <c r="O113" s="54" t="n">
        <f aca="false">AVERAGE(G113,J113,M113)</f>
        <v>105205.018333333</v>
      </c>
      <c r="P113" s="55" t="n">
        <f aca="false">E113*100/O113-100</f>
        <v>-0.00106300379111701</v>
      </c>
      <c r="Q113" s="54" t="n">
        <f aca="false">D113*E113</f>
        <v>420815.6</v>
      </c>
      <c r="R113" s="83"/>
      <c r="T113" s="57" t="n">
        <f aca="false">ROUND(G113*100/O113-100,0)</f>
        <v>-4</v>
      </c>
      <c r="U113" s="57" t="n">
        <f aca="false">ROUND(J113*100/O113-100,0)</f>
        <v>-1</v>
      </c>
      <c r="V113" s="57" t="n">
        <f aca="false">ROUND(M113*100/O113-100,0)</f>
        <v>4</v>
      </c>
    </row>
    <row r="114" s="43" customFormat="true" ht="73.5" hidden="false" customHeight="true" outlineLevel="0" collapsed="false">
      <c r="A114" s="45" t="n">
        <v>103</v>
      </c>
      <c r="B114" s="46" t="s">
        <v>170</v>
      </c>
      <c r="C114" s="47" t="s">
        <v>25</v>
      </c>
      <c r="D114" s="48" t="n">
        <v>96</v>
      </c>
      <c r="E114" s="50" t="n">
        <v>23801.47</v>
      </c>
      <c r="F114" s="47" t="s">
        <v>56</v>
      </c>
      <c r="G114" s="52" t="n">
        <v>23917.54</v>
      </c>
      <c r="H114" s="53" t="n">
        <f aca="false">D114*G114</f>
        <v>2296083.84</v>
      </c>
      <c r="I114" s="47" t="s">
        <v>57</v>
      </c>
      <c r="J114" s="52" t="n">
        <v>24571.36</v>
      </c>
      <c r="K114" s="53" t="n">
        <f aca="false">D114*J114</f>
        <v>2358850.56</v>
      </c>
      <c r="L114" s="47" t="s">
        <v>119</v>
      </c>
      <c r="M114" s="52" t="n">
        <v>22927.08</v>
      </c>
      <c r="N114" s="53" t="n">
        <f aca="false">D114*M114</f>
        <v>2200999.68</v>
      </c>
      <c r="O114" s="54" t="n">
        <f aca="false">AVERAGE(G114,J114,M114)</f>
        <v>23805.3266666667</v>
      </c>
      <c r="P114" s="55" t="n">
        <f aca="false">E114*100/O114-100</f>
        <v>-0.0162008558868934</v>
      </c>
      <c r="Q114" s="54" t="n">
        <f aca="false">D114*E114</f>
        <v>2284941.12</v>
      </c>
      <c r="R114" s="83"/>
      <c r="T114" s="57" t="n">
        <f aca="false">ROUND(G114*100/O114-100,0)</f>
        <v>0</v>
      </c>
      <c r="U114" s="57" t="n">
        <f aca="false">ROUND(J114*100/O114-100,0)</f>
        <v>3</v>
      </c>
      <c r="V114" s="57" t="n">
        <f aca="false">ROUND(M114*100/O114-100,0)</f>
        <v>-4</v>
      </c>
    </row>
    <row r="115" s="43" customFormat="true" ht="73.5" hidden="false" customHeight="true" outlineLevel="0" collapsed="false">
      <c r="A115" s="45" t="n">
        <v>104</v>
      </c>
      <c r="B115" s="46" t="s">
        <v>171</v>
      </c>
      <c r="C115" s="47" t="s">
        <v>25</v>
      </c>
      <c r="D115" s="48" t="n">
        <v>2</v>
      </c>
      <c r="E115" s="50" t="n">
        <v>26380.87</v>
      </c>
      <c r="F115" s="47" t="s">
        <v>27</v>
      </c>
      <c r="G115" s="52" t="n">
        <f aca="false">29485.22/1.2</f>
        <v>24571.0166666667</v>
      </c>
      <c r="H115" s="53" t="n">
        <f aca="false">D115*G115</f>
        <v>49142.0333333333</v>
      </c>
      <c r="I115" s="53" t="s">
        <v>28</v>
      </c>
      <c r="J115" s="52" t="n">
        <f aca="false">33229.52/1.2</f>
        <v>27691.2666666667</v>
      </c>
      <c r="K115" s="53" t="n">
        <f aca="false">D115*J115</f>
        <v>55382.5333333333</v>
      </c>
      <c r="L115" s="47" t="s">
        <v>29</v>
      </c>
      <c r="M115" s="66" t="n">
        <v>26942.36</v>
      </c>
      <c r="N115" s="53" t="n">
        <f aca="false">D115*M115</f>
        <v>53884.72</v>
      </c>
      <c r="O115" s="54" t="n">
        <f aca="false">AVERAGE(G115,J115,M115)</f>
        <v>26401.5477777778</v>
      </c>
      <c r="P115" s="55" t="n">
        <f aca="false">E115*100/O115-100</f>
        <v>-0.0783203240651886</v>
      </c>
      <c r="Q115" s="54" t="n">
        <f aca="false">D115*E115</f>
        <v>52761.74</v>
      </c>
      <c r="R115" s="47"/>
      <c r="T115" s="57" t="n">
        <f aca="false">ROUND(G115*100/O115-100,0)</f>
        <v>-7</v>
      </c>
      <c r="U115" s="57" t="n">
        <f aca="false">ROUND(J115*100/O115-100,0)</f>
        <v>5</v>
      </c>
      <c r="V115" s="57" t="n">
        <f aca="false">ROUND(M115*100/O115-100,0)</f>
        <v>2</v>
      </c>
    </row>
    <row r="116" s="43" customFormat="true" ht="73.5" hidden="false" customHeight="true" outlineLevel="0" collapsed="false">
      <c r="A116" s="45" t="n">
        <v>105</v>
      </c>
      <c r="B116" s="46" t="s">
        <v>172</v>
      </c>
      <c r="C116" s="47" t="s">
        <v>25</v>
      </c>
      <c r="D116" s="48" t="n">
        <v>105</v>
      </c>
      <c r="E116" s="50" t="n">
        <v>16</v>
      </c>
      <c r="F116" s="47" t="s">
        <v>27</v>
      </c>
      <c r="G116" s="52" t="n">
        <f aca="false">15.68/1.2</f>
        <v>13.0666666666667</v>
      </c>
      <c r="H116" s="53" t="n">
        <f aca="false">D116*G116</f>
        <v>1372</v>
      </c>
      <c r="I116" s="53" t="s">
        <v>28</v>
      </c>
      <c r="J116" s="52" t="n">
        <f aca="false">23.17/1.2</f>
        <v>19.3083333333333</v>
      </c>
      <c r="K116" s="53" t="n">
        <f aca="false">D116*J116</f>
        <v>2027.375</v>
      </c>
      <c r="L116" s="47" t="s">
        <v>29</v>
      </c>
      <c r="M116" s="52" t="n">
        <v>15.88</v>
      </c>
      <c r="N116" s="53" t="n">
        <f aca="false">D116*M116</f>
        <v>1667.4</v>
      </c>
      <c r="O116" s="54" t="n">
        <f aca="false">AVERAGE(G116,J116,M116)</f>
        <v>16.085</v>
      </c>
      <c r="P116" s="55" t="n">
        <f aca="false">E116*100/O116-100</f>
        <v>-0.528442648430215</v>
      </c>
      <c r="Q116" s="54" t="n">
        <f aca="false">D116*E116</f>
        <v>1680</v>
      </c>
      <c r="R116" s="56"/>
      <c r="T116" s="57" t="n">
        <f aca="false">ROUND(G116*100/O116-100,0)</f>
        <v>-19</v>
      </c>
      <c r="U116" s="57" t="n">
        <f aca="false">ROUND(J116*100/O116-100,0)</f>
        <v>20</v>
      </c>
      <c r="V116" s="57" t="n">
        <f aca="false">ROUND(M116*100/O116-100,0)</f>
        <v>-1</v>
      </c>
    </row>
    <row r="117" s="43" customFormat="true" ht="73.5" hidden="false" customHeight="true" outlineLevel="0" collapsed="false">
      <c r="A117" s="45" t="n">
        <v>106</v>
      </c>
      <c r="B117" s="46" t="s">
        <v>173</v>
      </c>
      <c r="C117" s="47" t="s">
        <v>25</v>
      </c>
      <c r="D117" s="48" t="n">
        <v>4</v>
      </c>
      <c r="E117" s="50" t="n">
        <v>10739.64</v>
      </c>
      <c r="F117" s="53" t="s">
        <v>67</v>
      </c>
      <c r="G117" s="52" t="n">
        <f aca="false">12321.9/1.2</f>
        <v>10268.25</v>
      </c>
      <c r="H117" s="53" t="n">
        <f aca="false">D117*G117</f>
        <v>41073</v>
      </c>
      <c r="I117" s="47" t="s">
        <v>46</v>
      </c>
      <c r="J117" s="52" t="n">
        <v>11095.36</v>
      </c>
      <c r="K117" s="53" t="n">
        <f aca="false">D117*J117</f>
        <v>44381.44</v>
      </c>
      <c r="L117" s="53" t="s">
        <v>68</v>
      </c>
      <c r="M117" s="52" t="n">
        <v>10873.97</v>
      </c>
      <c r="N117" s="53" t="n">
        <f aca="false">D117*M117</f>
        <v>43495.88</v>
      </c>
      <c r="O117" s="54" t="n">
        <f aca="false">AVERAGE(G117,J117,M117)</f>
        <v>10745.86</v>
      </c>
      <c r="P117" s="55" t="n">
        <f aca="false">E117*100/O117-100</f>
        <v>-0.0578827567081675</v>
      </c>
      <c r="Q117" s="54" t="n">
        <f aca="false">D117*E117</f>
        <v>42958.56</v>
      </c>
      <c r="R117" s="56"/>
      <c r="T117" s="57" t="n">
        <f aca="false">ROUND(G117*100/O117-100,0)</f>
        <v>-4</v>
      </c>
      <c r="U117" s="57" t="n">
        <f aca="false">ROUND(J117*100/O117-100,0)</f>
        <v>3</v>
      </c>
      <c r="V117" s="57" t="n">
        <f aca="false">ROUND(M117*100/O117-100,0)</f>
        <v>1</v>
      </c>
    </row>
    <row r="118" s="43" customFormat="true" ht="73.5" hidden="false" customHeight="true" outlineLevel="0" collapsed="false">
      <c r="A118" s="45" t="n">
        <v>107</v>
      </c>
      <c r="B118" s="46" t="s">
        <v>174</v>
      </c>
      <c r="C118" s="47" t="s">
        <v>25</v>
      </c>
      <c r="D118" s="48" t="n">
        <v>15</v>
      </c>
      <c r="E118" s="50" t="n">
        <v>11759.65</v>
      </c>
      <c r="F118" s="53" t="s">
        <v>67</v>
      </c>
      <c r="G118" s="52" t="n">
        <f aca="false">13514.04/1.2</f>
        <v>11261.7</v>
      </c>
      <c r="H118" s="53" t="n">
        <f aca="false">D118*G118</f>
        <v>168925.5</v>
      </c>
      <c r="I118" s="47" t="s">
        <v>46</v>
      </c>
      <c r="J118" s="52" t="n">
        <v>11983.18</v>
      </c>
      <c r="K118" s="53" t="n">
        <f aca="false">D118*J118</f>
        <v>179747.7</v>
      </c>
      <c r="L118" s="53" t="s">
        <v>68</v>
      </c>
      <c r="M118" s="52" t="n">
        <v>12054.31</v>
      </c>
      <c r="N118" s="53" t="n">
        <f aca="false">D118*M118</f>
        <v>180814.65</v>
      </c>
      <c r="O118" s="54" t="n">
        <f aca="false">AVERAGE(G118,J118,M118)</f>
        <v>11766.3966666667</v>
      </c>
      <c r="P118" s="55" t="n">
        <f aca="false">E118*100/O118-100</f>
        <v>-0.0573384261791858</v>
      </c>
      <c r="Q118" s="54" t="n">
        <f aca="false">D118*E118</f>
        <v>176394.75</v>
      </c>
      <c r="R118" s="56"/>
      <c r="T118" s="57" t="n">
        <f aca="false">ROUND(G118*100/O118-100,0)</f>
        <v>-4</v>
      </c>
      <c r="U118" s="57" t="n">
        <f aca="false">ROUND(J118*100/O118-100,0)</f>
        <v>2</v>
      </c>
      <c r="V118" s="57" t="n">
        <f aca="false">ROUND(M118*100/O118-100,0)</f>
        <v>2</v>
      </c>
    </row>
    <row r="119" s="43" customFormat="true" ht="73.5" hidden="false" customHeight="true" outlineLevel="0" collapsed="false">
      <c r="A119" s="45" t="n">
        <v>108</v>
      </c>
      <c r="B119" s="46" t="s">
        <v>175</v>
      </c>
      <c r="C119" s="47" t="s">
        <v>25</v>
      </c>
      <c r="D119" s="48" t="n">
        <v>9</v>
      </c>
      <c r="E119" s="50" t="n">
        <v>853.15</v>
      </c>
      <c r="F119" s="47" t="s">
        <v>27</v>
      </c>
      <c r="G119" s="52" t="n">
        <f aca="false">961.27/1.2</f>
        <v>801.058333333333</v>
      </c>
      <c r="H119" s="53" t="n">
        <f aca="false">D119*G119</f>
        <v>7209.525</v>
      </c>
      <c r="I119" s="53" t="s">
        <v>28</v>
      </c>
      <c r="J119" s="52" t="n">
        <f aca="false">1027.26/1.2</f>
        <v>856.05</v>
      </c>
      <c r="K119" s="53" t="n">
        <f aca="false">D119*J119</f>
        <v>7704.45</v>
      </c>
      <c r="L119" s="47" t="s">
        <v>29</v>
      </c>
      <c r="M119" s="52" t="n">
        <v>911.61</v>
      </c>
      <c r="N119" s="53" t="n">
        <f aca="false">D119*M119</f>
        <v>8204.49</v>
      </c>
      <c r="O119" s="54" t="n">
        <f aca="false">AVERAGE(G119,J119,M119)</f>
        <v>856.239444444444</v>
      </c>
      <c r="P119" s="55" t="n">
        <f aca="false">E119*100/O119-100</f>
        <v>-0.360815478017244</v>
      </c>
      <c r="Q119" s="54" t="n">
        <f aca="false">D119*E119</f>
        <v>7678.35</v>
      </c>
      <c r="R119" s="56"/>
      <c r="T119" s="57" t="n">
        <f aca="false">ROUND(G119*100/O119-100,0)</f>
        <v>-6</v>
      </c>
      <c r="U119" s="57" t="n">
        <f aca="false">ROUND(J119*100/O119-100,0)</f>
        <v>-0</v>
      </c>
      <c r="V119" s="57" t="n">
        <f aca="false">ROUND(M119*100/O119-100,0)</f>
        <v>6</v>
      </c>
    </row>
    <row r="120" s="43" customFormat="true" ht="73.5" hidden="false" customHeight="true" outlineLevel="0" collapsed="false">
      <c r="A120" s="45" t="n">
        <v>109</v>
      </c>
      <c r="B120" s="46" t="s">
        <v>176</v>
      </c>
      <c r="C120" s="47" t="s">
        <v>25</v>
      </c>
      <c r="D120" s="48" t="n">
        <v>6</v>
      </c>
      <c r="E120" s="50" t="n">
        <v>1193.4</v>
      </c>
      <c r="F120" s="47" t="s">
        <v>27</v>
      </c>
      <c r="G120" s="52" t="n">
        <f aca="false">1229.06/1.2</f>
        <v>1024.21666666667</v>
      </c>
      <c r="H120" s="53" t="n">
        <f aca="false">D120*G120</f>
        <v>6145.3</v>
      </c>
      <c r="I120" s="53" t="s">
        <v>28</v>
      </c>
      <c r="J120" s="52" t="n">
        <f aca="false">1512.89/1.2</f>
        <v>1260.74166666667</v>
      </c>
      <c r="K120" s="53" t="n">
        <f aca="false">D120*J120</f>
        <v>7564.45</v>
      </c>
      <c r="L120" s="47" t="s">
        <v>29</v>
      </c>
      <c r="M120" s="52" t="n">
        <v>1302.32</v>
      </c>
      <c r="N120" s="53" t="n">
        <f aca="false">D120*M120</f>
        <v>7813.92</v>
      </c>
      <c r="O120" s="54" t="n">
        <f aca="false">AVERAGE(G120,J120,M120)</f>
        <v>1195.75944444444</v>
      </c>
      <c r="P120" s="55" t="n">
        <f aca="false">E120*100/O120-100</f>
        <v>-0.197317650753803</v>
      </c>
      <c r="Q120" s="54" t="n">
        <f aca="false">D120*E120</f>
        <v>7160.4</v>
      </c>
      <c r="R120" s="56"/>
      <c r="T120" s="57" t="n">
        <f aca="false">ROUND(G120*100/O120-100,0)</f>
        <v>-14</v>
      </c>
      <c r="U120" s="57" t="n">
        <f aca="false">ROUND(J120*100/O120-100,0)</f>
        <v>5</v>
      </c>
      <c r="V120" s="57" t="n">
        <f aca="false">ROUND(M120*100/O120-100,0)</f>
        <v>9</v>
      </c>
    </row>
    <row r="121" s="43" customFormat="true" ht="73.5" hidden="false" customHeight="true" outlineLevel="0" collapsed="false">
      <c r="A121" s="45" t="n">
        <v>110</v>
      </c>
      <c r="B121" s="46" t="s">
        <v>177</v>
      </c>
      <c r="C121" s="47" t="s">
        <v>25</v>
      </c>
      <c r="D121" s="48" t="n">
        <v>1</v>
      </c>
      <c r="E121" s="50" t="n">
        <v>1120.3</v>
      </c>
      <c r="F121" s="47" t="s">
        <v>27</v>
      </c>
      <c r="G121" s="52" t="n">
        <f aca="false">1283.51/1.2</f>
        <v>1069.59166666667</v>
      </c>
      <c r="H121" s="53" t="n">
        <f aca="false">D121*G121</f>
        <v>1069.59166666667</v>
      </c>
      <c r="I121" s="53" t="s">
        <v>28</v>
      </c>
      <c r="J121" s="52" t="n">
        <f aca="false">1330.68/1.2</f>
        <v>1108.9</v>
      </c>
      <c r="K121" s="53" t="n">
        <f aca="false">D121*J121</f>
        <v>1108.9</v>
      </c>
      <c r="L121" s="47" t="s">
        <v>29</v>
      </c>
      <c r="M121" s="52" t="n">
        <v>1187.84</v>
      </c>
      <c r="N121" s="53" t="n">
        <f aca="false">D121*M121</f>
        <v>1187.84</v>
      </c>
      <c r="O121" s="54" t="n">
        <f aca="false">AVERAGE(G121,J121,M121)</f>
        <v>1122.11055555556</v>
      </c>
      <c r="P121" s="55" t="n">
        <f aca="false">E121*100/O121-100</f>
        <v>-0.161352689054723</v>
      </c>
      <c r="Q121" s="54" t="n">
        <f aca="false">D121*E121</f>
        <v>1120.3</v>
      </c>
      <c r="R121" s="56"/>
      <c r="T121" s="57" t="n">
        <f aca="false">ROUND(G121*100/O121-100,0)</f>
        <v>-5</v>
      </c>
      <c r="U121" s="57" t="n">
        <f aca="false">ROUND(J121*100/O121-100,0)</f>
        <v>-1</v>
      </c>
      <c r="V121" s="57" t="n">
        <f aca="false">ROUND(M121*100/O121-100,0)</f>
        <v>6</v>
      </c>
    </row>
    <row r="122" s="43" customFormat="true" ht="73.5" hidden="false" customHeight="true" outlineLevel="0" collapsed="false">
      <c r="A122" s="45" t="n">
        <v>111</v>
      </c>
      <c r="B122" s="46" t="s">
        <v>178</v>
      </c>
      <c r="C122" s="47" t="s">
        <v>25</v>
      </c>
      <c r="D122" s="48" t="n">
        <v>1</v>
      </c>
      <c r="E122" s="50" t="n">
        <v>3390.15</v>
      </c>
      <c r="F122" s="47" t="s">
        <v>27</v>
      </c>
      <c r="G122" s="52" t="n">
        <f aca="false">3848.77/1.2</f>
        <v>3207.30833333333</v>
      </c>
      <c r="H122" s="53" t="n">
        <f aca="false">D122*G122</f>
        <v>3207.30833333333</v>
      </c>
      <c r="I122" s="53" t="s">
        <v>28</v>
      </c>
      <c r="J122" s="52" t="n">
        <f aca="false">4213.88/1.2</f>
        <v>3511.56666666667</v>
      </c>
      <c r="K122" s="53" t="n">
        <f aca="false">D122*J122</f>
        <v>3511.56666666667</v>
      </c>
      <c r="L122" s="47" t="s">
        <v>29</v>
      </c>
      <c r="M122" s="52" t="n">
        <v>3461.03</v>
      </c>
      <c r="N122" s="53" t="n">
        <f aca="false">D122*M122</f>
        <v>3461.03</v>
      </c>
      <c r="O122" s="54" t="n">
        <f aca="false">AVERAGE(G122,J122,M122)</f>
        <v>3393.30166666667</v>
      </c>
      <c r="P122" s="55" t="n">
        <f aca="false">E122*100/O122-100</f>
        <v>-0.092879059283959</v>
      </c>
      <c r="Q122" s="54" t="n">
        <f aca="false">D122*E122</f>
        <v>3390.15</v>
      </c>
      <c r="R122" s="56"/>
      <c r="T122" s="57" t="n">
        <f aca="false">ROUND(G122*100/O122-100,0)</f>
        <v>-5</v>
      </c>
      <c r="U122" s="57" t="n">
        <f aca="false">ROUND(J122*100/O122-100,0)</f>
        <v>3</v>
      </c>
      <c r="V122" s="57" t="n">
        <f aca="false">ROUND(M122*100/O122-100,0)</f>
        <v>2</v>
      </c>
    </row>
    <row r="123" s="43" customFormat="true" ht="73.5" hidden="false" customHeight="true" outlineLevel="0" collapsed="false">
      <c r="A123" s="45" t="n">
        <v>112</v>
      </c>
      <c r="B123" s="46" t="s">
        <v>179</v>
      </c>
      <c r="C123" s="47" t="s">
        <v>25</v>
      </c>
      <c r="D123" s="48" t="n">
        <v>3</v>
      </c>
      <c r="E123" s="50" t="n">
        <v>2777.4</v>
      </c>
      <c r="F123" s="47" t="s">
        <v>27</v>
      </c>
      <c r="G123" s="52" t="n">
        <f aca="false">3306.94/1.2</f>
        <v>2755.78333333333</v>
      </c>
      <c r="H123" s="53" t="n">
        <f aca="false">D123*G123</f>
        <v>8267.35</v>
      </c>
      <c r="I123" s="53" t="s">
        <v>28</v>
      </c>
      <c r="J123" s="52" t="n">
        <f aca="false">3452.2/1.2</f>
        <v>2876.83333333333</v>
      </c>
      <c r="K123" s="53" t="n">
        <f aca="false">D123*J123</f>
        <v>8630.5</v>
      </c>
      <c r="L123" s="47" t="s">
        <v>29</v>
      </c>
      <c r="M123" s="52" t="n">
        <v>2703.98</v>
      </c>
      <c r="N123" s="53" t="n">
        <f aca="false">D123*M123</f>
        <v>8111.94</v>
      </c>
      <c r="O123" s="54" t="n">
        <f aca="false">AVERAGE(G123,J123,M123)</f>
        <v>2778.86555555556</v>
      </c>
      <c r="P123" s="55" t="n">
        <f aca="false">E123*100/O123-100</f>
        <v>-0.0527393472716113</v>
      </c>
      <c r="Q123" s="54" t="n">
        <f aca="false">D123*E123</f>
        <v>8332.2</v>
      </c>
      <c r="R123" s="56"/>
      <c r="T123" s="57" t="n">
        <f aca="false">ROUND(G123*100/O123-100,0)</f>
        <v>-1</v>
      </c>
      <c r="U123" s="57" t="n">
        <f aca="false">ROUND(J123*100/O123-100,0)</f>
        <v>4</v>
      </c>
      <c r="V123" s="57" t="n">
        <f aca="false">ROUND(M123*100/O123-100,0)</f>
        <v>-3</v>
      </c>
    </row>
    <row r="124" s="43" customFormat="true" ht="73.5" hidden="false" customHeight="true" outlineLevel="0" collapsed="false">
      <c r="A124" s="45" t="n">
        <v>113</v>
      </c>
      <c r="B124" s="46" t="s">
        <v>180</v>
      </c>
      <c r="C124" s="47" t="s">
        <v>25</v>
      </c>
      <c r="D124" s="48" t="s">
        <v>181</v>
      </c>
      <c r="E124" s="50" t="n">
        <v>5200</v>
      </c>
      <c r="F124" s="47" t="s">
        <v>27</v>
      </c>
      <c r="G124" s="52" t="n">
        <f aca="false">6026.51/1.2</f>
        <v>5022.09166666667</v>
      </c>
      <c r="H124" s="53" t="n">
        <f aca="false">D124*G124</f>
        <v>140618.566666667</v>
      </c>
      <c r="I124" s="53" t="s">
        <v>28</v>
      </c>
      <c r="J124" s="52" t="n">
        <f aca="false">6712.45/1.2</f>
        <v>5593.70833333333</v>
      </c>
      <c r="K124" s="53" t="n">
        <f aca="false">D124*J124</f>
        <v>156623.833333333</v>
      </c>
      <c r="L124" s="47" t="s">
        <v>29</v>
      </c>
      <c r="M124" s="52" t="n">
        <v>5007.33</v>
      </c>
      <c r="N124" s="53" t="n">
        <f aca="false">D124*M124</f>
        <v>140205.24</v>
      </c>
      <c r="O124" s="54" t="n">
        <f aca="false">AVERAGE(G124,J124,M124)</f>
        <v>5207.71</v>
      </c>
      <c r="P124" s="55" t="n">
        <f aca="false">E124*100/O124-100</f>
        <v>-0.148049718590315</v>
      </c>
      <c r="Q124" s="54" t="n">
        <f aca="false">D124*E124</f>
        <v>145600</v>
      </c>
      <c r="R124" s="56"/>
      <c r="T124" s="57" t="n">
        <f aca="false">ROUND(G124*100/O124-100,0)</f>
        <v>-4</v>
      </c>
      <c r="U124" s="57" t="n">
        <f aca="false">ROUND(J124*100/O124-100,0)</f>
        <v>7</v>
      </c>
      <c r="V124" s="57" t="n">
        <f aca="false">ROUND(M124*100/O124-100,0)</f>
        <v>-4</v>
      </c>
    </row>
    <row r="125" s="43" customFormat="true" ht="73.5" hidden="false" customHeight="true" outlineLevel="0" collapsed="false">
      <c r="A125" s="45" t="n">
        <v>114</v>
      </c>
      <c r="B125" s="46" t="s">
        <v>182</v>
      </c>
      <c r="C125" s="47" t="s">
        <v>25</v>
      </c>
      <c r="D125" s="48" t="n">
        <v>1</v>
      </c>
      <c r="E125" s="50" t="n">
        <v>3320.5</v>
      </c>
      <c r="F125" s="47" t="s">
        <v>27</v>
      </c>
      <c r="G125" s="52" t="n">
        <f aca="false">3946.52/1.2</f>
        <v>3288.76666666667</v>
      </c>
      <c r="H125" s="53" t="n">
        <f aca="false">D125*G125</f>
        <v>3288.76666666667</v>
      </c>
      <c r="I125" s="53" t="s">
        <v>28</v>
      </c>
      <c r="J125" s="52" t="n">
        <f aca="false">3861.14/1.2</f>
        <v>3217.61666666667</v>
      </c>
      <c r="K125" s="53" t="n">
        <f aca="false">D125*J125</f>
        <v>3217.61666666667</v>
      </c>
      <c r="L125" s="47" t="s">
        <v>29</v>
      </c>
      <c r="M125" s="52" t="n">
        <v>3471.09</v>
      </c>
      <c r="N125" s="53" t="n">
        <f aca="false">D125*M125</f>
        <v>3471.09</v>
      </c>
      <c r="O125" s="54" t="n">
        <f aca="false">AVERAGE(G125,J125,M125)</f>
        <v>3325.82444444444</v>
      </c>
      <c r="P125" s="55" t="n">
        <f aca="false">E125*100/O125-100</f>
        <v>-0.160093971686891</v>
      </c>
      <c r="Q125" s="54" t="n">
        <f aca="false">D125*E125</f>
        <v>3320.5</v>
      </c>
      <c r="R125" s="56"/>
      <c r="T125" s="57" t="n">
        <f aca="false">ROUND(G125*100/O125-100,0)</f>
        <v>-1</v>
      </c>
      <c r="U125" s="57" t="n">
        <f aca="false">ROUND(J125*100/O125-100,0)</f>
        <v>-3</v>
      </c>
      <c r="V125" s="57" t="n">
        <f aca="false">ROUND(M125*100/O125-100,0)</f>
        <v>4</v>
      </c>
    </row>
    <row r="126" s="43" customFormat="true" ht="73.5" hidden="false" customHeight="true" outlineLevel="0" collapsed="false">
      <c r="A126" s="45" t="n">
        <v>115</v>
      </c>
      <c r="B126" s="46" t="s">
        <v>183</v>
      </c>
      <c r="C126" s="47" t="s">
        <v>25</v>
      </c>
      <c r="D126" s="48" t="n">
        <v>60</v>
      </c>
      <c r="E126" s="94" t="n">
        <v>3393.6</v>
      </c>
      <c r="F126" s="47" t="s">
        <v>491</v>
      </c>
      <c r="G126" s="52" t="n">
        <v>3389.33</v>
      </c>
      <c r="H126" s="53" t="n">
        <f aca="false">D126*G126</f>
        <v>203359.8</v>
      </c>
      <c r="I126" s="97" t="s">
        <v>492</v>
      </c>
      <c r="J126" s="96" t="n">
        <f aca="false">4112/1.2</f>
        <v>3426.66666666667</v>
      </c>
      <c r="K126" s="53" t="n">
        <f aca="false">D126*J126</f>
        <v>205600</v>
      </c>
      <c r="L126" s="97" t="s">
        <v>493</v>
      </c>
      <c r="M126" s="96" t="n">
        <f aca="false">4038/1.2</f>
        <v>3365</v>
      </c>
      <c r="N126" s="53" t="n">
        <f aca="false">D126*M126</f>
        <v>201900</v>
      </c>
      <c r="O126" s="54" t="n">
        <f aca="false">AVERAGE(G126,J126,M126)</f>
        <v>3393.66555555556</v>
      </c>
      <c r="P126" s="55" t="n">
        <f aca="false">E126*100/O126-100</f>
        <v>-0.0019317034776094</v>
      </c>
      <c r="Q126" s="54" t="n">
        <f aca="false">D126*E126</f>
        <v>203616</v>
      </c>
      <c r="R126" s="83" t="s">
        <v>494</v>
      </c>
      <c r="T126" s="57" t="n">
        <f aca="false">ROUND(G126*100/O126-100,0)</f>
        <v>-0</v>
      </c>
      <c r="U126" s="57" t="n">
        <f aca="false">ROUND(J126*100/O126-100,0)</f>
        <v>1</v>
      </c>
      <c r="V126" s="57" t="n">
        <f aca="false">ROUND(M126*100/O126-100,0)</f>
        <v>-1</v>
      </c>
    </row>
    <row r="127" s="43" customFormat="true" ht="73.5" hidden="false" customHeight="true" outlineLevel="0" collapsed="false">
      <c r="A127" s="45" t="n">
        <v>116</v>
      </c>
      <c r="B127" s="46" t="s">
        <v>184</v>
      </c>
      <c r="C127" s="47" t="s">
        <v>25</v>
      </c>
      <c r="D127" s="48" t="n">
        <v>5</v>
      </c>
      <c r="E127" s="50" t="n">
        <v>1825</v>
      </c>
      <c r="F127" s="47" t="s">
        <v>27</v>
      </c>
      <c r="G127" s="52" t="n">
        <f aca="false">2172.67/1.2</f>
        <v>1810.55833333333</v>
      </c>
      <c r="H127" s="53" t="n">
        <f aca="false">D127*G127</f>
        <v>9052.79166666667</v>
      </c>
      <c r="I127" s="53" t="s">
        <v>28</v>
      </c>
      <c r="J127" s="52" t="n">
        <f aca="false">2232.5/1.2</f>
        <v>1860.41666666667</v>
      </c>
      <c r="K127" s="53" t="n">
        <f aca="false">D127*J127</f>
        <v>9302.08333333333</v>
      </c>
      <c r="L127" s="47" t="s">
        <v>29</v>
      </c>
      <c r="M127" s="52" t="n">
        <v>1807.53</v>
      </c>
      <c r="N127" s="53" t="n">
        <f aca="false">D127*M127</f>
        <v>9037.65</v>
      </c>
      <c r="O127" s="54" t="n">
        <f aca="false">AVERAGE(G127,J127,M127)</f>
        <v>1826.16833333333</v>
      </c>
      <c r="P127" s="55" t="n">
        <f aca="false">E127*100/O127-100</f>
        <v>-0.0639773076779164</v>
      </c>
      <c r="Q127" s="54" t="n">
        <f aca="false">D127*E127</f>
        <v>9125</v>
      </c>
      <c r="R127" s="56"/>
      <c r="T127" s="57" t="n">
        <f aca="false">ROUND(G127*100/O127-100,0)</f>
        <v>-1</v>
      </c>
      <c r="U127" s="57" t="n">
        <f aca="false">ROUND(J127*100/O127-100,0)</f>
        <v>2</v>
      </c>
      <c r="V127" s="57" t="n">
        <f aca="false">ROUND(M127*100/O127-100,0)</f>
        <v>-1</v>
      </c>
    </row>
    <row r="128" s="43" customFormat="true" ht="73.5" hidden="false" customHeight="true" outlineLevel="0" collapsed="false">
      <c r="A128" s="45" t="n">
        <v>117</v>
      </c>
      <c r="B128" s="46" t="s">
        <v>185</v>
      </c>
      <c r="C128" s="47" t="s">
        <v>25</v>
      </c>
      <c r="D128" s="48" t="n">
        <v>4</v>
      </c>
      <c r="E128" s="50" t="n">
        <v>65.3</v>
      </c>
      <c r="F128" s="47" t="s">
        <v>27</v>
      </c>
      <c r="G128" s="52" t="n">
        <f aca="false">76.58/1.2</f>
        <v>63.8166666666667</v>
      </c>
      <c r="H128" s="53" t="n">
        <f aca="false">D128*G128</f>
        <v>255.266666666667</v>
      </c>
      <c r="I128" s="53" t="s">
        <v>28</v>
      </c>
      <c r="J128" s="52" t="n">
        <f aca="false">75.56/1.2</f>
        <v>62.9666666666667</v>
      </c>
      <c r="K128" s="53" t="n">
        <f aca="false">D128*J128</f>
        <v>251.866666666667</v>
      </c>
      <c r="L128" s="47" t="s">
        <v>29</v>
      </c>
      <c r="M128" s="52" t="n">
        <v>70.62</v>
      </c>
      <c r="N128" s="53" t="n">
        <f aca="false">D128*M128</f>
        <v>282.48</v>
      </c>
      <c r="O128" s="54" t="n">
        <f aca="false">AVERAGE(G128,J128,M128)</f>
        <v>65.8011111111111</v>
      </c>
      <c r="P128" s="55" t="n">
        <f aca="false">E128*100/O128-100</f>
        <v>-0.761554178416446</v>
      </c>
      <c r="Q128" s="54" t="n">
        <f aca="false">D128*E128</f>
        <v>261.2</v>
      </c>
      <c r="R128" s="56"/>
      <c r="T128" s="57" t="n">
        <f aca="false">ROUND(G128*100/O128-100,0)</f>
        <v>-3</v>
      </c>
      <c r="U128" s="57" t="n">
        <f aca="false">ROUND(J128*100/O128-100,0)</f>
        <v>-4</v>
      </c>
      <c r="V128" s="57" t="n">
        <f aca="false">ROUND(M128*100/O128-100,0)</f>
        <v>7</v>
      </c>
    </row>
    <row r="129" s="43" customFormat="true" ht="73.5" hidden="false" customHeight="true" outlineLevel="0" collapsed="false">
      <c r="A129" s="45" t="n">
        <v>118</v>
      </c>
      <c r="B129" s="46" t="s">
        <v>186</v>
      </c>
      <c r="C129" s="47" t="s">
        <v>25</v>
      </c>
      <c r="D129" s="48" t="n">
        <v>2</v>
      </c>
      <c r="E129" s="50" t="n">
        <v>65.01</v>
      </c>
      <c r="F129" s="47" t="s">
        <v>27</v>
      </c>
      <c r="G129" s="52" t="n">
        <f aca="false">74.03/1.2</f>
        <v>61.6916666666667</v>
      </c>
      <c r="H129" s="53" t="n">
        <f aca="false">D129*G129</f>
        <v>123.383333333333</v>
      </c>
      <c r="I129" s="53" t="s">
        <v>28</v>
      </c>
      <c r="J129" s="52" t="n">
        <f aca="false">76.66/1.2</f>
        <v>63.8833333333333</v>
      </c>
      <c r="K129" s="53" t="n">
        <f aca="false">D129*J129</f>
        <v>127.766666666667</v>
      </c>
      <c r="L129" s="47" t="s">
        <v>29</v>
      </c>
      <c r="M129" s="52" t="n">
        <v>69.74</v>
      </c>
      <c r="N129" s="53" t="n">
        <f aca="false">D129*M129</f>
        <v>139.48</v>
      </c>
      <c r="O129" s="54" t="n">
        <f aca="false">AVERAGE(G129,J129,M129)</f>
        <v>65.105</v>
      </c>
      <c r="P129" s="55" t="n">
        <f aca="false">E129*100/O129-100</f>
        <v>-0.1459181322479</v>
      </c>
      <c r="Q129" s="54" t="n">
        <f aca="false">D129*E129</f>
        <v>130.02</v>
      </c>
      <c r="R129" s="56"/>
      <c r="T129" s="57" t="n">
        <f aca="false">ROUND(G129*100/O129-100,0)</f>
        <v>-5</v>
      </c>
      <c r="U129" s="57" t="n">
        <f aca="false">ROUND(J129*100/O129-100,0)</f>
        <v>-2</v>
      </c>
      <c r="V129" s="57" t="n">
        <f aca="false">ROUND(M129*100/O129-100,0)</f>
        <v>7</v>
      </c>
    </row>
    <row r="130" s="43" customFormat="true" ht="73.5" hidden="false" customHeight="true" outlineLevel="0" collapsed="false">
      <c r="A130" s="45" t="n">
        <v>119</v>
      </c>
      <c r="B130" s="46" t="s">
        <v>187</v>
      </c>
      <c r="C130" s="47" t="s">
        <v>25</v>
      </c>
      <c r="D130" s="48" t="n">
        <v>4</v>
      </c>
      <c r="E130" s="50" t="n">
        <v>133.1</v>
      </c>
      <c r="F130" s="47" t="s">
        <v>27</v>
      </c>
      <c r="G130" s="52" t="n">
        <f aca="false">149.48/1.2</f>
        <v>124.566666666667</v>
      </c>
      <c r="H130" s="53" t="n">
        <f aca="false">D130*G130</f>
        <v>498.266666666667</v>
      </c>
      <c r="I130" s="53" t="s">
        <v>28</v>
      </c>
      <c r="J130" s="52" t="n">
        <f aca="false">167.56/1.2</f>
        <v>139.633333333333</v>
      </c>
      <c r="K130" s="53" t="n">
        <f aca="false">D130*J130</f>
        <v>558.533333333333</v>
      </c>
      <c r="L130" s="47" t="s">
        <v>29</v>
      </c>
      <c r="M130" s="52" t="n">
        <v>136.08</v>
      </c>
      <c r="N130" s="53" t="n">
        <f aca="false">D130*M130</f>
        <v>544.32</v>
      </c>
      <c r="O130" s="54" t="n">
        <f aca="false">AVERAGE(G130,J130,M130)</f>
        <v>133.426666666667</v>
      </c>
      <c r="P130" s="55" t="n">
        <f aca="false">E130*100/O130-100</f>
        <v>-0.244828619966029</v>
      </c>
      <c r="Q130" s="54" t="n">
        <f aca="false">D130*E130</f>
        <v>532.4</v>
      </c>
      <c r="R130" s="56"/>
      <c r="T130" s="57" t="n">
        <f aca="false">ROUND(G130*100/O130-100,0)</f>
        <v>-7</v>
      </c>
      <c r="U130" s="57" t="n">
        <f aca="false">ROUND(J130*100/O130-100,0)</f>
        <v>5</v>
      </c>
      <c r="V130" s="57" t="n">
        <f aca="false">ROUND(M130*100/O130-100,0)</f>
        <v>2</v>
      </c>
    </row>
    <row r="131" s="43" customFormat="true" ht="73.5" hidden="false" customHeight="true" outlineLevel="0" collapsed="false">
      <c r="A131" s="45" t="n">
        <v>120</v>
      </c>
      <c r="B131" s="46" t="s">
        <v>188</v>
      </c>
      <c r="C131" s="47" t="s">
        <v>53</v>
      </c>
      <c r="D131" s="48" t="n">
        <v>58.65</v>
      </c>
      <c r="E131" s="50" t="n">
        <v>1090.4</v>
      </c>
      <c r="F131" s="47" t="s">
        <v>90</v>
      </c>
      <c r="G131" s="52" t="n">
        <f aca="false">1238.89/1.2</f>
        <v>1032.40833333333</v>
      </c>
      <c r="H131" s="53" t="n">
        <f aca="false">D131*G131</f>
        <v>60550.74875</v>
      </c>
      <c r="I131" s="47" t="s">
        <v>189</v>
      </c>
      <c r="J131" s="52" t="n">
        <f aca="false">1320.83/1.2</f>
        <v>1100.69166666667</v>
      </c>
      <c r="K131" s="53" t="n">
        <f aca="false">D131*J131</f>
        <v>64555.56625</v>
      </c>
      <c r="L131" s="47" t="s">
        <v>149</v>
      </c>
      <c r="M131" s="52" t="n">
        <f aca="false">1385.5/1.2</f>
        <v>1154.58333333333</v>
      </c>
      <c r="N131" s="53" t="n">
        <f aca="false">D131*M131</f>
        <v>67716.3125</v>
      </c>
      <c r="O131" s="54" t="n">
        <f aca="false">AVERAGE(G131,J131,M131)</f>
        <v>1095.89444444444</v>
      </c>
      <c r="P131" s="55" t="n">
        <f aca="false">E131*100/O131-100</f>
        <v>-0.501366210249344</v>
      </c>
      <c r="Q131" s="54" t="n">
        <f aca="false">D131*E131</f>
        <v>63951.96</v>
      </c>
      <c r="R131" s="67"/>
      <c r="S131" s="68"/>
      <c r="T131" s="57" t="n">
        <f aca="false">ROUND(G131*100/O131-100,0)</f>
        <v>-6</v>
      </c>
      <c r="U131" s="57" t="n">
        <f aca="false">ROUND(J131*100/O131-100,0)</f>
        <v>0</v>
      </c>
      <c r="V131" s="57" t="n">
        <f aca="false">ROUND(M131*100/O131-100,0)</f>
        <v>5</v>
      </c>
    </row>
    <row r="132" s="43" customFormat="true" ht="73.5" hidden="false" customHeight="true" outlineLevel="0" collapsed="false">
      <c r="A132" s="45" t="n">
        <v>121</v>
      </c>
      <c r="B132" s="46" t="s">
        <v>190</v>
      </c>
      <c r="C132" s="47" t="s">
        <v>53</v>
      </c>
      <c r="D132" s="48" t="s">
        <v>191</v>
      </c>
      <c r="E132" s="50" t="n">
        <v>2710.82</v>
      </c>
      <c r="F132" s="47" t="s">
        <v>90</v>
      </c>
      <c r="G132" s="52" t="n">
        <f aca="false">3111.11/1.2</f>
        <v>2592.59166666667</v>
      </c>
      <c r="H132" s="53" t="n">
        <f aca="false">D132*G132</f>
        <v>2851.85083333333</v>
      </c>
      <c r="I132" s="47" t="s">
        <v>189</v>
      </c>
      <c r="J132" s="52" t="n">
        <f aca="false">3185.77/1.2</f>
        <v>2654.80833333333</v>
      </c>
      <c r="K132" s="53" t="n">
        <f aca="false">D132*J132</f>
        <v>2920.28916666667</v>
      </c>
      <c r="L132" s="47" t="s">
        <v>149</v>
      </c>
      <c r="M132" s="52" t="n">
        <f aca="false">3480.8/1.2</f>
        <v>2900.66666666667</v>
      </c>
      <c r="N132" s="53" t="n">
        <f aca="false">D132*M132</f>
        <v>3190.73333333333</v>
      </c>
      <c r="O132" s="54" t="n">
        <f aca="false">AVERAGE(G132,J132,M132)</f>
        <v>2716.02222222222</v>
      </c>
      <c r="P132" s="55" t="n">
        <f aca="false">E132*100/O132-100</f>
        <v>-0.191538279019156</v>
      </c>
      <c r="Q132" s="54" t="n">
        <f aca="false">D132*E132</f>
        <v>2981.902</v>
      </c>
      <c r="R132" s="67"/>
      <c r="T132" s="57" t="n">
        <f aca="false">ROUND(G132*100/O132-100,0)</f>
        <v>-5</v>
      </c>
      <c r="U132" s="57" t="n">
        <f aca="false">ROUND(J132*100/O132-100,0)</f>
        <v>-2</v>
      </c>
      <c r="V132" s="57" t="n">
        <f aca="false">ROUND(M132*100/O132-100,0)</f>
        <v>7</v>
      </c>
    </row>
    <row r="133" s="43" customFormat="true" ht="73.5" hidden="false" customHeight="true" outlineLevel="0" collapsed="false">
      <c r="A133" s="45" t="n">
        <v>122</v>
      </c>
      <c r="B133" s="46" t="s">
        <v>192</v>
      </c>
      <c r="C133" s="47" t="s">
        <v>53</v>
      </c>
      <c r="D133" s="48" t="s">
        <v>193</v>
      </c>
      <c r="E133" s="50" t="n">
        <v>2701.65</v>
      </c>
      <c r="F133" s="47" t="s">
        <v>90</v>
      </c>
      <c r="G133" s="52" t="n">
        <f aca="false">3166.67/1.2</f>
        <v>2638.89166666667</v>
      </c>
      <c r="H133" s="53" t="n">
        <f aca="false">D133*G133</f>
        <v>8180.56416666667</v>
      </c>
      <c r="I133" s="47" t="s">
        <v>189</v>
      </c>
      <c r="J133" s="52" t="n">
        <f aca="false">3135.29/1.2</f>
        <v>2612.74166666667</v>
      </c>
      <c r="K133" s="53" t="n">
        <f aca="false">D133*J133</f>
        <v>8099.49916666667</v>
      </c>
      <c r="L133" s="47" t="s">
        <v>149</v>
      </c>
      <c r="M133" s="52" t="n">
        <f aca="false">3514.09/1.2</f>
        <v>2928.40833333333</v>
      </c>
      <c r="N133" s="53" t="n">
        <f aca="false">D133*M133</f>
        <v>9078.06583333333</v>
      </c>
      <c r="O133" s="54" t="n">
        <f aca="false">AVERAGE(G133,J133,M133)</f>
        <v>2726.68055555556</v>
      </c>
      <c r="P133" s="55" t="n">
        <f aca="false">E133*100/O133-100</f>
        <v>-0.917986359075215</v>
      </c>
      <c r="Q133" s="54" t="n">
        <f aca="false">D133*E133</f>
        <v>8375.115</v>
      </c>
      <c r="R133" s="67"/>
      <c r="T133" s="57" t="n">
        <f aca="false">ROUND(G133*100/O133-100,0)</f>
        <v>-3</v>
      </c>
      <c r="U133" s="57" t="n">
        <f aca="false">ROUND(J133*100/O133-100,0)</f>
        <v>-4</v>
      </c>
      <c r="V133" s="57" t="n">
        <f aca="false">ROUND(M133*100/O133-100,0)</f>
        <v>7</v>
      </c>
    </row>
    <row r="134" s="43" customFormat="true" ht="73.5" hidden="false" customHeight="true" outlineLevel="0" collapsed="false">
      <c r="A134" s="45" t="n">
        <v>123</v>
      </c>
      <c r="B134" s="46" t="s">
        <v>194</v>
      </c>
      <c r="C134" s="47" t="s">
        <v>53</v>
      </c>
      <c r="D134" s="48" t="n">
        <v>10</v>
      </c>
      <c r="E134" s="50" t="n">
        <v>1478.6</v>
      </c>
      <c r="F134" s="47" t="s">
        <v>90</v>
      </c>
      <c r="G134" s="52" t="n">
        <f aca="false">1725.55/1.2</f>
        <v>1437.95833333333</v>
      </c>
      <c r="H134" s="53" t="n">
        <f aca="false">D134*G134</f>
        <v>14379.5833333333</v>
      </c>
      <c r="I134" s="47" t="s">
        <v>189</v>
      </c>
      <c r="J134" s="52" t="n">
        <f aca="false">1741.12/1.2</f>
        <v>1450.93333333333</v>
      </c>
      <c r="K134" s="53" t="n">
        <f aca="false">D134*J134</f>
        <v>14509.3333333333</v>
      </c>
      <c r="L134" s="47" t="s">
        <v>149</v>
      </c>
      <c r="M134" s="52" t="n">
        <f aca="false">1865.66/1.2</f>
        <v>1554.71666666667</v>
      </c>
      <c r="N134" s="53" t="n">
        <f aca="false">D134*M134</f>
        <v>15547.1666666667</v>
      </c>
      <c r="O134" s="54" t="n">
        <f aca="false">AVERAGE(G134,J134,M134)</f>
        <v>1481.20277777778</v>
      </c>
      <c r="P134" s="55" t="n">
        <f aca="false">E134*100/O134-100</f>
        <v>-0.175720557429869</v>
      </c>
      <c r="Q134" s="54" t="n">
        <f aca="false">D134*E134</f>
        <v>14786</v>
      </c>
      <c r="R134" s="67"/>
      <c r="T134" s="57" t="n">
        <f aca="false">ROUND(G134*100/O134-100,0)</f>
        <v>-3</v>
      </c>
      <c r="U134" s="57" t="n">
        <f aca="false">ROUND(J134*100/O134-100,0)</f>
        <v>-2</v>
      </c>
      <c r="V134" s="57" t="n">
        <f aca="false">ROUND(M134*100/O134-100,0)</f>
        <v>5</v>
      </c>
    </row>
    <row r="135" s="43" customFormat="true" ht="73.5" hidden="false" customHeight="true" outlineLevel="0" collapsed="false">
      <c r="A135" s="45" t="n">
        <v>124</v>
      </c>
      <c r="B135" s="46" t="s">
        <v>195</v>
      </c>
      <c r="C135" s="47" t="s">
        <v>53</v>
      </c>
      <c r="D135" s="48" t="n">
        <v>15</v>
      </c>
      <c r="E135" s="50" t="n">
        <v>1369.87</v>
      </c>
      <c r="F135" s="47" t="s">
        <v>90</v>
      </c>
      <c r="G135" s="52" t="n">
        <f aca="false">1505.56/1.2</f>
        <v>1254.63333333333</v>
      </c>
      <c r="H135" s="53" t="n">
        <f aca="false">D135*G135</f>
        <v>18819.5</v>
      </c>
      <c r="I135" s="47" t="s">
        <v>189</v>
      </c>
      <c r="J135" s="52" t="n">
        <f aca="false">1637.46/1.2</f>
        <v>1364.55</v>
      </c>
      <c r="K135" s="53" t="n">
        <f aca="false">D135*J135</f>
        <v>20468.25</v>
      </c>
      <c r="L135" s="47" t="s">
        <v>149</v>
      </c>
      <c r="M135" s="52" t="n">
        <f aca="false">1805.2/1.2</f>
        <v>1504.33333333333</v>
      </c>
      <c r="N135" s="53" t="n">
        <f aca="false">D135*M135</f>
        <v>22565</v>
      </c>
      <c r="O135" s="54" t="n">
        <f aca="false">AVERAGE(G135,J135,M135)</f>
        <v>1374.50555555556</v>
      </c>
      <c r="P135" s="55" t="n">
        <f aca="false">E135*100/O135-100</f>
        <v>-0.337252587799256</v>
      </c>
      <c r="Q135" s="54" t="n">
        <f aca="false">D135*E135</f>
        <v>20548.05</v>
      </c>
      <c r="R135" s="67"/>
      <c r="T135" s="57" t="n">
        <f aca="false">ROUND(G135*100/O135-100,0)</f>
        <v>-9</v>
      </c>
      <c r="U135" s="57" t="n">
        <f aca="false">ROUND(J135*100/O135-100,0)</f>
        <v>-1</v>
      </c>
      <c r="V135" s="57" t="n">
        <f aca="false">ROUND(M135*100/O135-100,0)</f>
        <v>9</v>
      </c>
    </row>
    <row r="136" s="43" customFormat="true" ht="73.5" hidden="false" customHeight="true" outlineLevel="0" collapsed="false">
      <c r="A136" s="45" t="n">
        <v>125</v>
      </c>
      <c r="B136" s="46" t="s">
        <v>196</v>
      </c>
      <c r="C136" s="47" t="s">
        <v>53</v>
      </c>
      <c r="D136" s="48" t="s">
        <v>191</v>
      </c>
      <c r="E136" s="50" t="n">
        <v>1878.3</v>
      </c>
      <c r="F136" s="47" t="s">
        <v>90</v>
      </c>
      <c r="G136" s="52" t="n">
        <f aca="false">2222.22/1.2</f>
        <v>1851.85</v>
      </c>
      <c r="H136" s="53" t="n">
        <f aca="false">D136*G136</f>
        <v>2037.035</v>
      </c>
      <c r="I136" s="47" t="s">
        <v>189</v>
      </c>
      <c r="J136" s="52" t="n">
        <f aca="false">2269.73/1.2</f>
        <v>1891.44166666667</v>
      </c>
      <c r="K136" s="53" t="n">
        <f aca="false">D136*J136</f>
        <v>2080.58583333333</v>
      </c>
      <c r="L136" s="47" t="s">
        <v>149</v>
      </c>
      <c r="M136" s="52" t="n">
        <f aca="false">2294.14/1.2</f>
        <v>1911.78333333333</v>
      </c>
      <c r="N136" s="53" t="n">
        <f aca="false">D136*M136</f>
        <v>2102.96166666667</v>
      </c>
      <c r="O136" s="54" t="n">
        <f aca="false">AVERAGE(G136,J136,M136)</f>
        <v>1885.025</v>
      </c>
      <c r="P136" s="55" t="n">
        <f aca="false">E136*100/O136-100</f>
        <v>-0.35675919417514</v>
      </c>
      <c r="Q136" s="54" t="n">
        <f aca="false">D136*E136</f>
        <v>2066.13</v>
      </c>
      <c r="R136" s="67"/>
      <c r="T136" s="57" t="n">
        <f aca="false">ROUND(G136*100/O136-100,0)</f>
        <v>-2</v>
      </c>
      <c r="U136" s="57" t="n">
        <f aca="false">ROUND(J136*100/O136-100,0)</f>
        <v>0</v>
      </c>
      <c r="V136" s="57" t="n">
        <f aca="false">ROUND(M136*100/O136-100,0)</f>
        <v>1</v>
      </c>
    </row>
    <row r="137" s="43" customFormat="true" ht="73.5" hidden="false" customHeight="true" outlineLevel="0" collapsed="false">
      <c r="A137" s="45" t="n">
        <v>126</v>
      </c>
      <c r="B137" s="46" t="s">
        <v>197</v>
      </c>
      <c r="C137" s="47" t="s">
        <v>45</v>
      </c>
      <c r="D137" s="48" t="n">
        <v>450</v>
      </c>
      <c r="E137" s="50" t="n">
        <v>452.31</v>
      </c>
      <c r="F137" s="47" t="s">
        <v>198</v>
      </c>
      <c r="G137" s="52" t="n">
        <f aca="false">12465/1.2/25</f>
        <v>415.5</v>
      </c>
      <c r="H137" s="53" t="n">
        <f aca="false">D137*G137</f>
        <v>186975</v>
      </c>
      <c r="I137" s="47" t="s">
        <v>189</v>
      </c>
      <c r="J137" s="52" t="n">
        <f aca="false">526.16/1.2</f>
        <v>438.466666666667</v>
      </c>
      <c r="K137" s="53" t="n">
        <f aca="false">D137*J137</f>
        <v>197310</v>
      </c>
      <c r="L137" s="53" t="s">
        <v>41</v>
      </c>
      <c r="M137" s="52" t="n">
        <v>509.48</v>
      </c>
      <c r="N137" s="53" t="n">
        <f aca="false">D137*M137</f>
        <v>229266</v>
      </c>
      <c r="O137" s="54" t="n">
        <f aca="false">AVERAGE(G137,J137,M137)</f>
        <v>454.482222222222</v>
      </c>
      <c r="P137" s="55" t="n">
        <f aca="false">E137*100/O137-100</f>
        <v>-0.477955377792554</v>
      </c>
      <c r="Q137" s="54" t="n">
        <f aca="false">D137*E137</f>
        <v>203539.5</v>
      </c>
      <c r="R137" s="56"/>
      <c r="T137" s="57" t="n">
        <f aca="false">ROUND(G137*100/O137-100,0)</f>
        <v>-9</v>
      </c>
      <c r="U137" s="57" t="n">
        <f aca="false">ROUND(J137*100/O137-100,0)</f>
        <v>-4</v>
      </c>
      <c r="V137" s="57" t="n">
        <f aca="false">ROUND(M137*100/O137-100,0)</f>
        <v>12</v>
      </c>
    </row>
    <row r="138" s="43" customFormat="true" ht="73.5" hidden="false" customHeight="true" outlineLevel="0" collapsed="false">
      <c r="A138" s="45" t="n">
        <v>127</v>
      </c>
      <c r="B138" s="46" t="s">
        <v>199</v>
      </c>
      <c r="C138" s="47" t="s">
        <v>25</v>
      </c>
      <c r="D138" s="48" t="n">
        <v>2</v>
      </c>
      <c r="E138" s="50" t="n">
        <v>789.34</v>
      </c>
      <c r="F138" s="47" t="s">
        <v>27</v>
      </c>
      <c r="G138" s="52" t="n">
        <f aca="false">898.07/1.2</f>
        <v>748.391666666667</v>
      </c>
      <c r="H138" s="53" t="n">
        <f aca="false">D138*G138</f>
        <v>1496.78333333333</v>
      </c>
      <c r="I138" s="53" t="s">
        <v>28</v>
      </c>
      <c r="J138" s="52" t="n">
        <f aca="false">987.35/1.2</f>
        <v>822.791666666667</v>
      </c>
      <c r="K138" s="53" t="n">
        <f aca="false">D138*J138</f>
        <v>1645.58333333333</v>
      </c>
      <c r="L138" s="47" t="s">
        <v>29</v>
      </c>
      <c r="M138" s="52" t="n">
        <v>801.16</v>
      </c>
      <c r="N138" s="53" t="n">
        <f aca="false">D138*M138</f>
        <v>1602.32</v>
      </c>
      <c r="O138" s="54" t="n">
        <f aca="false">AVERAGE(G138,J138,M138)</f>
        <v>790.781111111111</v>
      </c>
      <c r="P138" s="55" t="n">
        <f aca="false">E138*100/O138-100</f>
        <v>-0.182238939557649</v>
      </c>
      <c r="Q138" s="54" t="n">
        <f aca="false">D138*E138</f>
        <v>1578.68</v>
      </c>
      <c r="R138" s="56"/>
      <c r="T138" s="57" t="n">
        <f aca="false">ROUND(G138*100/O138-100,0)</f>
        <v>-5</v>
      </c>
      <c r="U138" s="57" t="n">
        <f aca="false">ROUND(J138*100/O138-100,0)</f>
        <v>4</v>
      </c>
      <c r="V138" s="57" t="n">
        <f aca="false">ROUND(M138*100/O138-100,0)</f>
        <v>1</v>
      </c>
    </row>
    <row r="139" s="43" customFormat="true" ht="73.5" hidden="false" customHeight="true" outlineLevel="0" collapsed="false">
      <c r="A139" s="45" t="n">
        <v>128</v>
      </c>
      <c r="B139" s="46" t="s">
        <v>200</v>
      </c>
      <c r="C139" s="47" t="s">
        <v>25</v>
      </c>
      <c r="D139" s="48" t="n">
        <v>36</v>
      </c>
      <c r="E139" s="50" t="n">
        <v>329.75</v>
      </c>
      <c r="F139" s="47" t="s">
        <v>27</v>
      </c>
      <c r="G139" s="52" t="n">
        <f aca="false">356.62/1.2</f>
        <v>297.183333333333</v>
      </c>
      <c r="H139" s="53" t="n">
        <f aca="false">D139*G139</f>
        <v>10698.6</v>
      </c>
      <c r="I139" s="53" t="s">
        <v>28</v>
      </c>
      <c r="J139" s="52" t="n">
        <f aca="false">442.12/1.2</f>
        <v>368.433333333333</v>
      </c>
      <c r="K139" s="53" t="n">
        <f aca="false">D139*J139</f>
        <v>13263.6</v>
      </c>
      <c r="L139" s="47" t="s">
        <v>29</v>
      </c>
      <c r="M139" s="52" t="n">
        <v>335.45</v>
      </c>
      <c r="N139" s="53" t="n">
        <f aca="false">D139*M139</f>
        <v>12076.2</v>
      </c>
      <c r="O139" s="54" t="n">
        <f aca="false">AVERAGE(G139,J139,M139)</f>
        <v>333.688888888889</v>
      </c>
      <c r="P139" s="55" t="n">
        <f aca="false">E139*100/O139-100</f>
        <v>-1.18040756526371</v>
      </c>
      <c r="Q139" s="54" t="n">
        <f aca="false">D139*E139</f>
        <v>11871</v>
      </c>
      <c r="R139" s="56"/>
      <c r="T139" s="57" t="n">
        <f aca="false">ROUND(G139*100/O139-100,0)</f>
        <v>-11</v>
      </c>
      <c r="U139" s="57" t="n">
        <f aca="false">ROUND(J139*100/O139-100,0)</f>
        <v>10</v>
      </c>
      <c r="V139" s="57" t="n">
        <f aca="false">ROUND(M139*100/O139-100,0)</f>
        <v>1</v>
      </c>
    </row>
    <row r="140" s="43" customFormat="true" ht="99.75" hidden="false" customHeight="true" outlineLevel="0" collapsed="false">
      <c r="A140" s="45" t="n">
        <v>129</v>
      </c>
      <c r="B140" s="46" t="s">
        <v>201</v>
      </c>
      <c r="C140" s="47" t="s">
        <v>45</v>
      </c>
      <c r="D140" s="48" t="n">
        <v>140</v>
      </c>
      <c r="E140" s="50" t="n">
        <v>429.98</v>
      </c>
      <c r="F140" s="47" t="s">
        <v>202</v>
      </c>
      <c r="G140" s="52" t="n">
        <f aca="false">10220/25</f>
        <v>408.8</v>
      </c>
      <c r="H140" s="53" t="n">
        <f aca="false">D140*G140</f>
        <v>57232</v>
      </c>
      <c r="I140" s="47" t="s">
        <v>46</v>
      </c>
      <c r="J140" s="52" t="n">
        <v>456.73</v>
      </c>
      <c r="K140" s="53" t="n">
        <f aca="false">D140*J140</f>
        <v>63942.2</v>
      </c>
      <c r="L140" s="47" t="s">
        <v>57</v>
      </c>
      <c r="M140" s="52" t="n">
        <v>428.41</v>
      </c>
      <c r="N140" s="53" t="n">
        <f aca="false">D140*M140</f>
        <v>59977.4</v>
      </c>
      <c r="O140" s="54" t="n">
        <f aca="false">AVERAGE(G140,J140,M140)</f>
        <v>431.313333333333</v>
      </c>
      <c r="P140" s="55" t="n">
        <f aca="false">E140*100/O140-100</f>
        <v>-0.309133344668226</v>
      </c>
      <c r="Q140" s="54" t="n">
        <f aca="false">D140*E140</f>
        <v>60197.2</v>
      </c>
      <c r="R140" s="56"/>
      <c r="T140" s="57" t="n">
        <f aca="false">ROUND(G140*100/O140-100,0)</f>
        <v>-5</v>
      </c>
      <c r="U140" s="57" t="n">
        <f aca="false">ROUND(J140*100/O140-100,0)</f>
        <v>6</v>
      </c>
      <c r="V140" s="57" t="n">
        <f aca="false">ROUND(M140*100/O140-100,0)</f>
        <v>-1</v>
      </c>
    </row>
    <row r="141" s="43" customFormat="true" ht="95.25" hidden="false" customHeight="true" outlineLevel="0" collapsed="false">
      <c r="A141" s="45" t="n">
        <v>130</v>
      </c>
      <c r="B141" s="46" t="s">
        <v>203</v>
      </c>
      <c r="C141" s="47" t="s">
        <v>45</v>
      </c>
      <c r="D141" s="48" t="n">
        <v>12</v>
      </c>
      <c r="E141" s="50" t="n">
        <v>905.66</v>
      </c>
      <c r="F141" s="47" t="s">
        <v>202</v>
      </c>
      <c r="G141" s="52" t="n">
        <f aca="false">21931.67/25</f>
        <v>877.2668</v>
      </c>
      <c r="H141" s="53" t="n">
        <f aca="false">D141*G141</f>
        <v>10527.2016</v>
      </c>
      <c r="I141" s="47" t="s">
        <v>46</v>
      </c>
      <c r="J141" s="52" t="n">
        <v>954.02</v>
      </c>
      <c r="K141" s="53" t="n">
        <f aca="false">D141*J141</f>
        <v>11448.24</v>
      </c>
      <c r="L141" s="47" t="s">
        <v>57</v>
      </c>
      <c r="M141" s="52" t="n">
        <v>893.4</v>
      </c>
      <c r="N141" s="53" t="n">
        <f aca="false">D141*M141</f>
        <v>10720.8</v>
      </c>
      <c r="O141" s="54" t="n">
        <f aca="false">AVERAGE(G141,J141,M141)</f>
        <v>908.228933333333</v>
      </c>
      <c r="P141" s="55" t="n">
        <f aca="false">E141*100/O141-100</f>
        <v>-0.282850858307825</v>
      </c>
      <c r="Q141" s="54" t="n">
        <f aca="false">D141*E141</f>
        <v>10867.92</v>
      </c>
      <c r="R141" s="56"/>
      <c r="T141" s="57" t="n">
        <f aca="false">ROUND(G141*100/O141-100,0)</f>
        <v>-3</v>
      </c>
      <c r="U141" s="57" t="n">
        <f aca="false">ROUND(J141*100/O141-100,0)</f>
        <v>5</v>
      </c>
      <c r="V141" s="57" t="n">
        <f aca="false">ROUND(M141*100/O141-100,0)</f>
        <v>-2</v>
      </c>
    </row>
    <row r="142" s="43" customFormat="true" ht="73.5" hidden="false" customHeight="true" outlineLevel="0" collapsed="false">
      <c r="A142" s="45" t="n">
        <v>131</v>
      </c>
      <c r="B142" s="46" t="s">
        <v>204</v>
      </c>
      <c r="C142" s="47" t="s">
        <v>25</v>
      </c>
      <c r="D142" s="48" t="n">
        <v>12</v>
      </c>
      <c r="E142" s="50" t="n">
        <v>653.71</v>
      </c>
      <c r="F142" s="47" t="s">
        <v>27</v>
      </c>
      <c r="G142" s="52" t="n">
        <f aca="false">723.24/1.2</f>
        <v>602.7</v>
      </c>
      <c r="H142" s="53" t="n">
        <f aca="false">D142*G142</f>
        <v>7232.4</v>
      </c>
      <c r="I142" s="53" t="s">
        <v>28</v>
      </c>
      <c r="J142" s="52" t="n">
        <f aca="false">857.27/1.2</f>
        <v>714.391666666667</v>
      </c>
      <c r="K142" s="53" t="n">
        <f aca="false">D142*J142</f>
        <v>8572.7</v>
      </c>
      <c r="L142" s="47" t="s">
        <v>29</v>
      </c>
      <c r="M142" s="52" t="n">
        <v>652.02</v>
      </c>
      <c r="N142" s="53" t="n">
        <f aca="false">D142*M142</f>
        <v>7824.24</v>
      </c>
      <c r="O142" s="54" t="n">
        <f aca="false">AVERAGE(G142,J142,M142)</f>
        <v>656.370555555556</v>
      </c>
      <c r="P142" s="55" t="n">
        <f aca="false">E142*100/O142-100</f>
        <v>-0.405343526310944</v>
      </c>
      <c r="Q142" s="54" t="n">
        <f aca="false">D142*E142</f>
        <v>7844.52</v>
      </c>
      <c r="R142" s="56"/>
      <c r="T142" s="57" t="n">
        <f aca="false">ROUND(G142*100/O142-100,0)</f>
        <v>-8</v>
      </c>
      <c r="U142" s="57" t="n">
        <f aca="false">ROUND(J142*100/O142-100,0)</f>
        <v>9</v>
      </c>
      <c r="V142" s="57" t="n">
        <f aca="false">ROUND(M142*100/O142-100,0)</f>
        <v>-1</v>
      </c>
    </row>
    <row r="143" s="43" customFormat="true" ht="73.5" hidden="false" customHeight="true" outlineLevel="0" collapsed="false">
      <c r="A143" s="45" t="n">
        <v>132</v>
      </c>
      <c r="B143" s="46" t="s">
        <v>205</v>
      </c>
      <c r="C143" s="47" t="s">
        <v>25</v>
      </c>
      <c r="D143" s="48" t="n">
        <v>35</v>
      </c>
      <c r="E143" s="50" t="n">
        <v>113.54</v>
      </c>
      <c r="F143" s="47" t="s">
        <v>27</v>
      </c>
      <c r="G143" s="52" t="n">
        <f aca="false">118.77/1.2</f>
        <v>98.975</v>
      </c>
      <c r="H143" s="53" t="n">
        <f aca="false">D143*G143</f>
        <v>3464.125</v>
      </c>
      <c r="I143" s="53" t="s">
        <v>28</v>
      </c>
      <c r="J143" s="52" t="n">
        <f aca="false">135.22/1.2</f>
        <v>112.683333333333</v>
      </c>
      <c r="K143" s="53" t="n">
        <f aca="false">D143*J143</f>
        <v>3943.91666666667</v>
      </c>
      <c r="L143" s="47" t="s">
        <v>29</v>
      </c>
      <c r="M143" s="52" t="n">
        <v>135.37</v>
      </c>
      <c r="N143" s="53" t="n">
        <f aca="false">D143*M143</f>
        <v>4737.95</v>
      </c>
      <c r="O143" s="54" t="n">
        <f aca="false">AVERAGE(G143,J143,M143)</f>
        <v>115.676111111111</v>
      </c>
      <c r="P143" s="55" t="n">
        <f aca="false">E143*100/O143-100</f>
        <v>-1.84663115883909</v>
      </c>
      <c r="Q143" s="54" t="n">
        <f aca="false">D143*E143</f>
        <v>3973.9</v>
      </c>
      <c r="R143" s="56"/>
      <c r="T143" s="57" t="n">
        <f aca="false">ROUND(G143*100/O143-100,0)</f>
        <v>-14</v>
      </c>
      <c r="U143" s="57" t="n">
        <f aca="false">ROUND(J143*100/O143-100,0)</f>
        <v>-3</v>
      </c>
      <c r="V143" s="57" t="n">
        <f aca="false">ROUND(M143*100/O143-100,0)</f>
        <v>17</v>
      </c>
    </row>
    <row r="144" s="43" customFormat="true" ht="73.5" hidden="false" customHeight="true" outlineLevel="0" collapsed="false">
      <c r="A144" s="45" t="n">
        <v>133</v>
      </c>
      <c r="B144" s="46" t="s">
        <v>206</v>
      </c>
      <c r="C144" s="47" t="s">
        <v>25</v>
      </c>
      <c r="D144" s="48" t="n">
        <v>20</v>
      </c>
      <c r="E144" s="50" t="n">
        <v>242.64</v>
      </c>
      <c r="F144" s="47" t="s">
        <v>27</v>
      </c>
      <c r="G144" s="52" t="n">
        <f aca="false">283.32/1.2</f>
        <v>236.1</v>
      </c>
      <c r="H144" s="53" t="n">
        <f aca="false">D144*G144</f>
        <v>4722</v>
      </c>
      <c r="I144" s="53" t="s">
        <v>28</v>
      </c>
      <c r="J144" s="52" t="n">
        <f aca="false">320.12/1.2</f>
        <v>266.766666666667</v>
      </c>
      <c r="K144" s="53" t="n">
        <f aca="false">D144*J144</f>
        <v>5335.33333333333</v>
      </c>
      <c r="L144" s="47" t="s">
        <v>29</v>
      </c>
      <c r="M144" s="52" t="n">
        <v>231.89</v>
      </c>
      <c r="N144" s="53" t="n">
        <f aca="false">D144*M144</f>
        <v>4637.8</v>
      </c>
      <c r="O144" s="54" t="n">
        <f aca="false">AVERAGE(G144,J144,M144)</f>
        <v>244.918888888889</v>
      </c>
      <c r="P144" s="55" t="n">
        <f aca="false">E144*100/O144-100</f>
        <v>-0.930466775848686</v>
      </c>
      <c r="Q144" s="54" t="n">
        <f aca="false">D144*E144</f>
        <v>4852.8</v>
      </c>
      <c r="R144" s="56"/>
      <c r="T144" s="57" t="n">
        <f aca="false">ROUND(G144*100/O144-100,0)</f>
        <v>-4</v>
      </c>
      <c r="U144" s="57" t="n">
        <f aca="false">ROUND(J144*100/O144-100,0)</f>
        <v>9</v>
      </c>
      <c r="V144" s="57" t="n">
        <f aca="false">ROUND(M144*100/O144-100,0)</f>
        <v>-5</v>
      </c>
    </row>
    <row r="145" s="43" customFormat="true" ht="73.5" hidden="false" customHeight="true" outlineLevel="0" collapsed="false">
      <c r="A145" s="45" t="n">
        <v>134</v>
      </c>
      <c r="B145" s="46" t="s">
        <v>207</v>
      </c>
      <c r="C145" s="47" t="s">
        <v>25</v>
      </c>
      <c r="D145" s="48" t="n">
        <v>356</v>
      </c>
      <c r="E145" s="50" t="n">
        <v>228.33</v>
      </c>
      <c r="F145" s="47" t="s">
        <v>27</v>
      </c>
      <c r="G145" s="52" t="n">
        <f aca="false">219.61/1.2</f>
        <v>183.008333333333</v>
      </c>
      <c r="H145" s="53" t="n">
        <f aca="false">D145*G145</f>
        <v>65150.9666666667</v>
      </c>
      <c r="I145" s="53" t="s">
        <v>28</v>
      </c>
      <c r="J145" s="52" t="n">
        <f aca="false">287.78/1.2</f>
        <v>239.816666666667</v>
      </c>
      <c r="K145" s="53" t="n">
        <f aca="false">D145*J145</f>
        <v>85374.7333333333</v>
      </c>
      <c r="L145" s="47" t="s">
        <v>29</v>
      </c>
      <c r="M145" s="52" t="n">
        <v>266.51</v>
      </c>
      <c r="N145" s="53" t="n">
        <f aca="false">D145*M145</f>
        <v>94877.56</v>
      </c>
      <c r="O145" s="54" t="n">
        <f aca="false">AVERAGE(G145,J145,M145)</f>
        <v>229.778333333333</v>
      </c>
      <c r="P145" s="55" t="n">
        <f aca="false">E145*100/O145-100</f>
        <v>-0.630317624957385</v>
      </c>
      <c r="Q145" s="54" t="n">
        <f aca="false">D145*E145</f>
        <v>81285.48</v>
      </c>
      <c r="R145" s="56"/>
      <c r="T145" s="57" t="n">
        <f aca="false">ROUND(G145*100/O145-100,0)</f>
        <v>-20</v>
      </c>
      <c r="U145" s="57" t="n">
        <f aca="false">ROUND(J145*100/O145-100,0)</f>
        <v>4</v>
      </c>
      <c r="V145" s="57" t="n">
        <f aca="false">ROUND(M145*100/O145-100,0)</f>
        <v>16</v>
      </c>
    </row>
    <row r="146" s="43" customFormat="true" ht="73.5" hidden="false" customHeight="true" outlineLevel="0" collapsed="false">
      <c r="A146" s="45" t="n">
        <v>135</v>
      </c>
      <c r="B146" s="46" t="s">
        <v>208</v>
      </c>
      <c r="C146" s="47" t="s">
        <v>25</v>
      </c>
      <c r="D146" s="48" t="s">
        <v>209</v>
      </c>
      <c r="E146" s="50" t="n">
        <v>233.64</v>
      </c>
      <c r="F146" s="47" t="s">
        <v>27</v>
      </c>
      <c r="G146" s="52" t="n">
        <f aca="false">276.58/1.2</f>
        <v>230.483333333333</v>
      </c>
      <c r="H146" s="53" t="n">
        <f aca="false">D146*G146</f>
        <v>61769.5333333333</v>
      </c>
      <c r="I146" s="53" t="s">
        <v>28</v>
      </c>
      <c r="J146" s="52" t="n">
        <f aca="false">267.66/1.2</f>
        <v>223.05</v>
      </c>
      <c r="K146" s="53" t="n">
        <f aca="false">D146*J146</f>
        <v>59777.4</v>
      </c>
      <c r="L146" s="47" t="s">
        <v>29</v>
      </c>
      <c r="M146" s="52" t="n">
        <v>248.97</v>
      </c>
      <c r="N146" s="53" t="n">
        <f aca="false">D146*M146</f>
        <v>66723.96</v>
      </c>
      <c r="O146" s="54" t="n">
        <f aca="false">AVERAGE(G146,J146,M146)</f>
        <v>234.167777777778</v>
      </c>
      <c r="P146" s="55" t="n">
        <f aca="false">E146*100/O146-100</f>
        <v>-0.225384458436736</v>
      </c>
      <c r="Q146" s="54" t="n">
        <f aca="false">D146*E146</f>
        <v>62615.52</v>
      </c>
      <c r="R146" s="56"/>
      <c r="T146" s="57" t="n">
        <f aca="false">ROUND(G146*100/O146-100,0)</f>
        <v>-2</v>
      </c>
      <c r="U146" s="57" t="n">
        <f aca="false">ROUND(J146*100/O146-100,0)</f>
        <v>-5</v>
      </c>
      <c r="V146" s="57" t="n">
        <f aca="false">ROUND(M146*100/O146-100,0)</f>
        <v>6</v>
      </c>
    </row>
    <row r="147" s="43" customFormat="true" ht="73.5" hidden="false" customHeight="true" outlineLevel="0" collapsed="false">
      <c r="A147" s="45" t="n">
        <v>136</v>
      </c>
      <c r="B147" s="46" t="s">
        <v>210</v>
      </c>
      <c r="C147" s="47" t="s">
        <v>25</v>
      </c>
      <c r="D147" s="48" t="n">
        <v>200</v>
      </c>
      <c r="E147" s="50" t="n">
        <v>325.78</v>
      </c>
      <c r="F147" s="47" t="s">
        <v>27</v>
      </c>
      <c r="G147" s="52" t="n">
        <f aca="false">364.29/1.2</f>
        <v>303.575</v>
      </c>
      <c r="H147" s="53" t="n">
        <f aca="false">D147*G147</f>
        <v>60715</v>
      </c>
      <c r="I147" s="53" t="s">
        <v>28</v>
      </c>
      <c r="J147" s="52" t="n">
        <f aca="false">361.37/1.2</f>
        <v>301.141666666667</v>
      </c>
      <c r="K147" s="53" t="n">
        <f aca="false">D147*J147</f>
        <v>60228.3333333333</v>
      </c>
      <c r="L147" s="47" t="s">
        <v>29</v>
      </c>
      <c r="M147" s="52" t="n">
        <v>374.02</v>
      </c>
      <c r="N147" s="53" t="n">
        <f aca="false">D147*M147</f>
        <v>74804</v>
      </c>
      <c r="O147" s="54" t="n">
        <f aca="false">AVERAGE(G147,J147,M147)</f>
        <v>326.245555555556</v>
      </c>
      <c r="P147" s="55" t="n">
        <f aca="false">E147*100/O147-100</f>
        <v>-0.142700964849254</v>
      </c>
      <c r="Q147" s="54" t="n">
        <f aca="false">D147*E147</f>
        <v>65156</v>
      </c>
      <c r="R147" s="56"/>
      <c r="T147" s="57" t="n">
        <f aca="false">ROUND(G147*100/O147-100,0)</f>
        <v>-7</v>
      </c>
      <c r="U147" s="57" t="n">
        <f aca="false">ROUND(J147*100/O147-100,0)</f>
        <v>-8</v>
      </c>
      <c r="V147" s="57" t="n">
        <f aca="false">ROUND(M147*100/O147-100,0)</f>
        <v>15</v>
      </c>
    </row>
    <row r="148" s="43" customFormat="true" ht="73.5" hidden="false" customHeight="true" outlineLevel="0" collapsed="false">
      <c r="A148" s="45" t="n">
        <v>137</v>
      </c>
      <c r="B148" s="46" t="s">
        <v>211</v>
      </c>
      <c r="C148" s="47" t="s">
        <v>25</v>
      </c>
      <c r="D148" s="48" t="n">
        <v>40</v>
      </c>
      <c r="E148" s="50" t="n">
        <v>1233.75</v>
      </c>
      <c r="F148" s="47" t="s">
        <v>27</v>
      </c>
      <c r="G148" s="52" t="n">
        <f aca="false">1201.84/1.2</f>
        <v>1001.53333333333</v>
      </c>
      <c r="H148" s="53" t="n">
        <f aca="false">D148*G148</f>
        <v>40061.3333333333</v>
      </c>
      <c r="I148" s="53" t="s">
        <v>28</v>
      </c>
      <c r="J148" s="52" t="n">
        <f aca="false">1674.32/1.2</f>
        <v>1395.26666666667</v>
      </c>
      <c r="K148" s="53" t="n">
        <f aca="false">D148*J148</f>
        <v>55810.6666666667</v>
      </c>
      <c r="L148" s="47" t="s">
        <v>29</v>
      </c>
      <c r="M148" s="52" t="n">
        <v>1306.33</v>
      </c>
      <c r="N148" s="53" t="n">
        <f aca="false">D148*M148</f>
        <v>52253.2</v>
      </c>
      <c r="O148" s="54" t="n">
        <f aca="false">AVERAGE(G148,J148,M148)</f>
        <v>1234.37666666667</v>
      </c>
      <c r="P148" s="55" t="n">
        <f aca="false">E148*100/O148-100</f>
        <v>-0.0507678639421272</v>
      </c>
      <c r="Q148" s="54" t="n">
        <f aca="false">D148*E148</f>
        <v>49350</v>
      </c>
      <c r="R148" s="56"/>
      <c r="T148" s="57" t="n">
        <f aca="false">ROUND(G148*100/O148-100,0)</f>
        <v>-19</v>
      </c>
      <c r="U148" s="57" t="n">
        <f aca="false">ROUND(J148*100/O148-100,0)</f>
        <v>13</v>
      </c>
      <c r="V148" s="57" t="n">
        <f aca="false">ROUND(M148*100/O148-100,0)</f>
        <v>6</v>
      </c>
    </row>
    <row r="149" s="43" customFormat="true" ht="73.5" hidden="false" customHeight="true" outlineLevel="0" collapsed="false">
      <c r="A149" s="45" t="n">
        <v>138</v>
      </c>
      <c r="B149" s="46" t="s">
        <v>212</v>
      </c>
      <c r="C149" s="47" t="s">
        <v>25</v>
      </c>
      <c r="D149" s="48" t="n">
        <v>30</v>
      </c>
      <c r="E149" s="50" t="n">
        <v>1098.76</v>
      </c>
      <c r="F149" s="47" t="s">
        <v>27</v>
      </c>
      <c r="G149" s="52" t="n">
        <f aca="false">1199.31/1.2</f>
        <v>999.425</v>
      </c>
      <c r="H149" s="53" t="n">
        <f aca="false">D149*G149</f>
        <v>29982.75</v>
      </c>
      <c r="I149" s="53" t="s">
        <v>28</v>
      </c>
      <c r="J149" s="52" t="n">
        <f aca="false">1269.16/1.2</f>
        <v>1057.63333333333</v>
      </c>
      <c r="K149" s="53" t="n">
        <f aca="false">D149*J149</f>
        <v>31729</v>
      </c>
      <c r="L149" s="47" t="s">
        <v>29</v>
      </c>
      <c r="M149" s="52" t="n">
        <v>1244.25</v>
      </c>
      <c r="N149" s="53" t="n">
        <f aca="false">D149*M149</f>
        <v>37327.5</v>
      </c>
      <c r="O149" s="54" t="n">
        <f aca="false">AVERAGE(G149,J149,M149)</f>
        <v>1100.43611111111</v>
      </c>
      <c r="P149" s="55" t="n">
        <f aca="false">E149*100/O149-100</f>
        <v>-0.152313350515072</v>
      </c>
      <c r="Q149" s="54" t="n">
        <f aca="false">D149*E149</f>
        <v>32962.8</v>
      </c>
      <c r="R149" s="56"/>
      <c r="T149" s="57" t="n">
        <f aca="false">ROUND(G149*100/O149-100,0)</f>
        <v>-9</v>
      </c>
      <c r="U149" s="57" t="n">
        <f aca="false">ROUND(J149*100/O149-100,0)</f>
        <v>-4</v>
      </c>
      <c r="V149" s="57" t="n">
        <f aca="false">ROUND(M149*100/O149-100,0)</f>
        <v>13</v>
      </c>
    </row>
    <row r="150" s="43" customFormat="true" ht="73.5" hidden="false" customHeight="true" outlineLevel="0" collapsed="false">
      <c r="A150" s="45" t="n">
        <v>139</v>
      </c>
      <c r="B150" s="46" t="s">
        <v>213</v>
      </c>
      <c r="C150" s="47" t="s">
        <v>25</v>
      </c>
      <c r="D150" s="48" t="n">
        <v>118</v>
      </c>
      <c r="E150" s="50" t="n">
        <v>951.47</v>
      </c>
      <c r="F150" s="47" t="s">
        <v>27</v>
      </c>
      <c r="G150" s="52" t="n">
        <f aca="false">1115.69/1.2</f>
        <v>929.741666666667</v>
      </c>
      <c r="H150" s="53" t="n">
        <f aca="false">D150*G150</f>
        <v>109709.516666667</v>
      </c>
      <c r="I150" s="53" t="s">
        <v>28</v>
      </c>
      <c r="J150" s="52" t="n">
        <f aca="false">1208.38/1.2</f>
        <v>1006.98333333333</v>
      </c>
      <c r="K150" s="53" t="n">
        <f aca="false">D150*J150</f>
        <v>118824.033333333</v>
      </c>
      <c r="L150" s="47" t="s">
        <v>29</v>
      </c>
      <c r="M150" s="52" t="n">
        <v>921.17</v>
      </c>
      <c r="N150" s="53" t="n">
        <f aca="false">D150*M150</f>
        <v>108698.06</v>
      </c>
      <c r="O150" s="54" t="n">
        <f aca="false">AVERAGE(G150,J150,M150)</f>
        <v>952.631666666667</v>
      </c>
      <c r="P150" s="55" t="n">
        <f aca="false">E150*100/O150-100</f>
        <v>-0.121942898531969</v>
      </c>
      <c r="Q150" s="54" t="n">
        <f aca="false">D150*E150</f>
        <v>112273.46</v>
      </c>
      <c r="R150" s="56"/>
      <c r="T150" s="57" t="n">
        <f aca="false">ROUND(G150*100/O150-100,0)</f>
        <v>-2</v>
      </c>
      <c r="U150" s="57" t="n">
        <f aca="false">ROUND(J150*100/O150-100,0)</f>
        <v>6</v>
      </c>
      <c r="V150" s="57" t="n">
        <f aca="false">ROUND(M150*100/O150-100,0)</f>
        <v>-3</v>
      </c>
    </row>
    <row r="151" s="43" customFormat="true" ht="73.5" hidden="false" customHeight="true" outlineLevel="0" collapsed="false">
      <c r="A151" s="45" t="n">
        <v>140</v>
      </c>
      <c r="B151" s="46" t="s">
        <v>214</v>
      </c>
      <c r="C151" s="47" t="s">
        <v>25</v>
      </c>
      <c r="D151" s="48" t="n">
        <v>425</v>
      </c>
      <c r="E151" s="50" t="n">
        <v>1254.32</v>
      </c>
      <c r="F151" s="47" t="s">
        <v>27</v>
      </c>
      <c r="G151" s="52" t="n">
        <f aca="false">1382.75/1.2</f>
        <v>1152.29166666667</v>
      </c>
      <c r="H151" s="53" t="n">
        <f aca="false">D151*G151</f>
        <v>489723.958333333</v>
      </c>
      <c r="I151" s="53" t="s">
        <v>28</v>
      </c>
      <c r="J151" s="52" t="n">
        <f aca="false">1595.17/1.2</f>
        <v>1329.30833333333</v>
      </c>
      <c r="K151" s="53" t="n">
        <f aca="false">D151*J151</f>
        <v>564956.041666667</v>
      </c>
      <c r="L151" s="47" t="s">
        <v>29</v>
      </c>
      <c r="M151" s="52" t="n">
        <v>1288.63</v>
      </c>
      <c r="N151" s="53" t="n">
        <f aca="false">D151*M151</f>
        <v>547667.75</v>
      </c>
      <c r="O151" s="54" t="n">
        <f aca="false">AVERAGE(G151,J151,M151)</f>
        <v>1256.74333333333</v>
      </c>
      <c r="P151" s="55" t="n">
        <f aca="false">E151*100/O151-100</f>
        <v>-0.192826432339686</v>
      </c>
      <c r="Q151" s="54" t="n">
        <f aca="false">D151*E151</f>
        <v>533086</v>
      </c>
      <c r="R151" s="56"/>
      <c r="T151" s="57" t="n">
        <f aca="false">ROUND(G151*100/O151-100,0)</f>
        <v>-8</v>
      </c>
      <c r="U151" s="57" t="n">
        <f aca="false">ROUND(J151*100/O151-100,0)</f>
        <v>6</v>
      </c>
      <c r="V151" s="57" t="n">
        <f aca="false">ROUND(M151*100/O151-100,0)</f>
        <v>3</v>
      </c>
    </row>
    <row r="152" s="43" customFormat="true" ht="73.5" hidden="false" customHeight="true" outlineLevel="0" collapsed="false">
      <c r="A152" s="45" t="n">
        <v>141</v>
      </c>
      <c r="B152" s="46" t="s">
        <v>215</v>
      </c>
      <c r="C152" s="47" t="s">
        <v>25</v>
      </c>
      <c r="D152" s="48" t="n">
        <v>20</v>
      </c>
      <c r="E152" s="50" t="n">
        <v>1529.66</v>
      </c>
      <c r="F152" s="47" t="s">
        <v>27</v>
      </c>
      <c r="G152" s="52" t="n">
        <f aca="false">1801.3/1.2</f>
        <v>1501.08333333333</v>
      </c>
      <c r="H152" s="53" t="n">
        <f aca="false">D152*G152</f>
        <v>30021.6666666667</v>
      </c>
      <c r="I152" s="53" t="s">
        <v>28</v>
      </c>
      <c r="J152" s="52" t="n">
        <f aca="false">1933.26/1.2</f>
        <v>1611.05</v>
      </c>
      <c r="K152" s="53" t="n">
        <f aca="false">D152*J152</f>
        <v>32221</v>
      </c>
      <c r="L152" s="47" t="s">
        <v>29</v>
      </c>
      <c r="M152" s="52" t="n">
        <v>1482.09</v>
      </c>
      <c r="N152" s="53" t="n">
        <f aca="false">D152*M152</f>
        <v>29641.8</v>
      </c>
      <c r="O152" s="54" t="n">
        <f aca="false">AVERAGE(G152,J152,M152)</f>
        <v>1531.40777777778</v>
      </c>
      <c r="P152" s="55" t="n">
        <f aca="false">E152*100/O152-100</f>
        <v>-0.114128829900153</v>
      </c>
      <c r="Q152" s="54" t="n">
        <f aca="false">D152*E152</f>
        <v>30593.2</v>
      </c>
      <c r="R152" s="56"/>
      <c r="T152" s="57" t="n">
        <f aca="false">ROUND(G152*100/O152-100,0)</f>
        <v>-2</v>
      </c>
      <c r="U152" s="57" t="n">
        <f aca="false">ROUND(J152*100/O152-100,0)</f>
        <v>5</v>
      </c>
      <c r="V152" s="57" t="n">
        <f aca="false">ROUND(M152*100/O152-100,0)</f>
        <v>-3</v>
      </c>
    </row>
    <row r="153" s="43" customFormat="true" ht="73.5" hidden="false" customHeight="true" outlineLevel="0" collapsed="false">
      <c r="A153" s="45" t="n">
        <v>142</v>
      </c>
      <c r="B153" s="46" t="s">
        <v>216</v>
      </c>
      <c r="C153" s="47" t="s">
        <v>25</v>
      </c>
      <c r="D153" s="48" t="n">
        <v>250</v>
      </c>
      <c r="E153" s="50" t="n">
        <v>469.64</v>
      </c>
      <c r="F153" s="47" t="s">
        <v>27</v>
      </c>
      <c r="G153" s="52" t="n">
        <f aca="false">508.15/1.2</f>
        <v>423.458333333333</v>
      </c>
      <c r="H153" s="53" t="n">
        <f aca="false">D153*G153</f>
        <v>105864.583333333</v>
      </c>
      <c r="I153" s="53" t="s">
        <v>28</v>
      </c>
      <c r="J153" s="52" t="n">
        <f aca="false">585.8/1.2</f>
        <v>488.166666666667</v>
      </c>
      <c r="K153" s="53" t="n">
        <f aca="false">D153*J153</f>
        <v>122041.666666667</v>
      </c>
      <c r="L153" s="47" t="s">
        <v>29</v>
      </c>
      <c r="M153" s="52" t="n">
        <v>501.33</v>
      </c>
      <c r="N153" s="53" t="n">
        <f aca="false">D153*M153</f>
        <v>125332.5</v>
      </c>
      <c r="O153" s="54" t="n">
        <f aca="false">AVERAGE(G153,J153,M153)</f>
        <v>470.985</v>
      </c>
      <c r="P153" s="55" t="n">
        <f aca="false">E153*100/O153-100</f>
        <v>-0.285571727337384</v>
      </c>
      <c r="Q153" s="54" t="n">
        <f aca="false">D153*E153</f>
        <v>117410</v>
      </c>
      <c r="R153" s="56"/>
      <c r="T153" s="57" t="n">
        <f aca="false">ROUND(G153*100/O153-100,0)</f>
        <v>-10</v>
      </c>
      <c r="U153" s="57" t="n">
        <f aca="false">ROUND(J153*100/O153-100,0)</f>
        <v>4</v>
      </c>
      <c r="V153" s="57" t="n">
        <f aca="false">ROUND(M153*100/O153-100,0)</f>
        <v>6</v>
      </c>
    </row>
    <row r="154" s="43" customFormat="true" ht="73.5" hidden="false" customHeight="true" outlineLevel="0" collapsed="false">
      <c r="A154" s="45" t="n">
        <v>143</v>
      </c>
      <c r="B154" s="46" t="s">
        <v>217</v>
      </c>
      <c r="C154" s="47" t="s">
        <v>25</v>
      </c>
      <c r="D154" s="48" t="n">
        <v>15</v>
      </c>
      <c r="E154" s="50" t="n">
        <v>1847.48</v>
      </c>
      <c r="F154" s="47" t="s">
        <v>27</v>
      </c>
      <c r="G154" s="52" t="n">
        <f aca="false">2200.3/1.2</f>
        <v>1833.58333333333</v>
      </c>
      <c r="H154" s="53" t="n">
        <f aca="false">D154*G154</f>
        <v>27503.75</v>
      </c>
      <c r="I154" s="53" t="s">
        <v>28</v>
      </c>
      <c r="J154" s="52" t="n">
        <f aca="false">2162.38/1.2</f>
        <v>1801.98333333333</v>
      </c>
      <c r="K154" s="53" t="n">
        <f aca="false">D154*J154</f>
        <v>27029.75</v>
      </c>
      <c r="L154" s="47" t="s">
        <v>29</v>
      </c>
      <c r="M154" s="52" t="n">
        <v>1912.41</v>
      </c>
      <c r="N154" s="53" t="n">
        <f aca="false">D154*M154</f>
        <v>28686.15</v>
      </c>
      <c r="O154" s="54" t="n">
        <f aca="false">AVERAGE(G154,J154,M154)</f>
        <v>1849.32555555556</v>
      </c>
      <c r="P154" s="55" t="n">
        <f aca="false">E154*100/O154-100</f>
        <v>-0.099796141896789</v>
      </c>
      <c r="Q154" s="54" t="n">
        <f aca="false">D154*E154</f>
        <v>27712.2</v>
      </c>
      <c r="R154" s="56"/>
      <c r="T154" s="57" t="n">
        <f aca="false">ROUND(G154*100/O154-100,0)</f>
        <v>-1</v>
      </c>
      <c r="U154" s="57" t="n">
        <f aca="false">ROUND(J154*100/O154-100,0)</f>
        <v>-3</v>
      </c>
      <c r="V154" s="57" t="n">
        <f aca="false">ROUND(M154*100/O154-100,0)</f>
        <v>3</v>
      </c>
    </row>
    <row r="155" s="43" customFormat="true" ht="73.5" hidden="false" customHeight="true" outlineLevel="0" collapsed="false">
      <c r="A155" s="45" t="n">
        <v>144</v>
      </c>
      <c r="B155" s="46" t="s">
        <v>218</v>
      </c>
      <c r="C155" s="47" t="s">
        <v>25</v>
      </c>
      <c r="D155" s="48" t="n">
        <v>14</v>
      </c>
      <c r="E155" s="50" t="n">
        <v>130.55</v>
      </c>
      <c r="F155" s="47" t="s">
        <v>27</v>
      </c>
      <c r="G155" s="52" t="n">
        <f aca="false">149.23/1.2</f>
        <v>124.358333333333</v>
      </c>
      <c r="H155" s="53" t="n">
        <f aca="false">D155*G155</f>
        <v>1741.01666666667</v>
      </c>
      <c r="I155" s="53" t="s">
        <v>28</v>
      </c>
      <c r="J155" s="52" t="n">
        <f aca="false">144.07/1.2</f>
        <v>120.058333333333</v>
      </c>
      <c r="K155" s="53" t="n">
        <f aca="false">D155*J155</f>
        <v>1680.81666666667</v>
      </c>
      <c r="L155" s="47" t="s">
        <v>29</v>
      </c>
      <c r="M155" s="52" t="n">
        <v>151.36</v>
      </c>
      <c r="N155" s="53" t="n">
        <f aca="false">D155*M155</f>
        <v>2119.04</v>
      </c>
      <c r="O155" s="54" t="n">
        <f aca="false">AVERAGE(G155,J155,M155)</f>
        <v>131.925555555556</v>
      </c>
      <c r="P155" s="55" t="n">
        <f aca="false">E155*100/O155-100</f>
        <v>-1.04267558303084</v>
      </c>
      <c r="Q155" s="54" t="n">
        <f aca="false">D155*E155</f>
        <v>1827.7</v>
      </c>
      <c r="R155" s="56"/>
      <c r="T155" s="57" t="n">
        <f aca="false">ROUND(G155*100/O155-100,0)</f>
        <v>-6</v>
      </c>
      <c r="U155" s="57" t="n">
        <f aca="false">ROUND(J155*100/O155-100,0)</f>
        <v>-9</v>
      </c>
      <c r="V155" s="57" t="n">
        <f aca="false">ROUND(M155*100/O155-100,0)</f>
        <v>15</v>
      </c>
    </row>
    <row r="156" s="43" customFormat="true" ht="73.5" hidden="false" customHeight="true" outlineLevel="0" collapsed="false">
      <c r="A156" s="45" t="n">
        <v>145</v>
      </c>
      <c r="B156" s="46" t="s">
        <v>219</v>
      </c>
      <c r="C156" s="47" t="s">
        <v>25</v>
      </c>
      <c r="D156" s="48" t="s">
        <v>220</v>
      </c>
      <c r="E156" s="50" t="n">
        <v>275.68</v>
      </c>
      <c r="F156" s="47" t="s">
        <v>27</v>
      </c>
      <c r="G156" s="52" t="n">
        <f aca="false">326.58/1.2</f>
        <v>272.15</v>
      </c>
      <c r="H156" s="53" t="n">
        <f aca="false">D156*G156</f>
        <v>339643.2</v>
      </c>
      <c r="I156" s="53" t="s">
        <v>28</v>
      </c>
      <c r="J156" s="52" t="n">
        <f aca="false">350.12/1.2</f>
        <v>291.766666666667</v>
      </c>
      <c r="K156" s="53" t="n">
        <f aca="false">D156*J156</f>
        <v>364124.8</v>
      </c>
      <c r="L156" s="47" t="s">
        <v>29</v>
      </c>
      <c r="M156" s="52" t="n">
        <v>265.09</v>
      </c>
      <c r="N156" s="53" t="n">
        <f aca="false">D156*M156</f>
        <v>330832.32</v>
      </c>
      <c r="O156" s="54" t="n">
        <f aca="false">AVERAGE(G156,J156,M156)</f>
        <v>276.335555555556</v>
      </c>
      <c r="P156" s="55" t="n">
        <f aca="false">E156*100/O156-100</f>
        <v>-0.237231707022872</v>
      </c>
      <c r="Q156" s="54" t="n">
        <f aca="false">D156*E156</f>
        <v>344048.64</v>
      </c>
      <c r="R156" s="83"/>
      <c r="T156" s="57" t="n">
        <f aca="false">ROUND(G156*100/O156-100,0)</f>
        <v>-2</v>
      </c>
      <c r="U156" s="57" t="n">
        <f aca="false">ROUND(J156*100/O156-100,0)</f>
        <v>6</v>
      </c>
      <c r="V156" s="57" t="n">
        <f aca="false">ROUND(M156*100/O156-100,0)</f>
        <v>-4</v>
      </c>
    </row>
    <row r="157" s="43" customFormat="true" ht="73.5" hidden="false" customHeight="true" outlineLevel="0" collapsed="false">
      <c r="A157" s="45" t="n">
        <v>146</v>
      </c>
      <c r="B157" s="46" t="s">
        <v>221</v>
      </c>
      <c r="C157" s="47" t="s">
        <v>25</v>
      </c>
      <c r="D157" s="48" t="n">
        <v>20</v>
      </c>
      <c r="E157" s="50" t="n">
        <v>264.47</v>
      </c>
      <c r="F157" s="47" t="s">
        <v>27</v>
      </c>
      <c r="G157" s="52" t="n">
        <f aca="false">307.21/1.2</f>
        <v>256.008333333333</v>
      </c>
      <c r="H157" s="53" t="n">
        <f aca="false">D157*G157</f>
        <v>5120.16666666667</v>
      </c>
      <c r="I157" s="53" t="s">
        <v>28</v>
      </c>
      <c r="J157" s="52" t="n">
        <f aca="false">304.61/1.2</f>
        <v>253.841666666667</v>
      </c>
      <c r="K157" s="53" t="n">
        <f aca="false">D157*J157</f>
        <v>5076.83333333333</v>
      </c>
      <c r="L157" s="47" t="s">
        <v>29</v>
      </c>
      <c r="M157" s="52" t="n">
        <v>287.67</v>
      </c>
      <c r="N157" s="53" t="n">
        <f aca="false">D157*M157</f>
        <v>5753.4</v>
      </c>
      <c r="O157" s="54" t="n">
        <f aca="false">AVERAGE(G157,J157,M157)</f>
        <v>265.84</v>
      </c>
      <c r="P157" s="55" t="n">
        <f aca="false">E157*100/O157-100</f>
        <v>-0.515347577490203</v>
      </c>
      <c r="Q157" s="54" t="n">
        <f aca="false">D157*E157</f>
        <v>5289.4</v>
      </c>
      <c r="R157" s="56"/>
      <c r="T157" s="57" t="n">
        <f aca="false">ROUND(G157*100/O157-100,0)</f>
        <v>-4</v>
      </c>
      <c r="U157" s="57" t="n">
        <f aca="false">ROUND(J157*100/O157-100,0)</f>
        <v>-5</v>
      </c>
      <c r="V157" s="57" t="n">
        <f aca="false">ROUND(M157*100/O157-100,0)</f>
        <v>8</v>
      </c>
    </row>
    <row r="158" s="43" customFormat="true" ht="73.5" hidden="false" customHeight="true" outlineLevel="0" collapsed="false">
      <c r="A158" s="45" t="n">
        <v>147</v>
      </c>
      <c r="B158" s="46" t="s">
        <v>222</v>
      </c>
      <c r="C158" s="47" t="s">
        <v>25</v>
      </c>
      <c r="D158" s="48" t="n">
        <v>100</v>
      </c>
      <c r="E158" s="50" t="n">
        <v>398.01</v>
      </c>
      <c r="F158" s="47" t="s">
        <v>27</v>
      </c>
      <c r="G158" s="52" t="n">
        <f aca="false">463.67/1.2</f>
        <v>386.391666666667</v>
      </c>
      <c r="H158" s="53" t="n">
        <f aca="false">D158*G158</f>
        <v>38639.1666666667</v>
      </c>
      <c r="I158" s="53" t="s">
        <v>28</v>
      </c>
      <c r="J158" s="52" t="n">
        <f aca="false">475.33/1.2</f>
        <v>396.108333333333</v>
      </c>
      <c r="K158" s="53" t="n">
        <f aca="false">D158*J158</f>
        <v>39610.8333333333</v>
      </c>
      <c r="L158" s="47" t="s">
        <v>29</v>
      </c>
      <c r="M158" s="52" t="n">
        <v>412.28</v>
      </c>
      <c r="N158" s="53" t="n">
        <f aca="false">D158*M158</f>
        <v>41228</v>
      </c>
      <c r="O158" s="54" t="n">
        <f aca="false">AVERAGE(G158,J158,M158)</f>
        <v>398.26</v>
      </c>
      <c r="P158" s="55" t="n">
        <f aca="false">E158*100/O158-100</f>
        <v>-0.0627730628232825</v>
      </c>
      <c r="Q158" s="54" t="n">
        <f aca="false">D158*E158</f>
        <v>39801</v>
      </c>
      <c r="R158" s="56"/>
      <c r="T158" s="57" t="n">
        <f aca="false">ROUND(G158*100/O158-100,0)</f>
        <v>-3</v>
      </c>
      <c r="U158" s="57" t="n">
        <f aca="false">ROUND(J158*100/O158-100,0)</f>
        <v>-1</v>
      </c>
      <c r="V158" s="57" t="n">
        <f aca="false">ROUND(M158*100/O158-100,0)</f>
        <v>4</v>
      </c>
    </row>
    <row r="159" s="43" customFormat="true" ht="73.5" hidden="false" customHeight="true" outlineLevel="0" collapsed="false">
      <c r="A159" s="45" t="n">
        <v>148</v>
      </c>
      <c r="B159" s="46" t="s">
        <v>223</v>
      </c>
      <c r="C159" s="47" t="s">
        <v>25</v>
      </c>
      <c r="D159" s="48" t="n">
        <v>35</v>
      </c>
      <c r="E159" s="50" t="n">
        <v>560.24</v>
      </c>
      <c r="F159" s="47" t="s">
        <v>27</v>
      </c>
      <c r="G159" s="52" t="n">
        <f aca="false">628.4/1.2</f>
        <v>523.666666666667</v>
      </c>
      <c r="H159" s="53" t="n">
        <f aca="false">D159*G159</f>
        <v>18328.3333333333</v>
      </c>
      <c r="I159" s="53" t="s">
        <v>28</v>
      </c>
      <c r="J159" s="52" t="n">
        <f aca="false">707.8/1.2</f>
        <v>589.833333333333</v>
      </c>
      <c r="K159" s="53" t="n">
        <f aca="false">D159*J159</f>
        <v>20644.1666666667</v>
      </c>
      <c r="L159" s="47" t="s">
        <v>29</v>
      </c>
      <c r="M159" s="52" t="n">
        <v>574.41</v>
      </c>
      <c r="N159" s="53" t="n">
        <f aca="false">D159*M159</f>
        <v>20104.35</v>
      </c>
      <c r="O159" s="54" t="n">
        <f aca="false">AVERAGE(G159,J159,M159)</f>
        <v>562.636666666667</v>
      </c>
      <c r="P159" s="55" t="n">
        <f aca="false">E159*100/O159-100</f>
        <v>-0.425970579000065</v>
      </c>
      <c r="Q159" s="54" t="n">
        <f aca="false">D159*E159</f>
        <v>19608.4</v>
      </c>
      <c r="R159" s="56"/>
      <c r="T159" s="57" t="n">
        <f aca="false">ROUND(G159*100/O159-100,0)</f>
        <v>-7</v>
      </c>
      <c r="U159" s="57" t="n">
        <f aca="false">ROUND(J159*100/O159-100,0)</f>
        <v>5</v>
      </c>
      <c r="V159" s="57" t="n">
        <f aca="false">ROUND(M159*100/O159-100,0)</f>
        <v>2</v>
      </c>
    </row>
    <row r="160" s="43" customFormat="true" ht="73.5" hidden="false" customHeight="true" outlineLevel="0" collapsed="false">
      <c r="A160" s="45" t="n">
        <v>149</v>
      </c>
      <c r="B160" s="46" t="s">
        <v>224</v>
      </c>
      <c r="C160" s="47" t="s">
        <v>25</v>
      </c>
      <c r="D160" s="48" t="n">
        <v>20</v>
      </c>
      <c r="E160" s="50" t="n">
        <v>662.34</v>
      </c>
      <c r="F160" s="47" t="s">
        <v>27</v>
      </c>
      <c r="G160" s="52" t="n">
        <f aca="false">786.17/1.2</f>
        <v>655.141666666667</v>
      </c>
      <c r="H160" s="53" t="n">
        <f aca="false">D160*G160</f>
        <v>13102.8333333333</v>
      </c>
      <c r="I160" s="53" t="s">
        <v>28</v>
      </c>
      <c r="J160" s="52" t="n">
        <f aca="false">780.48/1.2</f>
        <v>650.4</v>
      </c>
      <c r="K160" s="53" t="n">
        <f aca="false">D160*J160</f>
        <v>13008</v>
      </c>
      <c r="L160" s="47" t="s">
        <v>29</v>
      </c>
      <c r="M160" s="52" t="n">
        <v>688.63</v>
      </c>
      <c r="N160" s="53" t="n">
        <f aca="false">D160*M160</f>
        <v>13772.6</v>
      </c>
      <c r="O160" s="54" t="n">
        <f aca="false">AVERAGE(G160,J160,M160)</f>
        <v>664.723888888889</v>
      </c>
      <c r="P160" s="55" t="n">
        <f aca="false">E160*100/O160-100</f>
        <v>-0.358628436368306</v>
      </c>
      <c r="Q160" s="54" t="n">
        <f aca="false">D160*E160</f>
        <v>13246.8</v>
      </c>
      <c r="R160" s="56"/>
      <c r="T160" s="57" t="n">
        <f aca="false">ROUND(G160*100/O160-100,0)</f>
        <v>-1</v>
      </c>
      <c r="U160" s="57" t="n">
        <f aca="false">ROUND(J160*100/O160-100,0)</f>
        <v>-2</v>
      </c>
      <c r="V160" s="57" t="n">
        <f aca="false">ROUND(M160*100/O160-100,0)</f>
        <v>4</v>
      </c>
    </row>
    <row r="161" s="43" customFormat="true" ht="73.5" hidden="false" customHeight="true" outlineLevel="0" collapsed="false">
      <c r="A161" s="45" t="n">
        <v>150</v>
      </c>
      <c r="B161" s="46" t="s">
        <v>225</v>
      </c>
      <c r="C161" s="47" t="s">
        <v>25</v>
      </c>
      <c r="D161" s="48" t="n">
        <v>40</v>
      </c>
      <c r="E161" s="50" t="n">
        <v>244.58</v>
      </c>
      <c r="F161" s="47" t="s">
        <v>27</v>
      </c>
      <c r="G161" s="52" t="n">
        <f aca="false">242.87/1.2</f>
        <v>202.391666666667</v>
      </c>
      <c r="H161" s="53" t="n">
        <f aca="false">D161*G161</f>
        <v>8095.66666666667</v>
      </c>
      <c r="I161" s="53" t="s">
        <v>28</v>
      </c>
      <c r="J161" s="52" t="n">
        <f aca="false">341.51/1.2</f>
        <v>284.591666666667</v>
      </c>
      <c r="K161" s="53" t="n">
        <f aca="false">D161*J161</f>
        <v>11383.6666666667</v>
      </c>
      <c r="L161" s="47" t="s">
        <v>29</v>
      </c>
      <c r="M161" s="52" t="n">
        <v>251.07</v>
      </c>
      <c r="N161" s="53" t="n">
        <f aca="false">D161*M161</f>
        <v>10042.8</v>
      </c>
      <c r="O161" s="54" t="n">
        <f aca="false">AVERAGE(G161,J161,M161)</f>
        <v>246.017777777778</v>
      </c>
      <c r="P161" s="55" t="n">
        <f aca="false">E161*100/O161-100</f>
        <v>-0.584420276764107</v>
      </c>
      <c r="Q161" s="54" t="n">
        <f aca="false">D161*E161</f>
        <v>9783.2</v>
      </c>
      <c r="R161" s="56"/>
      <c r="T161" s="57" t="n">
        <f aca="false">ROUND(G161*100/O161-100,0)</f>
        <v>-18</v>
      </c>
      <c r="U161" s="57" t="n">
        <f aca="false">ROUND(J161*100/O161-100,0)</f>
        <v>16</v>
      </c>
      <c r="V161" s="57" t="n">
        <f aca="false">ROUND(M161*100/O161-100,0)</f>
        <v>2</v>
      </c>
    </row>
    <row r="162" s="43" customFormat="true" ht="73.5" hidden="false" customHeight="true" outlineLevel="0" collapsed="false">
      <c r="A162" s="45" t="n">
        <v>151</v>
      </c>
      <c r="B162" s="46" t="s">
        <v>226</v>
      </c>
      <c r="C162" s="47" t="s">
        <v>25</v>
      </c>
      <c r="D162" s="48" t="n">
        <v>25</v>
      </c>
      <c r="E162" s="50" t="n">
        <v>205.99</v>
      </c>
      <c r="F162" s="47" t="s">
        <v>27</v>
      </c>
      <c r="G162" s="52" t="n">
        <f aca="false">222.01/1.2</f>
        <v>185.008333333333</v>
      </c>
      <c r="H162" s="53" t="n">
        <f aca="false">D162*G162</f>
        <v>4625.20833333333</v>
      </c>
      <c r="I162" s="53" t="s">
        <v>28</v>
      </c>
      <c r="J162" s="52" t="n">
        <f aca="false">280.49/1.2</f>
        <v>233.741666666667</v>
      </c>
      <c r="K162" s="53" t="n">
        <f aca="false">D162*J162</f>
        <v>5843.54166666667</v>
      </c>
      <c r="L162" s="47" t="s">
        <v>29</v>
      </c>
      <c r="M162" s="52" t="n">
        <v>203.98</v>
      </c>
      <c r="N162" s="53" t="n">
        <f aca="false">D162*M162</f>
        <v>5099.5</v>
      </c>
      <c r="O162" s="54" t="n">
        <f aca="false">AVERAGE(G162,J162,M162)</f>
        <v>207.576666666667</v>
      </c>
      <c r="P162" s="55" t="n">
        <f aca="false">E162*100/O162-100</f>
        <v>-0.764376214410746</v>
      </c>
      <c r="Q162" s="54" t="n">
        <f aca="false">D162*E162</f>
        <v>5149.75</v>
      </c>
      <c r="R162" s="56"/>
      <c r="T162" s="57" t="n">
        <f aca="false">ROUND(G162*100/O162-100,0)</f>
        <v>-11</v>
      </c>
      <c r="U162" s="57" t="n">
        <f aca="false">ROUND(J162*100/O162-100,0)</f>
        <v>13</v>
      </c>
      <c r="V162" s="57" t="n">
        <f aca="false">ROUND(M162*100/O162-100,0)</f>
        <v>-2</v>
      </c>
    </row>
    <row r="163" s="43" customFormat="true" ht="73.5" hidden="false" customHeight="true" outlineLevel="0" collapsed="false">
      <c r="A163" s="45" t="n">
        <v>152</v>
      </c>
      <c r="B163" s="46" t="s">
        <v>227</v>
      </c>
      <c r="C163" s="47" t="s">
        <v>25</v>
      </c>
      <c r="D163" s="48" t="n">
        <v>60</v>
      </c>
      <c r="E163" s="50" t="n">
        <v>48.03</v>
      </c>
      <c r="F163" s="47" t="s">
        <v>27</v>
      </c>
      <c r="G163" s="52" t="n">
        <f aca="false">48.91/1.2</f>
        <v>40.7583333333333</v>
      </c>
      <c r="H163" s="53" t="n">
        <f aca="false">D163*G163</f>
        <v>2445.5</v>
      </c>
      <c r="I163" s="53" t="s">
        <v>28</v>
      </c>
      <c r="J163" s="52" t="n">
        <f aca="false">69.67/1.2</f>
        <v>58.0583333333333</v>
      </c>
      <c r="K163" s="53" t="n">
        <f aca="false">D163*J163</f>
        <v>3483.5</v>
      </c>
      <c r="L163" s="47" t="s">
        <v>29</v>
      </c>
      <c r="M163" s="52" t="n">
        <v>49.5</v>
      </c>
      <c r="N163" s="53" t="n">
        <f aca="false">D163*M163</f>
        <v>2970</v>
      </c>
      <c r="O163" s="54" t="n">
        <f aca="false">AVERAGE(G163,J163,M163)</f>
        <v>49.4388888888889</v>
      </c>
      <c r="P163" s="55" t="n">
        <f aca="false">E163*100/O163-100</f>
        <v>-2.8497583998202</v>
      </c>
      <c r="Q163" s="54" t="n">
        <f aca="false">D163*E163</f>
        <v>2881.8</v>
      </c>
      <c r="R163" s="56"/>
      <c r="T163" s="57" t="n">
        <f aca="false">ROUND(G163*100/O163-100,0)</f>
        <v>-18</v>
      </c>
      <c r="U163" s="57" t="n">
        <f aca="false">ROUND(J163*100/O163-100,0)</f>
        <v>17</v>
      </c>
      <c r="V163" s="57" t="n">
        <f aca="false">ROUND(M163*100/O163-100,0)</f>
        <v>0</v>
      </c>
    </row>
    <row r="164" s="43" customFormat="true" ht="73.5" hidden="false" customHeight="true" outlineLevel="0" collapsed="false">
      <c r="A164" s="45" t="n">
        <v>153</v>
      </c>
      <c r="B164" s="46" t="s">
        <v>228</v>
      </c>
      <c r="C164" s="47" t="s">
        <v>25</v>
      </c>
      <c r="D164" s="48" t="n">
        <v>19</v>
      </c>
      <c r="E164" s="50" t="n">
        <v>321.56</v>
      </c>
      <c r="F164" s="47" t="s">
        <v>27</v>
      </c>
      <c r="G164" s="52" t="n">
        <f aca="false">369.48/1.2</f>
        <v>307.9</v>
      </c>
      <c r="H164" s="53" t="n">
        <f aca="false">D164*G164</f>
        <v>5850.1</v>
      </c>
      <c r="I164" s="53" t="s">
        <v>28</v>
      </c>
      <c r="J164" s="52" t="n">
        <f aca="false">366.65/1.2</f>
        <v>305.541666666667</v>
      </c>
      <c r="K164" s="53" t="n">
        <f aca="false">D164*J164</f>
        <v>5805.29166666667</v>
      </c>
      <c r="L164" s="47" t="s">
        <v>29</v>
      </c>
      <c r="M164" s="52" t="n">
        <v>361.22</v>
      </c>
      <c r="N164" s="53" t="n">
        <f aca="false">D164*M164</f>
        <v>6863.18</v>
      </c>
      <c r="O164" s="54" t="n">
        <f aca="false">AVERAGE(G164,J164,M164)</f>
        <v>324.887222222222</v>
      </c>
      <c r="P164" s="55" t="n">
        <f aca="false">E164*100/O164-100</f>
        <v>-1.02411606078691</v>
      </c>
      <c r="Q164" s="54" t="n">
        <f aca="false">D164*E164</f>
        <v>6109.64</v>
      </c>
      <c r="R164" s="56"/>
      <c r="T164" s="57" t="n">
        <f aca="false">ROUND(G164*100/O164-100,0)</f>
        <v>-5</v>
      </c>
      <c r="U164" s="57" t="n">
        <f aca="false">ROUND(J164*100/O164-100,0)</f>
        <v>-6</v>
      </c>
      <c r="V164" s="57" t="n">
        <f aca="false">ROUND(M164*100/O164-100,0)</f>
        <v>11</v>
      </c>
    </row>
    <row r="165" s="43" customFormat="true" ht="73.5" hidden="false" customHeight="true" outlineLevel="0" collapsed="false">
      <c r="A165" s="45" t="n">
        <v>154</v>
      </c>
      <c r="B165" s="46" t="s">
        <v>229</v>
      </c>
      <c r="C165" s="47" t="s">
        <v>45</v>
      </c>
      <c r="D165" s="48" t="s">
        <v>230</v>
      </c>
      <c r="E165" s="50" t="n">
        <v>8050.5</v>
      </c>
      <c r="F165" s="47" t="s">
        <v>231</v>
      </c>
      <c r="G165" s="52" t="n">
        <f aca="false">9362.18/1.2</f>
        <v>7801.81666666667</v>
      </c>
      <c r="H165" s="53" t="n">
        <f aca="false">D165*G165</f>
        <v>429099.916666667</v>
      </c>
      <c r="I165" s="47" t="s">
        <v>46</v>
      </c>
      <c r="J165" s="52" t="n">
        <v>7956.2</v>
      </c>
      <c r="K165" s="53" t="n">
        <f aca="false">D165*J165</f>
        <v>437591</v>
      </c>
      <c r="L165" s="47" t="s">
        <v>58</v>
      </c>
      <c r="M165" s="52" t="n">
        <v>8400.3</v>
      </c>
      <c r="N165" s="53" t="n">
        <f aca="false">D165*M165</f>
        <v>462016.5</v>
      </c>
      <c r="O165" s="54" t="n">
        <f aca="false">AVERAGE(G165,J165,M165)</f>
        <v>8052.77222222222</v>
      </c>
      <c r="P165" s="55" t="n">
        <f aca="false">E165*100/O165-100</f>
        <v>-0.0282166458893727</v>
      </c>
      <c r="Q165" s="54" t="n">
        <f aca="false">D165*E165</f>
        <v>442777.5</v>
      </c>
      <c r="R165" s="56"/>
      <c r="T165" s="57" t="n">
        <f aca="false">ROUND(G165*100/O165-100,0)</f>
        <v>-3</v>
      </c>
      <c r="U165" s="57" t="n">
        <f aca="false">ROUND(J165*100/O165-100,0)</f>
        <v>-1</v>
      </c>
      <c r="V165" s="57" t="n">
        <f aca="false">ROUND(M165*100/O165-100,0)</f>
        <v>4</v>
      </c>
    </row>
    <row r="166" s="43" customFormat="true" ht="73.5" hidden="false" customHeight="true" outlineLevel="0" collapsed="false">
      <c r="A166" s="45" t="n">
        <v>155</v>
      </c>
      <c r="B166" s="46" t="s">
        <v>232</v>
      </c>
      <c r="C166" s="47" t="s">
        <v>25</v>
      </c>
      <c r="D166" s="48" t="s">
        <v>233</v>
      </c>
      <c r="E166" s="50" t="n">
        <v>164.05</v>
      </c>
      <c r="F166" s="47" t="s">
        <v>39</v>
      </c>
      <c r="G166" s="52" t="n">
        <v>153.05</v>
      </c>
      <c r="H166" s="53" t="n">
        <f aca="false">D166*G166</f>
        <v>26324.6</v>
      </c>
      <c r="I166" s="53" t="s">
        <v>28</v>
      </c>
      <c r="J166" s="52" t="n">
        <v>159.37</v>
      </c>
      <c r="K166" s="53" t="n">
        <f aca="false">D166*J166</f>
        <v>27411.64</v>
      </c>
      <c r="L166" s="53" t="s">
        <v>46</v>
      </c>
      <c r="M166" s="52" t="n">
        <v>181.06</v>
      </c>
      <c r="N166" s="53" t="n">
        <f aca="false">D166*M166</f>
        <v>31142.32</v>
      </c>
      <c r="O166" s="54" t="n">
        <f aca="false">AVERAGE(G166,J166,M166)</f>
        <v>164.493333333333</v>
      </c>
      <c r="P166" s="55" t="n">
        <f aca="false">E166*100/O166-100</f>
        <v>-0.269514468671474</v>
      </c>
      <c r="Q166" s="54" t="n">
        <f aca="false">D166*E166</f>
        <v>28216.6</v>
      </c>
      <c r="R166" s="56"/>
      <c r="T166" s="57" t="n">
        <f aca="false">ROUND(G166*100/O166-100,0)</f>
        <v>-7</v>
      </c>
      <c r="U166" s="57" t="n">
        <f aca="false">ROUND(J166*100/O166-100,0)</f>
        <v>-3</v>
      </c>
      <c r="V166" s="57" t="n">
        <f aca="false">ROUND(M166*100/O166-100,0)</f>
        <v>10</v>
      </c>
    </row>
    <row r="167" s="43" customFormat="true" ht="73.5" hidden="false" customHeight="true" outlineLevel="0" collapsed="false">
      <c r="A167" s="45" t="n">
        <v>156</v>
      </c>
      <c r="B167" s="46" t="s">
        <v>234</v>
      </c>
      <c r="C167" s="47" t="s">
        <v>45</v>
      </c>
      <c r="D167" s="48" t="s">
        <v>235</v>
      </c>
      <c r="E167" s="50" t="n">
        <v>6388.4</v>
      </c>
      <c r="F167" s="47" t="s">
        <v>231</v>
      </c>
      <c r="G167" s="52" t="n">
        <f aca="false">7648.2/1.2</f>
        <v>6373.5</v>
      </c>
      <c r="H167" s="53" t="n">
        <f aca="false">D167*G167</f>
        <v>236456.85</v>
      </c>
      <c r="I167" s="47" t="s">
        <v>236</v>
      </c>
      <c r="J167" s="52" t="n">
        <f aca="false">7548/1.2</f>
        <v>6290</v>
      </c>
      <c r="K167" s="53" t="n">
        <f aca="false">D167*J167</f>
        <v>233359</v>
      </c>
      <c r="L167" s="47" t="s">
        <v>58</v>
      </c>
      <c r="M167" s="52" t="n">
        <v>6504.5</v>
      </c>
      <c r="N167" s="53" t="n">
        <f aca="false">D167*M167</f>
        <v>241316.95</v>
      </c>
      <c r="O167" s="54" t="n">
        <f aca="false">AVERAGE(G167,J167,M167)</f>
        <v>6389.33333333333</v>
      </c>
      <c r="P167" s="55" t="n">
        <f aca="false">E167*100/O167-100</f>
        <v>-0.0146076794657688</v>
      </c>
      <c r="Q167" s="54" t="n">
        <f aca="false">D167*E167</f>
        <v>237009.64</v>
      </c>
      <c r="R167" s="56"/>
      <c r="T167" s="57" t="n">
        <f aca="false">ROUND(G167*100/O167-100,0)</f>
        <v>-0</v>
      </c>
      <c r="U167" s="57" t="n">
        <f aca="false">ROUND(J167*100/O167-100,0)</f>
        <v>-2</v>
      </c>
      <c r="V167" s="57" t="n">
        <f aca="false">ROUND(M167*100/O167-100,0)</f>
        <v>2</v>
      </c>
    </row>
    <row r="168" s="43" customFormat="true" ht="73.5" hidden="false" customHeight="true" outlineLevel="0" collapsed="false">
      <c r="A168" s="45" t="n">
        <v>157</v>
      </c>
      <c r="B168" s="46" t="s">
        <v>237</v>
      </c>
      <c r="C168" s="47" t="s">
        <v>147</v>
      </c>
      <c r="D168" s="48" t="s">
        <v>238</v>
      </c>
      <c r="E168" s="50" t="n">
        <v>14.72</v>
      </c>
      <c r="F168" s="47" t="s">
        <v>231</v>
      </c>
      <c r="G168" s="52" t="n">
        <f aca="false">18.73/1.2</f>
        <v>15.6083333333333</v>
      </c>
      <c r="H168" s="53" t="n">
        <f aca="false">D168*G168</f>
        <v>38240.4166666667</v>
      </c>
      <c r="I168" s="47" t="s">
        <v>236</v>
      </c>
      <c r="J168" s="52" t="n">
        <f aca="false">16.5/1.2</f>
        <v>13.75</v>
      </c>
      <c r="K168" s="53" t="n">
        <f aca="false">D168*J168</f>
        <v>33687.5</v>
      </c>
      <c r="L168" s="47" t="s">
        <v>58</v>
      </c>
      <c r="M168" s="52" t="n">
        <v>15.03</v>
      </c>
      <c r="N168" s="53" t="n">
        <f aca="false">D168*M168</f>
        <v>36823.5</v>
      </c>
      <c r="O168" s="54" t="n">
        <f aca="false">AVERAGE(G168,J168,M168)</f>
        <v>14.7961111111111</v>
      </c>
      <c r="P168" s="55" t="n">
        <f aca="false">E168*100/O168-100</f>
        <v>-0.514399429279465</v>
      </c>
      <c r="Q168" s="54" t="n">
        <f aca="false">D168*E168</f>
        <v>36064</v>
      </c>
      <c r="R168" s="56"/>
      <c r="T168" s="57" t="n">
        <f aca="false">ROUND(G168*100/O168-100,0)</f>
        <v>5</v>
      </c>
      <c r="U168" s="57" t="n">
        <f aca="false">ROUND(J168*100/O168-100,0)</f>
        <v>-7</v>
      </c>
      <c r="V168" s="57" t="n">
        <f aca="false">ROUND(M168*100/O168-100,0)</f>
        <v>2</v>
      </c>
    </row>
    <row r="169" s="43" customFormat="true" ht="73.5" hidden="false" customHeight="true" outlineLevel="0" collapsed="false">
      <c r="A169" s="45" t="n">
        <v>158</v>
      </c>
      <c r="B169" s="46" t="s">
        <v>239</v>
      </c>
      <c r="C169" s="47" t="s">
        <v>147</v>
      </c>
      <c r="D169" s="48" t="n">
        <v>65</v>
      </c>
      <c r="E169" s="50" t="n">
        <v>6</v>
      </c>
      <c r="F169" s="47" t="s">
        <v>231</v>
      </c>
      <c r="G169" s="52" t="n">
        <f aca="false">7.12/1.2</f>
        <v>5.93333333333333</v>
      </c>
      <c r="H169" s="53" t="n">
        <f aca="false">D169*G169</f>
        <v>385.666666666667</v>
      </c>
      <c r="I169" s="47" t="s">
        <v>236</v>
      </c>
      <c r="J169" s="52" t="n">
        <f aca="false">6.91/1.2</f>
        <v>5.75833333333333</v>
      </c>
      <c r="K169" s="53" t="n">
        <f aca="false">D169*J169</f>
        <v>374.291666666667</v>
      </c>
      <c r="L169" s="47" t="s">
        <v>58</v>
      </c>
      <c r="M169" s="52" t="n">
        <v>6.37</v>
      </c>
      <c r="N169" s="53" t="n">
        <f aca="false">D169*M169</f>
        <v>414.05</v>
      </c>
      <c r="O169" s="54" t="n">
        <f aca="false">AVERAGE(G169,J169,M169)</f>
        <v>6.02055555555556</v>
      </c>
      <c r="P169" s="55" t="n">
        <f aca="false">E169*100/O169-100</f>
        <v>-0.341422903017445</v>
      </c>
      <c r="Q169" s="54" t="n">
        <f aca="false">D169*E169</f>
        <v>390</v>
      </c>
      <c r="R169" s="56"/>
      <c r="T169" s="57" t="n">
        <f aca="false">ROUND(G169*100/O169-100,0)</f>
        <v>-1</v>
      </c>
      <c r="U169" s="57" t="n">
        <f aca="false">ROUND(J169*100/O169-100,0)</f>
        <v>-4</v>
      </c>
      <c r="V169" s="57" t="n">
        <f aca="false">ROUND(M169*100/O169-100,0)</f>
        <v>6</v>
      </c>
    </row>
    <row r="170" s="43" customFormat="true" ht="73.5" hidden="false" customHeight="true" outlineLevel="0" collapsed="false">
      <c r="A170" s="45" t="n">
        <v>159</v>
      </c>
      <c r="B170" s="46" t="s">
        <v>240</v>
      </c>
      <c r="C170" s="47" t="s">
        <v>147</v>
      </c>
      <c r="D170" s="48" t="s">
        <v>241</v>
      </c>
      <c r="E170" s="50" t="n">
        <v>7.6</v>
      </c>
      <c r="F170" s="47" t="s">
        <v>231</v>
      </c>
      <c r="G170" s="52" t="n">
        <f aca="false">8.7/1.2</f>
        <v>7.25</v>
      </c>
      <c r="H170" s="53" t="n">
        <f aca="false">D170*G170</f>
        <v>2900</v>
      </c>
      <c r="I170" s="47" t="s">
        <v>236</v>
      </c>
      <c r="J170" s="52" t="n">
        <f aca="false">9.03/1.2</f>
        <v>7.525</v>
      </c>
      <c r="K170" s="53" t="n">
        <f aca="false">D170*J170</f>
        <v>3010</v>
      </c>
      <c r="L170" s="47" t="s">
        <v>58</v>
      </c>
      <c r="M170" s="52" t="n">
        <v>8.12</v>
      </c>
      <c r="N170" s="53" t="n">
        <f aca="false">D170*M170</f>
        <v>3248</v>
      </c>
      <c r="O170" s="54" t="n">
        <f aca="false">AVERAGE(G170,J170,M170)</f>
        <v>7.63166666666667</v>
      </c>
      <c r="P170" s="55" t="n">
        <f aca="false">E170*100/O170-100</f>
        <v>-0.414937759336098</v>
      </c>
      <c r="Q170" s="54" t="n">
        <f aca="false">D170*E170</f>
        <v>3040</v>
      </c>
      <c r="R170" s="56"/>
      <c r="T170" s="57" t="n">
        <f aca="false">ROUND(G170*100/O170-100,0)</f>
        <v>-5</v>
      </c>
      <c r="U170" s="57" t="n">
        <f aca="false">ROUND(J170*100/O170-100,0)</f>
        <v>-1</v>
      </c>
      <c r="V170" s="57" t="n">
        <f aca="false">ROUND(M170*100/O170-100,0)</f>
        <v>6</v>
      </c>
    </row>
    <row r="171" s="43" customFormat="true" ht="73.5" hidden="false" customHeight="true" outlineLevel="0" collapsed="false">
      <c r="A171" s="45" t="n">
        <v>160</v>
      </c>
      <c r="B171" s="46" t="s">
        <v>242</v>
      </c>
      <c r="C171" s="47" t="s">
        <v>147</v>
      </c>
      <c r="D171" s="48" t="s">
        <v>243</v>
      </c>
      <c r="E171" s="50" t="n">
        <v>9.52</v>
      </c>
      <c r="F171" s="47" t="s">
        <v>231</v>
      </c>
      <c r="G171" s="52" t="n">
        <f aca="false">11.28/1.2</f>
        <v>9.4</v>
      </c>
      <c r="H171" s="53" t="n">
        <f aca="false">D171*G171</f>
        <v>188</v>
      </c>
      <c r="I171" s="47" t="s">
        <v>236</v>
      </c>
      <c r="J171" s="52" t="n">
        <f aca="false">11.14/1.2</f>
        <v>9.28333333333334</v>
      </c>
      <c r="K171" s="53" t="n">
        <f aca="false">D171*J171</f>
        <v>185.666666666667</v>
      </c>
      <c r="L171" s="47" t="s">
        <v>58</v>
      </c>
      <c r="M171" s="52" t="n">
        <v>9.97</v>
      </c>
      <c r="N171" s="53" t="n">
        <f aca="false">D171*M171</f>
        <v>199.4</v>
      </c>
      <c r="O171" s="54" t="n">
        <f aca="false">AVERAGE(G171,J171,M171)</f>
        <v>9.55111111111111</v>
      </c>
      <c r="P171" s="55" t="n">
        <f aca="false">E171*100/O171-100</f>
        <v>-0.32573289902281</v>
      </c>
      <c r="Q171" s="54" t="n">
        <f aca="false">D171*E171</f>
        <v>190.4</v>
      </c>
      <c r="R171" s="56"/>
      <c r="T171" s="57" t="n">
        <f aca="false">ROUND(G171*100/O171-100,0)</f>
        <v>-2</v>
      </c>
      <c r="U171" s="57" t="n">
        <f aca="false">ROUND(J171*100/O171-100,0)</f>
        <v>-3</v>
      </c>
      <c r="V171" s="57" t="n">
        <f aca="false">ROUND(M171*100/O171-100,0)</f>
        <v>4</v>
      </c>
    </row>
    <row r="172" s="43" customFormat="true" ht="73.5" hidden="false" customHeight="true" outlineLevel="0" collapsed="false">
      <c r="A172" s="45" t="n">
        <v>161</v>
      </c>
      <c r="B172" s="46" t="s">
        <v>244</v>
      </c>
      <c r="C172" s="47" t="s">
        <v>147</v>
      </c>
      <c r="D172" s="48" t="s">
        <v>245</v>
      </c>
      <c r="E172" s="50" t="n">
        <v>6.79</v>
      </c>
      <c r="F172" s="47" t="s">
        <v>231</v>
      </c>
      <c r="G172" s="52" t="n">
        <f aca="false">6.62/1.2</f>
        <v>5.51666666666667</v>
      </c>
      <c r="H172" s="53" t="n">
        <f aca="false">D172*G172</f>
        <v>3310</v>
      </c>
      <c r="I172" s="47" t="s">
        <v>236</v>
      </c>
      <c r="J172" s="52" t="n">
        <f aca="false">8.58/1.2</f>
        <v>7.15</v>
      </c>
      <c r="K172" s="53" t="n">
        <f aca="false">D172*J172</f>
        <v>4290</v>
      </c>
      <c r="L172" s="47" t="s">
        <v>58</v>
      </c>
      <c r="M172" s="52" t="n">
        <v>7.83</v>
      </c>
      <c r="N172" s="53" t="n">
        <f aca="false">D172*M172</f>
        <v>4698</v>
      </c>
      <c r="O172" s="54" t="n">
        <f aca="false">AVERAGE(G172,J172,M172)</f>
        <v>6.83222222222222</v>
      </c>
      <c r="P172" s="55" t="n">
        <f aca="false">E172*100/O172-100</f>
        <v>-0.617986664498289</v>
      </c>
      <c r="Q172" s="54" t="n">
        <f aca="false">D172*E172</f>
        <v>4074</v>
      </c>
      <c r="R172" s="56"/>
      <c r="T172" s="57" t="n">
        <f aca="false">ROUND(G172*100/O172-100,0)</f>
        <v>-19</v>
      </c>
      <c r="U172" s="57" t="n">
        <f aca="false">ROUND(J172*100/O172-100,0)</f>
        <v>5</v>
      </c>
      <c r="V172" s="57" t="n">
        <f aca="false">ROUND(M172*100/O172-100,0)</f>
        <v>15</v>
      </c>
    </row>
    <row r="173" s="43" customFormat="true" ht="73.5" hidden="false" customHeight="true" outlineLevel="0" collapsed="false">
      <c r="A173" s="45" t="n">
        <v>162</v>
      </c>
      <c r="B173" s="46" t="s">
        <v>246</v>
      </c>
      <c r="C173" s="47" t="s">
        <v>45</v>
      </c>
      <c r="D173" s="48" t="s">
        <v>247</v>
      </c>
      <c r="E173" s="50" t="n">
        <v>2210.44</v>
      </c>
      <c r="F173" s="47" t="s">
        <v>248</v>
      </c>
      <c r="G173" s="52" t="n">
        <f aca="false">8990/4</f>
        <v>2247.5</v>
      </c>
      <c r="H173" s="53" t="n">
        <f aca="false">D173*G173</f>
        <v>26970</v>
      </c>
      <c r="I173" s="47" t="s">
        <v>249</v>
      </c>
      <c r="J173" s="52" t="n">
        <f aca="false">10015/4</f>
        <v>2503.75</v>
      </c>
      <c r="K173" s="53" t="n">
        <f aca="false">D173*J173</f>
        <v>30045</v>
      </c>
      <c r="L173" s="47" t="s">
        <v>250</v>
      </c>
      <c r="M173" s="52" t="n">
        <v>1898.75</v>
      </c>
      <c r="N173" s="53" t="n">
        <f aca="false">D173*M173</f>
        <v>22785</v>
      </c>
      <c r="O173" s="54" t="n">
        <f aca="false">AVERAGE(G173,J173,M173)</f>
        <v>2216.66666666667</v>
      </c>
      <c r="P173" s="55" t="n">
        <f aca="false">E173*100/O173-100</f>
        <v>-0.280902255639091</v>
      </c>
      <c r="Q173" s="54" t="n">
        <f aca="false">D173*E173</f>
        <v>26525.28</v>
      </c>
      <c r="R173" s="56"/>
      <c r="T173" s="57" t="n">
        <f aca="false">ROUND(G173*100/O173-100,0)</f>
        <v>1</v>
      </c>
      <c r="U173" s="57" t="n">
        <f aca="false">ROUND(J173*100/O173-100,0)</f>
        <v>13</v>
      </c>
      <c r="V173" s="57" t="n">
        <f aca="false">ROUND(M173*100/O173-100,0)</f>
        <v>-14</v>
      </c>
    </row>
    <row r="174" s="43" customFormat="true" ht="64.5" hidden="false" customHeight="true" outlineLevel="0" collapsed="false">
      <c r="A174" s="45" t="n">
        <v>163</v>
      </c>
      <c r="B174" s="46" t="s">
        <v>251</v>
      </c>
      <c r="C174" s="47" t="s">
        <v>147</v>
      </c>
      <c r="D174" s="48" t="n">
        <v>60</v>
      </c>
      <c r="E174" s="50" t="n">
        <v>480.56</v>
      </c>
      <c r="F174" s="47" t="s">
        <v>27</v>
      </c>
      <c r="G174" s="52" t="n">
        <f aca="false">542.05/1.2</f>
        <v>451.708333333333</v>
      </c>
      <c r="H174" s="53" t="n">
        <f aca="false">D174*G174</f>
        <v>27102.5</v>
      </c>
      <c r="I174" s="53" t="s">
        <v>28</v>
      </c>
      <c r="J174" s="52" t="n">
        <f aca="false">586.87/1.2</f>
        <v>489.058333333333</v>
      </c>
      <c r="K174" s="53" t="n">
        <f aca="false">D174*J174</f>
        <v>29343.5</v>
      </c>
      <c r="L174" s="53" t="s">
        <v>29</v>
      </c>
      <c r="M174" s="52" t="n">
        <v>506.22</v>
      </c>
      <c r="N174" s="53" t="n">
        <f aca="false">D174*M174</f>
        <v>30373.2</v>
      </c>
      <c r="O174" s="54" t="n">
        <f aca="false">AVERAGE(G174,J174,M174)</f>
        <v>482.328888888889</v>
      </c>
      <c r="P174" s="55" t="n">
        <f aca="false">E174*100/O174-100</f>
        <v>-0.366739154472754</v>
      </c>
      <c r="Q174" s="54" t="n">
        <f aca="false">D174*E174</f>
        <v>28833.6</v>
      </c>
      <c r="R174" s="62" t="s">
        <v>116</v>
      </c>
      <c r="T174" s="57" t="n">
        <f aca="false">ROUND(G174*100/O174-100,0)</f>
        <v>-6</v>
      </c>
      <c r="U174" s="57" t="n">
        <f aca="false">ROUND(J174*100/O174-100,0)</f>
        <v>1</v>
      </c>
      <c r="V174" s="57" t="n">
        <f aca="false">ROUND(M174*100/O174-100,0)</f>
        <v>5</v>
      </c>
    </row>
    <row r="175" s="43" customFormat="true" ht="73.5" hidden="false" customHeight="true" outlineLevel="0" collapsed="false">
      <c r="A175" s="45" t="n">
        <v>164</v>
      </c>
      <c r="B175" s="46" t="s">
        <v>252</v>
      </c>
      <c r="C175" s="47" t="s">
        <v>45</v>
      </c>
      <c r="D175" s="48" t="n">
        <v>180</v>
      </c>
      <c r="E175" s="50" t="n">
        <v>383.82</v>
      </c>
      <c r="F175" s="47" t="s">
        <v>253</v>
      </c>
      <c r="G175" s="52" t="n">
        <v>385.11</v>
      </c>
      <c r="H175" s="53" t="n">
        <f aca="false">D175*G175</f>
        <v>69319.8</v>
      </c>
      <c r="I175" s="47" t="s">
        <v>254</v>
      </c>
      <c r="J175" s="52" t="n">
        <f aca="false">462/1.2</f>
        <v>385</v>
      </c>
      <c r="K175" s="53" t="n">
        <f aca="false">D175*J175</f>
        <v>69300</v>
      </c>
      <c r="L175" s="47" t="s">
        <v>255</v>
      </c>
      <c r="M175" s="52" t="n">
        <f aca="false">462.13/1.2</f>
        <v>385.108333333333</v>
      </c>
      <c r="N175" s="53" t="n">
        <f aca="false">D175*M175</f>
        <v>69319.5</v>
      </c>
      <c r="O175" s="54" t="n">
        <f aca="false">AVERAGE(G175,J175,M175)</f>
        <v>385.072777777778</v>
      </c>
      <c r="P175" s="55" t="n">
        <f aca="false">E175*100/O175-100</f>
        <v>-0.325335326222586</v>
      </c>
      <c r="Q175" s="54" t="n">
        <f aca="false">D175*E175</f>
        <v>69087.6</v>
      </c>
      <c r="R175" s="56"/>
      <c r="T175" s="57" t="n">
        <f aca="false">ROUND(G175*100/O175-100,0)</f>
        <v>0</v>
      </c>
      <c r="U175" s="57" t="n">
        <f aca="false">ROUND(J175*100/O175-100,0)</f>
        <v>-0</v>
      </c>
      <c r="V175" s="57" t="n">
        <f aca="false">ROUND(M175*100/O175-100,0)</f>
        <v>0</v>
      </c>
    </row>
    <row r="176" s="43" customFormat="true" ht="73.5" hidden="false" customHeight="true" outlineLevel="0" collapsed="false">
      <c r="A176" s="45" t="n">
        <v>165</v>
      </c>
      <c r="B176" s="46" t="s">
        <v>256</v>
      </c>
      <c r="C176" s="47" t="s">
        <v>25</v>
      </c>
      <c r="D176" s="48" t="n">
        <v>1580</v>
      </c>
      <c r="E176" s="50" t="n">
        <v>254.67</v>
      </c>
      <c r="F176" s="47" t="s">
        <v>27</v>
      </c>
      <c r="G176" s="52" t="n">
        <f aca="false">246.91/1.2</f>
        <v>205.758333333333</v>
      </c>
      <c r="H176" s="53" t="n">
        <f aca="false">D176*G176</f>
        <v>325098.166666667</v>
      </c>
      <c r="I176" s="53" t="s">
        <v>28</v>
      </c>
      <c r="J176" s="52" t="n">
        <f aca="false">350.39/1.2</f>
        <v>291.991666666667</v>
      </c>
      <c r="K176" s="53" t="n">
        <f aca="false">D176*J176</f>
        <v>461346.833333333</v>
      </c>
      <c r="L176" s="53" t="s">
        <v>29</v>
      </c>
      <c r="M176" s="52" t="n">
        <v>268.85</v>
      </c>
      <c r="N176" s="53" t="n">
        <f aca="false">D176*M176</f>
        <v>424783</v>
      </c>
      <c r="O176" s="54" t="n">
        <f aca="false">AVERAGE(G176,J176,M176)</f>
        <v>255.533333333333</v>
      </c>
      <c r="P176" s="55" t="n">
        <f aca="false">E176*100/O176-100</f>
        <v>-0.33785546569267</v>
      </c>
      <c r="Q176" s="54" t="n">
        <f aca="false">D176*E176</f>
        <v>402378.6</v>
      </c>
      <c r="R176" s="83"/>
      <c r="T176" s="57" t="n">
        <f aca="false">ROUND(G176*100/O176-100,0)</f>
        <v>-19</v>
      </c>
      <c r="U176" s="57" t="n">
        <f aca="false">ROUND(J176*100/O176-100,0)</f>
        <v>14</v>
      </c>
      <c r="V176" s="57" t="n">
        <f aca="false">ROUND(M176*100/O176-100,0)</f>
        <v>5</v>
      </c>
    </row>
    <row r="177" s="43" customFormat="true" ht="73.5" hidden="false" customHeight="true" outlineLevel="0" collapsed="false">
      <c r="A177" s="45" t="n">
        <v>166</v>
      </c>
      <c r="B177" s="46" t="s">
        <v>257</v>
      </c>
      <c r="C177" s="47" t="s">
        <v>45</v>
      </c>
      <c r="D177" s="48" t="n">
        <v>13</v>
      </c>
      <c r="E177" s="50" t="n">
        <v>98.56</v>
      </c>
      <c r="F177" s="47" t="s">
        <v>258</v>
      </c>
      <c r="G177" s="52" t="n">
        <v>98.67</v>
      </c>
      <c r="H177" s="53" t="n">
        <f aca="false">D177*G177</f>
        <v>1282.71</v>
      </c>
      <c r="I177" s="47" t="s">
        <v>259</v>
      </c>
      <c r="J177" s="52" t="n">
        <f aca="false">117.62/1.2</f>
        <v>98.0166666666667</v>
      </c>
      <c r="K177" s="53" t="n">
        <f aca="false">D177*J177</f>
        <v>1274.21666666667</v>
      </c>
      <c r="L177" s="53" t="s">
        <v>68</v>
      </c>
      <c r="M177" s="52" t="n">
        <v>100.23</v>
      </c>
      <c r="N177" s="53" t="n">
        <f aca="false">D177*M177</f>
        <v>1302.99</v>
      </c>
      <c r="O177" s="54" t="n">
        <f aca="false">AVERAGE(G177,J177,M177)</f>
        <v>98.9722222222222</v>
      </c>
      <c r="P177" s="55" t="n">
        <f aca="false">E177*100/O177-100</f>
        <v>-0.416502946954822</v>
      </c>
      <c r="Q177" s="54" t="n">
        <f aca="false">D177*E177</f>
        <v>1281.28</v>
      </c>
      <c r="R177" s="56"/>
      <c r="T177" s="57" t="n">
        <f aca="false">ROUND(G177*100/O177-100,0)</f>
        <v>-0</v>
      </c>
      <c r="U177" s="57" t="n">
        <f aca="false">ROUND(J177*100/O177-100,0)</f>
        <v>-1</v>
      </c>
      <c r="V177" s="57" t="n">
        <f aca="false">ROUND(M177*100/O177-100,0)</f>
        <v>1</v>
      </c>
    </row>
    <row r="178" s="43" customFormat="true" ht="73.5" hidden="false" customHeight="true" outlineLevel="0" collapsed="false">
      <c r="A178" s="45" t="n">
        <v>167</v>
      </c>
      <c r="B178" s="46" t="s">
        <v>260</v>
      </c>
      <c r="C178" s="47" t="s">
        <v>45</v>
      </c>
      <c r="D178" s="48" t="n">
        <v>3</v>
      </c>
      <c r="E178" s="50" t="n">
        <v>395.42</v>
      </c>
      <c r="F178" s="47" t="s">
        <v>261</v>
      </c>
      <c r="G178" s="52" t="n">
        <f aca="false">460/1.2</f>
        <v>383.333333333333</v>
      </c>
      <c r="H178" s="53" t="n">
        <f aca="false">D178*G178</f>
        <v>1150</v>
      </c>
      <c r="I178" s="47" t="s">
        <v>46</v>
      </c>
      <c r="J178" s="52" t="n">
        <v>426.92</v>
      </c>
      <c r="K178" s="53" t="n">
        <f aca="false">D178*J178</f>
        <v>1280.76</v>
      </c>
      <c r="L178" s="47" t="s">
        <v>57</v>
      </c>
      <c r="M178" s="52" t="n">
        <v>378.8</v>
      </c>
      <c r="N178" s="53" t="n">
        <f aca="false">D178*M178</f>
        <v>1136.4</v>
      </c>
      <c r="O178" s="54" t="n">
        <f aca="false">AVERAGE(G178,J178,M178)</f>
        <v>396.351111111111</v>
      </c>
      <c r="P178" s="55" t="n">
        <f aca="false">E178*100/O178-100</f>
        <v>-0.234920777313036</v>
      </c>
      <c r="Q178" s="54" t="n">
        <f aca="false">D178*E178</f>
        <v>1186.26</v>
      </c>
      <c r="R178" s="56"/>
      <c r="T178" s="57" t="n">
        <f aca="false">ROUND(G178*100/O178-100,0)</f>
        <v>-3</v>
      </c>
      <c r="U178" s="57" t="n">
        <f aca="false">ROUND(J178*100/O178-100,0)</f>
        <v>8</v>
      </c>
      <c r="V178" s="57" t="n">
        <f aca="false">ROUND(M178*100/O178-100,0)</f>
        <v>-4</v>
      </c>
    </row>
    <row r="179" s="43" customFormat="true" ht="73.5" hidden="false" customHeight="true" outlineLevel="0" collapsed="false">
      <c r="A179" s="45" t="n">
        <v>168</v>
      </c>
      <c r="B179" s="46" t="s">
        <v>262</v>
      </c>
      <c r="C179" s="47" t="s">
        <v>45</v>
      </c>
      <c r="D179" s="48" t="n">
        <v>26.4</v>
      </c>
      <c r="E179" s="50" t="n">
        <v>12311.49</v>
      </c>
      <c r="F179" s="47" t="s">
        <v>90</v>
      </c>
      <c r="G179" s="52" t="n">
        <f aca="false">13658.48/1.2</f>
        <v>11382.0666666667</v>
      </c>
      <c r="H179" s="53" t="n">
        <f aca="false">D179*G179</f>
        <v>300486.56</v>
      </c>
      <c r="I179" s="47" t="s">
        <v>46</v>
      </c>
      <c r="J179" s="52" t="n">
        <v>13004.1</v>
      </c>
      <c r="K179" s="53" t="n">
        <f aca="false">D179*J179</f>
        <v>343308.24</v>
      </c>
      <c r="L179" s="47" t="s">
        <v>58</v>
      </c>
      <c r="M179" s="52" t="n">
        <v>12560.4</v>
      </c>
      <c r="N179" s="53" t="n">
        <f aca="false">D179*M179</f>
        <v>331594.56</v>
      </c>
      <c r="O179" s="54" t="n">
        <f aca="false">AVERAGE(G179,J179,M179)</f>
        <v>12315.5222222222</v>
      </c>
      <c r="P179" s="55" t="n">
        <f aca="false">E179*100/O179-100</f>
        <v>-0.0327409763830104</v>
      </c>
      <c r="Q179" s="54" t="n">
        <f aca="false">D179*E179</f>
        <v>325023.336</v>
      </c>
      <c r="R179" s="56"/>
      <c r="T179" s="57" t="n">
        <f aca="false">ROUND(G179*100/O179-100,0)</f>
        <v>-8</v>
      </c>
      <c r="U179" s="57" t="n">
        <f aca="false">ROUND(J179*100/O179-100,0)</f>
        <v>6</v>
      </c>
      <c r="V179" s="57" t="n">
        <f aca="false">ROUND(M179*100/O179-100,0)</f>
        <v>2</v>
      </c>
    </row>
    <row r="180" s="43" customFormat="true" ht="73.5" hidden="false" customHeight="true" outlineLevel="0" collapsed="false">
      <c r="A180" s="45" t="n">
        <v>169</v>
      </c>
      <c r="B180" s="46" t="s">
        <v>263</v>
      </c>
      <c r="C180" s="47" t="s">
        <v>25</v>
      </c>
      <c r="D180" s="48" t="n">
        <v>69</v>
      </c>
      <c r="E180" s="50" t="n">
        <v>1431.87</v>
      </c>
      <c r="F180" s="47" t="s">
        <v>27</v>
      </c>
      <c r="G180" s="52" t="n">
        <f aca="false">1609.9/1.2</f>
        <v>1341.58333333333</v>
      </c>
      <c r="H180" s="53" t="n">
        <f aca="false">D180*G180</f>
        <v>92569.25</v>
      </c>
      <c r="I180" s="53" t="s">
        <v>28</v>
      </c>
      <c r="J180" s="52" t="n">
        <f aca="false">1748.87/1.2</f>
        <v>1457.39166666667</v>
      </c>
      <c r="K180" s="53" t="n">
        <f aca="false">D180*J180</f>
        <v>100560.025</v>
      </c>
      <c r="L180" s="53" t="s">
        <v>29</v>
      </c>
      <c r="M180" s="52" t="n">
        <v>1503.09</v>
      </c>
      <c r="N180" s="53" t="n">
        <f aca="false">D180*M180</f>
        <v>103713.21</v>
      </c>
      <c r="O180" s="54" t="n">
        <f aca="false">AVERAGE(G180,J180,M180)</f>
        <v>1434.02166666667</v>
      </c>
      <c r="P180" s="55" t="n">
        <f aca="false">E180*100/O180-100</f>
        <v>-0.15004422294875</v>
      </c>
      <c r="Q180" s="54" t="n">
        <f aca="false">D180*E180</f>
        <v>98799.03</v>
      </c>
      <c r="R180" s="56"/>
      <c r="T180" s="57" t="n">
        <f aca="false">ROUND(G180*100/O180-100,0)</f>
        <v>-6</v>
      </c>
      <c r="U180" s="57" t="n">
        <f aca="false">ROUND(J180*100/O180-100,0)</f>
        <v>2</v>
      </c>
      <c r="V180" s="57" t="n">
        <f aca="false">ROUND(M180*100/O180-100,0)</f>
        <v>5</v>
      </c>
    </row>
    <row r="181" s="43" customFormat="true" ht="73.5" hidden="false" customHeight="true" outlineLevel="0" collapsed="false">
      <c r="A181" s="100" t="n">
        <v>170</v>
      </c>
      <c r="B181" s="101" t="s">
        <v>264</v>
      </c>
      <c r="C181" s="102" t="s">
        <v>25</v>
      </c>
      <c r="D181" s="103" t="n">
        <v>78</v>
      </c>
      <c r="E181" s="104" t="n">
        <v>40.01</v>
      </c>
      <c r="F181" s="102" t="s">
        <v>27</v>
      </c>
      <c r="G181" s="105" t="n">
        <f aca="false">45.64/1.2</f>
        <v>38.0333333333333</v>
      </c>
      <c r="H181" s="106" t="n">
        <f aca="false">D181*G181</f>
        <v>2966.6</v>
      </c>
      <c r="I181" s="106" t="s">
        <v>28</v>
      </c>
      <c r="J181" s="105" t="n">
        <f aca="false">44.54/1.2</f>
        <v>37.1166666666667</v>
      </c>
      <c r="K181" s="106" t="n">
        <f aca="false">D181*J181</f>
        <v>2895.1</v>
      </c>
      <c r="L181" s="106" t="s">
        <v>29</v>
      </c>
      <c r="M181" s="105" t="n">
        <v>45.47</v>
      </c>
      <c r="N181" s="106" t="n">
        <f aca="false">D181*M181</f>
        <v>3546.66</v>
      </c>
      <c r="O181" s="107" t="n">
        <f aca="false">AVERAGE(G181,J181,M181)</f>
        <v>40.2066666666667</v>
      </c>
      <c r="P181" s="108" t="n">
        <f aca="false">E181*100/O181-100</f>
        <v>-0.48913944619467</v>
      </c>
      <c r="Q181" s="107" t="n">
        <f aca="false">D181*E181</f>
        <v>3120.78</v>
      </c>
      <c r="R181" s="109" t="s">
        <v>480</v>
      </c>
      <c r="T181" s="57" t="n">
        <f aca="false">ROUND(G181*100/O181-100,0)</f>
        <v>-5</v>
      </c>
      <c r="U181" s="57" t="n">
        <f aca="false">ROUND(J181*100/O181-100,0)</f>
        <v>-8</v>
      </c>
      <c r="V181" s="57" t="n">
        <f aca="false">ROUND(M181*100/O181-100,0)</f>
        <v>13</v>
      </c>
    </row>
    <row r="182" s="43" customFormat="true" ht="73.5" hidden="false" customHeight="true" outlineLevel="0" collapsed="false">
      <c r="A182" s="45" t="n">
        <v>171</v>
      </c>
      <c r="B182" s="46" t="s">
        <v>265</v>
      </c>
      <c r="C182" s="47" t="s">
        <v>25</v>
      </c>
      <c r="D182" s="48" t="n">
        <v>1</v>
      </c>
      <c r="E182" s="50" t="n">
        <v>539.74</v>
      </c>
      <c r="F182" s="47" t="s">
        <v>27</v>
      </c>
      <c r="G182" s="52" t="n">
        <f aca="false">628.74/1.2</f>
        <v>523.95</v>
      </c>
      <c r="H182" s="53" t="n">
        <f aca="false">D182*G182</f>
        <v>523.95</v>
      </c>
      <c r="I182" s="53" t="s">
        <v>28</v>
      </c>
      <c r="J182" s="52" t="n">
        <f aca="false">697.44/1.2</f>
        <v>581.2</v>
      </c>
      <c r="K182" s="53" t="n">
        <f aca="false">D182*J182</f>
        <v>581.2</v>
      </c>
      <c r="L182" s="53" t="s">
        <v>29</v>
      </c>
      <c r="M182" s="52" t="n">
        <v>520.81</v>
      </c>
      <c r="N182" s="53" t="n">
        <f aca="false">D182*M182</f>
        <v>520.81</v>
      </c>
      <c r="O182" s="54" t="n">
        <f aca="false">AVERAGE(G182,J182,M182)</f>
        <v>541.986666666667</v>
      </c>
      <c r="P182" s="55" t="n">
        <f aca="false">E182*100/O182-100</f>
        <v>-0.414524342542251</v>
      </c>
      <c r="Q182" s="54" t="n">
        <f aca="false">D182*E182</f>
        <v>539.74</v>
      </c>
      <c r="R182" s="56"/>
      <c r="T182" s="57" t="n">
        <f aca="false">ROUND(G182*100/O182-100,0)</f>
        <v>-3</v>
      </c>
      <c r="U182" s="57" t="n">
        <f aca="false">ROUND(J182*100/O182-100,0)</f>
        <v>7</v>
      </c>
      <c r="V182" s="57" t="n">
        <f aca="false">ROUND(M182*100/O182-100,0)</f>
        <v>-4</v>
      </c>
    </row>
    <row r="183" s="43" customFormat="true" ht="73.5" hidden="false" customHeight="true" outlineLevel="0" collapsed="false">
      <c r="A183" s="45" t="n">
        <v>172</v>
      </c>
      <c r="B183" s="46" t="s">
        <v>266</v>
      </c>
      <c r="C183" s="47" t="s">
        <v>25</v>
      </c>
      <c r="D183" s="48" t="n">
        <v>100</v>
      </c>
      <c r="E183" s="50" t="n">
        <v>1.28</v>
      </c>
      <c r="F183" s="47" t="s">
        <v>27</v>
      </c>
      <c r="G183" s="52" t="n">
        <f aca="false">62.47/50/1.2</f>
        <v>1.04116666666667</v>
      </c>
      <c r="H183" s="53" t="n">
        <f aca="false">D183*G183</f>
        <v>104.116666666667</v>
      </c>
      <c r="I183" s="53" t="s">
        <v>28</v>
      </c>
      <c r="J183" s="52" t="n">
        <f aca="false">1.66/1.2</f>
        <v>1.38333333333333</v>
      </c>
      <c r="K183" s="53" t="n">
        <f aca="false">D183*J183</f>
        <v>138.333333333333</v>
      </c>
      <c r="L183" s="53" t="s">
        <v>29</v>
      </c>
      <c r="M183" s="52" t="n">
        <v>1.46</v>
      </c>
      <c r="N183" s="53" t="n">
        <f aca="false">D183*M183</f>
        <v>146</v>
      </c>
      <c r="O183" s="54" t="n">
        <f aca="false">AVERAGE(G183,J183,M183)</f>
        <v>1.29483333333333</v>
      </c>
      <c r="P183" s="55" t="n">
        <f aca="false">E183*100/O183-100</f>
        <v>-1.14557858154203</v>
      </c>
      <c r="Q183" s="54" t="n">
        <f aca="false">D183*E183</f>
        <v>128</v>
      </c>
      <c r="R183" s="56"/>
      <c r="T183" s="57" t="n">
        <f aca="false">ROUND(G183*100/O183-100,0)</f>
        <v>-20</v>
      </c>
      <c r="U183" s="57" t="n">
        <f aca="false">ROUND(J183*100/O183-100,0)</f>
        <v>7</v>
      </c>
      <c r="V183" s="57" t="n">
        <f aca="false">ROUND(M183*100/O183-100,0)</f>
        <v>13</v>
      </c>
    </row>
    <row r="184" s="43" customFormat="true" ht="73.5" hidden="false" customHeight="true" outlineLevel="0" collapsed="false">
      <c r="A184" s="45" t="n">
        <v>173</v>
      </c>
      <c r="B184" s="46" t="s">
        <v>267</v>
      </c>
      <c r="C184" s="47" t="s">
        <v>25</v>
      </c>
      <c r="D184" s="48" t="n">
        <v>26</v>
      </c>
      <c r="E184" s="50" t="n">
        <v>22.15</v>
      </c>
      <c r="F184" s="47" t="s">
        <v>27</v>
      </c>
      <c r="G184" s="52" t="n">
        <f aca="false">21.83/1.2</f>
        <v>18.1916666666667</v>
      </c>
      <c r="H184" s="53" t="n">
        <f aca="false">D184*G184</f>
        <v>472.983333333333</v>
      </c>
      <c r="I184" s="53" t="s">
        <v>28</v>
      </c>
      <c r="J184" s="52" t="n">
        <f aca="false">27.18/1.2</f>
        <v>22.65</v>
      </c>
      <c r="K184" s="53" t="n">
        <f aca="false">D184*J184</f>
        <v>588.9</v>
      </c>
      <c r="L184" s="53" t="s">
        <v>29</v>
      </c>
      <c r="M184" s="52" t="n">
        <v>26.07</v>
      </c>
      <c r="N184" s="53" t="n">
        <f aca="false">D184*M184</f>
        <v>677.82</v>
      </c>
      <c r="O184" s="54" t="n">
        <f aca="false">AVERAGE(G184,J184,M184)</f>
        <v>22.3038888888889</v>
      </c>
      <c r="P184" s="55" t="n">
        <f aca="false">E184*100/O184-100</f>
        <v>-0.689964380900193</v>
      </c>
      <c r="Q184" s="54" t="n">
        <f aca="false">D184*E184</f>
        <v>575.9</v>
      </c>
      <c r="R184" s="56"/>
      <c r="T184" s="57" t="n">
        <f aca="false">ROUND(G184*100/O184-100,0)</f>
        <v>-18</v>
      </c>
      <c r="U184" s="57" t="n">
        <f aca="false">ROUND(J184*100/O184-100,0)</f>
        <v>2</v>
      </c>
      <c r="V184" s="57" t="n">
        <f aca="false">ROUND(M184*100/O184-100,0)</f>
        <v>17</v>
      </c>
    </row>
    <row r="185" s="43" customFormat="true" ht="73.5" hidden="false" customHeight="true" outlineLevel="0" collapsed="false">
      <c r="A185" s="45" t="n">
        <v>174</v>
      </c>
      <c r="B185" s="46" t="s">
        <v>268</v>
      </c>
      <c r="C185" s="47" t="s">
        <v>25</v>
      </c>
      <c r="D185" s="48" t="n">
        <v>8</v>
      </c>
      <c r="E185" s="50" t="n">
        <v>569.91</v>
      </c>
      <c r="F185" s="47" t="s">
        <v>57</v>
      </c>
      <c r="G185" s="52" t="n">
        <v>518.54</v>
      </c>
      <c r="H185" s="53" t="n">
        <f aca="false">D185*G185</f>
        <v>4148.32</v>
      </c>
      <c r="I185" s="47" t="s">
        <v>46</v>
      </c>
      <c r="J185" s="52" t="n">
        <v>554.7</v>
      </c>
      <c r="K185" s="53" t="n">
        <f aca="false">D185*J185</f>
        <v>4437.6</v>
      </c>
      <c r="L185" s="53" t="s">
        <v>41</v>
      </c>
      <c r="M185" s="52" t="n">
        <v>640.8</v>
      </c>
      <c r="N185" s="53" t="n">
        <f aca="false">D185*M185</f>
        <v>5126.4</v>
      </c>
      <c r="O185" s="54" t="n">
        <f aca="false">AVERAGE(G185,J185,M185)</f>
        <v>571.346666666667</v>
      </c>
      <c r="P185" s="55" t="n">
        <f aca="false">E185*100/O185-100</f>
        <v>-0.251452708221521</v>
      </c>
      <c r="Q185" s="54" t="n">
        <f aca="false">D185*E185</f>
        <v>4559.28</v>
      </c>
      <c r="R185" s="56"/>
      <c r="T185" s="57" t="n">
        <f aca="false">ROUND(G185*100/O185-100,0)</f>
        <v>-9</v>
      </c>
      <c r="U185" s="57" t="n">
        <f aca="false">ROUND(J185*100/O185-100,0)</f>
        <v>-3</v>
      </c>
      <c r="V185" s="57" t="n">
        <f aca="false">ROUND(M185*100/O185-100,0)</f>
        <v>12</v>
      </c>
    </row>
    <row r="186" s="43" customFormat="true" ht="73.5" hidden="false" customHeight="true" outlineLevel="0" collapsed="false">
      <c r="A186" s="45" t="n">
        <v>175</v>
      </c>
      <c r="B186" s="46" t="s">
        <v>269</v>
      </c>
      <c r="C186" s="47" t="s">
        <v>45</v>
      </c>
      <c r="D186" s="48" t="n">
        <v>48</v>
      </c>
      <c r="E186" s="50" t="n">
        <v>4556.94</v>
      </c>
      <c r="F186" s="47" t="s">
        <v>270</v>
      </c>
      <c r="G186" s="52" t="n">
        <v>4125</v>
      </c>
      <c r="H186" s="53" t="n">
        <f aca="false">D186*G186</f>
        <v>198000</v>
      </c>
      <c r="I186" s="47" t="s">
        <v>271</v>
      </c>
      <c r="J186" s="52" t="n">
        <v>4583.33</v>
      </c>
      <c r="K186" s="53" t="n">
        <f aca="false">D186*J186</f>
        <v>219999.84</v>
      </c>
      <c r="L186" s="47" t="s">
        <v>272</v>
      </c>
      <c r="M186" s="52" t="n">
        <v>4970.33</v>
      </c>
      <c r="N186" s="53" t="n">
        <f aca="false">D186*M186</f>
        <v>238575.84</v>
      </c>
      <c r="O186" s="54" t="n">
        <f aca="false">AVERAGE(G186,J186,M186)</f>
        <v>4559.55333333333</v>
      </c>
      <c r="P186" s="55" t="n">
        <f aca="false">E186*100/O186-100</f>
        <v>-0.057315555763509</v>
      </c>
      <c r="Q186" s="54" t="n">
        <f aca="false">D186*E186</f>
        <v>218733.12</v>
      </c>
      <c r="R186" s="56"/>
      <c r="T186" s="57" t="n">
        <f aca="false">ROUND(G186*100/O186-100,0)</f>
        <v>-10</v>
      </c>
      <c r="U186" s="57" t="n">
        <f aca="false">ROUND(J186*100/O186-100,0)</f>
        <v>1</v>
      </c>
      <c r="V186" s="57" t="n">
        <f aca="false">ROUND(M186*100/O186-100,0)</f>
        <v>9</v>
      </c>
    </row>
    <row r="187" s="43" customFormat="true" ht="73.5" hidden="false" customHeight="true" outlineLevel="0" collapsed="false">
      <c r="A187" s="45" t="n">
        <v>176</v>
      </c>
      <c r="B187" s="46" t="s">
        <v>273</v>
      </c>
      <c r="C187" s="47" t="s">
        <v>45</v>
      </c>
      <c r="D187" s="48" t="n">
        <v>16</v>
      </c>
      <c r="E187" s="50" t="n">
        <v>1229.54</v>
      </c>
      <c r="F187" s="47" t="s">
        <v>274</v>
      </c>
      <c r="G187" s="52" t="n">
        <v>980</v>
      </c>
      <c r="H187" s="53" t="n">
        <f aca="false">D187*G187</f>
        <v>15680</v>
      </c>
      <c r="I187" s="47" t="s">
        <v>275</v>
      </c>
      <c r="J187" s="52" t="n">
        <v>1450</v>
      </c>
      <c r="K187" s="53" t="n">
        <f aca="false">D187*J187</f>
        <v>23200</v>
      </c>
      <c r="L187" s="53" t="s">
        <v>41</v>
      </c>
      <c r="M187" s="52" t="n">
        <v>1263</v>
      </c>
      <c r="N187" s="53" t="n">
        <f aca="false">D187*M187</f>
        <v>20208</v>
      </c>
      <c r="O187" s="54" t="n">
        <f aca="false">AVERAGE(G187,J187,M187)</f>
        <v>1231</v>
      </c>
      <c r="P187" s="55" t="n">
        <f aca="false">E187*100/O187-100</f>
        <v>-0.118602761982132</v>
      </c>
      <c r="Q187" s="54" t="n">
        <f aca="false">D187*E187</f>
        <v>19672.64</v>
      </c>
      <c r="R187" s="56"/>
      <c r="T187" s="57" t="n">
        <f aca="false">ROUND(G187*100/O187-100,0)</f>
        <v>-20</v>
      </c>
      <c r="U187" s="57" t="n">
        <f aca="false">ROUND(J187*100/O187-100,0)</f>
        <v>18</v>
      </c>
      <c r="V187" s="57" t="n">
        <f aca="false">ROUND(M187*100/O187-100,0)</f>
        <v>3</v>
      </c>
    </row>
    <row r="188" s="43" customFormat="true" ht="73.5" hidden="false" customHeight="true" outlineLevel="0" collapsed="false">
      <c r="A188" s="45" t="n">
        <v>177</v>
      </c>
      <c r="B188" s="46" t="s">
        <v>276</v>
      </c>
      <c r="C188" s="47" t="s">
        <v>53</v>
      </c>
      <c r="D188" s="48" t="n">
        <v>500</v>
      </c>
      <c r="E188" s="50" t="n">
        <v>482.37</v>
      </c>
      <c r="F188" s="47" t="s">
        <v>277</v>
      </c>
      <c r="G188" s="52" t="n">
        <f aca="false">625/1.2</f>
        <v>520.833333333333</v>
      </c>
      <c r="H188" s="53" t="n">
        <f aca="false">D188*G188</f>
        <v>260416.666666667</v>
      </c>
      <c r="I188" s="47" t="s">
        <v>46</v>
      </c>
      <c r="J188" s="52" t="n">
        <v>479</v>
      </c>
      <c r="K188" s="53" t="n">
        <f aca="false">D188*J188</f>
        <v>239500</v>
      </c>
      <c r="L188" s="47" t="s">
        <v>278</v>
      </c>
      <c r="M188" s="52" t="n">
        <f aca="false">10800/20/1.2</f>
        <v>450</v>
      </c>
      <c r="N188" s="53" t="n">
        <f aca="false">D188*M188</f>
        <v>225000</v>
      </c>
      <c r="O188" s="54" t="n">
        <f aca="false">AVERAGE(G188,J188,M188)</f>
        <v>483.277777777778</v>
      </c>
      <c r="P188" s="55" t="n">
        <f aca="false">E188*100/O188-100</f>
        <v>-0.187837682492244</v>
      </c>
      <c r="Q188" s="54" t="n">
        <f aca="false">D188*E188</f>
        <v>241185</v>
      </c>
      <c r="R188" s="83"/>
      <c r="T188" s="57" t="n">
        <f aca="false">ROUND(G188*100/O188-100,0)</f>
        <v>8</v>
      </c>
      <c r="U188" s="57" t="n">
        <f aca="false">ROUND(J188*100/O188-100,0)</f>
        <v>-1</v>
      </c>
      <c r="V188" s="57" t="n">
        <f aca="false">ROUND(M188*100/O188-100,0)</f>
        <v>-7</v>
      </c>
    </row>
    <row r="189" s="43" customFormat="true" ht="73.5" hidden="false" customHeight="true" outlineLevel="0" collapsed="false">
      <c r="A189" s="45" t="n">
        <v>178</v>
      </c>
      <c r="B189" s="46" t="s">
        <v>279</v>
      </c>
      <c r="C189" s="47" t="s">
        <v>45</v>
      </c>
      <c r="D189" s="48" t="s">
        <v>280</v>
      </c>
      <c r="E189" s="50" t="n">
        <v>28855.3</v>
      </c>
      <c r="F189" s="47" t="s">
        <v>281</v>
      </c>
      <c r="G189" s="52" t="n">
        <f aca="false">(1630*1000/50)/1.2</f>
        <v>27166.6666666667</v>
      </c>
      <c r="H189" s="53" t="n">
        <f aca="false">D189*G189</f>
        <v>13583.3333333333</v>
      </c>
      <c r="I189" s="47" t="s">
        <v>58</v>
      </c>
      <c r="J189" s="52" t="n">
        <v>30052.39</v>
      </c>
      <c r="K189" s="69" t="n">
        <f aca="false">D189*J189</f>
        <v>15026.195</v>
      </c>
      <c r="L189" s="53" t="s">
        <v>29</v>
      </c>
      <c r="M189" s="52" t="n">
        <v>29361.09</v>
      </c>
      <c r="N189" s="53" t="n">
        <f aca="false">D189*M189</f>
        <v>14680.545</v>
      </c>
      <c r="O189" s="54" t="n">
        <f aca="false">AVERAGE(G189,J189,M189)</f>
        <v>28860.0488888889</v>
      </c>
      <c r="P189" s="55" t="n">
        <f aca="false">E189*100/O189-100</f>
        <v>-0.0164548885803129</v>
      </c>
      <c r="Q189" s="54" t="n">
        <f aca="false">D189*E189</f>
        <v>14427.65</v>
      </c>
      <c r="R189" s="56"/>
      <c r="T189" s="57" t="n">
        <f aca="false">ROUND(G189*100/O189-100,0)</f>
        <v>-6</v>
      </c>
      <c r="U189" s="57" t="n">
        <f aca="false">ROUND(J189*100/O189-100,0)</f>
        <v>4</v>
      </c>
      <c r="V189" s="57" t="n">
        <f aca="false">ROUND(M189*100/O189-100,0)</f>
        <v>2</v>
      </c>
    </row>
    <row r="190" s="43" customFormat="true" ht="73.5" hidden="false" customHeight="true" outlineLevel="0" collapsed="false">
      <c r="A190" s="45" t="n">
        <v>179</v>
      </c>
      <c r="B190" s="46" t="s">
        <v>282</v>
      </c>
      <c r="C190" s="47" t="s">
        <v>25</v>
      </c>
      <c r="D190" s="48" t="n">
        <v>10</v>
      </c>
      <c r="E190" s="50" t="n">
        <v>154.38</v>
      </c>
      <c r="F190" s="47" t="s">
        <v>27</v>
      </c>
      <c r="G190" s="52" t="n">
        <f aca="false">159.09/1.2</f>
        <v>132.575</v>
      </c>
      <c r="H190" s="53" t="n">
        <f aca="false">D190*G190</f>
        <v>1325.75</v>
      </c>
      <c r="I190" s="53" t="s">
        <v>28</v>
      </c>
      <c r="J190" s="52" t="n">
        <v>173.53</v>
      </c>
      <c r="K190" s="53" t="n">
        <f aca="false">D190*J190</f>
        <v>1735.3</v>
      </c>
      <c r="L190" s="53" t="s">
        <v>29</v>
      </c>
      <c r="M190" s="52" t="n">
        <v>159.82</v>
      </c>
      <c r="N190" s="53" t="n">
        <f aca="false">D190*M190</f>
        <v>1598.2</v>
      </c>
      <c r="O190" s="54" t="n">
        <f aca="false">AVERAGE(G190,J190,M190)</f>
        <v>155.308333333333</v>
      </c>
      <c r="P190" s="55" t="n">
        <f aca="false">E190*100/O190-100</f>
        <v>-0.597735687074106</v>
      </c>
      <c r="Q190" s="54" t="n">
        <f aca="false">D190*E190</f>
        <v>1543.8</v>
      </c>
      <c r="R190" s="56"/>
      <c r="T190" s="57" t="n">
        <f aca="false">ROUND(G190*100/O190-100,0)</f>
        <v>-15</v>
      </c>
      <c r="U190" s="57" t="n">
        <f aca="false">ROUND(J190*100/O190-100,0)</f>
        <v>12</v>
      </c>
      <c r="V190" s="57" t="n">
        <f aca="false">ROUND(M190*100/O190-100,0)</f>
        <v>3</v>
      </c>
    </row>
    <row r="191" s="43" customFormat="true" ht="73.5" hidden="false" customHeight="true" outlineLevel="0" collapsed="false">
      <c r="A191" s="45" t="n">
        <v>180</v>
      </c>
      <c r="B191" s="46" t="s">
        <v>283</v>
      </c>
      <c r="C191" s="47" t="s">
        <v>25</v>
      </c>
      <c r="D191" s="48" t="n">
        <v>5</v>
      </c>
      <c r="E191" s="50" t="n">
        <v>38.66</v>
      </c>
      <c r="F191" s="47" t="s">
        <v>27</v>
      </c>
      <c r="G191" s="52" t="n">
        <f aca="false">41.96/1.2</f>
        <v>34.9666666666667</v>
      </c>
      <c r="H191" s="53" t="n">
        <f aca="false">D191*G191</f>
        <v>174.833333333333</v>
      </c>
      <c r="I191" s="53" t="s">
        <v>28</v>
      </c>
      <c r="J191" s="52" t="n">
        <v>40.11</v>
      </c>
      <c r="K191" s="53" t="n">
        <f aca="false">D191*J191</f>
        <v>200.55</v>
      </c>
      <c r="L191" s="53" t="s">
        <v>29</v>
      </c>
      <c r="M191" s="52" t="n">
        <v>42.43</v>
      </c>
      <c r="N191" s="53" t="n">
        <f aca="false">D191*M191</f>
        <v>212.15</v>
      </c>
      <c r="O191" s="54" t="n">
        <f aca="false">AVERAGE(G191,J191,M191)</f>
        <v>39.1688888888889</v>
      </c>
      <c r="P191" s="55" t="n">
        <f aca="false">E191*100/O191-100</f>
        <v>-1.2992170656984</v>
      </c>
      <c r="Q191" s="54" t="n">
        <f aca="false">D191*E191</f>
        <v>193.3</v>
      </c>
      <c r="R191" s="56"/>
      <c r="T191" s="57" t="n">
        <f aca="false">ROUND(G191*100/O191-100,0)</f>
        <v>-11</v>
      </c>
      <c r="U191" s="57" t="n">
        <f aca="false">ROUND(J191*100/O191-100,0)</f>
        <v>2</v>
      </c>
      <c r="V191" s="57" t="n">
        <f aca="false">ROUND(M191*100/O191-100,0)</f>
        <v>8</v>
      </c>
    </row>
    <row r="192" s="43" customFormat="true" ht="73.5" hidden="false" customHeight="true" outlineLevel="0" collapsed="false">
      <c r="A192" s="45" t="n">
        <v>181</v>
      </c>
      <c r="B192" s="46" t="s">
        <v>284</v>
      </c>
      <c r="C192" s="47" t="s">
        <v>25</v>
      </c>
      <c r="D192" s="48" t="n">
        <v>51</v>
      </c>
      <c r="E192" s="50" t="n">
        <v>37.02</v>
      </c>
      <c r="F192" s="47" t="s">
        <v>27</v>
      </c>
      <c r="G192" s="52" t="n">
        <f aca="false">42.95/1.2</f>
        <v>35.7916666666667</v>
      </c>
      <c r="H192" s="53" t="n">
        <f aca="false">D192*G192</f>
        <v>1825.375</v>
      </c>
      <c r="I192" s="53" t="s">
        <v>28</v>
      </c>
      <c r="J192" s="52" t="n">
        <v>42.57</v>
      </c>
      <c r="K192" s="53" t="n">
        <f aca="false">D192*J192</f>
        <v>2171.07</v>
      </c>
      <c r="L192" s="53" t="s">
        <v>29</v>
      </c>
      <c r="M192" s="52" t="n">
        <v>34.21</v>
      </c>
      <c r="N192" s="53" t="n">
        <f aca="false">D192*M192</f>
        <v>1744.71</v>
      </c>
      <c r="O192" s="54" t="n">
        <f aca="false">AVERAGE(G192,J192,M192)</f>
        <v>37.5238888888889</v>
      </c>
      <c r="P192" s="55" t="n">
        <f aca="false">E192*100/O192-100</f>
        <v>-1.34284825962719</v>
      </c>
      <c r="Q192" s="54" t="n">
        <f aca="false">D192*E192</f>
        <v>1888.02</v>
      </c>
      <c r="R192" s="56"/>
      <c r="T192" s="57" t="n">
        <f aca="false">ROUND(G192*100/O192-100,0)</f>
        <v>-5</v>
      </c>
      <c r="U192" s="57" t="n">
        <f aca="false">ROUND(J192*100/O192-100,0)</f>
        <v>13</v>
      </c>
      <c r="V192" s="57" t="n">
        <f aca="false">ROUND(M192*100/O192-100,0)</f>
        <v>-9</v>
      </c>
    </row>
    <row r="193" s="43" customFormat="true" ht="73.5" hidden="false" customHeight="true" outlineLevel="0" collapsed="false">
      <c r="A193" s="45" t="n">
        <v>182</v>
      </c>
      <c r="B193" s="46" t="s">
        <v>285</v>
      </c>
      <c r="C193" s="47" t="s">
        <v>25</v>
      </c>
      <c r="D193" s="48" t="n">
        <v>65</v>
      </c>
      <c r="E193" s="50" t="n">
        <v>128.98</v>
      </c>
      <c r="F193" s="47" t="s">
        <v>27</v>
      </c>
      <c r="G193" s="52" t="n">
        <f aca="false">152.58/1.2</f>
        <v>127.15</v>
      </c>
      <c r="H193" s="53" t="n">
        <f aca="false">D193*G193</f>
        <v>8264.75</v>
      </c>
      <c r="I193" s="53" t="s">
        <v>28</v>
      </c>
      <c r="J193" s="52" t="n">
        <v>124.64</v>
      </c>
      <c r="K193" s="53" t="n">
        <f aca="false">D193*J193</f>
        <v>8101.6</v>
      </c>
      <c r="L193" s="53" t="s">
        <v>29</v>
      </c>
      <c r="M193" s="52" t="n">
        <v>140.51</v>
      </c>
      <c r="N193" s="53" t="n">
        <f aca="false">D193*M193</f>
        <v>9133.15</v>
      </c>
      <c r="O193" s="54" t="n">
        <f aca="false">AVERAGE(G193,J193,M193)</f>
        <v>130.766666666667</v>
      </c>
      <c r="P193" s="55" t="n">
        <f aca="false">E193*100/O193-100</f>
        <v>-1.36630130002551</v>
      </c>
      <c r="Q193" s="54" t="n">
        <f aca="false">D193*E193</f>
        <v>8383.7</v>
      </c>
      <c r="R193" s="56"/>
      <c r="T193" s="57" t="n">
        <f aca="false">ROUND(G193*100/O193-100,0)</f>
        <v>-3</v>
      </c>
      <c r="U193" s="57" t="n">
        <f aca="false">ROUND(J193*100/O193-100,0)</f>
        <v>-5</v>
      </c>
      <c r="V193" s="57" t="n">
        <f aca="false">ROUND(M193*100/O193-100,0)</f>
        <v>7</v>
      </c>
    </row>
    <row r="194" s="43" customFormat="true" ht="73.5" hidden="false" customHeight="true" outlineLevel="0" collapsed="false">
      <c r="A194" s="45" t="n">
        <v>183</v>
      </c>
      <c r="B194" s="46" t="s">
        <v>286</v>
      </c>
      <c r="C194" s="47" t="s">
        <v>25</v>
      </c>
      <c r="D194" s="48" t="n">
        <v>17</v>
      </c>
      <c r="E194" s="50" t="n">
        <v>825.64</v>
      </c>
      <c r="F194" s="47" t="s">
        <v>27</v>
      </c>
      <c r="G194" s="52" t="n">
        <f aca="false">964.79/1.2</f>
        <v>803.991666666667</v>
      </c>
      <c r="H194" s="53" t="n">
        <f aca="false">D194*G194</f>
        <v>13667.8583333333</v>
      </c>
      <c r="I194" s="53" t="s">
        <v>28</v>
      </c>
      <c r="J194" s="52" t="n">
        <v>800.97</v>
      </c>
      <c r="K194" s="53" t="n">
        <f aca="false">D194*J194</f>
        <v>13616.49</v>
      </c>
      <c r="L194" s="53" t="s">
        <v>29</v>
      </c>
      <c r="M194" s="52" t="n">
        <v>877.17</v>
      </c>
      <c r="N194" s="53" t="n">
        <f aca="false">D194*M194</f>
        <v>14911.89</v>
      </c>
      <c r="O194" s="54" t="n">
        <f aca="false">AVERAGE(G194,J194,M194)</f>
        <v>827.377222222222</v>
      </c>
      <c r="P194" s="55" t="n">
        <f aca="false">E194*100/O194-100</f>
        <v>-0.209967373474015</v>
      </c>
      <c r="Q194" s="54" t="n">
        <f aca="false">D194*E194</f>
        <v>14035.88</v>
      </c>
      <c r="R194" s="56"/>
      <c r="T194" s="57" t="n">
        <f aca="false">ROUND(G194*100/O194-100,0)</f>
        <v>-3</v>
      </c>
      <c r="U194" s="57" t="n">
        <f aca="false">ROUND(J194*100/O194-100,0)</f>
        <v>-3</v>
      </c>
      <c r="V194" s="57" t="n">
        <f aca="false">ROUND(M194*100/O194-100,0)</f>
        <v>6</v>
      </c>
    </row>
    <row r="195" s="43" customFormat="true" ht="73.5" hidden="false" customHeight="true" outlineLevel="0" collapsed="false">
      <c r="A195" s="45" t="n">
        <v>184</v>
      </c>
      <c r="B195" s="46" t="s">
        <v>287</v>
      </c>
      <c r="C195" s="47" t="s">
        <v>25</v>
      </c>
      <c r="D195" s="48" t="n">
        <v>1</v>
      </c>
      <c r="E195" s="50" t="n">
        <v>1705.34</v>
      </c>
      <c r="F195" s="47" t="s">
        <v>27</v>
      </c>
      <c r="G195" s="52" t="n">
        <f aca="false">1922.48/1.2</f>
        <v>1602.06666666667</v>
      </c>
      <c r="H195" s="53" t="n">
        <f aca="false">D195*G195</f>
        <v>1602.06666666667</v>
      </c>
      <c r="I195" s="53" t="s">
        <v>28</v>
      </c>
      <c r="J195" s="52" t="n">
        <v>1722.42</v>
      </c>
      <c r="K195" s="53" t="n">
        <f aca="false">D195*J195</f>
        <v>1722.42</v>
      </c>
      <c r="L195" s="53" t="s">
        <v>29</v>
      </c>
      <c r="M195" s="52" t="n">
        <v>1806.95</v>
      </c>
      <c r="N195" s="53" t="n">
        <f aca="false">D195*M195</f>
        <v>1806.95</v>
      </c>
      <c r="O195" s="54" t="n">
        <f aca="false">AVERAGE(G195,J195,M195)</f>
        <v>1710.47888888889</v>
      </c>
      <c r="P195" s="55" t="n">
        <f aca="false">E195*100/O195-100</f>
        <v>-0.300435680455962</v>
      </c>
      <c r="Q195" s="54" t="n">
        <f aca="false">D195*E195</f>
        <v>1705.34</v>
      </c>
      <c r="R195" s="56"/>
      <c r="T195" s="57" t="n">
        <f aca="false">ROUND(G195*100/O195-100,0)</f>
        <v>-6</v>
      </c>
      <c r="U195" s="57" t="n">
        <f aca="false">ROUND(J195*100/O195-100,0)</f>
        <v>1</v>
      </c>
      <c r="V195" s="57" t="n">
        <f aca="false">ROUND(M195*100/O195-100,0)</f>
        <v>6</v>
      </c>
    </row>
    <row r="196" s="43" customFormat="true" ht="73.5" hidden="false" customHeight="true" outlineLevel="0" collapsed="false">
      <c r="A196" s="45" t="n">
        <v>185</v>
      </c>
      <c r="B196" s="46" t="s">
        <v>288</v>
      </c>
      <c r="C196" s="47" t="s">
        <v>25</v>
      </c>
      <c r="D196" s="48" t="n">
        <v>1</v>
      </c>
      <c r="E196" s="50" t="n">
        <v>246.37</v>
      </c>
      <c r="F196" s="47" t="s">
        <v>27</v>
      </c>
      <c r="G196" s="52" t="n">
        <f aca="false">272.92/1.2</f>
        <v>227.433333333333</v>
      </c>
      <c r="H196" s="53" t="n">
        <f aca="false">D196*G196</f>
        <v>227.433333333333</v>
      </c>
      <c r="I196" s="53" t="s">
        <v>28</v>
      </c>
      <c r="J196" s="52" t="n">
        <v>218.37</v>
      </c>
      <c r="K196" s="53" t="n">
        <f aca="false">D196*J196</f>
        <v>218.37</v>
      </c>
      <c r="L196" s="53" t="s">
        <v>29</v>
      </c>
      <c r="M196" s="52" t="n">
        <v>299.05</v>
      </c>
      <c r="N196" s="53" t="n">
        <f aca="false">D196*M196</f>
        <v>299.05</v>
      </c>
      <c r="O196" s="54" t="n">
        <f aca="false">AVERAGE(G196,J196,M196)</f>
        <v>248.284444444444</v>
      </c>
      <c r="P196" s="55" t="n">
        <f aca="false">E196*100/O196-100</f>
        <v>-0.771069024774462</v>
      </c>
      <c r="Q196" s="54" t="n">
        <f aca="false">D196*E196</f>
        <v>246.37</v>
      </c>
      <c r="R196" s="56"/>
      <c r="T196" s="57" t="n">
        <f aca="false">ROUND(G196*100/O196-100,0)</f>
        <v>-8</v>
      </c>
      <c r="U196" s="57" t="n">
        <f aca="false">ROUND(J196*100/O196-100,0)</f>
        <v>-12</v>
      </c>
      <c r="V196" s="57" t="n">
        <f aca="false">ROUND(M196*100/O196-100,0)</f>
        <v>20</v>
      </c>
    </row>
    <row r="197" s="43" customFormat="true" ht="73.5" hidden="false" customHeight="true" outlineLevel="0" collapsed="false">
      <c r="A197" s="45" t="n">
        <v>186</v>
      </c>
      <c r="B197" s="46" t="s">
        <v>289</v>
      </c>
      <c r="C197" s="47" t="s">
        <v>25</v>
      </c>
      <c r="D197" s="48" t="n">
        <v>36</v>
      </c>
      <c r="E197" s="50" t="n">
        <v>39.04</v>
      </c>
      <c r="F197" s="47" t="s">
        <v>27</v>
      </c>
      <c r="G197" s="52" t="n">
        <f aca="false">42.98/1.2</f>
        <v>35.8166666666667</v>
      </c>
      <c r="H197" s="53" t="n">
        <f aca="false">D197*G197</f>
        <v>1289.4</v>
      </c>
      <c r="I197" s="53" t="s">
        <v>28</v>
      </c>
      <c r="J197" s="52" t="n">
        <v>44.2</v>
      </c>
      <c r="K197" s="53" t="n">
        <f aca="false">D197*J197</f>
        <v>1591.2</v>
      </c>
      <c r="L197" s="53" t="s">
        <v>29</v>
      </c>
      <c r="M197" s="52" t="n">
        <v>38.46</v>
      </c>
      <c r="N197" s="53" t="n">
        <f aca="false">D197*M197</f>
        <v>1384.56</v>
      </c>
      <c r="O197" s="54" t="n">
        <f aca="false">AVERAGE(G197,J197,M197)</f>
        <v>39.4922222222222</v>
      </c>
      <c r="P197" s="55" t="n">
        <f aca="false">E197*100/O197-100</f>
        <v>-1.14509186056326</v>
      </c>
      <c r="Q197" s="54" t="n">
        <f aca="false">D197*E197</f>
        <v>1405.44</v>
      </c>
      <c r="R197" s="56"/>
      <c r="T197" s="57" t="n">
        <f aca="false">ROUND(G197*100/O197-100,0)</f>
        <v>-9</v>
      </c>
      <c r="U197" s="57" t="n">
        <f aca="false">ROUND(J197*100/O197-100,0)</f>
        <v>12</v>
      </c>
      <c r="V197" s="57" t="n">
        <f aca="false">ROUND(M197*100/O197-100,0)</f>
        <v>-3</v>
      </c>
    </row>
    <row r="198" s="43" customFormat="true" ht="73.5" hidden="false" customHeight="true" outlineLevel="0" collapsed="false">
      <c r="A198" s="45" t="n">
        <v>187</v>
      </c>
      <c r="B198" s="46" t="s">
        <v>290</v>
      </c>
      <c r="C198" s="47" t="s">
        <v>45</v>
      </c>
      <c r="D198" s="48" t="n">
        <v>8</v>
      </c>
      <c r="E198" s="50" t="n">
        <v>592.47</v>
      </c>
      <c r="F198" s="47" t="s">
        <v>56</v>
      </c>
      <c r="G198" s="52" t="n">
        <v>597.5</v>
      </c>
      <c r="H198" s="53" t="n">
        <f aca="false">D198*G198</f>
        <v>4780</v>
      </c>
      <c r="I198" s="53" t="s">
        <v>57</v>
      </c>
      <c r="J198" s="52" t="n">
        <v>549.78</v>
      </c>
      <c r="K198" s="53" t="n">
        <f aca="false">D198*J198</f>
        <v>4398.24</v>
      </c>
      <c r="L198" s="47" t="s">
        <v>58</v>
      </c>
      <c r="M198" s="52" t="n">
        <v>634.45</v>
      </c>
      <c r="N198" s="53" t="n">
        <f aca="false">D198*M198</f>
        <v>5075.6</v>
      </c>
      <c r="O198" s="54" t="n">
        <f aca="false">AVERAGE(G198,J198,M198)</f>
        <v>593.91</v>
      </c>
      <c r="P198" s="55" t="n">
        <f aca="false">E198*100/O198-100</f>
        <v>-0.242460978936194</v>
      </c>
      <c r="Q198" s="54" t="n">
        <f aca="false">D198*E198</f>
        <v>4739.76</v>
      </c>
      <c r="R198" s="56"/>
      <c r="T198" s="57" t="n">
        <f aca="false">ROUND(G198*100/O198-100,0)</f>
        <v>1</v>
      </c>
      <c r="U198" s="57" t="n">
        <f aca="false">ROUND(J198*100/O198-100,0)</f>
        <v>-7</v>
      </c>
      <c r="V198" s="57" t="n">
        <f aca="false">ROUND(M198*100/O198-100,0)</f>
        <v>7</v>
      </c>
    </row>
    <row r="199" s="43" customFormat="true" ht="73.5" hidden="false" customHeight="true" outlineLevel="0" collapsed="false">
      <c r="A199" s="45" t="n">
        <v>188</v>
      </c>
      <c r="B199" s="46" t="s">
        <v>291</v>
      </c>
      <c r="C199" s="47" t="s">
        <v>292</v>
      </c>
      <c r="D199" s="48" t="n">
        <v>532</v>
      </c>
      <c r="E199" s="50" t="n">
        <v>53.08</v>
      </c>
      <c r="F199" s="47" t="s">
        <v>90</v>
      </c>
      <c r="G199" s="52" t="n">
        <f aca="false">61.72/1.2</f>
        <v>51.4333333333333</v>
      </c>
      <c r="H199" s="53" t="n">
        <f aca="false">D199*G199</f>
        <v>27362.5333333333</v>
      </c>
      <c r="I199" s="47" t="s">
        <v>46</v>
      </c>
      <c r="J199" s="52" t="n">
        <v>55.09</v>
      </c>
      <c r="K199" s="53" t="n">
        <f aca="false">D199*J199</f>
        <v>29307.88</v>
      </c>
      <c r="L199" s="47" t="s">
        <v>58</v>
      </c>
      <c r="M199" s="52" t="n">
        <v>53.87</v>
      </c>
      <c r="N199" s="53" t="n">
        <f aca="false">D199*M199</f>
        <v>28658.84</v>
      </c>
      <c r="O199" s="54" t="n">
        <f aca="false">AVERAGE(G199,J199,M199)</f>
        <v>53.4644444444444</v>
      </c>
      <c r="P199" s="55" t="n">
        <f aca="false">E199*100/O199-100</f>
        <v>-0.71906563032546</v>
      </c>
      <c r="Q199" s="54" t="n">
        <f aca="false">D199*E199</f>
        <v>28238.56</v>
      </c>
      <c r="R199" s="56"/>
      <c r="T199" s="57" t="n">
        <f aca="false">ROUND(G199*100/O199-100,0)</f>
        <v>-4</v>
      </c>
      <c r="U199" s="57" t="n">
        <f aca="false">ROUND(J199*100/O199-100,0)</f>
        <v>3</v>
      </c>
      <c r="V199" s="57" t="n">
        <f aca="false">ROUND(M199*100/O199-100,0)</f>
        <v>1</v>
      </c>
    </row>
    <row r="200" s="43" customFormat="true" ht="73.5" hidden="false" customHeight="true" outlineLevel="0" collapsed="false">
      <c r="A200" s="45" t="n">
        <v>189</v>
      </c>
      <c r="B200" s="46" t="s">
        <v>293</v>
      </c>
      <c r="C200" s="47" t="s">
        <v>25</v>
      </c>
      <c r="D200" s="48" t="n">
        <v>8</v>
      </c>
      <c r="E200" s="50" t="n">
        <v>394.7</v>
      </c>
      <c r="F200" s="47" t="s">
        <v>294</v>
      </c>
      <c r="G200" s="52" t="n">
        <v>357.28</v>
      </c>
      <c r="H200" s="53" t="n">
        <f aca="false">D200*G200</f>
        <v>2858.24</v>
      </c>
      <c r="I200" s="47" t="s">
        <v>295</v>
      </c>
      <c r="J200" s="52" t="n">
        <v>380</v>
      </c>
      <c r="K200" s="53" t="n">
        <f aca="false">D200*J200</f>
        <v>3040</v>
      </c>
      <c r="L200" s="53" t="s">
        <v>41</v>
      </c>
      <c r="M200" s="52" t="n">
        <v>450.14</v>
      </c>
      <c r="N200" s="53" t="n">
        <f aca="false">D200*M200</f>
        <v>3601.12</v>
      </c>
      <c r="O200" s="54" t="n">
        <f aca="false">AVERAGE(G200,J200,M200)</f>
        <v>395.806666666667</v>
      </c>
      <c r="P200" s="55" t="n">
        <f aca="false">E200*100/O200-100</f>
        <v>-0.279597783429622</v>
      </c>
      <c r="Q200" s="54" t="n">
        <f aca="false">D200*E200</f>
        <v>3157.6</v>
      </c>
      <c r="R200" s="56"/>
      <c r="T200" s="57" t="n">
        <f aca="false">ROUND(G200*100/O200-100,0)</f>
        <v>-10</v>
      </c>
      <c r="U200" s="57" t="n">
        <f aca="false">ROUND(J200*100/O200-100,0)</f>
        <v>-4</v>
      </c>
      <c r="V200" s="57" t="n">
        <f aca="false">ROUND(M200*100/O200-100,0)</f>
        <v>14</v>
      </c>
    </row>
    <row r="201" s="43" customFormat="true" ht="73.5" hidden="false" customHeight="true" outlineLevel="0" collapsed="false">
      <c r="A201" s="45" t="n">
        <v>190</v>
      </c>
      <c r="B201" s="46" t="s">
        <v>296</v>
      </c>
      <c r="C201" s="47" t="s">
        <v>25</v>
      </c>
      <c r="D201" s="48" t="n">
        <v>28</v>
      </c>
      <c r="E201" s="50" t="n">
        <v>402.64</v>
      </c>
      <c r="F201" s="47" t="s">
        <v>294</v>
      </c>
      <c r="G201" s="52" t="n">
        <v>395.38</v>
      </c>
      <c r="H201" s="53" t="n">
        <f aca="false">D201*G201</f>
        <v>11070.64</v>
      </c>
      <c r="I201" s="47" t="s">
        <v>295</v>
      </c>
      <c r="J201" s="52" t="n">
        <v>395</v>
      </c>
      <c r="K201" s="53" t="n">
        <f aca="false">D201*J201</f>
        <v>11060</v>
      </c>
      <c r="L201" s="53" t="s">
        <v>41</v>
      </c>
      <c r="M201" s="52" t="n">
        <v>420.11</v>
      </c>
      <c r="N201" s="53" t="n">
        <f aca="false">D201*M201</f>
        <v>11763.08</v>
      </c>
      <c r="O201" s="54" t="n">
        <f aca="false">AVERAGE(G201,J201,M201)</f>
        <v>403.496666666667</v>
      </c>
      <c r="P201" s="55" t="n">
        <f aca="false">E201*100/O201-100</f>
        <v>-0.212310717147602</v>
      </c>
      <c r="Q201" s="54" t="n">
        <f aca="false">D201*E201</f>
        <v>11273.92</v>
      </c>
      <c r="R201" s="56"/>
      <c r="T201" s="57" t="n">
        <f aca="false">ROUND(G201*100/O201-100,0)</f>
        <v>-2</v>
      </c>
      <c r="U201" s="57" t="n">
        <f aca="false">ROUND(J201*100/O201-100,0)</f>
        <v>-2</v>
      </c>
      <c r="V201" s="57" t="n">
        <f aca="false">ROUND(M201*100/O201-100,0)</f>
        <v>4</v>
      </c>
    </row>
    <row r="202" s="43" customFormat="true" ht="73.5" hidden="false" customHeight="true" outlineLevel="0" collapsed="false">
      <c r="A202" s="45" t="n">
        <v>191</v>
      </c>
      <c r="B202" s="46" t="s">
        <v>297</v>
      </c>
      <c r="C202" s="47" t="s">
        <v>25</v>
      </c>
      <c r="D202" s="48" t="n">
        <v>2</v>
      </c>
      <c r="E202" s="50" t="n">
        <v>990.1</v>
      </c>
      <c r="F202" s="47" t="s">
        <v>294</v>
      </c>
      <c r="G202" s="52" t="n">
        <v>984.06</v>
      </c>
      <c r="H202" s="53" t="n">
        <f aca="false">D202*G202</f>
        <v>1968.12</v>
      </c>
      <c r="I202" s="47" t="s">
        <v>295</v>
      </c>
      <c r="J202" s="52" t="n">
        <v>956</v>
      </c>
      <c r="K202" s="53" t="n">
        <f aca="false">D202*J202</f>
        <v>1912</v>
      </c>
      <c r="L202" s="53" t="s">
        <v>41</v>
      </c>
      <c r="M202" s="52" t="n">
        <v>1040.46</v>
      </c>
      <c r="N202" s="53" t="n">
        <f aca="false">D202*M202</f>
        <v>2080.92</v>
      </c>
      <c r="O202" s="54" t="n">
        <f aca="false">AVERAGE(G202,J202,M202)</f>
        <v>993.506666666667</v>
      </c>
      <c r="P202" s="55" t="n">
        <f aca="false">E202*100/O202-100</f>
        <v>-0.342893186423851</v>
      </c>
      <c r="Q202" s="54" t="n">
        <f aca="false">D202*E202</f>
        <v>1980.2</v>
      </c>
      <c r="R202" s="56"/>
      <c r="T202" s="57" t="n">
        <f aca="false">ROUND(G202*100/O202-100,0)</f>
        <v>-1</v>
      </c>
      <c r="U202" s="57" t="n">
        <f aca="false">ROUND(J202*100/O202-100,0)</f>
        <v>-4</v>
      </c>
      <c r="V202" s="57" t="n">
        <f aca="false">ROUND(M202*100/O202-100,0)</f>
        <v>5</v>
      </c>
    </row>
    <row r="203" s="43" customFormat="true" ht="73.5" hidden="false" customHeight="true" outlineLevel="0" collapsed="false">
      <c r="A203" s="45" t="n">
        <v>192</v>
      </c>
      <c r="B203" s="46" t="s">
        <v>298</v>
      </c>
      <c r="C203" s="47" t="s">
        <v>25</v>
      </c>
      <c r="D203" s="48" t="n">
        <v>8</v>
      </c>
      <c r="E203" s="50" t="n">
        <v>487.56</v>
      </c>
      <c r="F203" s="47" t="s">
        <v>294</v>
      </c>
      <c r="G203" s="52" t="n">
        <v>465.05</v>
      </c>
      <c r="H203" s="53" t="n">
        <f aca="false">D203*G203</f>
        <v>3720.4</v>
      </c>
      <c r="I203" s="47" t="s">
        <v>295</v>
      </c>
      <c r="J203" s="52" t="n">
        <v>482</v>
      </c>
      <c r="K203" s="53" t="n">
        <f aca="false">D203*J203</f>
        <v>3856</v>
      </c>
      <c r="L203" s="53" t="s">
        <v>41</v>
      </c>
      <c r="M203" s="52" t="n">
        <v>521.12</v>
      </c>
      <c r="N203" s="53" t="n">
        <f aca="false">D203*M203</f>
        <v>4168.96</v>
      </c>
      <c r="O203" s="54" t="n">
        <f aca="false">AVERAGE(G203,J203,M203)</f>
        <v>489.39</v>
      </c>
      <c r="P203" s="55" t="n">
        <f aca="false">E203*100/O203-100</f>
        <v>-0.373934898547176</v>
      </c>
      <c r="Q203" s="54" t="n">
        <f aca="false">D203*E203</f>
        <v>3900.48</v>
      </c>
      <c r="R203" s="56"/>
      <c r="T203" s="57" t="n">
        <f aca="false">ROUND(G203*100/O203-100,0)</f>
        <v>-5</v>
      </c>
      <c r="U203" s="57" t="n">
        <f aca="false">ROUND(J203*100/O203-100,0)</f>
        <v>-2</v>
      </c>
      <c r="V203" s="57" t="n">
        <f aca="false">ROUND(M203*100/O203-100,0)</f>
        <v>6</v>
      </c>
    </row>
    <row r="204" s="43" customFormat="true" ht="73.5" hidden="false" customHeight="true" outlineLevel="0" collapsed="false">
      <c r="A204" s="45" t="n">
        <v>193</v>
      </c>
      <c r="B204" s="46" t="s">
        <v>299</v>
      </c>
      <c r="C204" s="47" t="s">
        <v>25</v>
      </c>
      <c r="D204" s="48" t="n">
        <v>10</v>
      </c>
      <c r="E204" s="50" t="n">
        <v>578.8</v>
      </c>
      <c r="F204" s="47" t="s">
        <v>294</v>
      </c>
      <c r="G204" s="52" t="n">
        <v>557.81</v>
      </c>
      <c r="H204" s="53" t="n">
        <f aca="false">D204*G204</f>
        <v>5578.1</v>
      </c>
      <c r="I204" s="47" t="s">
        <v>295</v>
      </c>
      <c r="J204" s="52" t="n">
        <v>560</v>
      </c>
      <c r="K204" s="53" t="n">
        <f aca="false">D204*J204</f>
        <v>5600</v>
      </c>
      <c r="L204" s="53" t="s">
        <v>41</v>
      </c>
      <c r="M204" s="52" t="n">
        <v>620.64</v>
      </c>
      <c r="N204" s="53" t="n">
        <f aca="false">D204*M204</f>
        <v>6206.4</v>
      </c>
      <c r="O204" s="54" t="n">
        <f aca="false">AVERAGE(G204,J204,M204)</f>
        <v>579.483333333333</v>
      </c>
      <c r="P204" s="55" t="n">
        <f aca="false">E204*100/O204-100</f>
        <v>-0.117921136644711</v>
      </c>
      <c r="Q204" s="54" t="n">
        <f aca="false">D204*E204</f>
        <v>5788</v>
      </c>
      <c r="R204" s="56"/>
      <c r="T204" s="57" t="n">
        <f aca="false">ROUND(G204*100/O204-100,0)</f>
        <v>-4</v>
      </c>
      <c r="U204" s="57" t="n">
        <f aca="false">ROUND(J204*100/O204-100,0)</f>
        <v>-3</v>
      </c>
      <c r="V204" s="57" t="n">
        <f aca="false">ROUND(M204*100/O204-100,0)</f>
        <v>7</v>
      </c>
    </row>
    <row r="205" s="43" customFormat="true" ht="73.5" hidden="false" customHeight="true" outlineLevel="0" collapsed="false">
      <c r="A205" s="45" t="n">
        <v>194</v>
      </c>
      <c r="B205" s="46" t="s">
        <v>300</v>
      </c>
      <c r="C205" s="47" t="s">
        <v>25</v>
      </c>
      <c r="D205" s="48" t="n">
        <v>46</v>
      </c>
      <c r="E205" s="50" t="n">
        <v>841.2</v>
      </c>
      <c r="F205" s="47" t="s">
        <v>294</v>
      </c>
      <c r="G205" s="52" t="n">
        <v>766.01</v>
      </c>
      <c r="H205" s="53" t="n">
        <f aca="false">D205*G205</f>
        <v>35236.46</v>
      </c>
      <c r="I205" s="47" t="s">
        <v>295</v>
      </c>
      <c r="J205" s="52" t="n">
        <v>840</v>
      </c>
      <c r="K205" s="53" t="n">
        <f aca="false">D205*J205</f>
        <v>38640</v>
      </c>
      <c r="L205" s="53" t="s">
        <v>41</v>
      </c>
      <c r="M205" s="52" t="n">
        <v>921.5</v>
      </c>
      <c r="N205" s="53" t="n">
        <f aca="false">D205*M205</f>
        <v>42389</v>
      </c>
      <c r="O205" s="54" t="n">
        <f aca="false">AVERAGE(G205,J205,M205)</f>
        <v>842.503333333333</v>
      </c>
      <c r="P205" s="55" t="n">
        <f aca="false">E205*100/O205-100</f>
        <v>-0.15469770643837</v>
      </c>
      <c r="Q205" s="54" t="n">
        <f aca="false">D205*E205</f>
        <v>38695.2</v>
      </c>
      <c r="R205" s="56"/>
      <c r="T205" s="57" t="n">
        <f aca="false">ROUND(G205*100/O205-100,0)</f>
        <v>-9</v>
      </c>
      <c r="U205" s="57" t="n">
        <f aca="false">ROUND(J205*100/O205-100,0)</f>
        <v>-0</v>
      </c>
      <c r="V205" s="57" t="n">
        <f aca="false">ROUND(M205*100/O205-100,0)</f>
        <v>9</v>
      </c>
    </row>
    <row r="206" s="43" customFormat="true" ht="73.5" hidden="false" customHeight="true" outlineLevel="0" collapsed="false">
      <c r="A206" s="45" t="n">
        <v>195</v>
      </c>
      <c r="B206" s="46" t="s">
        <v>301</v>
      </c>
      <c r="C206" s="47" t="s">
        <v>25</v>
      </c>
      <c r="D206" s="48" t="n">
        <v>24</v>
      </c>
      <c r="E206" s="50" t="n">
        <v>1017.48</v>
      </c>
      <c r="F206" s="47" t="s">
        <v>294</v>
      </c>
      <c r="G206" s="52" t="n">
        <v>995.81</v>
      </c>
      <c r="H206" s="53" t="n">
        <f aca="false">D206*G206</f>
        <v>23899.44</v>
      </c>
      <c r="I206" s="47" t="s">
        <v>295</v>
      </c>
      <c r="J206" s="52" t="n">
        <v>960</v>
      </c>
      <c r="K206" s="53" t="n">
        <f aca="false">D206*J206</f>
        <v>23040</v>
      </c>
      <c r="L206" s="53" t="s">
        <v>41</v>
      </c>
      <c r="M206" s="52" t="n">
        <v>1102.7</v>
      </c>
      <c r="N206" s="53" t="n">
        <f aca="false">D206*M206</f>
        <v>26464.8</v>
      </c>
      <c r="O206" s="54" t="n">
        <f aca="false">AVERAGE(G206,J206,M206)</f>
        <v>1019.50333333333</v>
      </c>
      <c r="P206" s="55" t="n">
        <f aca="false">E206*100/O206-100</f>
        <v>-0.198462650113953</v>
      </c>
      <c r="Q206" s="54" t="n">
        <f aca="false">D206*E206</f>
        <v>24419.52</v>
      </c>
      <c r="R206" s="56"/>
      <c r="T206" s="57" t="n">
        <f aca="false">ROUND(G206*100/O206-100,0)</f>
        <v>-2</v>
      </c>
      <c r="U206" s="57" t="n">
        <f aca="false">ROUND(J206*100/O206-100,0)</f>
        <v>-6</v>
      </c>
      <c r="V206" s="57" t="n">
        <f aca="false">ROUND(M206*100/O206-100,0)</f>
        <v>8</v>
      </c>
    </row>
    <row r="207" s="43" customFormat="true" ht="73.5" hidden="false" customHeight="true" outlineLevel="0" collapsed="false">
      <c r="A207" s="45" t="n">
        <v>196</v>
      </c>
      <c r="B207" s="46" t="s">
        <v>302</v>
      </c>
      <c r="C207" s="47" t="s">
        <v>25</v>
      </c>
      <c r="D207" s="48" t="n">
        <v>2</v>
      </c>
      <c r="E207" s="50" t="n">
        <v>1897.42</v>
      </c>
      <c r="F207" s="47" t="s">
        <v>294</v>
      </c>
      <c r="G207" s="52" t="n">
        <v>1850.62</v>
      </c>
      <c r="H207" s="53" t="n">
        <f aca="false">D207*G207</f>
        <v>3701.24</v>
      </c>
      <c r="I207" s="47" t="s">
        <v>295</v>
      </c>
      <c r="J207" s="52" t="n">
        <v>1890</v>
      </c>
      <c r="K207" s="53" t="n">
        <f aca="false">D207*J207</f>
        <v>3780</v>
      </c>
      <c r="L207" s="53" t="s">
        <v>41</v>
      </c>
      <c r="M207" s="52" t="n">
        <v>1954.93</v>
      </c>
      <c r="N207" s="53" t="n">
        <f aca="false">D207*M207</f>
        <v>3909.86</v>
      </c>
      <c r="O207" s="54" t="n">
        <f aca="false">AVERAGE(G207,J207,M207)</f>
        <v>1898.51666666667</v>
      </c>
      <c r="P207" s="55" t="n">
        <f aca="false">E207*100/O207-100</f>
        <v>-0.057764395010139</v>
      </c>
      <c r="Q207" s="54" t="n">
        <f aca="false">D207*E207</f>
        <v>3794.84</v>
      </c>
      <c r="R207" s="56"/>
      <c r="T207" s="57" t="n">
        <f aca="false">ROUND(G207*100/O207-100,0)</f>
        <v>-3</v>
      </c>
      <c r="U207" s="57" t="n">
        <f aca="false">ROUND(J207*100/O207-100,0)</f>
        <v>-0</v>
      </c>
      <c r="V207" s="57" t="n">
        <f aca="false">ROUND(M207*100/O207-100,0)</f>
        <v>3</v>
      </c>
    </row>
    <row r="208" s="43" customFormat="true" ht="73.5" hidden="false" customHeight="true" outlineLevel="0" collapsed="false">
      <c r="A208" s="45" t="n">
        <v>197</v>
      </c>
      <c r="B208" s="46" t="s">
        <v>303</v>
      </c>
      <c r="C208" s="47" t="s">
        <v>25</v>
      </c>
      <c r="D208" s="48" t="n">
        <v>26</v>
      </c>
      <c r="E208" s="50" t="n">
        <v>2441.24</v>
      </c>
      <c r="F208" s="47" t="s">
        <v>294</v>
      </c>
      <c r="G208" s="52" t="n">
        <v>2411.34</v>
      </c>
      <c r="H208" s="53" t="n">
        <f aca="false">D208*G208</f>
        <v>62694.84</v>
      </c>
      <c r="I208" s="47" t="s">
        <v>295</v>
      </c>
      <c r="J208" s="52" t="n">
        <v>2400</v>
      </c>
      <c r="K208" s="53" t="n">
        <f aca="false">D208*J208</f>
        <v>62400</v>
      </c>
      <c r="L208" s="53" t="s">
        <v>41</v>
      </c>
      <c r="M208" s="52" t="n">
        <v>2515.5</v>
      </c>
      <c r="N208" s="53" t="n">
        <f aca="false">D208*M208</f>
        <v>65403</v>
      </c>
      <c r="O208" s="54" t="n">
        <f aca="false">AVERAGE(G208,J208,M208)</f>
        <v>2442.28</v>
      </c>
      <c r="P208" s="55" t="n">
        <f aca="false">E208*100/O208-100</f>
        <v>-0.0425831599980597</v>
      </c>
      <c r="Q208" s="54" t="n">
        <f aca="false">D208*E208</f>
        <v>63472.24</v>
      </c>
      <c r="R208" s="56"/>
      <c r="T208" s="57" t="n">
        <f aca="false">ROUND(G208*100/O208-100,0)</f>
        <v>-1</v>
      </c>
      <c r="U208" s="57" t="n">
        <f aca="false">ROUND(J208*100/O208-100,0)</f>
        <v>-2</v>
      </c>
      <c r="V208" s="57" t="n">
        <f aca="false">ROUND(M208*100/O208-100,0)</f>
        <v>3</v>
      </c>
    </row>
    <row r="209" s="43" customFormat="true" ht="73.5" hidden="false" customHeight="true" outlineLevel="0" collapsed="false">
      <c r="A209" s="45" t="n">
        <v>198</v>
      </c>
      <c r="B209" s="46" t="s">
        <v>304</v>
      </c>
      <c r="C209" s="47" t="s">
        <v>25</v>
      </c>
      <c r="D209" s="48" t="n">
        <v>24</v>
      </c>
      <c r="E209" s="50" t="n">
        <v>3222.7</v>
      </c>
      <c r="F209" s="47" t="s">
        <v>294</v>
      </c>
      <c r="G209" s="52" t="n">
        <v>3132.1</v>
      </c>
      <c r="H209" s="53" t="n">
        <f aca="false">D209*G209</f>
        <v>75170.4</v>
      </c>
      <c r="I209" s="47" t="s">
        <v>295</v>
      </c>
      <c r="J209" s="52" t="n">
        <v>3200</v>
      </c>
      <c r="K209" s="53" t="n">
        <f aca="false">D209*J209</f>
        <v>76800</v>
      </c>
      <c r="L209" s="53" t="s">
        <v>41</v>
      </c>
      <c r="M209" s="52" t="n">
        <v>3340.7</v>
      </c>
      <c r="N209" s="53" t="n">
        <f aca="false">D209*M209</f>
        <v>80176.8</v>
      </c>
      <c r="O209" s="54" t="n">
        <f aca="false">AVERAGE(G209,J209,M209)</f>
        <v>3224.26666666667</v>
      </c>
      <c r="P209" s="55" t="n">
        <f aca="false">E209*100/O209-100</f>
        <v>-0.0485898602266133</v>
      </c>
      <c r="Q209" s="54" t="n">
        <f aca="false">D209*E209</f>
        <v>77344.8</v>
      </c>
      <c r="R209" s="56"/>
      <c r="T209" s="57" t="n">
        <f aca="false">ROUND(G209*100/O209-100,0)</f>
        <v>-3</v>
      </c>
      <c r="U209" s="57" t="n">
        <f aca="false">ROUND(J209*100/O209-100,0)</f>
        <v>-1</v>
      </c>
      <c r="V209" s="57" t="n">
        <f aca="false">ROUND(M209*100/O209-100,0)</f>
        <v>4</v>
      </c>
    </row>
    <row r="210" s="43" customFormat="true" ht="73.5" hidden="false" customHeight="true" outlineLevel="0" collapsed="false">
      <c r="A210" s="45" t="n">
        <v>199</v>
      </c>
      <c r="B210" s="46" t="s">
        <v>305</v>
      </c>
      <c r="C210" s="47" t="s">
        <v>25</v>
      </c>
      <c r="D210" s="48" t="n">
        <v>2</v>
      </c>
      <c r="E210" s="50" t="n">
        <v>5075.3</v>
      </c>
      <c r="F210" s="47" t="s">
        <v>294</v>
      </c>
      <c r="G210" s="52" t="n">
        <v>5058.01</v>
      </c>
      <c r="H210" s="53" t="n">
        <f aca="false">D210*G210</f>
        <v>10116.02</v>
      </c>
      <c r="I210" s="47" t="s">
        <v>295</v>
      </c>
      <c r="J210" s="52" t="n">
        <v>5070</v>
      </c>
      <c r="K210" s="53" t="n">
        <f aca="false">D210*J210</f>
        <v>10140</v>
      </c>
      <c r="L210" s="53" t="s">
        <v>41</v>
      </c>
      <c r="M210" s="52" t="n">
        <v>5108.77</v>
      </c>
      <c r="N210" s="53" t="n">
        <f aca="false">D210*M210</f>
        <v>10217.54</v>
      </c>
      <c r="O210" s="54" t="n">
        <f aca="false">AVERAGE(G210,J210,M210)</f>
        <v>5078.92666666667</v>
      </c>
      <c r="P210" s="55" t="n">
        <f aca="false">E210*100/O210-100</f>
        <v>-0.0714061632444754</v>
      </c>
      <c r="Q210" s="54" t="n">
        <f aca="false">D210*E210</f>
        <v>10150.6</v>
      </c>
      <c r="R210" s="56"/>
      <c r="T210" s="57" t="n">
        <f aca="false">ROUND(G210*100/O210-100,0)</f>
        <v>-0</v>
      </c>
      <c r="U210" s="57" t="n">
        <f aca="false">ROUND(J210*100/O210-100,0)</f>
        <v>-0</v>
      </c>
      <c r="V210" s="57" t="n">
        <f aca="false">ROUND(M210*100/O210-100,0)</f>
        <v>1</v>
      </c>
    </row>
    <row r="211" s="43" customFormat="true" ht="73.5" hidden="false" customHeight="true" outlineLevel="0" collapsed="false">
      <c r="A211" s="45" t="n">
        <v>200</v>
      </c>
      <c r="B211" s="46" t="s">
        <v>461</v>
      </c>
      <c r="C211" s="47" t="s">
        <v>25</v>
      </c>
      <c r="D211" s="48" t="s">
        <v>462</v>
      </c>
      <c r="E211" s="50" t="n">
        <v>6988</v>
      </c>
      <c r="F211" s="47" t="s">
        <v>482</v>
      </c>
      <c r="G211" s="52" t="n">
        <v>6827.65</v>
      </c>
      <c r="H211" s="53" t="n">
        <f aca="false">D211*G211</f>
        <v>13655.3</v>
      </c>
      <c r="I211" s="47" t="s">
        <v>483</v>
      </c>
      <c r="J211" s="52" t="n">
        <v>7133.28</v>
      </c>
      <c r="K211" s="53" t="n">
        <f aca="false">D211*J211</f>
        <v>14266.56</v>
      </c>
      <c r="L211" s="53" t="s">
        <v>484</v>
      </c>
      <c r="M211" s="52" t="n">
        <f aca="false">8403.76/1.2</f>
        <v>7003.13333333333</v>
      </c>
      <c r="N211" s="53" t="n">
        <f aca="false">D211*M211</f>
        <v>14006.2666666667</v>
      </c>
      <c r="O211" s="54" t="n">
        <f aca="false">AVERAGE(G211,J211,M211)</f>
        <v>6988.02111111111</v>
      </c>
      <c r="P211" s="55" t="n">
        <f aca="false">E211*100/O211-100</f>
        <v>-0.000302104283520066</v>
      </c>
      <c r="Q211" s="54" t="n">
        <f aca="false">D211*E211</f>
        <v>13976</v>
      </c>
      <c r="R211" s="47" t="s">
        <v>485</v>
      </c>
      <c r="T211" s="57" t="n">
        <f aca="false">ROUND(G211*100/O211-100,0)</f>
        <v>-2</v>
      </c>
      <c r="U211" s="57" t="n">
        <f aca="false">ROUND(J211*100/O211-100,0)</f>
        <v>2</v>
      </c>
      <c r="V211" s="57" t="n">
        <f aca="false">ROUND(M211*100/O211-100,0)</f>
        <v>0</v>
      </c>
    </row>
    <row r="212" s="43" customFormat="true" ht="73.5" hidden="false" customHeight="true" outlineLevel="0" collapsed="false">
      <c r="A212" s="45" t="n">
        <v>201</v>
      </c>
      <c r="B212" s="46" t="s">
        <v>464</v>
      </c>
      <c r="C212" s="47" t="s">
        <v>25</v>
      </c>
      <c r="D212" s="48" t="s">
        <v>465</v>
      </c>
      <c r="E212" s="50" t="n">
        <v>20175.78</v>
      </c>
      <c r="F212" s="47" t="s">
        <v>482</v>
      </c>
      <c r="G212" s="52" t="n">
        <v>19683.77</v>
      </c>
      <c r="H212" s="53" t="n">
        <f aca="false">D212*G212</f>
        <v>78735.08</v>
      </c>
      <c r="I212" s="47" t="s">
        <v>483</v>
      </c>
      <c r="J212" s="52" t="n">
        <v>20795.03</v>
      </c>
      <c r="K212" s="53" t="n">
        <f aca="false">D212*J212</f>
        <v>83180.12</v>
      </c>
      <c r="L212" s="53" t="s">
        <v>484</v>
      </c>
      <c r="M212" s="52" t="n">
        <f aca="false">24058.31/1.2</f>
        <v>20048.5916666667</v>
      </c>
      <c r="N212" s="53" t="n">
        <f aca="false">D212*M212</f>
        <v>80194.3666666667</v>
      </c>
      <c r="O212" s="54" t="n">
        <f aca="false">AVERAGE(G212,J212,M212)</f>
        <v>20175.7972222222</v>
      </c>
      <c r="P212" s="55" t="n">
        <f aca="false">E212*100/O212-100</f>
        <v>-8.53608015063401E-005</v>
      </c>
      <c r="Q212" s="54" t="n">
        <f aca="false">D212*E212</f>
        <v>80703.12</v>
      </c>
      <c r="R212" s="47" t="s">
        <v>485</v>
      </c>
      <c r="T212" s="57" t="n">
        <f aca="false">ROUND(G212*100/O212-100,0)</f>
        <v>-2</v>
      </c>
      <c r="U212" s="57" t="n">
        <f aca="false">ROUND(J212*100/O212-100,0)</f>
        <v>3</v>
      </c>
      <c r="V212" s="57" t="n">
        <f aca="false">ROUND(M212*100/O212-100,0)</f>
        <v>-1</v>
      </c>
    </row>
    <row r="213" s="43" customFormat="true" ht="73.5" hidden="false" customHeight="true" outlineLevel="0" collapsed="false">
      <c r="A213" s="45" t="n">
        <v>202</v>
      </c>
      <c r="B213" s="46" t="s">
        <v>306</v>
      </c>
      <c r="C213" s="47" t="s">
        <v>25</v>
      </c>
      <c r="D213" s="48" t="s">
        <v>307</v>
      </c>
      <c r="E213" s="50" t="n">
        <v>19950.74</v>
      </c>
      <c r="F213" s="47" t="s">
        <v>294</v>
      </c>
      <c r="G213" s="52" t="n">
        <v>19822.95</v>
      </c>
      <c r="H213" s="53" t="n">
        <f aca="false">D213*G213</f>
        <v>892032.75</v>
      </c>
      <c r="I213" s="47" t="s">
        <v>295</v>
      </c>
      <c r="J213" s="52" t="n">
        <v>19903</v>
      </c>
      <c r="K213" s="53" t="n">
        <f aca="false">D213*J213</f>
        <v>895635</v>
      </c>
      <c r="L213" s="53" t="s">
        <v>41</v>
      </c>
      <c r="M213" s="52" t="n">
        <v>20154.88</v>
      </c>
      <c r="N213" s="53" t="n">
        <f aca="false">D213*M213</f>
        <v>906969.6</v>
      </c>
      <c r="O213" s="54" t="n">
        <f aca="false">AVERAGE(G213,J213,M213)</f>
        <v>19960.2766666667</v>
      </c>
      <c r="P213" s="55" t="n">
        <f aca="false">E213*100/O213-100</f>
        <v>-0.0477782288588884</v>
      </c>
      <c r="Q213" s="54" t="n">
        <f aca="false">D213*E213</f>
        <v>897783.3</v>
      </c>
      <c r="R213" s="83"/>
      <c r="T213" s="57" t="n">
        <f aca="false">ROUND(G213*100/O213-100,0)</f>
        <v>-1</v>
      </c>
      <c r="U213" s="57" t="n">
        <f aca="false">ROUND(J213*100/O213-100,0)</f>
        <v>-0</v>
      </c>
      <c r="V213" s="57" t="n">
        <f aca="false">ROUND(M213*100/O213-100,0)</f>
        <v>1</v>
      </c>
    </row>
    <row r="214" s="43" customFormat="true" ht="73.5" hidden="false" customHeight="true" outlineLevel="0" collapsed="false">
      <c r="A214" s="45" t="n">
        <v>203</v>
      </c>
      <c r="B214" s="46" t="s">
        <v>308</v>
      </c>
      <c r="C214" s="47" t="s">
        <v>25</v>
      </c>
      <c r="D214" s="48" t="n">
        <v>4</v>
      </c>
      <c r="E214" s="50" t="n">
        <v>301.5</v>
      </c>
      <c r="F214" s="47" t="s">
        <v>294</v>
      </c>
      <c r="G214" s="52" t="n">
        <v>299.49</v>
      </c>
      <c r="H214" s="53" t="n">
        <f aca="false">D214*G214</f>
        <v>1197.96</v>
      </c>
      <c r="I214" s="47" t="s">
        <v>295</v>
      </c>
      <c r="J214" s="52" t="n">
        <v>295</v>
      </c>
      <c r="K214" s="53" t="n">
        <f aca="false">D214*J214</f>
        <v>1180</v>
      </c>
      <c r="L214" s="53" t="s">
        <v>41</v>
      </c>
      <c r="M214" s="52" t="n">
        <v>320.14</v>
      </c>
      <c r="N214" s="53" t="n">
        <f aca="false">D214*M214</f>
        <v>1280.56</v>
      </c>
      <c r="O214" s="54" t="n">
        <f aca="false">AVERAGE(G214,J214,M214)</f>
        <v>304.876666666667</v>
      </c>
      <c r="P214" s="55" t="n">
        <f aca="false">E214*100/O214-100</f>
        <v>-1.10755168756765</v>
      </c>
      <c r="Q214" s="54" t="n">
        <f aca="false">D214*E214</f>
        <v>1206</v>
      </c>
      <c r="R214" s="56"/>
      <c r="T214" s="57" t="n">
        <f aca="false">ROUND(G214*100/O214-100,0)</f>
        <v>-2</v>
      </c>
      <c r="U214" s="57" t="n">
        <f aca="false">ROUND(J214*100/O214-100,0)</f>
        <v>-3</v>
      </c>
      <c r="V214" s="57" t="n">
        <f aca="false">ROUND(M214*100/O214-100,0)</f>
        <v>5</v>
      </c>
    </row>
    <row r="215" s="43" customFormat="true" ht="73.5" hidden="false" customHeight="true" outlineLevel="0" collapsed="false">
      <c r="A215" s="45" t="n">
        <v>204</v>
      </c>
      <c r="B215" s="46" t="s">
        <v>309</v>
      </c>
      <c r="C215" s="47" t="s">
        <v>25</v>
      </c>
      <c r="D215" s="48" t="n">
        <v>1</v>
      </c>
      <c r="E215" s="50" t="n">
        <v>21351</v>
      </c>
      <c r="F215" s="47" t="s">
        <v>294</v>
      </c>
      <c r="G215" s="52" t="n">
        <v>21316.78</v>
      </c>
      <c r="H215" s="53" t="n">
        <f aca="false">D215*G215</f>
        <v>21316.78</v>
      </c>
      <c r="I215" s="47" t="s">
        <v>295</v>
      </c>
      <c r="J215" s="52" t="n">
        <v>21291</v>
      </c>
      <c r="K215" s="53" t="n">
        <f aca="false">D215*J215</f>
        <v>21291</v>
      </c>
      <c r="L215" s="53" t="s">
        <v>41</v>
      </c>
      <c r="M215" s="52" t="n">
        <v>21455</v>
      </c>
      <c r="N215" s="53" t="n">
        <f aca="false">D215*M215</f>
        <v>21455</v>
      </c>
      <c r="O215" s="54" t="n">
        <f aca="false">AVERAGE(G215,J215,M215)</f>
        <v>21354.26</v>
      </c>
      <c r="P215" s="55" t="n">
        <f aca="false">E215*100/O215-100</f>
        <v>-0.0152662747386216</v>
      </c>
      <c r="Q215" s="54" t="n">
        <f aca="false">D215*E215</f>
        <v>21351</v>
      </c>
      <c r="R215" s="56"/>
      <c r="T215" s="57" t="n">
        <f aca="false">ROUND(G215*100/O215-100,0)</f>
        <v>-0</v>
      </c>
      <c r="U215" s="57" t="n">
        <f aca="false">ROUND(J215*100/O215-100,0)</f>
        <v>-0</v>
      </c>
      <c r="V215" s="57" t="n">
        <f aca="false">ROUND(M215*100/O215-100,0)</f>
        <v>0</v>
      </c>
    </row>
    <row r="216" s="43" customFormat="true" ht="73.5" hidden="false" customHeight="true" outlineLevel="0" collapsed="false">
      <c r="A216" s="45" t="n">
        <v>205</v>
      </c>
      <c r="B216" s="46" t="s">
        <v>310</v>
      </c>
      <c r="C216" s="47" t="s">
        <v>81</v>
      </c>
      <c r="D216" s="48" t="n">
        <v>4724</v>
      </c>
      <c r="E216" s="50" t="n">
        <v>83.4</v>
      </c>
      <c r="F216" s="47" t="s">
        <v>90</v>
      </c>
      <c r="G216" s="52" t="n">
        <f aca="false">102.29/1.2</f>
        <v>85.2416666666667</v>
      </c>
      <c r="H216" s="53" t="n">
        <f aca="false">D216*G216</f>
        <v>402681.633333333</v>
      </c>
      <c r="I216" s="47" t="s">
        <v>46</v>
      </c>
      <c r="J216" s="52" t="n">
        <v>83.77</v>
      </c>
      <c r="K216" s="53" t="n">
        <f aca="false">D216*J216</f>
        <v>395729.48</v>
      </c>
      <c r="L216" s="47" t="s">
        <v>58</v>
      </c>
      <c r="M216" s="52" t="n">
        <v>81.69</v>
      </c>
      <c r="N216" s="53" t="n">
        <f aca="false">D216*M216</f>
        <v>385903.56</v>
      </c>
      <c r="O216" s="54" t="n">
        <f aca="false">AVERAGE(G216,J216,M216)</f>
        <v>83.5672222222222</v>
      </c>
      <c r="P216" s="55" t="n">
        <f aca="false">E216*100/O216-100</f>
        <v>-0.200105038525194</v>
      </c>
      <c r="Q216" s="54" t="n">
        <f aca="false">D216*E216</f>
        <v>393981.6</v>
      </c>
      <c r="R216" s="56"/>
      <c r="T216" s="57" t="n">
        <f aca="false">ROUND(G216*100/O216-100,0)</f>
        <v>2</v>
      </c>
      <c r="U216" s="57" t="n">
        <f aca="false">ROUND(J216*100/O216-100,0)</f>
        <v>0</v>
      </c>
      <c r="V216" s="57" t="n">
        <f aca="false">ROUND(M216*100/O216-100,0)</f>
        <v>-2</v>
      </c>
    </row>
    <row r="217" s="43" customFormat="true" ht="73.5" hidden="false" customHeight="true" outlineLevel="0" collapsed="false">
      <c r="A217" s="45" t="n">
        <v>206</v>
      </c>
      <c r="B217" s="46" t="s">
        <v>311</v>
      </c>
      <c r="C217" s="47" t="s">
        <v>25</v>
      </c>
      <c r="D217" s="48" t="n">
        <v>1</v>
      </c>
      <c r="E217" s="50" t="n">
        <v>323.4</v>
      </c>
      <c r="F217" s="47" t="s">
        <v>27</v>
      </c>
      <c r="G217" s="52" t="n">
        <f aca="false">356.57/1.2</f>
        <v>297.141666666667</v>
      </c>
      <c r="H217" s="53" t="n">
        <f aca="false">D217*G217</f>
        <v>297.141666666667</v>
      </c>
      <c r="I217" s="53" t="s">
        <v>28</v>
      </c>
      <c r="J217" s="52" t="n">
        <v>316.28</v>
      </c>
      <c r="K217" s="53" t="n">
        <f aca="false">D217*J217</f>
        <v>316.28</v>
      </c>
      <c r="L217" s="48" t="s">
        <v>29</v>
      </c>
      <c r="M217" s="52" t="n">
        <v>361.87</v>
      </c>
      <c r="N217" s="53" t="n">
        <f aca="false">D217*M217</f>
        <v>361.87</v>
      </c>
      <c r="O217" s="54" t="n">
        <f aca="false">AVERAGE(G217,J217,M217)</f>
        <v>325.097222222222</v>
      </c>
      <c r="P217" s="55" t="n">
        <f aca="false">E217*100/O217-100</f>
        <v>-0.522066048617944</v>
      </c>
      <c r="Q217" s="54" t="n">
        <f aca="false">D217*E217</f>
        <v>323.4</v>
      </c>
      <c r="R217" s="56"/>
      <c r="T217" s="57" t="n">
        <f aca="false">ROUND(G217*100/O217-100,0)</f>
        <v>-9</v>
      </c>
      <c r="U217" s="57" t="n">
        <f aca="false">ROUND(J217*100/O217-100,0)</f>
        <v>-3</v>
      </c>
      <c r="V217" s="57" t="n">
        <f aca="false">ROUND(M217*100/O217-100,0)</f>
        <v>11</v>
      </c>
    </row>
    <row r="218" s="43" customFormat="true" ht="73.5" hidden="false" customHeight="true" outlineLevel="0" collapsed="false">
      <c r="A218" s="45" t="n">
        <v>207</v>
      </c>
      <c r="B218" s="46" t="s">
        <v>312</v>
      </c>
      <c r="C218" s="47" t="s">
        <v>25</v>
      </c>
      <c r="D218" s="48" t="n">
        <v>8</v>
      </c>
      <c r="E218" s="50" t="n">
        <v>144835.7</v>
      </c>
      <c r="F218" s="47" t="s">
        <v>27</v>
      </c>
      <c r="G218" s="52" t="n">
        <f aca="false">168045.6/1.2</f>
        <v>140038</v>
      </c>
      <c r="H218" s="53" t="n">
        <f aca="false">D218*G218</f>
        <v>1120304</v>
      </c>
      <c r="I218" s="53" t="s">
        <v>28</v>
      </c>
      <c r="J218" s="52" t="n">
        <v>149082</v>
      </c>
      <c r="K218" s="53" t="n">
        <f aca="false">D218*J218</f>
        <v>1192656</v>
      </c>
      <c r="L218" s="48" t="s">
        <v>29</v>
      </c>
      <c r="M218" s="52" t="n">
        <v>145394</v>
      </c>
      <c r="N218" s="53" t="n">
        <f aca="false">D218*M218</f>
        <v>1163152</v>
      </c>
      <c r="O218" s="54" t="n">
        <f aca="false">AVERAGE(G218,J218,M218)</f>
        <v>144838</v>
      </c>
      <c r="P218" s="55" t="n">
        <f aca="false">E218*100/O218-100</f>
        <v>-0.0015879810546835</v>
      </c>
      <c r="Q218" s="54" t="n">
        <f aca="false">D218*E218</f>
        <v>1158685.6</v>
      </c>
      <c r="R218" s="56"/>
      <c r="T218" s="57" t="n">
        <f aca="false">ROUND(G218*100/O218-100,0)</f>
        <v>-3</v>
      </c>
      <c r="U218" s="57" t="n">
        <f aca="false">ROUND(J218*100/O218-100,0)</f>
        <v>3</v>
      </c>
      <c r="V218" s="57" t="n">
        <f aca="false">ROUND(M218*100/O218-100,0)</f>
        <v>0</v>
      </c>
    </row>
    <row r="219" s="43" customFormat="true" ht="73.5" hidden="false" customHeight="true" outlineLevel="0" collapsed="false">
      <c r="A219" s="45" t="n">
        <v>208</v>
      </c>
      <c r="B219" s="46" t="s">
        <v>313</v>
      </c>
      <c r="C219" s="47" t="s">
        <v>25</v>
      </c>
      <c r="D219" s="48" t="n">
        <v>3</v>
      </c>
      <c r="E219" s="50" t="n">
        <v>3621.37</v>
      </c>
      <c r="F219" s="47" t="s">
        <v>27</v>
      </c>
      <c r="G219" s="52" t="n">
        <f aca="false">4262.14/1.2</f>
        <v>3551.78333333333</v>
      </c>
      <c r="H219" s="53" t="n">
        <f aca="false">D219*G219</f>
        <v>10655.35</v>
      </c>
      <c r="I219" s="53" t="s">
        <v>28</v>
      </c>
      <c r="J219" s="52" t="n">
        <v>3458.37</v>
      </c>
      <c r="K219" s="53" t="n">
        <f aca="false">D219*J219</f>
        <v>10375.11</v>
      </c>
      <c r="L219" s="48" t="s">
        <v>29</v>
      </c>
      <c r="M219" s="52" t="n">
        <v>3907.54</v>
      </c>
      <c r="N219" s="53" t="n">
        <f aca="false">D219*M219</f>
        <v>11722.62</v>
      </c>
      <c r="O219" s="54" t="n">
        <f aca="false">AVERAGE(G219,J219,M219)</f>
        <v>3639.23111111111</v>
      </c>
      <c r="P219" s="55" t="n">
        <f aca="false">E219*100/O219-100</f>
        <v>-0.49079353758485</v>
      </c>
      <c r="Q219" s="54" t="n">
        <f aca="false">D219*E219</f>
        <v>10864.11</v>
      </c>
      <c r="R219" s="56"/>
      <c r="T219" s="57" t="n">
        <f aca="false">ROUND(G219*100/O219-100,0)</f>
        <v>-2</v>
      </c>
      <c r="U219" s="57" t="n">
        <f aca="false">ROUND(J219*100/O219-100,0)</f>
        <v>-5</v>
      </c>
      <c r="V219" s="57" t="n">
        <f aca="false">ROUND(M219*100/O219-100,0)</f>
        <v>7</v>
      </c>
    </row>
    <row r="220" s="43" customFormat="true" ht="73.5" hidden="false" customHeight="true" outlineLevel="0" collapsed="false">
      <c r="A220" s="45" t="n">
        <v>209</v>
      </c>
      <c r="B220" s="46" t="s">
        <v>314</v>
      </c>
      <c r="C220" s="47" t="s">
        <v>25</v>
      </c>
      <c r="D220" s="48" t="n">
        <v>4</v>
      </c>
      <c r="E220" s="50" t="n">
        <v>5811.74</v>
      </c>
      <c r="F220" s="47" t="s">
        <v>27</v>
      </c>
      <c r="G220" s="52" t="n">
        <f aca="false">6938.81/1.2</f>
        <v>5782.34166666667</v>
      </c>
      <c r="H220" s="53" t="n">
        <f aca="false">D220*G220</f>
        <v>23129.3666666667</v>
      </c>
      <c r="I220" s="53" t="s">
        <v>28</v>
      </c>
      <c r="J220" s="52" t="n">
        <v>5911.04</v>
      </c>
      <c r="K220" s="53" t="n">
        <f aca="false">D220*J220</f>
        <v>23644.16</v>
      </c>
      <c r="L220" s="48" t="s">
        <v>29</v>
      </c>
      <c r="M220" s="52" t="n">
        <v>5752.26</v>
      </c>
      <c r="N220" s="53" t="n">
        <f aca="false">D220*M220</f>
        <v>23009.04</v>
      </c>
      <c r="O220" s="54" t="n">
        <f aca="false">AVERAGE(G220,J220,M220)</f>
        <v>5815.21388888889</v>
      </c>
      <c r="P220" s="55" t="n">
        <f aca="false">E220*100/O220-100</f>
        <v>-0.0597379383676042</v>
      </c>
      <c r="Q220" s="54" t="n">
        <f aca="false">D220*E220</f>
        <v>23246.96</v>
      </c>
      <c r="R220" s="56"/>
      <c r="T220" s="57" t="n">
        <f aca="false">ROUND(G220*100/O220-100,0)</f>
        <v>-1</v>
      </c>
      <c r="U220" s="57" t="n">
        <f aca="false">ROUND(J220*100/O220-100,0)</f>
        <v>2</v>
      </c>
      <c r="V220" s="57" t="n">
        <f aca="false">ROUND(M220*100/O220-100,0)</f>
        <v>-1</v>
      </c>
    </row>
    <row r="221" s="43" customFormat="true" ht="73.5" hidden="false" customHeight="true" outlineLevel="0" collapsed="false">
      <c r="A221" s="45" t="n">
        <v>210</v>
      </c>
      <c r="B221" s="46" t="s">
        <v>315</v>
      </c>
      <c r="C221" s="47" t="s">
        <v>25</v>
      </c>
      <c r="D221" s="48" t="n">
        <v>6</v>
      </c>
      <c r="E221" s="50" t="n">
        <v>292.47</v>
      </c>
      <c r="F221" s="47" t="s">
        <v>27</v>
      </c>
      <c r="G221" s="52" t="n">
        <f aca="false">349.09/1.2</f>
        <v>290.908333333333</v>
      </c>
      <c r="H221" s="53" t="n">
        <f aca="false">D221*G221</f>
        <v>1745.45</v>
      </c>
      <c r="I221" s="53" t="s">
        <v>28</v>
      </c>
      <c r="J221" s="52" t="n">
        <v>286.52</v>
      </c>
      <c r="K221" s="53" t="n">
        <f aca="false">D221*J221</f>
        <v>1719.12</v>
      </c>
      <c r="L221" s="48" t="s">
        <v>29</v>
      </c>
      <c r="M221" s="52" t="n">
        <v>309.87</v>
      </c>
      <c r="N221" s="53" t="n">
        <f aca="false">D221*M221</f>
        <v>1859.22</v>
      </c>
      <c r="O221" s="54" t="n">
        <f aca="false">AVERAGE(G221,J221,M221)</f>
        <v>295.766111111111</v>
      </c>
      <c r="P221" s="55" t="n">
        <f aca="false">E221*100/O221-100</f>
        <v>-1.11443163610885</v>
      </c>
      <c r="Q221" s="54" t="n">
        <f aca="false">D221*E221</f>
        <v>1754.82</v>
      </c>
      <c r="R221" s="56"/>
      <c r="T221" s="57" t="n">
        <f aca="false">ROUND(G221*100/O221-100,0)</f>
        <v>-2</v>
      </c>
      <c r="U221" s="57" t="n">
        <f aca="false">ROUND(J221*100/O221-100,0)</f>
        <v>-3</v>
      </c>
      <c r="V221" s="57" t="n">
        <f aca="false">ROUND(M221*100/O221-100,0)</f>
        <v>5</v>
      </c>
    </row>
    <row r="222" s="43" customFormat="true" ht="73.5" hidden="false" customHeight="true" outlineLevel="0" collapsed="false">
      <c r="A222" s="45" t="n">
        <v>211</v>
      </c>
      <c r="B222" s="46" t="s">
        <v>316</v>
      </c>
      <c r="C222" s="47" t="s">
        <v>25</v>
      </c>
      <c r="D222" s="48" t="n">
        <v>11</v>
      </c>
      <c r="E222" s="50" t="n">
        <v>563.94</v>
      </c>
      <c r="F222" s="47" t="s">
        <v>27</v>
      </c>
      <c r="G222" s="52" t="n">
        <f aca="false">640.39/1.2</f>
        <v>533.658333333333</v>
      </c>
      <c r="H222" s="53" t="n">
        <f aca="false">D222*G222</f>
        <v>5870.24166666667</v>
      </c>
      <c r="I222" s="53" t="s">
        <v>28</v>
      </c>
      <c r="J222" s="52" t="n">
        <v>573.66</v>
      </c>
      <c r="K222" s="53" t="n">
        <f aca="false">D222*J222</f>
        <v>6310.26</v>
      </c>
      <c r="L222" s="48" t="s">
        <v>29</v>
      </c>
      <c r="M222" s="52" t="n">
        <v>599.2</v>
      </c>
      <c r="N222" s="53" t="n">
        <f aca="false">D222*M222</f>
        <v>6591.2</v>
      </c>
      <c r="O222" s="54" t="n">
        <f aca="false">AVERAGE(G222,J222,M222)</f>
        <v>568.839444444444</v>
      </c>
      <c r="P222" s="55" t="n">
        <f aca="false">E222*100/O222-100</f>
        <v>-0.861305328295117</v>
      </c>
      <c r="Q222" s="54" t="n">
        <f aca="false">D222*E222</f>
        <v>6203.34</v>
      </c>
      <c r="R222" s="56"/>
      <c r="T222" s="57" t="n">
        <f aca="false">ROUND(G222*100/O222-100,0)</f>
        <v>-6</v>
      </c>
      <c r="U222" s="57" t="n">
        <f aca="false">ROUND(J222*100/O222-100,0)</f>
        <v>1</v>
      </c>
      <c r="V222" s="57" t="n">
        <f aca="false">ROUND(M222*100/O222-100,0)</f>
        <v>5</v>
      </c>
    </row>
    <row r="223" s="43" customFormat="true" ht="73.5" hidden="false" customHeight="true" outlineLevel="0" collapsed="false">
      <c r="A223" s="45" t="n">
        <v>212</v>
      </c>
      <c r="B223" s="46" t="s">
        <v>317</v>
      </c>
      <c r="C223" s="47" t="s">
        <v>25</v>
      </c>
      <c r="D223" s="48" t="n">
        <v>13</v>
      </c>
      <c r="E223" s="50" t="n">
        <v>1331.15</v>
      </c>
      <c r="F223" s="47" t="s">
        <v>27</v>
      </c>
      <c r="G223" s="52" t="n">
        <f aca="false">1491.91/1.2</f>
        <v>1243.25833333333</v>
      </c>
      <c r="H223" s="53" t="n">
        <f aca="false">D223*G223</f>
        <v>16162.3583333333</v>
      </c>
      <c r="I223" s="53" t="s">
        <v>28</v>
      </c>
      <c r="J223" s="52" t="n">
        <v>1408.92</v>
      </c>
      <c r="K223" s="53" t="n">
        <f aca="false">D223*J223</f>
        <v>18315.96</v>
      </c>
      <c r="L223" s="48" t="s">
        <v>29</v>
      </c>
      <c r="M223" s="52" t="n">
        <v>1348.02</v>
      </c>
      <c r="N223" s="53" t="n">
        <f aca="false">D223*M223</f>
        <v>17524.26</v>
      </c>
      <c r="O223" s="54" t="n">
        <f aca="false">AVERAGE(G223,J223,M223)</f>
        <v>1333.39944444444</v>
      </c>
      <c r="P223" s="55" t="n">
        <f aca="false">E223*100/O223-100</f>
        <v>-0.168699968626555</v>
      </c>
      <c r="Q223" s="54" t="n">
        <f aca="false">D223*E223</f>
        <v>17304.95</v>
      </c>
      <c r="R223" s="56"/>
      <c r="T223" s="57" t="n">
        <f aca="false">ROUND(G223*100/O223-100,0)</f>
        <v>-7</v>
      </c>
      <c r="U223" s="57" t="n">
        <f aca="false">ROUND(J223*100/O223-100,0)</f>
        <v>6</v>
      </c>
      <c r="V223" s="57" t="n">
        <f aca="false">ROUND(M223*100/O223-100,0)</f>
        <v>1</v>
      </c>
    </row>
    <row r="224" s="43" customFormat="true" ht="73.5" hidden="false" customHeight="true" outlineLevel="0" collapsed="false">
      <c r="A224" s="45" t="n">
        <v>213</v>
      </c>
      <c r="B224" s="46" t="s">
        <v>318</v>
      </c>
      <c r="C224" s="47" t="s">
        <v>147</v>
      </c>
      <c r="D224" s="48" t="s">
        <v>319</v>
      </c>
      <c r="E224" s="50" t="n">
        <v>104.48</v>
      </c>
      <c r="F224" s="47" t="s">
        <v>148</v>
      </c>
      <c r="G224" s="52" t="n">
        <f aca="false">118.23/1.2</f>
        <v>98.525</v>
      </c>
      <c r="H224" s="53" t="n">
        <f aca="false">D224*G224</f>
        <v>24631.25</v>
      </c>
      <c r="I224" s="47" t="s">
        <v>67</v>
      </c>
      <c r="J224" s="52" t="n">
        <f aca="false">123.29/1.2</f>
        <v>102.741666666667</v>
      </c>
      <c r="K224" s="53" t="n">
        <f aca="false">D224*J224</f>
        <v>25685.4166666667</v>
      </c>
      <c r="L224" s="47" t="s">
        <v>149</v>
      </c>
      <c r="M224" s="52" t="n">
        <f aca="false">138.44/1.2</f>
        <v>115.366666666667</v>
      </c>
      <c r="N224" s="53" t="n">
        <f aca="false">D224*M224</f>
        <v>28841.6666666667</v>
      </c>
      <c r="O224" s="54" t="n">
        <f aca="false">AVERAGE(G224,J224,M224)</f>
        <v>105.544444444444</v>
      </c>
      <c r="P224" s="55" t="n">
        <f aca="false">E224*100/O224-100</f>
        <v>-1.00852721339088</v>
      </c>
      <c r="Q224" s="54" t="n">
        <f aca="false">D224*E224</f>
        <v>26120</v>
      </c>
      <c r="R224" s="56"/>
      <c r="T224" s="57" t="n">
        <f aca="false">ROUND(G224*100/O224-100,0)</f>
        <v>-7</v>
      </c>
      <c r="U224" s="57" t="n">
        <f aca="false">ROUND(J224*100/O224-100,0)</f>
        <v>-3</v>
      </c>
      <c r="V224" s="57" t="n">
        <f aca="false">ROUND(M224*100/O224-100,0)</f>
        <v>9</v>
      </c>
    </row>
    <row r="225" s="43" customFormat="true" ht="73.5" hidden="false" customHeight="true" outlineLevel="0" collapsed="false">
      <c r="A225" s="45" t="n">
        <v>214</v>
      </c>
      <c r="B225" s="46" t="s">
        <v>320</v>
      </c>
      <c r="C225" s="47" t="s">
        <v>25</v>
      </c>
      <c r="D225" s="48" t="n">
        <v>10</v>
      </c>
      <c r="E225" s="50" t="n">
        <v>796.51</v>
      </c>
      <c r="F225" s="47" t="s">
        <v>56</v>
      </c>
      <c r="G225" s="52" t="n">
        <v>830.5</v>
      </c>
      <c r="H225" s="53" t="n">
        <f aca="false">D225*G225</f>
        <v>8305</v>
      </c>
      <c r="I225" s="47" t="s">
        <v>57</v>
      </c>
      <c r="J225" s="52" t="n">
        <v>755.31</v>
      </c>
      <c r="K225" s="53" t="n">
        <f aca="false">D225*J225</f>
        <v>7553.1</v>
      </c>
      <c r="L225" s="47" t="s">
        <v>58</v>
      </c>
      <c r="M225" s="52" t="n">
        <v>810.41</v>
      </c>
      <c r="N225" s="53" t="n">
        <f aca="false">D225*M225</f>
        <v>8104.1</v>
      </c>
      <c r="O225" s="54" t="n">
        <f aca="false">AVERAGE(G225,J225,M225)</f>
        <v>798.74</v>
      </c>
      <c r="P225" s="55" t="n">
        <f aca="false">E225*100/O225-100</f>
        <v>-0.279189723814994</v>
      </c>
      <c r="Q225" s="54" t="n">
        <f aca="false">D225*E225</f>
        <v>7965.1</v>
      </c>
      <c r="R225" s="56"/>
      <c r="T225" s="57" t="n">
        <f aca="false">ROUND(G225*100/O225-100,0)</f>
        <v>4</v>
      </c>
      <c r="U225" s="57" t="n">
        <f aca="false">ROUND(J225*100/O225-100,0)</f>
        <v>-5</v>
      </c>
      <c r="V225" s="57" t="n">
        <f aca="false">ROUND(M225*100/O225-100,0)</f>
        <v>1</v>
      </c>
    </row>
    <row r="226" s="43" customFormat="true" ht="73.5" hidden="false" customHeight="true" outlineLevel="0" collapsed="false">
      <c r="A226" s="45" t="n">
        <v>215</v>
      </c>
      <c r="B226" s="46" t="s">
        <v>321</v>
      </c>
      <c r="C226" s="47" t="s">
        <v>25</v>
      </c>
      <c r="D226" s="48" t="n">
        <v>3</v>
      </c>
      <c r="E226" s="70" t="n">
        <v>5485.34</v>
      </c>
      <c r="F226" s="47" t="s">
        <v>27</v>
      </c>
      <c r="G226" s="52" t="n">
        <f aca="false">6274.38/1.2</f>
        <v>5228.65</v>
      </c>
      <c r="H226" s="53" t="n">
        <f aca="false">D226*G226</f>
        <v>15685.95</v>
      </c>
      <c r="I226" s="53" t="s">
        <v>28</v>
      </c>
      <c r="J226" s="52" t="n">
        <v>5500.4</v>
      </c>
      <c r="K226" s="53" t="n">
        <f aca="false">D226*J226</f>
        <v>16501.2</v>
      </c>
      <c r="L226" s="48" t="s">
        <v>29</v>
      </c>
      <c r="M226" s="52" t="n">
        <v>5740.12</v>
      </c>
      <c r="N226" s="53" t="n">
        <f aca="false">D226*M226</f>
        <v>17220.36</v>
      </c>
      <c r="O226" s="54" t="n">
        <f aca="false">AVERAGE(G226,J226,M226)</f>
        <v>5489.72333333333</v>
      </c>
      <c r="P226" s="55" t="n">
        <f aca="false">E226*100/O226-100</f>
        <v>-0.0798461610390717</v>
      </c>
      <c r="Q226" s="54" t="n">
        <f aca="false">D226*E226</f>
        <v>16456.02</v>
      </c>
      <c r="R226" s="56"/>
      <c r="T226" s="57" t="n">
        <f aca="false">ROUND(G226*100/O226-100,0)</f>
        <v>-5</v>
      </c>
      <c r="U226" s="57" t="n">
        <f aca="false">ROUND(J226*100/O226-100,0)</f>
        <v>0</v>
      </c>
      <c r="V226" s="57" t="n">
        <f aca="false">ROUND(M226*100/O226-100,0)</f>
        <v>5</v>
      </c>
    </row>
    <row r="227" s="43" customFormat="true" ht="73.5" hidden="false" customHeight="true" outlineLevel="0" collapsed="false">
      <c r="A227" s="45" t="n">
        <v>216</v>
      </c>
      <c r="B227" s="46" t="s">
        <v>322</v>
      </c>
      <c r="C227" s="47" t="s">
        <v>323</v>
      </c>
      <c r="D227" s="48" t="n">
        <v>0.048</v>
      </c>
      <c r="E227" s="71" t="n">
        <v>2698750.3</v>
      </c>
      <c r="F227" s="47" t="s">
        <v>68</v>
      </c>
      <c r="G227" s="52" t="n">
        <f aca="false">3276.5/1.2*1000</f>
        <v>2730416.66666667</v>
      </c>
      <c r="H227" s="53" t="n">
        <f aca="false">G227*D227</f>
        <v>131060</v>
      </c>
      <c r="I227" s="47" t="s">
        <v>67</v>
      </c>
      <c r="J227" s="52" t="n">
        <f aca="false">3255/1.2*1000</f>
        <v>2712500</v>
      </c>
      <c r="K227" s="53" t="n">
        <f aca="false">D227*J227</f>
        <v>130200</v>
      </c>
      <c r="L227" s="47" t="s">
        <v>272</v>
      </c>
      <c r="M227" s="52" t="n">
        <f aca="false">2661.67*1000</f>
        <v>2661670</v>
      </c>
      <c r="N227" s="53" t="n">
        <f aca="false">D227*M227</f>
        <v>127760.16</v>
      </c>
      <c r="O227" s="54" t="n">
        <f aca="false">AVERAGE(G227,J227,M227)</f>
        <v>2701528.88888889</v>
      </c>
      <c r="P227" s="55" t="n">
        <f aca="false">E227*100/O227-100</f>
        <v>-0.102852458854585</v>
      </c>
      <c r="Q227" s="54" t="n">
        <f aca="false">D227*E227</f>
        <v>129540.0144</v>
      </c>
      <c r="R227" s="56"/>
      <c r="T227" s="57" t="n">
        <f aca="false">ROUND(G227*100/O227-100,0)</f>
        <v>1</v>
      </c>
      <c r="U227" s="57" t="n">
        <f aca="false">ROUND(J227*100/O227-100,0)</f>
        <v>0</v>
      </c>
      <c r="V227" s="57" t="n">
        <f aca="false">ROUND(M227*100/O227-100,0)</f>
        <v>-1</v>
      </c>
    </row>
    <row r="228" s="43" customFormat="true" ht="73.5" hidden="false" customHeight="true" outlineLevel="0" collapsed="false">
      <c r="A228" s="45" t="n">
        <v>217</v>
      </c>
      <c r="B228" s="46" t="s">
        <v>324</v>
      </c>
      <c r="C228" s="47" t="s">
        <v>25</v>
      </c>
      <c r="D228" s="48" t="n">
        <v>10</v>
      </c>
      <c r="E228" s="50" t="n">
        <v>6202.47</v>
      </c>
      <c r="F228" s="47" t="s">
        <v>56</v>
      </c>
      <c r="G228" s="52" t="n">
        <v>6050.4</v>
      </c>
      <c r="H228" s="53" t="n">
        <f aca="false">D228*G228</f>
        <v>60504</v>
      </c>
      <c r="I228" s="47" t="s">
        <v>57</v>
      </c>
      <c r="J228" s="52" t="n">
        <v>6131.78</v>
      </c>
      <c r="K228" s="53" t="n">
        <f aca="false">D228*J228</f>
        <v>61317.8</v>
      </c>
      <c r="L228" s="47" t="s">
        <v>58</v>
      </c>
      <c r="M228" s="52" t="n">
        <v>6541.19</v>
      </c>
      <c r="N228" s="53" t="n">
        <f aca="false">D228*M228</f>
        <v>65411.9</v>
      </c>
      <c r="O228" s="54" t="n">
        <f aca="false">AVERAGE(G228,J228,M228)</f>
        <v>6241.12333333333</v>
      </c>
      <c r="P228" s="55" t="n">
        <f aca="false">E228*100/O228-100</f>
        <v>-0.619332951279603</v>
      </c>
      <c r="Q228" s="54" t="n">
        <f aca="false">D228*E228</f>
        <v>62024.7</v>
      </c>
      <c r="R228" s="62" t="s">
        <v>116</v>
      </c>
      <c r="T228" s="57" t="n">
        <f aca="false">ROUND(G228*100/O228-100,0)</f>
        <v>-3</v>
      </c>
      <c r="U228" s="57" t="n">
        <f aca="false">ROUND(J228*100/O228-100,0)</f>
        <v>-2</v>
      </c>
      <c r="V228" s="57" t="n">
        <f aca="false">ROUND(M228*100/O228-100,0)</f>
        <v>5</v>
      </c>
    </row>
    <row r="229" s="43" customFormat="true" ht="73.5" hidden="false" customHeight="true" outlineLevel="0" collapsed="false">
      <c r="A229" s="45" t="n">
        <v>218</v>
      </c>
      <c r="B229" s="46" t="s">
        <v>325</v>
      </c>
      <c r="C229" s="47" t="s">
        <v>25</v>
      </c>
      <c r="D229" s="48" t="n">
        <v>4</v>
      </c>
      <c r="E229" s="50" t="n">
        <v>13230.7</v>
      </c>
      <c r="F229" s="47" t="s">
        <v>27</v>
      </c>
      <c r="G229" s="52" t="n">
        <f aca="false">15633.38/1.2</f>
        <v>13027.8166666667</v>
      </c>
      <c r="H229" s="53" t="n">
        <f aca="false">D229*G229</f>
        <v>52111.2666666667</v>
      </c>
      <c r="I229" s="53" t="s">
        <v>28</v>
      </c>
      <c r="J229" s="52" t="n">
        <v>13344.3</v>
      </c>
      <c r="K229" s="53" t="n">
        <f aca="false">D229*J229</f>
        <v>53377.2</v>
      </c>
      <c r="L229" s="48" t="s">
        <v>29</v>
      </c>
      <c r="M229" s="52" t="n">
        <v>13500.58</v>
      </c>
      <c r="N229" s="53" t="n">
        <f aca="false">D229*M229</f>
        <v>54002.32</v>
      </c>
      <c r="O229" s="54" t="n">
        <f aca="false">AVERAGE(G229,J229,M229)</f>
        <v>13290.8988888889</v>
      </c>
      <c r="P229" s="55" t="n">
        <f aca="false">E229*100/O229-100</f>
        <v>-0.452933164206172</v>
      </c>
      <c r="Q229" s="54" t="n">
        <f aca="false">D229*E229</f>
        <v>52922.8</v>
      </c>
      <c r="R229" s="56"/>
      <c r="T229" s="57" t="n">
        <f aca="false">ROUND(G229*100/O229-100,0)</f>
        <v>-2</v>
      </c>
      <c r="U229" s="57" t="n">
        <f aca="false">ROUND(J229*100/O229-100,0)</f>
        <v>0</v>
      </c>
      <c r="V229" s="57" t="n">
        <f aca="false">ROUND(M229*100/O229-100,0)</f>
        <v>2</v>
      </c>
    </row>
    <row r="230" s="43" customFormat="true" ht="73.5" hidden="false" customHeight="true" outlineLevel="0" collapsed="false">
      <c r="A230" s="45" t="n">
        <v>219</v>
      </c>
      <c r="B230" s="46" t="s">
        <v>326</v>
      </c>
      <c r="C230" s="47" t="s">
        <v>25</v>
      </c>
      <c r="D230" s="48" t="n">
        <v>7</v>
      </c>
      <c r="E230" s="50" t="n">
        <v>895.64</v>
      </c>
      <c r="F230" s="47" t="s">
        <v>27</v>
      </c>
      <c r="G230" s="52" t="n">
        <f aca="false">1005.59/1.2</f>
        <v>837.991666666667</v>
      </c>
      <c r="H230" s="53" t="n">
        <f aca="false">D230*G230</f>
        <v>5865.94166666667</v>
      </c>
      <c r="I230" s="53" t="s">
        <v>28</v>
      </c>
      <c r="J230" s="52" t="n">
        <v>921.8</v>
      </c>
      <c r="K230" s="53" t="n">
        <f aca="false">D230*J230</f>
        <v>6452.6</v>
      </c>
      <c r="L230" s="48" t="s">
        <v>29</v>
      </c>
      <c r="M230" s="52" t="n">
        <v>944.36</v>
      </c>
      <c r="N230" s="53" t="n">
        <f aca="false">D230*M230</f>
        <v>6610.52</v>
      </c>
      <c r="O230" s="54" t="n">
        <f aca="false">AVERAGE(G230,J230,M230)</f>
        <v>901.383888888889</v>
      </c>
      <c r="P230" s="55" t="n">
        <f aca="false">E230*100/O230-100</f>
        <v>-0.637230037023315</v>
      </c>
      <c r="Q230" s="54" t="n">
        <f aca="false">D230*E230</f>
        <v>6269.48</v>
      </c>
      <c r="R230" s="56"/>
      <c r="T230" s="57" t="n">
        <f aca="false">ROUND(G230*100/O230-100,0)</f>
        <v>-7</v>
      </c>
      <c r="U230" s="57" t="n">
        <f aca="false">ROUND(J230*100/O230-100,0)</f>
        <v>2</v>
      </c>
      <c r="V230" s="57" t="n">
        <f aca="false">ROUND(M230*100/O230-100,0)</f>
        <v>5</v>
      </c>
    </row>
    <row r="231" s="43" customFormat="true" ht="73.5" hidden="false" customHeight="true" outlineLevel="0" collapsed="false">
      <c r="A231" s="45" t="n">
        <v>220</v>
      </c>
      <c r="B231" s="46" t="s">
        <v>327</v>
      </c>
      <c r="C231" s="47" t="s">
        <v>25</v>
      </c>
      <c r="D231" s="48" t="n">
        <v>4</v>
      </c>
      <c r="E231" s="50" t="n">
        <v>976.87</v>
      </c>
      <c r="F231" s="47" t="s">
        <v>27</v>
      </c>
      <c r="G231" s="52" t="n">
        <f aca="false">1138.77/1.2</f>
        <v>948.975</v>
      </c>
      <c r="H231" s="53" t="n">
        <f aca="false">D231*G231</f>
        <v>3795.9</v>
      </c>
      <c r="I231" s="53" t="s">
        <v>28</v>
      </c>
      <c r="J231" s="52" t="n">
        <v>1010.4</v>
      </c>
      <c r="K231" s="53" t="n">
        <f aca="false">D231*J231</f>
        <v>4041.6</v>
      </c>
      <c r="L231" s="48" t="s">
        <v>29</v>
      </c>
      <c r="M231" s="52" t="n">
        <v>995.11</v>
      </c>
      <c r="N231" s="53" t="n">
        <f aca="false">D231*M231</f>
        <v>3980.44</v>
      </c>
      <c r="O231" s="54" t="n">
        <f aca="false">AVERAGE(G231,J231,M231)</f>
        <v>984.828333333333</v>
      </c>
      <c r="P231" s="55" t="n">
        <f aca="false">E231*100/O231-100</f>
        <v>-0.808093457912293</v>
      </c>
      <c r="Q231" s="54" t="n">
        <f aca="false">D231*E231</f>
        <v>3907.48</v>
      </c>
      <c r="R231" s="56"/>
      <c r="T231" s="57" t="n">
        <f aca="false">ROUND(G231*100/O231-100,0)</f>
        <v>-4</v>
      </c>
      <c r="U231" s="57" t="n">
        <f aca="false">ROUND(J231*100/O231-100,0)</f>
        <v>3</v>
      </c>
      <c r="V231" s="57" t="n">
        <f aca="false">ROUND(M231*100/O231-100,0)</f>
        <v>1</v>
      </c>
    </row>
    <row r="232" s="43" customFormat="true" ht="73.5" hidden="false" customHeight="true" outlineLevel="0" collapsed="false">
      <c r="A232" s="45" t="n">
        <v>221</v>
      </c>
      <c r="B232" s="46" t="s">
        <v>328</v>
      </c>
      <c r="C232" s="47" t="s">
        <v>25</v>
      </c>
      <c r="D232" s="48" t="n">
        <v>1</v>
      </c>
      <c r="E232" s="50" t="n">
        <v>1842.92</v>
      </c>
      <c r="F232" s="47" t="s">
        <v>27</v>
      </c>
      <c r="G232" s="52" t="n">
        <f aca="false">2152.46/1.2</f>
        <v>1793.71666666667</v>
      </c>
      <c r="H232" s="53" t="n">
        <f aca="false">D232*G232</f>
        <v>1793.71666666667</v>
      </c>
      <c r="I232" s="53" t="s">
        <v>28</v>
      </c>
      <c r="J232" s="52" t="n">
        <v>1928.6</v>
      </c>
      <c r="K232" s="53" t="n">
        <f aca="false">D232*J232</f>
        <v>1928.6</v>
      </c>
      <c r="L232" s="48" t="s">
        <v>29</v>
      </c>
      <c r="M232" s="52" t="n">
        <v>1850.46</v>
      </c>
      <c r="N232" s="53" t="n">
        <f aca="false">D232*M232</f>
        <v>1850.46</v>
      </c>
      <c r="O232" s="54" t="n">
        <f aca="false">AVERAGE(G232,J232,M232)</f>
        <v>1857.59222222222</v>
      </c>
      <c r="P232" s="55" t="n">
        <f aca="false">E232*100/O232-100</f>
        <v>-0.789851617954668</v>
      </c>
      <c r="Q232" s="54" t="n">
        <f aca="false">D232*E232</f>
        <v>1842.92</v>
      </c>
      <c r="R232" s="56"/>
      <c r="T232" s="57" t="n">
        <f aca="false">ROUND(G232*100/O232-100,0)</f>
        <v>-3</v>
      </c>
      <c r="U232" s="57" t="n">
        <f aca="false">ROUND(J232*100/O232-100,0)</f>
        <v>4</v>
      </c>
      <c r="V232" s="57" t="n">
        <f aca="false">ROUND(M232*100/O232-100,0)</f>
        <v>-0</v>
      </c>
    </row>
    <row r="233" s="43" customFormat="true" ht="73.5" hidden="false" customHeight="true" outlineLevel="0" collapsed="false">
      <c r="A233" s="45" t="n">
        <v>222</v>
      </c>
      <c r="B233" s="46" t="s">
        <v>329</v>
      </c>
      <c r="C233" s="47" t="s">
        <v>25</v>
      </c>
      <c r="D233" s="48" t="n">
        <v>24</v>
      </c>
      <c r="E233" s="50" t="n">
        <v>312.8</v>
      </c>
      <c r="F233" s="47" t="s">
        <v>27</v>
      </c>
      <c r="G233" s="52" t="n">
        <f aca="false">362.57/1.2</f>
        <v>302.141666666667</v>
      </c>
      <c r="H233" s="53" t="n">
        <f aca="false">D233*G233</f>
        <v>7251.4</v>
      </c>
      <c r="I233" s="53" t="s">
        <v>28</v>
      </c>
      <c r="J233" s="52" t="n">
        <v>312.77</v>
      </c>
      <c r="K233" s="53" t="n">
        <f aca="false">D233*J233</f>
        <v>7506.48</v>
      </c>
      <c r="L233" s="48" t="s">
        <v>29</v>
      </c>
      <c r="M233" s="52" t="n">
        <v>344.29</v>
      </c>
      <c r="N233" s="53" t="n">
        <f aca="false">D233*M233</f>
        <v>8262.96</v>
      </c>
      <c r="O233" s="54" t="n">
        <f aca="false">AVERAGE(G233,J233,M233)</f>
        <v>319.733888888889</v>
      </c>
      <c r="P233" s="55" t="n">
        <f aca="false">E233*100/O233-100</f>
        <v>-2.16864371586789</v>
      </c>
      <c r="Q233" s="54" t="n">
        <f aca="false">D233*E233</f>
        <v>7507.2</v>
      </c>
      <c r="R233" s="56"/>
      <c r="T233" s="57" t="n">
        <f aca="false">ROUND(G233*100/O233-100,0)</f>
        <v>-6</v>
      </c>
      <c r="U233" s="57" t="n">
        <f aca="false">ROUND(J233*100/O233-100,0)</f>
        <v>-2</v>
      </c>
      <c r="V233" s="57" t="n">
        <f aca="false">ROUND(M233*100/O233-100,0)</f>
        <v>8</v>
      </c>
    </row>
    <row r="234" s="43" customFormat="true" ht="73.5" hidden="false" customHeight="true" outlineLevel="0" collapsed="false">
      <c r="A234" s="45" t="n">
        <v>223</v>
      </c>
      <c r="B234" s="46" t="s">
        <v>330</v>
      </c>
      <c r="C234" s="47" t="s">
        <v>25</v>
      </c>
      <c r="D234" s="48" t="n">
        <v>18</v>
      </c>
      <c r="E234" s="50" t="n">
        <v>343.64</v>
      </c>
      <c r="F234" s="47" t="s">
        <v>27</v>
      </c>
      <c r="G234" s="52" t="n">
        <f aca="false">398.85/1.2</f>
        <v>332.375</v>
      </c>
      <c r="H234" s="53" t="n">
        <f aca="false">D234*G234</f>
        <v>5982.75</v>
      </c>
      <c r="I234" s="53" t="s">
        <v>28</v>
      </c>
      <c r="J234" s="52" t="n">
        <v>364.5</v>
      </c>
      <c r="K234" s="53" t="n">
        <f aca="false">D234*J234</f>
        <v>6561</v>
      </c>
      <c r="L234" s="48" t="s">
        <v>29</v>
      </c>
      <c r="M234" s="52" t="n">
        <v>350.15</v>
      </c>
      <c r="N234" s="53" t="n">
        <f aca="false">D234*M234</f>
        <v>6302.7</v>
      </c>
      <c r="O234" s="54" t="n">
        <f aca="false">AVERAGE(G234,J234,M234)</f>
        <v>349.008333333333</v>
      </c>
      <c r="P234" s="55" t="n">
        <f aca="false">E234*100/O234-100</f>
        <v>-1.53816766552853</v>
      </c>
      <c r="Q234" s="54" t="n">
        <f aca="false">D234*E234</f>
        <v>6185.52</v>
      </c>
      <c r="R234" s="56"/>
      <c r="T234" s="57" t="n">
        <f aca="false">ROUND(G234*100/O234-100,0)</f>
        <v>-5</v>
      </c>
      <c r="U234" s="57" t="n">
        <f aca="false">ROUND(J234*100/O234-100,0)</f>
        <v>4</v>
      </c>
      <c r="V234" s="57" t="n">
        <f aca="false">ROUND(M234*100/O234-100,0)</f>
        <v>0</v>
      </c>
    </row>
    <row r="235" s="43" customFormat="true" ht="73.5" hidden="false" customHeight="true" outlineLevel="0" collapsed="false">
      <c r="A235" s="45" t="n">
        <v>224</v>
      </c>
      <c r="B235" s="46" t="s">
        <v>331</v>
      </c>
      <c r="C235" s="47" t="s">
        <v>25</v>
      </c>
      <c r="D235" s="48" t="n">
        <v>90</v>
      </c>
      <c r="E235" s="50" t="n">
        <v>233.82</v>
      </c>
      <c r="F235" s="47" t="s">
        <v>27</v>
      </c>
      <c r="G235" s="52" t="n">
        <f aca="false">283.52/1.2</f>
        <v>236.266666666667</v>
      </c>
      <c r="H235" s="53" t="n">
        <f aca="false">D235*G235</f>
        <v>21264</v>
      </c>
      <c r="I235" s="53" t="s">
        <v>28</v>
      </c>
      <c r="J235" s="52" t="n">
        <v>232.43</v>
      </c>
      <c r="K235" s="53" t="n">
        <f aca="false">D235*J235</f>
        <v>20918.7</v>
      </c>
      <c r="L235" s="48" t="s">
        <v>29</v>
      </c>
      <c r="M235" s="52" t="n">
        <v>251.2</v>
      </c>
      <c r="N235" s="53" t="n">
        <f aca="false">D235*M235</f>
        <v>22608</v>
      </c>
      <c r="O235" s="54" t="n">
        <f aca="false">AVERAGE(G235,J235,M235)</f>
        <v>239.965555555556</v>
      </c>
      <c r="P235" s="55" t="n">
        <f aca="false">E235*100/O235-100</f>
        <v>-2.56101570132751</v>
      </c>
      <c r="Q235" s="54" t="n">
        <f aca="false">D235*E235</f>
        <v>21043.8</v>
      </c>
      <c r="R235" s="56"/>
      <c r="T235" s="57" t="n">
        <f aca="false">ROUND(G235*100/O235-100,0)</f>
        <v>-2</v>
      </c>
      <c r="U235" s="57" t="n">
        <f aca="false">ROUND(J235*100/O235-100,0)</f>
        <v>-3</v>
      </c>
      <c r="V235" s="57" t="n">
        <f aca="false">ROUND(M235*100/O235-100,0)</f>
        <v>5</v>
      </c>
    </row>
    <row r="236" s="43" customFormat="true" ht="73.5" hidden="false" customHeight="true" outlineLevel="0" collapsed="false">
      <c r="A236" s="45" t="n">
        <v>225</v>
      </c>
      <c r="B236" s="46" t="s">
        <v>332</v>
      </c>
      <c r="C236" s="47" t="s">
        <v>25</v>
      </c>
      <c r="D236" s="48" t="s">
        <v>333</v>
      </c>
      <c r="E236" s="50" t="n">
        <v>178.37</v>
      </c>
      <c r="F236" s="47" t="s">
        <v>27</v>
      </c>
      <c r="G236" s="52" t="n">
        <f aca="false">210.11/1.2</f>
        <v>175.091666666667</v>
      </c>
      <c r="H236" s="53" t="n">
        <f aca="false">D236*G236</f>
        <v>8054.21666666667</v>
      </c>
      <c r="I236" s="53" t="s">
        <v>28</v>
      </c>
      <c r="J236" s="52" t="n">
        <v>186.22</v>
      </c>
      <c r="K236" s="53" t="n">
        <f aca="false">D236*J236</f>
        <v>8566.12</v>
      </c>
      <c r="L236" s="48" t="s">
        <v>29</v>
      </c>
      <c r="M236" s="52" t="n">
        <v>179.55</v>
      </c>
      <c r="N236" s="53" t="n">
        <f aca="false">D236*M236</f>
        <v>8259.3</v>
      </c>
      <c r="O236" s="54" t="n">
        <f aca="false">AVERAGE(G236,J236,M236)</f>
        <v>180.287222222222</v>
      </c>
      <c r="P236" s="55" t="n">
        <f aca="false">E236*100/O236-100</f>
        <v>-1.06342656933226</v>
      </c>
      <c r="Q236" s="54" t="n">
        <f aca="false">D236*E236</f>
        <v>8205.02</v>
      </c>
      <c r="R236" s="56"/>
      <c r="T236" s="57" t="n">
        <f aca="false">ROUND(G236*100/O236-100,0)</f>
        <v>-3</v>
      </c>
      <c r="U236" s="57" t="n">
        <f aca="false">ROUND(J236*100/O236-100,0)</f>
        <v>3</v>
      </c>
      <c r="V236" s="57" t="n">
        <f aca="false">ROUND(M236*100/O236-100,0)</f>
        <v>-0</v>
      </c>
    </row>
    <row r="237" s="43" customFormat="true" ht="73.5" hidden="false" customHeight="true" outlineLevel="0" collapsed="false">
      <c r="A237" s="45" t="n">
        <v>226</v>
      </c>
      <c r="B237" s="46" t="s">
        <v>334</v>
      </c>
      <c r="C237" s="47" t="s">
        <v>25</v>
      </c>
      <c r="D237" s="48" t="s">
        <v>335</v>
      </c>
      <c r="E237" s="50" t="n">
        <v>191.64</v>
      </c>
      <c r="F237" s="47" t="s">
        <v>27</v>
      </c>
      <c r="G237" s="52" t="n">
        <f aca="false">224.62/1.2</f>
        <v>187.183333333333</v>
      </c>
      <c r="H237" s="53" t="n">
        <f aca="false">D237*G237</f>
        <v>1123.1</v>
      </c>
      <c r="I237" s="53" t="s">
        <v>28</v>
      </c>
      <c r="J237" s="52" t="n">
        <v>196.75</v>
      </c>
      <c r="K237" s="53" t="n">
        <f aca="false">D237*J237</f>
        <v>1180.5</v>
      </c>
      <c r="L237" s="48" t="s">
        <v>29</v>
      </c>
      <c r="M237" s="52" t="n">
        <v>199.8</v>
      </c>
      <c r="N237" s="53" t="n">
        <f aca="false">D237*M237</f>
        <v>1198.8</v>
      </c>
      <c r="O237" s="54" t="n">
        <f aca="false">AVERAGE(G237,J237,M237)</f>
        <v>194.577777777778</v>
      </c>
      <c r="P237" s="55" t="n">
        <f aca="false">E237*100/O237-100</f>
        <v>-1.509821836455</v>
      </c>
      <c r="Q237" s="54" t="n">
        <f aca="false">D237*E237</f>
        <v>1149.84</v>
      </c>
      <c r="R237" s="56"/>
      <c r="T237" s="57" t="n">
        <f aca="false">ROUND(G237*100/O237-100,0)</f>
        <v>-4</v>
      </c>
      <c r="U237" s="57" t="n">
        <f aca="false">ROUND(J237*100/O237-100,0)</f>
        <v>1</v>
      </c>
      <c r="V237" s="57" t="n">
        <f aca="false">ROUND(M237*100/O237-100,0)</f>
        <v>3</v>
      </c>
    </row>
    <row r="238" s="43" customFormat="true" ht="73.5" hidden="false" customHeight="true" outlineLevel="0" collapsed="false">
      <c r="A238" s="45" t="n">
        <v>227</v>
      </c>
      <c r="B238" s="46" t="s">
        <v>336</v>
      </c>
      <c r="C238" s="47" t="s">
        <v>25</v>
      </c>
      <c r="D238" s="48" t="n">
        <v>6</v>
      </c>
      <c r="E238" s="50" t="n">
        <v>15489.62</v>
      </c>
      <c r="F238" s="47" t="s">
        <v>27</v>
      </c>
      <c r="G238" s="52" t="n">
        <f aca="false">18284.58/1.2</f>
        <v>15237.15</v>
      </c>
      <c r="H238" s="53" t="n">
        <f aca="false">D238*G238</f>
        <v>91422.9</v>
      </c>
      <c r="I238" s="53" t="s">
        <v>28</v>
      </c>
      <c r="J238" s="52" t="n">
        <v>15870.63</v>
      </c>
      <c r="K238" s="53" t="n">
        <f aca="false">D238*J238</f>
        <v>95223.78</v>
      </c>
      <c r="L238" s="48" t="s">
        <v>29</v>
      </c>
      <c r="M238" s="52" t="n">
        <v>16020.61</v>
      </c>
      <c r="N238" s="53" t="n">
        <f aca="false">D238*M238</f>
        <v>96123.66</v>
      </c>
      <c r="O238" s="54" t="n">
        <f aca="false">AVERAGE(G238,J238,M238)</f>
        <v>15709.4633333333</v>
      </c>
      <c r="P238" s="55" t="n">
        <f aca="false">E238*100/O238-100</f>
        <v>-1.39943248644819</v>
      </c>
      <c r="Q238" s="54" t="n">
        <f aca="false">D238*E238</f>
        <v>92937.72</v>
      </c>
      <c r="R238" s="56"/>
      <c r="T238" s="57" t="n">
        <f aca="false">ROUND(G238*100/O238-100,0)</f>
        <v>-3</v>
      </c>
      <c r="U238" s="57" t="n">
        <f aca="false">ROUND(J238*100/O238-100,0)</f>
        <v>1</v>
      </c>
      <c r="V238" s="57" t="n">
        <f aca="false">ROUND(M238*100/O238-100,0)</f>
        <v>2</v>
      </c>
    </row>
    <row r="239" s="43" customFormat="true" ht="73.5" hidden="false" customHeight="true" outlineLevel="0" collapsed="false">
      <c r="A239" s="45" t="n">
        <v>228</v>
      </c>
      <c r="B239" s="46" t="s">
        <v>337</v>
      </c>
      <c r="C239" s="47" t="s">
        <v>45</v>
      </c>
      <c r="D239" s="48" t="n">
        <v>40</v>
      </c>
      <c r="E239" s="50" t="n">
        <v>3124.7</v>
      </c>
      <c r="F239" s="47" t="s">
        <v>90</v>
      </c>
      <c r="G239" s="52" t="n">
        <v>3607.24</v>
      </c>
      <c r="H239" s="53" t="n">
        <f aca="false">D239*G239</f>
        <v>144289.6</v>
      </c>
      <c r="I239" s="47" t="s">
        <v>338</v>
      </c>
      <c r="J239" s="52" t="n">
        <v>2575.7</v>
      </c>
      <c r="K239" s="53" t="n">
        <f aca="false">D239*J239</f>
        <v>103028</v>
      </c>
      <c r="L239" s="47" t="s">
        <v>339</v>
      </c>
      <c r="M239" s="52" t="n">
        <v>3370</v>
      </c>
      <c r="N239" s="53" t="n">
        <f aca="false">D239*M239</f>
        <v>134800</v>
      </c>
      <c r="O239" s="54" t="n">
        <f aca="false">AVERAGE(G239,J239,M239)</f>
        <v>3184.31333333333</v>
      </c>
      <c r="P239" s="55" t="n">
        <f aca="false">E239*100/O239-100</f>
        <v>-1.87209382661253</v>
      </c>
      <c r="Q239" s="54" t="n">
        <f aca="false">D239*E239</f>
        <v>124988</v>
      </c>
      <c r="R239" s="56"/>
      <c r="T239" s="57" t="n">
        <f aca="false">ROUND(G239*100/O239-100,0)</f>
        <v>13</v>
      </c>
      <c r="U239" s="57" t="n">
        <f aca="false">ROUND(J239*100/O239-100,0)</f>
        <v>-19</v>
      </c>
      <c r="V239" s="57" t="n">
        <f aca="false">ROUND(M239*100/O239-100,0)</f>
        <v>6</v>
      </c>
    </row>
    <row r="240" s="43" customFormat="true" ht="73.5" hidden="false" customHeight="true" outlineLevel="0" collapsed="false">
      <c r="A240" s="45" t="n">
        <v>229</v>
      </c>
      <c r="B240" s="46" t="s">
        <v>340</v>
      </c>
      <c r="C240" s="47" t="s">
        <v>25</v>
      </c>
      <c r="D240" s="48" t="n">
        <v>10</v>
      </c>
      <c r="E240" s="50" t="n">
        <v>2334.68</v>
      </c>
      <c r="F240" s="47" t="s">
        <v>27</v>
      </c>
      <c r="G240" s="52" t="n">
        <f aca="false">2872.8/1.2</f>
        <v>2394</v>
      </c>
      <c r="H240" s="53" t="n">
        <f aca="false">D240*G240</f>
        <v>23940</v>
      </c>
      <c r="I240" s="53" t="s">
        <v>28</v>
      </c>
      <c r="J240" s="52" t="n">
        <v>2254.9</v>
      </c>
      <c r="K240" s="53" t="n">
        <f aca="false">D240*J240</f>
        <v>22549</v>
      </c>
      <c r="L240" s="48" t="s">
        <v>29</v>
      </c>
      <c r="M240" s="52" t="n">
        <v>2467.66</v>
      </c>
      <c r="N240" s="53" t="n">
        <f aca="false">D240*M240</f>
        <v>24676.6</v>
      </c>
      <c r="O240" s="54" t="n">
        <f aca="false">AVERAGE(G240,J240,M240)</f>
        <v>2372.18666666667</v>
      </c>
      <c r="P240" s="55" t="n">
        <f aca="false">E240*100/O240-100</f>
        <v>-1.58110098137304</v>
      </c>
      <c r="Q240" s="54" t="n">
        <f aca="false">D240*E240</f>
        <v>23346.8</v>
      </c>
      <c r="R240" s="56"/>
      <c r="T240" s="57" t="n">
        <f aca="false">ROUND(G240*100/O240-100,0)</f>
        <v>1</v>
      </c>
      <c r="U240" s="57" t="n">
        <f aca="false">ROUND(J240*100/O240-100,0)</f>
        <v>-5</v>
      </c>
      <c r="V240" s="57" t="n">
        <f aca="false">ROUND(M240*100/O240-100,0)</f>
        <v>4</v>
      </c>
    </row>
    <row r="241" s="43" customFormat="true" ht="73.5" hidden="false" customHeight="true" outlineLevel="0" collapsed="false">
      <c r="A241" s="45" t="n">
        <v>230</v>
      </c>
      <c r="B241" s="46" t="s">
        <v>341</v>
      </c>
      <c r="C241" s="47" t="s">
        <v>25</v>
      </c>
      <c r="D241" s="48" t="s">
        <v>342</v>
      </c>
      <c r="E241" s="50" t="n">
        <v>21782.44</v>
      </c>
      <c r="F241" s="47" t="s">
        <v>27</v>
      </c>
      <c r="G241" s="52" t="n">
        <f aca="false">25573/1.2</f>
        <v>21310.8333333333</v>
      </c>
      <c r="H241" s="53" t="n">
        <f aca="false">D241*G241</f>
        <v>1704866.66666667</v>
      </c>
      <c r="I241" s="53" t="s">
        <v>28</v>
      </c>
      <c r="J241" s="52" t="n">
        <v>21971.58</v>
      </c>
      <c r="K241" s="53" t="n">
        <f aca="false">D241*J241</f>
        <v>1757726.4</v>
      </c>
      <c r="L241" s="48" t="s">
        <v>29</v>
      </c>
      <c r="M241" s="52" t="n">
        <v>22150.4</v>
      </c>
      <c r="N241" s="53" t="n">
        <f aca="false">D241*M241</f>
        <v>1772032</v>
      </c>
      <c r="O241" s="54" t="n">
        <f aca="false">AVERAGE(G241,J241,M241)</f>
        <v>21810.9377777778</v>
      </c>
      <c r="P241" s="55" t="n">
        <f aca="false">E241*100/O241-100</f>
        <v>-0.130658195755416</v>
      </c>
      <c r="Q241" s="54" t="n">
        <f aca="false">D241*E241</f>
        <v>1742595.2</v>
      </c>
      <c r="R241" s="56"/>
      <c r="T241" s="57" t="n">
        <f aca="false">ROUND(G241*100/O241-100,0)</f>
        <v>-2</v>
      </c>
      <c r="U241" s="57" t="n">
        <f aca="false">ROUND(J241*100/O241-100,0)</f>
        <v>1</v>
      </c>
      <c r="V241" s="57" t="n">
        <f aca="false">ROUND(M241*100/O241-100,0)</f>
        <v>2</v>
      </c>
    </row>
    <row r="242" s="43" customFormat="true" ht="73.5" hidden="false" customHeight="true" outlineLevel="0" collapsed="false">
      <c r="A242" s="45" t="n">
        <v>231</v>
      </c>
      <c r="B242" s="46" t="s">
        <v>343</v>
      </c>
      <c r="C242" s="47" t="s">
        <v>25</v>
      </c>
      <c r="D242" s="48" t="n">
        <v>10</v>
      </c>
      <c r="E242" s="50" t="n">
        <v>1394.8</v>
      </c>
      <c r="F242" s="47" t="s">
        <v>27</v>
      </c>
      <c r="G242" s="52" t="n">
        <f aca="false">1586.38/1.2</f>
        <v>1321.98333333333</v>
      </c>
      <c r="H242" s="53" t="n">
        <f aca="false">D242*G242</f>
        <v>13219.8333333333</v>
      </c>
      <c r="I242" s="53" t="s">
        <v>28</v>
      </c>
      <c r="J242" s="52" t="n">
        <v>1501.2</v>
      </c>
      <c r="K242" s="53" t="n">
        <f aca="false">D242*J242</f>
        <v>15012</v>
      </c>
      <c r="L242" s="48" t="s">
        <v>29</v>
      </c>
      <c r="M242" s="52" t="n">
        <v>1452.7</v>
      </c>
      <c r="N242" s="53" t="n">
        <f aca="false">D242*M242</f>
        <v>14527</v>
      </c>
      <c r="O242" s="54" t="n">
        <f aca="false">AVERAGE(G242,J242,M242)</f>
        <v>1425.29444444444</v>
      </c>
      <c r="P242" s="55" t="n">
        <f aca="false">E242*100/O242-100</f>
        <v>-2.13951892981177</v>
      </c>
      <c r="Q242" s="54" t="n">
        <f aca="false">D242*E242</f>
        <v>13948</v>
      </c>
      <c r="R242" s="56"/>
      <c r="T242" s="57" t="n">
        <f aca="false">ROUND(G242*100/O242-100,0)</f>
        <v>-7</v>
      </c>
      <c r="U242" s="57" t="n">
        <f aca="false">ROUND(J242*100/O242-100,0)</f>
        <v>5</v>
      </c>
      <c r="V242" s="57" t="n">
        <f aca="false">ROUND(M242*100/O242-100,0)</f>
        <v>2</v>
      </c>
    </row>
    <row r="243" s="43" customFormat="true" ht="73.5" hidden="false" customHeight="true" outlineLevel="0" collapsed="false">
      <c r="A243" s="45" t="n">
        <v>232</v>
      </c>
      <c r="B243" s="46" t="s">
        <v>344</v>
      </c>
      <c r="C243" s="47" t="s">
        <v>25</v>
      </c>
      <c r="D243" s="48" t="n">
        <v>2</v>
      </c>
      <c r="E243" s="50" t="n">
        <v>10840.24</v>
      </c>
      <c r="F243" s="47" t="s">
        <v>27</v>
      </c>
      <c r="G243" s="52" t="n">
        <f aca="false">12749.04/1.2</f>
        <v>10624.2</v>
      </c>
      <c r="H243" s="53" t="n">
        <f aca="false">D243*G243</f>
        <v>21248.4</v>
      </c>
      <c r="I243" s="53" t="s">
        <v>28</v>
      </c>
      <c r="J243" s="52" t="n">
        <v>11205.5</v>
      </c>
      <c r="K243" s="53" t="n">
        <f aca="false">D243*J243</f>
        <v>22411</v>
      </c>
      <c r="L243" s="48" t="s">
        <v>29</v>
      </c>
      <c r="M243" s="52" t="n">
        <v>10800.9</v>
      </c>
      <c r="N243" s="53" t="n">
        <f aca="false">D243*M243</f>
        <v>21601.8</v>
      </c>
      <c r="O243" s="54" t="n">
        <f aca="false">AVERAGE(G243,J243,M243)</f>
        <v>10876.8666666667</v>
      </c>
      <c r="P243" s="55" t="n">
        <f aca="false">E243*100/O243-100</f>
        <v>-0.336739134432094</v>
      </c>
      <c r="Q243" s="54" t="n">
        <f aca="false">D243*E243</f>
        <v>21680.48</v>
      </c>
      <c r="R243" s="56"/>
      <c r="T243" s="57" t="n">
        <f aca="false">ROUND(G243*100/O243-100,0)</f>
        <v>-2</v>
      </c>
      <c r="U243" s="57" t="n">
        <f aca="false">ROUND(J243*100/O243-100,0)</f>
        <v>3</v>
      </c>
      <c r="V243" s="57" t="n">
        <f aca="false">ROUND(M243*100/O243-100,0)</f>
        <v>-1</v>
      </c>
    </row>
    <row r="244" s="43" customFormat="true" ht="73.5" hidden="false" customHeight="true" outlineLevel="0" collapsed="false">
      <c r="A244" s="45" t="n">
        <v>233</v>
      </c>
      <c r="B244" s="46" t="s">
        <v>345</v>
      </c>
      <c r="C244" s="47" t="s">
        <v>25</v>
      </c>
      <c r="D244" s="48" t="n">
        <v>3</v>
      </c>
      <c r="E244" s="50" t="n">
        <v>6897.64</v>
      </c>
      <c r="F244" s="47" t="s">
        <v>27</v>
      </c>
      <c r="G244" s="52" t="n">
        <f aca="false">8062.43/1.2</f>
        <v>6718.69166666667</v>
      </c>
      <c r="H244" s="53" t="n">
        <f aca="false">D244*G244</f>
        <v>20156.075</v>
      </c>
      <c r="I244" s="53" t="s">
        <v>28</v>
      </c>
      <c r="J244" s="52" t="n">
        <v>7211.8</v>
      </c>
      <c r="K244" s="53" t="n">
        <f aca="false">D244*J244</f>
        <v>21635.4</v>
      </c>
      <c r="L244" s="48" t="s">
        <v>29</v>
      </c>
      <c r="M244" s="52" t="n">
        <v>6897.87</v>
      </c>
      <c r="N244" s="53" t="n">
        <f aca="false">D244*M244</f>
        <v>20693.61</v>
      </c>
      <c r="O244" s="54" t="n">
        <f aca="false">AVERAGE(G244,J244,M244)</f>
        <v>6942.78722222222</v>
      </c>
      <c r="P244" s="55" t="n">
        <f aca="false">E244*100/O244-100</f>
        <v>-0.650275181669358</v>
      </c>
      <c r="Q244" s="54" t="n">
        <f aca="false">D244*E244</f>
        <v>20692.92</v>
      </c>
      <c r="R244" s="56"/>
      <c r="T244" s="57" t="n">
        <f aca="false">ROUND(G244*100/O244-100,0)</f>
        <v>-3</v>
      </c>
      <c r="U244" s="57" t="n">
        <f aca="false">ROUND(J244*100/O244-100,0)</f>
        <v>4</v>
      </c>
      <c r="V244" s="57" t="n">
        <f aca="false">ROUND(M244*100/O244-100,0)</f>
        <v>-1</v>
      </c>
    </row>
    <row r="245" s="43" customFormat="true" ht="73.5" hidden="false" customHeight="true" outlineLevel="0" collapsed="false">
      <c r="A245" s="45" t="n">
        <v>234</v>
      </c>
      <c r="B245" s="46" t="s">
        <v>346</v>
      </c>
      <c r="C245" s="47" t="s">
        <v>25</v>
      </c>
      <c r="D245" s="48" t="n">
        <v>20</v>
      </c>
      <c r="E245" s="50" t="n">
        <v>5997.3</v>
      </c>
      <c r="F245" s="47" t="s">
        <v>27</v>
      </c>
      <c r="G245" s="52" t="n">
        <f aca="false">6964.01/1.2</f>
        <v>5803.34166666667</v>
      </c>
      <c r="H245" s="53" t="n">
        <f aca="false">D245*G245</f>
        <v>116066.833333333</v>
      </c>
      <c r="I245" s="53" t="s">
        <v>28</v>
      </c>
      <c r="J245" s="52" t="n">
        <v>6025.6</v>
      </c>
      <c r="K245" s="53" t="n">
        <f aca="false">D245*J245</f>
        <v>120512</v>
      </c>
      <c r="L245" s="48" t="s">
        <v>29</v>
      </c>
      <c r="M245" s="52" t="n">
        <v>6300.1</v>
      </c>
      <c r="N245" s="53" t="n">
        <f aca="false">D245*M245</f>
        <v>126002</v>
      </c>
      <c r="O245" s="54" t="n">
        <f aca="false">AVERAGE(G245,J245,M245)</f>
        <v>6043.01388888889</v>
      </c>
      <c r="P245" s="55" t="n">
        <f aca="false">E245*100/O245-100</f>
        <v>-0.756474992932624</v>
      </c>
      <c r="Q245" s="54" t="n">
        <f aca="false">D245*E245</f>
        <v>119946</v>
      </c>
      <c r="R245" s="56"/>
      <c r="T245" s="57" t="n">
        <f aca="false">ROUND(G245*100/O245-100,0)</f>
        <v>-4</v>
      </c>
      <c r="U245" s="57" t="n">
        <f aca="false">ROUND(J245*100/O245-100,0)</f>
        <v>-0</v>
      </c>
      <c r="V245" s="57" t="n">
        <f aca="false">ROUND(M245*100/O245-100,0)</f>
        <v>4</v>
      </c>
    </row>
    <row r="246" s="43" customFormat="true" ht="73.5" hidden="false" customHeight="true" outlineLevel="0" collapsed="false">
      <c r="A246" s="45" t="n">
        <v>235</v>
      </c>
      <c r="B246" s="46" t="s">
        <v>347</v>
      </c>
      <c r="C246" s="47" t="s">
        <v>25</v>
      </c>
      <c r="D246" s="48" t="n">
        <v>2</v>
      </c>
      <c r="E246" s="50" t="n">
        <v>23347.6</v>
      </c>
      <c r="F246" s="47" t="s">
        <v>27</v>
      </c>
      <c r="G246" s="52" t="n">
        <f aca="false">27973.25/1.2</f>
        <v>23311.0416666667</v>
      </c>
      <c r="H246" s="53" t="n">
        <f aca="false">D246*G246</f>
        <v>46622.0833333333</v>
      </c>
      <c r="I246" s="53" t="s">
        <v>28</v>
      </c>
      <c r="J246" s="52" t="n">
        <v>24500.6</v>
      </c>
      <c r="K246" s="53" t="n">
        <f aca="false">D246*J246</f>
        <v>49001.2</v>
      </c>
      <c r="L246" s="48" t="s">
        <v>29</v>
      </c>
      <c r="M246" s="52" t="n">
        <v>22940.3</v>
      </c>
      <c r="N246" s="53" t="n">
        <f aca="false">D246*M246</f>
        <v>45880.6</v>
      </c>
      <c r="O246" s="54" t="n">
        <f aca="false">AVERAGE(G246,J246,M246)</f>
        <v>23583.9805555556</v>
      </c>
      <c r="P246" s="55" t="n">
        <f aca="false">E246*100/O246-100</f>
        <v>-1.00229286993654</v>
      </c>
      <c r="Q246" s="54" t="n">
        <f aca="false">D246*E246</f>
        <v>46695.2</v>
      </c>
      <c r="R246" s="56"/>
      <c r="T246" s="57" t="n">
        <f aca="false">ROUND(G246*100/O246-100,0)</f>
        <v>-1</v>
      </c>
      <c r="U246" s="57" t="n">
        <f aca="false">ROUND(J246*100/O246-100,0)</f>
        <v>4</v>
      </c>
      <c r="V246" s="57" t="n">
        <f aca="false">ROUND(M246*100/O246-100,0)</f>
        <v>-3</v>
      </c>
    </row>
    <row r="247" s="43" customFormat="true" ht="73.5" hidden="false" customHeight="true" outlineLevel="0" collapsed="false">
      <c r="A247" s="45" t="n">
        <v>236</v>
      </c>
      <c r="B247" s="46" t="s">
        <v>348</v>
      </c>
      <c r="C247" s="47" t="s">
        <v>25</v>
      </c>
      <c r="D247" s="48" t="n">
        <v>2</v>
      </c>
      <c r="E247" s="50" t="n">
        <v>6190.72</v>
      </c>
      <c r="F247" s="47" t="s">
        <v>27</v>
      </c>
      <c r="G247" s="52" t="n">
        <f aca="false">7415.29/1.2</f>
        <v>6179.40833333333</v>
      </c>
      <c r="H247" s="53" t="n">
        <f aca="false">D247*G247</f>
        <v>12358.8166666667</v>
      </c>
      <c r="I247" s="53" t="s">
        <v>28</v>
      </c>
      <c r="J247" s="52" t="n">
        <v>6487.33</v>
      </c>
      <c r="K247" s="53" t="n">
        <f aca="false">D247*J247</f>
        <v>12974.66</v>
      </c>
      <c r="L247" s="48" t="s">
        <v>29</v>
      </c>
      <c r="M247" s="52" t="n">
        <v>6150.7</v>
      </c>
      <c r="N247" s="53" t="n">
        <f aca="false">D247*M247</f>
        <v>12301.4</v>
      </c>
      <c r="O247" s="54" t="n">
        <f aca="false">AVERAGE(G247,J247,M247)</f>
        <v>6272.47944444444</v>
      </c>
      <c r="P247" s="55" t="n">
        <f aca="false">E247*100/O247-100</f>
        <v>-1.30346293150245</v>
      </c>
      <c r="Q247" s="54" t="n">
        <f aca="false">D247*E247</f>
        <v>12381.44</v>
      </c>
      <c r="R247" s="56"/>
      <c r="T247" s="57" t="n">
        <f aca="false">ROUND(G247*100/O247-100,0)</f>
        <v>-1</v>
      </c>
      <c r="U247" s="57" t="n">
        <f aca="false">ROUND(J247*100/O247-100,0)</f>
        <v>3</v>
      </c>
      <c r="V247" s="57" t="n">
        <f aca="false">ROUND(M247*100/O247-100,0)</f>
        <v>-2</v>
      </c>
    </row>
    <row r="248" s="43" customFormat="true" ht="73.5" hidden="false" customHeight="true" outlineLevel="0" collapsed="false">
      <c r="A248" s="45" t="n">
        <v>237</v>
      </c>
      <c r="B248" s="46" t="s">
        <v>349</v>
      </c>
      <c r="C248" s="47" t="s">
        <v>25</v>
      </c>
      <c r="D248" s="48" t="n">
        <v>4</v>
      </c>
      <c r="E248" s="50" t="n">
        <v>17148.68</v>
      </c>
      <c r="F248" s="47" t="s">
        <v>27</v>
      </c>
      <c r="G248" s="52" t="n">
        <f aca="false">20589.76/1.2</f>
        <v>17158.1333333333</v>
      </c>
      <c r="H248" s="53" t="n">
        <f aca="false">D248*G248</f>
        <v>68632.5333333333</v>
      </c>
      <c r="I248" s="53" t="s">
        <v>28</v>
      </c>
      <c r="J248" s="52" t="n">
        <v>17011.2</v>
      </c>
      <c r="K248" s="53" t="n">
        <f aca="false">D248*J248</f>
        <v>68044.8</v>
      </c>
      <c r="L248" s="48" t="s">
        <v>29</v>
      </c>
      <c r="M248" s="52" t="n">
        <v>17540.9</v>
      </c>
      <c r="N248" s="53" t="n">
        <f aca="false">D248*M248</f>
        <v>70163.6</v>
      </c>
      <c r="O248" s="54" t="n">
        <f aca="false">AVERAGE(G248,J248,M248)</f>
        <v>17236.7444444444</v>
      </c>
      <c r="P248" s="55" t="n">
        <f aca="false">E248*100/O248-100</f>
        <v>-0.510911122040966</v>
      </c>
      <c r="Q248" s="54" t="n">
        <f aca="false">D248*E248</f>
        <v>68594.72</v>
      </c>
      <c r="R248" s="56"/>
      <c r="T248" s="57" t="n">
        <f aca="false">ROUND(G248*100/O248-100,0)</f>
        <v>-0</v>
      </c>
      <c r="U248" s="57" t="n">
        <f aca="false">ROUND(J248*100/O248-100,0)</f>
        <v>-1</v>
      </c>
      <c r="V248" s="57" t="n">
        <f aca="false">ROUND(M248*100/O248-100,0)</f>
        <v>2</v>
      </c>
    </row>
    <row r="249" s="43" customFormat="true" ht="73.5" hidden="false" customHeight="true" outlineLevel="0" collapsed="false">
      <c r="A249" s="45" t="n">
        <v>238</v>
      </c>
      <c r="B249" s="46" t="s">
        <v>350</v>
      </c>
      <c r="C249" s="47" t="s">
        <v>25</v>
      </c>
      <c r="D249" s="48" t="n">
        <v>30</v>
      </c>
      <c r="E249" s="50" t="n">
        <v>1243.98</v>
      </c>
      <c r="F249" s="47" t="s">
        <v>27</v>
      </c>
      <c r="G249" s="52" t="n">
        <f aca="false">1554.7/1.2</f>
        <v>1295.58333333333</v>
      </c>
      <c r="H249" s="53" t="n">
        <f aca="false">D249*G249</f>
        <v>38867.5</v>
      </c>
      <c r="I249" s="53" t="s">
        <v>28</v>
      </c>
      <c r="J249" s="52" t="n">
        <v>1315.14</v>
      </c>
      <c r="K249" s="53" t="n">
        <f aca="false">D249*J249</f>
        <v>39454.2</v>
      </c>
      <c r="L249" s="48" t="s">
        <v>29</v>
      </c>
      <c r="M249" s="52" t="n">
        <v>1205.4</v>
      </c>
      <c r="N249" s="53" t="n">
        <f aca="false">D249*M249</f>
        <v>36162</v>
      </c>
      <c r="O249" s="54" t="n">
        <f aca="false">AVERAGE(G249,J249,M249)</f>
        <v>1272.04111111111</v>
      </c>
      <c r="P249" s="55" t="n">
        <f aca="false">E249*100/O249-100</f>
        <v>-2.20599089652066</v>
      </c>
      <c r="Q249" s="54" t="n">
        <f aca="false">D249*E249</f>
        <v>37319.4</v>
      </c>
      <c r="R249" s="56"/>
      <c r="T249" s="57" t="n">
        <f aca="false">ROUND(G249*100/O249-100,0)</f>
        <v>2</v>
      </c>
      <c r="U249" s="57" t="n">
        <f aca="false">ROUND(J249*100/O249-100,0)</f>
        <v>3</v>
      </c>
      <c r="V249" s="57" t="n">
        <f aca="false">ROUND(M249*100/O249-100,0)</f>
        <v>-5</v>
      </c>
    </row>
    <row r="250" s="43" customFormat="true" ht="73.5" hidden="false" customHeight="true" outlineLevel="0" collapsed="false">
      <c r="A250" s="45" t="n">
        <v>239</v>
      </c>
      <c r="B250" s="46" t="s">
        <v>351</v>
      </c>
      <c r="C250" s="47" t="s">
        <v>25</v>
      </c>
      <c r="D250" s="48" t="n">
        <v>28</v>
      </c>
      <c r="E250" s="50" t="n">
        <v>582.31</v>
      </c>
      <c r="F250" s="47" t="s">
        <v>27</v>
      </c>
      <c r="G250" s="52" t="n">
        <f aca="false">665.84/1.2</f>
        <v>554.866666666667</v>
      </c>
      <c r="H250" s="53" t="n">
        <f aca="false">D250*G250</f>
        <v>15536.2666666667</v>
      </c>
      <c r="I250" s="53" t="s">
        <v>28</v>
      </c>
      <c r="J250" s="52" t="n">
        <v>597.45</v>
      </c>
      <c r="K250" s="53" t="n">
        <f aca="false">D250*J250</f>
        <v>16728.6</v>
      </c>
      <c r="L250" s="48" t="s">
        <v>29</v>
      </c>
      <c r="M250" s="52" t="n">
        <v>611.65</v>
      </c>
      <c r="N250" s="53" t="n">
        <f aca="false">D250*M250</f>
        <v>17126.2</v>
      </c>
      <c r="O250" s="54" t="n">
        <f aca="false">AVERAGE(G250,J250,M250)</f>
        <v>587.988888888889</v>
      </c>
      <c r="P250" s="55" t="n">
        <f aca="false">E250*100/O250-100</f>
        <v>-0.96581568056844</v>
      </c>
      <c r="Q250" s="54" t="n">
        <f aca="false">D250*E250</f>
        <v>16304.68</v>
      </c>
      <c r="R250" s="56"/>
      <c r="T250" s="57" t="n">
        <f aca="false">ROUND(G250*100/O250-100,0)</f>
        <v>-6</v>
      </c>
      <c r="U250" s="57" t="n">
        <f aca="false">ROUND(J250*100/O250-100,0)</f>
        <v>2</v>
      </c>
      <c r="V250" s="57" t="n">
        <f aca="false">ROUND(M250*100/O250-100,0)</f>
        <v>4</v>
      </c>
    </row>
    <row r="251" s="43" customFormat="true" ht="73.5" hidden="false" customHeight="true" outlineLevel="0" collapsed="false">
      <c r="A251" s="45" t="n">
        <v>240</v>
      </c>
      <c r="B251" s="46" t="s">
        <v>352</v>
      </c>
      <c r="C251" s="47" t="s">
        <v>25</v>
      </c>
      <c r="D251" s="48" t="s">
        <v>353</v>
      </c>
      <c r="E251" s="50" t="n">
        <v>6401.45</v>
      </c>
      <c r="F251" s="47" t="s">
        <v>27</v>
      </c>
      <c r="G251" s="52" t="n">
        <f aca="false">7634.96/1.2</f>
        <v>6362.46666666667</v>
      </c>
      <c r="H251" s="53" t="n">
        <f aca="false">D251*G251</f>
        <v>101799.466666667</v>
      </c>
      <c r="I251" s="53" t="s">
        <v>28</v>
      </c>
      <c r="J251" s="52" t="n">
        <v>6500.77</v>
      </c>
      <c r="K251" s="53" t="n">
        <f aca="false">D251*J251</f>
        <v>104012.32</v>
      </c>
      <c r="L251" s="48" t="s">
        <v>29</v>
      </c>
      <c r="M251" s="52" t="n">
        <v>6412.9</v>
      </c>
      <c r="N251" s="53" t="n">
        <f aca="false">D251*M251</f>
        <v>102606.4</v>
      </c>
      <c r="O251" s="54" t="n">
        <f aca="false">AVERAGE(G251,J251,M251)</f>
        <v>6425.37888888889</v>
      </c>
      <c r="P251" s="55" t="n">
        <f aca="false">E251*100/O251-100</f>
        <v>-0.372412106782804</v>
      </c>
      <c r="Q251" s="54" t="n">
        <f aca="false">D251*E251</f>
        <v>102423.2</v>
      </c>
      <c r="R251" s="56"/>
      <c r="T251" s="57" t="n">
        <f aca="false">ROUND(G251*100/O251-100,0)</f>
        <v>-1</v>
      </c>
      <c r="U251" s="57" t="n">
        <f aca="false">ROUND(J251*100/O251-100,0)</f>
        <v>1</v>
      </c>
      <c r="V251" s="57" t="n">
        <f aca="false">ROUND(M251*100/O251-100,0)</f>
        <v>-0</v>
      </c>
    </row>
    <row r="252" s="43" customFormat="true" ht="73.5" hidden="false" customHeight="true" outlineLevel="0" collapsed="false">
      <c r="A252" s="45" t="n">
        <v>241</v>
      </c>
      <c r="B252" s="46" t="s">
        <v>354</v>
      </c>
      <c r="C252" s="47" t="s">
        <v>25</v>
      </c>
      <c r="D252" s="48" t="n">
        <v>9</v>
      </c>
      <c r="E252" s="50" t="n">
        <v>6620.5</v>
      </c>
      <c r="F252" s="47" t="s">
        <v>27</v>
      </c>
      <c r="G252" s="52" t="n">
        <f aca="false">7723.18/1.2</f>
        <v>6435.98333333333</v>
      </c>
      <c r="H252" s="53" t="n">
        <f aca="false">D252*G252</f>
        <v>57923.85</v>
      </c>
      <c r="I252" s="53" t="s">
        <v>28</v>
      </c>
      <c r="J252" s="52" t="n">
        <v>6705.7</v>
      </c>
      <c r="K252" s="53" t="n">
        <f aca="false">D252*J252</f>
        <v>60351.3</v>
      </c>
      <c r="L252" s="48" t="s">
        <v>29</v>
      </c>
      <c r="M252" s="52" t="n">
        <v>6944.66</v>
      </c>
      <c r="N252" s="53" t="n">
        <f aca="false">D252*M252</f>
        <v>62501.94</v>
      </c>
      <c r="O252" s="54" t="n">
        <f aca="false">AVERAGE(G252,J252,M252)</f>
        <v>6695.44777777778</v>
      </c>
      <c r="P252" s="55" t="n">
        <f aca="false">E252*100/O252-100</f>
        <v>-1.11938409894751</v>
      </c>
      <c r="Q252" s="54" t="n">
        <f aca="false">D252*E252</f>
        <v>59584.5</v>
      </c>
      <c r="R252" s="56"/>
      <c r="T252" s="57" t="n">
        <f aca="false">ROUND(G252*100/O252-100,0)</f>
        <v>-4</v>
      </c>
      <c r="U252" s="57" t="n">
        <f aca="false">ROUND(J252*100/O252-100,0)</f>
        <v>0</v>
      </c>
      <c r="V252" s="57" t="n">
        <f aca="false">ROUND(M252*100/O252-100,0)</f>
        <v>4</v>
      </c>
    </row>
    <row r="253" s="43" customFormat="true" ht="96.75" hidden="false" customHeight="true" outlineLevel="0" collapsed="false">
      <c r="A253" s="45" t="n">
        <v>242</v>
      </c>
      <c r="B253" s="46" t="s">
        <v>355</v>
      </c>
      <c r="C253" s="47" t="s">
        <v>25</v>
      </c>
      <c r="D253" s="48" t="s">
        <v>356</v>
      </c>
      <c r="E253" s="50" t="n">
        <v>17795.68</v>
      </c>
      <c r="F253" s="47" t="s">
        <v>27</v>
      </c>
      <c r="G253" s="52" t="n">
        <v>17031.56</v>
      </c>
      <c r="H253" s="53" t="n">
        <f aca="false">D253*G253</f>
        <v>323599.64</v>
      </c>
      <c r="I253" s="53" t="s">
        <v>28</v>
      </c>
      <c r="J253" s="52" t="n">
        <v>17950.8</v>
      </c>
      <c r="K253" s="53" t="n">
        <f aca="false">D253*J253</f>
        <v>341065.2</v>
      </c>
      <c r="L253" s="48" t="s">
        <v>29</v>
      </c>
      <c r="M253" s="52" t="n">
        <v>18500.4</v>
      </c>
      <c r="N253" s="53" t="n">
        <f aca="false">D253*M253</f>
        <v>351507.6</v>
      </c>
      <c r="O253" s="54" t="n">
        <f aca="false">AVERAGE(G253,J253,M253)</f>
        <v>17827.5866666667</v>
      </c>
      <c r="P253" s="55" t="n">
        <f aca="false">E253*100/O253-100</f>
        <v>-0.178973560825952</v>
      </c>
      <c r="Q253" s="54" t="n">
        <f aca="false">D253*E253</f>
        <v>338117.92</v>
      </c>
      <c r="R253" s="56"/>
      <c r="T253" s="57" t="n">
        <f aca="false">ROUND(G253*100/O253-100,0)</f>
        <v>-4</v>
      </c>
      <c r="U253" s="57" t="n">
        <f aca="false">ROUND(J253*100/O253-100,0)</f>
        <v>1</v>
      </c>
      <c r="V253" s="57" t="n">
        <f aca="false">ROUND(M253*100/O253-100,0)</f>
        <v>4</v>
      </c>
    </row>
    <row r="254" s="43" customFormat="true" ht="73.5" hidden="false" customHeight="true" outlineLevel="0" collapsed="false">
      <c r="A254" s="45" t="n">
        <v>243</v>
      </c>
      <c r="B254" s="46" t="s">
        <v>357</v>
      </c>
      <c r="C254" s="47" t="s">
        <v>25</v>
      </c>
      <c r="D254" s="48" t="n">
        <v>186</v>
      </c>
      <c r="E254" s="50" t="n">
        <v>6160.34</v>
      </c>
      <c r="F254" s="47" t="s">
        <v>27</v>
      </c>
      <c r="G254" s="52" t="n">
        <f aca="false">7116.72/1.2</f>
        <v>5930.6</v>
      </c>
      <c r="H254" s="53" t="n">
        <f aca="false">D254*G254</f>
        <v>1103091.6</v>
      </c>
      <c r="I254" s="53" t="s">
        <v>28</v>
      </c>
      <c r="J254" s="52" t="n">
        <v>6254.69</v>
      </c>
      <c r="K254" s="53" t="n">
        <f aca="false">D254*J254</f>
        <v>1163372.34</v>
      </c>
      <c r="L254" s="48" t="s">
        <v>29</v>
      </c>
      <c r="M254" s="52" t="n">
        <v>6411.33</v>
      </c>
      <c r="N254" s="53" t="n">
        <f aca="false">D254*M254</f>
        <v>1192507.38</v>
      </c>
      <c r="O254" s="54" t="n">
        <f aca="false">AVERAGE(G254,J254,M254)</f>
        <v>6198.87333333333</v>
      </c>
      <c r="P254" s="55" t="n">
        <f aca="false">E254*100/O254-100</f>
        <v>-0.621618337095654</v>
      </c>
      <c r="Q254" s="54" t="n">
        <f aca="false">D254*E254</f>
        <v>1145823.24</v>
      </c>
      <c r="R254" s="83"/>
      <c r="T254" s="57" t="n">
        <f aca="false">ROUND(G254*100/O254-100,0)</f>
        <v>-4</v>
      </c>
      <c r="U254" s="57" t="n">
        <f aca="false">ROUND(J254*100/O254-100,0)</f>
        <v>1</v>
      </c>
      <c r="V254" s="57" t="n">
        <f aca="false">ROUND(M254*100/O254-100,0)</f>
        <v>3</v>
      </c>
    </row>
    <row r="255" s="43" customFormat="true" ht="73.5" hidden="false" customHeight="true" outlineLevel="0" collapsed="false">
      <c r="A255" s="45" t="n">
        <v>244</v>
      </c>
      <c r="B255" s="46" t="s">
        <v>358</v>
      </c>
      <c r="C255" s="47" t="s">
        <v>25</v>
      </c>
      <c r="D255" s="48" t="n">
        <v>3</v>
      </c>
      <c r="E255" s="50" t="n">
        <v>803.64</v>
      </c>
      <c r="F255" s="47" t="s">
        <v>27</v>
      </c>
      <c r="G255" s="52" t="n">
        <f aca="false">977.24/1.2</f>
        <v>814.366666666667</v>
      </c>
      <c r="H255" s="53" t="n">
        <f aca="false">D255*G255</f>
        <v>2443.1</v>
      </c>
      <c r="I255" s="53" t="s">
        <v>28</v>
      </c>
      <c r="J255" s="52" t="n">
        <v>847.5</v>
      </c>
      <c r="K255" s="53" t="n">
        <f aca="false">D255*J255</f>
        <v>2542.5</v>
      </c>
      <c r="L255" s="48" t="s">
        <v>29</v>
      </c>
      <c r="M255" s="52" t="n">
        <v>802.4</v>
      </c>
      <c r="N255" s="53" t="n">
        <f aca="false">D255*M255</f>
        <v>2407.2</v>
      </c>
      <c r="O255" s="54" t="n">
        <f aca="false">AVERAGE(G255,J255,M255)</f>
        <v>821.422222222222</v>
      </c>
      <c r="P255" s="55" t="n">
        <f aca="false">E255*100/O255-100</f>
        <v>-2.16480900335461</v>
      </c>
      <c r="Q255" s="54" t="n">
        <f aca="false">D255*E255</f>
        <v>2410.92</v>
      </c>
      <c r="R255" s="56"/>
      <c r="T255" s="57" t="n">
        <f aca="false">ROUND(G255*100/O255-100,0)</f>
        <v>-1</v>
      </c>
      <c r="U255" s="57" t="n">
        <f aca="false">ROUND(J255*100/O255-100,0)</f>
        <v>3</v>
      </c>
      <c r="V255" s="57" t="n">
        <f aca="false">ROUND(M255*100/O255-100,0)</f>
        <v>-2</v>
      </c>
    </row>
    <row r="256" s="43" customFormat="true" ht="73.5" hidden="false" customHeight="true" outlineLevel="0" collapsed="false">
      <c r="A256" s="45" t="n">
        <v>245</v>
      </c>
      <c r="B256" s="46" t="s">
        <v>359</v>
      </c>
      <c r="C256" s="47" t="s">
        <v>25</v>
      </c>
      <c r="D256" s="48" t="n">
        <v>5</v>
      </c>
      <c r="E256" s="50" t="n">
        <v>6504.74</v>
      </c>
      <c r="F256" s="47" t="s">
        <v>27</v>
      </c>
      <c r="G256" s="52" t="n">
        <f aca="false">7779.68/1.2</f>
        <v>6483.06666666667</v>
      </c>
      <c r="H256" s="53" t="n">
        <f aca="false">D256*G256</f>
        <v>32415.3333333333</v>
      </c>
      <c r="I256" s="53" t="s">
        <v>28</v>
      </c>
      <c r="J256" s="52" t="n">
        <v>6402.14</v>
      </c>
      <c r="K256" s="53" t="n">
        <f aca="false">D256*J256</f>
        <v>32010.7</v>
      </c>
      <c r="L256" s="48" t="s">
        <v>29</v>
      </c>
      <c r="M256" s="52" t="n">
        <v>6755.82</v>
      </c>
      <c r="N256" s="53" t="n">
        <f aca="false">D256*M256</f>
        <v>33779.1</v>
      </c>
      <c r="O256" s="54" t="n">
        <f aca="false">AVERAGE(G256,J256,M256)</f>
        <v>6547.00888888889</v>
      </c>
      <c r="P256" s="55" t="n">
        <f aca="false">E256*100/O256-100</f>
        <v>-0.645621376207771</v>
      </c>
      <c r="Q256" s="54" t="n">
        <f aca="false">D256*E256</f>
        <v>32523.7</v>
      </c>
      <c r="R256" s="56"/>
      <c r="T256" s="57" t="n">
        <f aca="false">ROUND(G256*100/O256-100,0)</f>
        <v>-1</v>
      </c>
      <c r="U256" s="57" t="n">
        <f aca="false">ROUND(J256*100/O256-100,0)</f>
        <v>-2</v>
      </c>
      <c r="V256" s="57" t="n">
        <f aca="false">ROUND(M256*100/O256-100,0)</f>
        <v>3</v>
      </c>
    </row>
    <row r="257" s="43" customFormat="true" ht="73.5" hidden="false" customHeight="true" outlineLevel="0" collapsed="false">
      <c r="A257" s="45" t="n">
        <v>246</v>
      </c>
      <c r="B257" s="46" t="s">
        <v>360</v>
      </c>
      <c r="C257" s="47" t="s">
        <v>25</v>
      </c>
      <c r="D257" s="48" t="n">
        <v>26</v>
      </c>
      <c r="E257" s="50" t="n">
        <v>11227.31</v>
      </c>
      <c r="F257" s="47" t="s">
        <v>27</v>
      </c>
      <c r="G257" s="52" t="n">
        <f aca="false">13531.04/1.2</f>
        <v>11275.8666666667</v>
      </c>
      <c r="H257" s="53" t="n">
        <f aca="false">D257*G257</f>
        <v>293172.533333333</v>
      </c>
      <c r="I257" s="53" t="s">
        <v>28</v>
      </c>
      <c r="J257" s="52" t="n">
        <v>11489.66</v>
      </c>
      <c r="K257" s="53" t="n">
        <f aca="false">D257*J257</f>
        <v>298731.16</v>
      </c>
      <c r="L257" s="48" t="s">
        <v>29</v>
      </c>
      <c r="M257" s="52" t="n">
        <v>11020.45</v>
      </c>
      <c r="N257" s="53" t="n">
        <f aca="false">D257*M257</f>
        <v>286531.7</v>
      </c>
      <c r="O257" s="54" t="n">
        <f aca="false">AVERAGE(G257,J257,M257)</f>
        <v>11261.9922222222</v>
      </c>
      <c r="P257" s="55" t="n">
        <f aca="false">E257*100/O257-100</f>
        <v>-0.307958143975526</v>
      </c>
      <c r="Q257" s="54" t="n">
        <f aca="false">D257*E257</f>
        <v>291910.06</v>
      </c>
      <c r="R257" s="56"/>
      <c r="T257" s="57" t="n">
        <f aca="false">ROUND(G257*100/O257-100,0)</f>
        <v>0</v>
      </c>
      <c r="U257" s="57" t="n">
        <f aca="false">ROUND(J257*100/O257-100,0)</f>
        <v>2</v>
      </c>
      <c r="V257" s="57" t="n">
        <f aca="false">ROUND(M257*100/O257-100,0)</f>
        <v>-2</v>
      </c>
    </row>
    <row r="258" s="43" customFormat="true" ht="73.5" hidden="false" customHeight="true" outlineLevel="0" collapsed="false">
      <c r="A258" s="45" t="n">
        <v>247</v>
      </c>
      <c r="B258" s="46" t="s">
        <v>361</v>
      </c>
      <c r="C258" s="47" t="s">
        <v>25</v>
      </c>
      <c r="D258" s="48" t="n">
        <v>20</v>
      </c>
      <c r="E258" s="50" t="n">
        <v>13102.47</v>
      </c>
      <c r="F258" s="47" t="s">
        <v>27</v>
      </c>
      <c r="G258" s="52" t="n">
        <f aca="false">15620.43/1.2</f>
        <v>13017.025</v>
      </c>
      <c r="H258" s="53" t="n">
        <f aca="false">D258*G258</f>
        <v>260340.5</v>
      </c>
      <c r="I258" s="53" t="s">
        <v>28</v>
      </c>
      <c r="J258" s="52" t="n">
        <v>12950.42</v>
      </c>
      <c r="K258" s="53" t="n">
        <f aca="false">D258*J258</f>
        <v>259008.4</v>
      </c>
      <c r="L258" s="48" t="s">
        <v>29</v>
      </c>
      <c r="M258" s="52" t="n">
        <v>13451.61</v>
      </c>
      <c r="N258" s="53" t="n">
        <f aca="false">D258*M258</f>
        <v>269032.2</v>
      </c>
      <c r="O258" s="54" t="n">
        <f aca="false">AVERAGE(G258,J258,M258)</f>
        <v>13139.685</v>
      </c>
      <c r="P258" s="55" t="n">
        <f aca="false">E258*100/O258-100</f>
        <v>-0.283225967745793</v>
      </c>
      <c r="Q258" s="54" t="n">
        <f aca="false">D258*E258</f>
        <v>262049.4</v>
      </c>
      <c r="R258" s="56"/>
      <c r="T258" s="57" t="n">
        <f aca="false">ROUND(G258*100/O258-100,0)</f>
        <v>-1</v>
      </c>
      <c r="U258" s="57" t="n">
        <f aca="false">ROUND(J258*100/O258-100,0)</f>
        <v>-1</v>
      </c>
      <c r="V258" s="57" t="n">
        <f aca="false">ROUND(M258*100/O258-100,0)</f>
        <v>2</v>
      </c>
    </row>
    <row r="259" s="43" customFormat="true" ht="73.5" hidden="false" customHeight="true" outlineLevel="0" collapsed="false">
      <c r="A259" s="45" t="n">
        <v>248</v>
      </c>
      <c r="B259" s="46" t="s">
        <v>362</v>
      </c>
      <c r="C259" s="47" t="s">
        <v>25</v>
      </c>
      <c r="D259" s="48" t="n">
        <v>6</v>
      </c>
      <c r="E259" s="50" t="n">
        <v>9723.4</v>
      </c>
      <c r="F259" s="47" t="s">
        <v>27</v>
      </c>
      <c r="G259" s="52" t="n">
        <f aca="false">11643.9/1.2</f>
        <v>9703.25</v>
      </c>
      <c r="H259" s="53" t="n">
        <f aca="false">D259*G259</f>
        <v>58219.5</v>
      </c>
      <c r="I259" s="53" t="s">
        <v>28</v>
      </c>
      <c r="J259" s="52" t="n">
        <v>9670.9</v>
      </c>
      <c r="K259" s="53" t="n">
        <f aca="false">D259*J259</f>
        <v>58025.4</v>
      </c>
      <c r="L259" s="48" t="s">
        <v>29</v>
      </c>
      <c r="M259" s="52" t="n">
        <v>9977.47</v>
      </c>
      <c r="N259" s="53" t="n">
        <f aca="false">D259*M259</f>
        <v>59864.82</v>
      </c>
      <c r="O259" s="54" t="n">
        <f aca="false">AVERAGE(G259,J259,M259)</f>
        <v>9783.87333333333</v>
      </c>
      <c r="P259" s="55" t="n">
        <f aca="false">E259*100/O259-100</f>
        <v>-0.618091948587505</v>
      </c>
      <c r="Q259" s="54" t="n">
        <f aca="false">D259*E259</f>
        <v>58340.4</v>
      </c>
      <c r="R259" s="56"/>
      <c r="T259" s="57" t="n">
        <f aca="false">ROUND(G259*100/O259-100,0)</f>
        <v>-1</v>
      </c>
      <c r="U259" s="57" t="n">
        <f aca="false">ROUND(J259*100/O259-100,0)</f>
        <v>-1</v>
      </c>
      <c r="V259" s="57" t="n">
        <f aca="false">ROUND(M259*100/O259-100,0)</f>
        <v>2</v>
      </c>
    </row>
    <row r="260" s="43" customFormat="true" ht="73.5" hidden="false" customHeight="true" outlineLevel="0" collapsed="false">
      <c r="A260" s="45" t="n">
        <v>249</v>
      </c>
      <c r="B260" s="46" t="s">
        <v>363</v>
      </c>
      <c r="C260" s="47" t="s">
        <v>25</v>
      </c>
      <c r="D260" s="48" t="n">
        <v>7</v>
      </c>
      <c r="E260" s="50" t="n">
        <v>37685.88</v>
      </c>
      <c r="F260" s="47" t="s">
        <v>27</v>
      </c>
      <c r="G260" s="52" t="n">
        <f aca="false">45140.87/1.2</f>
        <v>37617.3916666667</v>
      </c>
      <c r="H260" s="53" t="n">
        <f aca="false">D260*G260</f>
        <v>263321.741666667</v>
      </c>
      <c r="I260" s="53" t="s">
        <v>28</v>
      </c>
      <c r="J260" s="52" t="n">
        <v>36970.31</v>
      </c>
      <c r="K260" s="53" t="n">
        <f aca="false">D260*J260</f>
        <v>258792.17</v>
      </c>
      <c r="L260" s="48" t="s">
        <v>29</v>
      </c>
      <c r="M260" s="52" t="n">
        <v>38780.3</v>
      </c>
      <c r="N260" s="53" t="n">
        <f aca="false">D260*M260</f>
        <v>271462.1</v>
      </c>
      <c r="O260" s="54" t="n">
        <f aca="false">AVERAGE(G260,J260,M260)</f>
        <v>37789.3338888889</v>
      </c>
      <c r="P260" s="55" t="n">
        <f aca="false">E260*100/O260-100</f>
        <v>-0.273764785569071</v>
      </c>
      <c r="Q260" s="54" t="n">
        <f aca="false">D260*E260</f>
        <v>263801.16</v>
      </c>
      <c r="R260" s="56"/>
      <c r="T260" s="57" t="n">
        <f aca="false">ROUND(G260*100/O260-100,0)</f>
        <v>-0</v>
      </c>
      <c r="U260" s="57" t="n">
        <f aca="false">ROUND(J260*100/O260-100,0)</f>
        <v>-2</v>
      </c>
      <c r="V260" s="57" t="n">
        <f aca="false">ROUND(M260*100/O260-100,0)</f>
        <v>3</v>
      </c>
    </row>
    <row r="261" s="43" customFormat="true" ht="73.5" hidden="false" customHeight="true" outlineLevel="0" collapsed="false">
      <c r="A261" s="45" t="n">
        <v>250</v>
      </c>
      <c r="B261" s="46" t="s">
        <v>364</v>
      </c>
      <c r="C261" s="47" t="s">
        <v>25</v>
      </c>
      <c r="D261" s="48" t="n">
        <v>96</v>
      </c>
      <c r="E261" s="50" t="n">
        <v>14297.31</v>
      </c>
      <c r="F261" s="47" t="s">
        <v>27</v>
      </c>
      <c r="G261" s="52" t="n">
        <f aca="false">16365.36/1.2</f>
        <v>13637.8</v>
      </c>
      <c r="H261" s="53" t="n">
        <f aca="false">D261*G261</f>
        <v>1309228.8</v>
      </c>
      <c r="I261" s="53" t="s">
        <v>28</v>
      </c>
      <c r="J261" s="52" t="n">
        <v>14945.88</v>
      </c>
      <c r="K261" s="53" t="n">
        <f aca="false">D261*J261</f>
        <v>1434804.48</v>
      </c>
      <c r="L261" s="48" t="s">
        <v>29</v>
      </c>
      <c r="M261" s="52" t="n">
        <v>14511.7</v>
      </c>
      <c r="N261" s="53" t="n">
        <f aca="false">D261*M261</f>
        <v>1393123.2</v>
      </c>
      <c r="O261" s="54" t="n">
        <f aca="false">AVERAGE(G261,J261,M261)</f>
        <v>14365.1266666667</v>
      </c>
      <c r="P261" s="55" t="n">
        <f aca="false">E261*100/O261-100</f>
        <v>-0.472092368137851</v>
      </c>
      <c r="Q261" s="54" t="n">
        <f aca="false">D261*E261</f>
        <v>1372541.76</v>
      </c>
      <c r="R261" s="56"/>
      <c r="T261" s="57" t="n">
        <f aca="false">ROUND(G261*100/O261-100,0)</f>
        <v>-5</v>
      </c>
      <c r="U261" s="57" t="n">
        <f aca="false">ROUND(J261*100/O261-100,0)</f>
        <v>4</v>
      </c>
      <c r="V261" s="57" t="n">
        <f aca="false">ROUND(M261*100/O261-100,0)</f>
        <v>1</v>
      </c>
    </row>
    <row r="262" s="43" customFormat="true" ht="73.5" hidden="false" customHeight="true" outlineLevel="0" collapsed="false">
      <c r="A262" s="45" t="n">
        <v>251</v>
      </c>
      <c r="B262" s="46" t="s">
        <v>365</v>
      </c>
      <c r="C262" s="47" t="s">
        <v>25</v>
      </c>
      <c r="D262" s="48" t="n">
        <v>20</v>
      </c>
      <c r="E262" s="50" t="n">
        <v>10989.9</v>
      </c>
      <c r="F262" s="47" t="s">
        <v>27</v>
      </c>
      <c r="G262" s="52" t="n">
        <f aca="false">12703.22/1.2</f>
        <v>10586.0166666667</v>
      </c>
      <c r="H262" s="53" t="n">
        <f aca="false">D262*G262</f>
        <v>211720.333333333</v>
      </c>
      <c r="I262" s="53" t="s">
        <v>28</v>
      </c>
      <c r="J262" s="52" t="n">
        <v>11600.4</v>
      </c>
      <c r="K262" s="53" t="n">
        <f aca="false">D262*J262</f>
        <v>232008</v>
      </c>
      <c r="L262" s="48" t="s">
        <v>29</v>
      </c>
      <c r="M262" s="52" t="n">
        <v>10945.3</v>
      </c>
      <c r="N262" s="53" t="n">
        <f aca="false">D262*M262</f>
        <v>218906</v>
      </c>
      <c r="O262" s="54" t="n">
        <f aca="false">AVERAGE(G262,J262,M262)</f>
        <v>11043.9055555556</v>
      </c>
      <c r="P262" s="55" t="n">
        <f aca="false">E262*100/O262-100</f>
        <v>-0.489007763457266</v>
      </c>
      <c r="Q262" s="54" t="n">
        <f aca="false">D262*E262</f>
        <v>219798</v>
      </c>
      <c r="R262" s="56"/>
      <c r="T262" s="57" t="n">
        <f aca="false">ROUND(G262*100/O262-100,0)</f>
        <v>-4</v>
      </c>
      <c r="U262" s="57" t="n">
        <f aca="false">ROUND(J262*100/O262-100,0)</f>
        <v>5</v>
      </c>
      <c r="V262" s="57" t="n">
        <f aca="false">ROUND(M262*100/O262-100,0)</f>
        <v>-1</v>
      </c>
    </row>
    <row r="263" s="43" customFormat="true" ht="73.5" hidden="false" customHeight="true" outlineLevel="0" collapsed="false">
      <c r="A263" s="45" t="n">
        <v>252</v>
      </c>
      <c r="B263" s="46" t="s">
        <v>366</v>
      </c>
      <c r="C263" s="47" t="s">
        <v>25</v>
      </c>
      <c r="D263" s="48" t="n">
        <v>2</v>
      </c>
      <c r="E263" s="50" t="n">
        <v>18180.7</v>
      </c>
      <c r="F263" s="47" t="s">
        <v>27</v>
      </c>
      <c r="G263" s="52" t="n">
        <f aca="false">20730.05/1.2</f>
        <v>17275.0416666667</v>
      </c>
      <c r="H263" s="53" t="n">
        <f aca="false">D263*G263</f>
        <v>34550.0833333333</v>
      </c>
      <c r="I263" s="53" t="s">
        <v>28</v>
      </c>
      <c r="J263" s="52" t="n">
        <v>18056.72</v>
      </c>
      <c r="K263" s="53" t="n">
        <f aca="false">D263*J263</f>
        <v>36113.44</v>
      </c>
      <c r="L263" s="48" t="s">
        <v>29</v>
      </c>
      <c r="M263" s="52" t="n">
        <v>19401.5</v>
      </c>
      <c r="N263" s="53" t="n">
        <f aca="false">D263*M263</f>
        <v>38803</v>
      </c>
      <c r="O263" s="54" t="n">
        <f aca="false">AVERAGE(G263,J263,M263)</f>
        <v>18244.4205555556</v>
      </c>
      <c r="P263" s="55" t="n">
        <f aca="false">E263*100/O263-100</f>
        <v>-0.349260506035378</v>
      </c>
      <c r="Q263" s="54" t="n">
        <f aca="false">D263*E263</f>
        <v>36361.4</v>
      </c>
      <c r="R263" s="56"/>
      <c r="T263" s="57" t="n">
        <f aca="false">ROUND(G263*100/O263-100,0)</f>
        <v>-5</v>
      </c>
      <c r="U263" s="57" t="n">
        <f aca="false">ROUND(J263*100/O263-100,0)</f>
        <v>-1</v>
      </c>
      <c r="V263" s="57" t="n">
        <f aca="false">ROUND(M263*100/O263-100,0)</f>
        <v>6</v>
      </c>
    </row>
    <row r="264" s="43" customFormat="true" ht="73.5" hidden="false" customHeight="true" outlineLevel="0" collapsed="false">
      <c r="A264" s="45" t="n">
        <v>253</v>
      </c>
      <c r="B264" s="46" t="s">
        <v>367</v>
      </c>
      <c r="C264" s="47" t="s">
        <v>25</v>
      </c>
      <c r="D264" s="48" t="n">
        <v>2</v>
      </c>
      <c r="E264" s="50" t="n">
        <v>15497.6</v>
      </c>
      <c r="F264" s="47" t="s">
        <v>27</v>
      </c>
      <c r="G264" s="52" t="n">
        <f aca="false">19032.94/1.2</f>
        <v>15860.7833333333</v>
      </c>
      <c r="H264" s="53" t="n">
        <f aca="false">D264*G264</f>
        <v>31721.5666666667</v>
      </c>
      <c r="I264" s="53" t="s">
        <v>28</v>
      </c>
      <c r="J264" s="52" t="n">
        <v>15002.64</v>
      </c>
      <c r="K264" s="53" t="n">
        <f aca="false">D264*J264</f>
        <v>30005.28</v>
      </c>
      <c r="L264" s="48" t="s">
        <v>29</v>
      </c>
      <c r="M264" s="52" t="n">
        <v>16200.7</v>
      </c>
      <c r="N264" s="53" t="n">
        <f aca="false">D264*M264</f>
        <v>32401.4</v>
      </c>
      <c r="O264" s="54" t="n">
        <f aca="false">AVERAGE(G264,J264,M264)</f>
        <v>15688.0411111111</v>
      </c>
      <c r="P264" s="55" t="n">
        <f aca="false">E264*100/O264-100</f>
        <v>-1.21392537004655</v>
      </c>
      <c r="Q264" s="54" t="n">
        <f aca="false">D264*E264</f>
        <v>30995.2</v>
      </c>
      <c r="R264" s="56"/>
      <c r="T264" s="57" t="n">
        <f aca="false">ROUND(G264*100/O264-100,0)</f>
        <v>1</v>
      </c>
      <c r="U264" s="57" t="n">
        <f aca="false">ROUND(J264*100/O264-100,0)</f>
        <v>-4</v>
      </c>
      <c r="V264" s="57" t="n">
        <f aca="false">ROUND(M264*100/O264-100,0)</f>
        <v>3</v>
      </c>
    </row>
    <row r="265" s="43" customFormat="true" ht="73.5" hidden="false" customHeight="true" outlineLevel="0" collapsed="false">
      <c r="A265" s="45" t="n">
        <v>254</v>
      </c>
      <c r="B265" s="46" t="s">
        <v>368</v>
      </c>
      <c r="C265" s="47" t="s">
        <v>25</v>
      </c>
      <c r="D265" s="48" t="n">
        <v>16</v>
      </c>
      <c r="E265" s="50" t="n">
        <v>16602.1</v>
      </c>
      <c r="F265" s="47" t="s">
        <v>27</v>
      </c>
      <c r="G265" s="52" t="n">
        <f aca="false">19411.67/1.2</f>
        <v>16176.3916666667</v>
      </c>
      <c r="H265" s="53" t="n">
        <f aca="false">D265*G265</f>
        <v>258822.266666667</v>
      </c>
      <c r="I265" s="53" t="s">
        <v>28</v>
      </c>
      <c r="J265" s="52" t="n">
        <v>17921.59</v>
      </c>
      <c r="K265" s="53" t="n">
        <f aca="false">D265*J265</f>
        <v>286745.44</v>
      </c>
      <c r="L265" s="48" t="s">
        <v>29</v>
      </c>
      <c r="M265" s="52" t="n">
        <v>15947.3</v>
      </c>
      <c r="N265" s="53" t="n">
        <f aca="false">D265*M265</f>
        <v>255156.8</v>
      </c>
      <c r="O265" s="54" t="n">
        <f aca="false">AVERAGE(G265,J265,M265)</f>
        <v>16681.7605555556</v>
      </c>
      <c r="P265" s="55" t="n">
        <f aca="false">E265*100/O265-100</f>
        <v>-0.477530865463876</v>
      </c>
      <c r="Q265" s="54" t="n">
        <f aca="false">D265*E265</f>
        <v>265633.6</v>
      </c>
      <c r="R265" s="56"/>
      <c r="T265" s="57" t="n">
        <f aca="false">ROUND(G265*100/O265-100,0)</f>
        <v>-3</v>
      </c>
      <c r="U265" s="57" t="n">
        <f aca="false">ROUND(J265*100/O265-100,0)</f>
        <v>7</v>
      </c>
      <c r="V265" s="57" t="n">
        <f aca="false">ROUND(M265*100/O265-100,0)</f>
        <v>-4</v>
      </c>
    </row>
    <row r="266" s="43" customFormat="true" ht="73.5" hidden="false" customHeight="true" outlineLevel="0" collapsed="false">
      <c r="A266" s="45" t="n">
        <v>255</v>
      </c>
      <c r="B266" s="46" t="s">
        <v>369</v>
      </c>
      <c r="C266" s="47" t="s">
        <v>25</v>
      </c>
      <c r="D266" s="48" t="n">
        <v>6</v>
      </c>
      <c r="E266" s="50" t="n">
        <v>16354.78</v>
      </c>
      <c r="F266" s="47" t="s">
        <v>27</v>
      </c>
      <c r="G266" s="52" t="n">
        <f aca="false">19299.98/1.2</f>
        <v>16083.3166666667</v>
      </c>
      <c r="H266" s="53" t="n">
        <f aca="false">D266*G266</f>
        <v>96499.9</v>
      </c>
      <c r="I266" s="53" t="s">
        <v>28</v>
      </c>
      <c r="J266" s="52" t="n">
        <v>16400.67</v>
      </c>
      <c r="K266" s="53" t="n">
        <f aca="false">D266*J266</f>
        <v>98404.02</v>
      </c>
      <c r="L266" s="48" t="s">
        <v>29</v>
      </c>
      <c r="M266" s="52" t="n">
        <v>17011.88</v>
      </c>
      <c r="N266" s="53" t="n">
        <f aca="false">D266*M266</f>
        <v>102071.28</v>
      </c>
      <c r="O266" s="54" t="n">
        <f aca="false">AVERAGE(G266,J266,M266)</f>
        <v>16498.6222222222</v>
      </c>
      <c r="P266" s="55" t="n">
        <f aca="false">E266*100/O266-100</f>
        <v>-0.871843844199802</v>
      </c>
      <c r="Q266" s="54" t="n">
        <f aca="false">D266*E266</f>
        <v>98128.68</v>
      </c>
      <c r="R266" s="56"/>
      <c r="T266" s="57" t="n">
        <f aca="false">ROUND(G266*100/O266-100,0)</f>
        <v>-3</v>
      </c>
      <c r="U266" s="57" t="n">
        <f aca="false">ROUND(J266*100/O266-100,0)</f>
        <v>-1</v>
      </c>
      <c r="V266" s="57" t="n">
        <f aca="false">ROUND(M266*100/O266-100,0)</f>
        <v>3</v>
      </c>
    </row>
    <row r="267" s="43" customFormat="true" ht="73.5" hidden="false" customHeight="true" outlineLevel="0" collapsed="false">
      <c r="A267" s="45" t="n">
        <v>256</v>
      </c>
      <c r="B267" s="46" t="s">
        <v>370</v>
      </c>
      <c r="C267" s="47" t="s">
        <v>25</v>
      </c>
      <c r="D267" s="48" t="n">
        <v>1</v>
      </c>
      <c r="E267" s="50" t="n">
        <v>25020.5</v>
      </c>
      <c r="F267" s="47" t="s">
        <v>27</v>
      </c>
      <c r="G267" s="52" t="n">
        <f aca="false">28803.13/1.2</f>
        <v>24002.6083333333</v>
      </c>
      <c r="H267" s="53" t="n">
        <f aca="false">D267*G267</f>
        <v>24002.6083333333</v>
      </c>
      <c r="I267" s="53" t="s">
        <v>28</v>
      </c>
      <c r="J267" s="52" t="n">
        <v>26007.32</v>
      </c>
      <c r="K267" s="53" t="n">
        <f aca="false">D267*J267</f>
        <v>26007.32</v>
      </c>
      <c r="L267" s="48" t="s">
        <v>29</v>
      </c>
      <c r="M267" s="52" t="n">
        <v>25452.45</v>
      </c>
      <c r="N267" s="53" t="n">
        <f aca="false">D267*M267</f>
        <v>25452.45</v>
      </c>
      <c r="O267" s="54" t="n">
        <f aca="false">AVERAGE(G267,J267,M267)</f>
        <v>25154.1261111111</v>
      </c>
      <c r="P267" s="55" t="n">
        <f aca="false">E267*100/O267-100</f>
        <v>-0.53122939163481</v>
      </c>
      <c r="Q267" s="54" t="n">
        <f aca="false">D267*E267</f>
        <v>25020.5</v>
      </c>
      <c r="R267" s="56"/>
      <c r="T267" s="57" t="n">
        <f aca="false">ROUND(G267*100/O267-100,0)</f>
        <v>-5</v>
      </c>
      <c r="U267" s="57" t="n">
        <f aca="false">ROUND(J267*100/O267-100,0)</f>
        <v>3</v>
      </c>
      <c r="V267" s="57" t="n">
        <f aca="false">ROUND(M267*100/O267-100,0)</f>
        <v>1</v>
      </c>
    </row>
    <row r="268" s="43" customFormat="true" ht="73.5" hidden="false" customHeight="true" outlineLevel="0" collapsed="false">
      <c r="A268" s="45" t="n">
        <v>257</v>
      </c>
      <c r="B268" s="46" t="s">
        <v>371</v>
      </c>
      <c r="C268" s="47" t="s">
        <v>25</v>
      </c>
      <c r="D268" s="48" t="s">
        <v>372</v>
      </c>
      <c r="E268" s="50" t="n">
        <v>10970.42</v>
      </c>
      <c r="F268" s="47" t="s">
        <v>27</v>
      </c>
      <c r="G268" s="52" t="n">
        <f aca="false">12771.25/1.2</f>
        <v>10642.7083333333</v>
      </c>
      <c r="H268" s="53" t="n">
        <f aca="false">D268*G268</f>
        <v>2586178.125</v>
      </c>
      <c r="I268" s="53" t="s">
        <v>28</v>
      </c>
      <c r="J268" s="52" t="n">
        <v>11023.45</v>
      </c>
      <c r="K268" s="53" t="n">
        <f aca="false">D268*J268</f>
        <v>2678698.35</v>
      </c>
      <c r="L268" s="48" t="s">
        <v>29</v>
      </c>
      <c r="M268" s="52" t="n">
        <v>11452.6</v>
      </c>
      <c r="N268" s="53" t="n">
        <f aca="false">D268*M268</f>
        <v>2782981.8</v>
      </c>
      <c r="O268" s="54" t="n">
        <f aca="false">AVERAGE(G268,J268,M268)</f>
        <v>11039.5861111111</v>
      </c>
      <c r="P268" s="55" t="n">
        <f aca="false">E268*100/O268-100</f>
        <v>-0.626528118128405</v>
      </c>
      <c r="Q268" s="54" t="n">
        <f aca="false">D268*E268</f>
        <v>2665812.06</v>
      </c>
      <c r="R268" s="56"/>
      <c r="T268" s="57" t="n">
        <f aca="false">ROUND(G268*100/O268-100,0)</f>
        <v>-4</v>
      </c>
      <c r="U268" s="57" t="n">
        <f aca="false">ROUND(J268*100/O268-100,0)</f>
        <v>-0</v>
      </c>
      <c r="V268" s="57" t="n">
        <f aca="false">ROUND(M268*100/O268-100,0)</f>
        <v>4</v>
      </c>
    </row>
    <row r="269" s="43" customFormat="true" ht="73.5" hidden="false" customHeight="true" outlineLevel="0" collapsed="false">
      <c r="A269" s="45" t="n">
        <v>258</v>
      </c>
      <c r="B269" s="46" t="s">
        <v>373</v>
      </c>
      <c r="C269" s="47" t="s">
        <v>45</v>
      </c>
      <c r="D269" s="48" t="s">
        <v>374</v>
      </c>
      <c r="E269" s="50" t="n">
        <v>3441.15</v>
      </c>
      <c r="F269" s="47" t="s">
        <v>375</v>
      </c>
      <c r="G269" s="52" t="n">
        <f aca="false">3619/1.2</f>
        <v>3015.83333333333</v>
      </c>
      <c r="H269" s="53" t="n">
        <f aca="false">D269*G269</f>
        <v>15682.3333333333</v>
      </c>
      <c r="I269" s="47" t="s">
        <v>376</v>
      </c>
      <c r="J269" s="52" t="n">
        <v>3316.67</v>
      </c>
      <c r="K269" s="53" t="n">
        <f aca="false">D269*J269</f>
        <v>17246.684</v>
      </c>
      <c r="L269" s="47" t="s">
        <v>377</v>
      </c>
      <c r="M269" s="52" t="n">
        <f aca="false">4800/1.2</f>
        <v>4000</v>
      </c>
      <c r="N269" s="53" t="n">
        <f aca="false">D269*M269</f>
        <v>20800</v>
      </c>
      <c r="O269" s="54" t="n">
        <f aca="false">AVERAGE(G269,J269,M269)</f>
        <v>3444.16777777778</v>
      </c>
      <c r="P269" s="55" t="n">
        <f aca="false">E269*100/O269-100</f>
        <v>-0.087619941085606</v>
      </c>
      <c r="Q269" s="54" t="n">
        <f aca="false">D269*E269</f>
        <v>17893.98</v>
      </c>
      <c r="R269" s="72"/>
      <c r="T269" s="57" t="n">
        <f aca="false">ROUND(G269*100/O269-100,0)</f>
        <v>-12</v>
      </c>
      <c r="U269" s="57" t="n">
        <f aca="false">ROUND(J269*100/O269-100,0)</f>
        <v>-4</v>
      </c>
      <c r="V269" s="57" t="n">
        <f aca="false">ROUND(M269*100/O269-100,0)</f>
        <v>16</v>
      </c>
    </row>
    <row r="270" s="43" customFormat="true" ht="73.5" hidden="false" customHeight="true" outlineLevel="0" collapsed="false">
      <c r="A270" s="45" t="n">
        <v>259</v>
      </c>
      <c r="B270" s="46" t="s">
        <v>378</v>
      </c>
      <c r="C270" s="47" t="s">
        <v>323</v>
      </c>
      <c r="D270" s="48" t="n">
        <v>0.008</v>
      </c>
      <c r="E270" s="50" t="n">
        <v>411502.5</v>
      </c>
      <c r="F270" s="53" t="s">
        <v>68</v>
      </c>
      <c r="G270" s="52" t="n">
        <f aca="false">498040.45/1.2</f>
        <v>415033.708333333</v>
      </c>
      <c r="H270" s="53" t="n">
        <f aca="false">D270*G270</f>
        <v>3320.26966666667</v>
      </c>
      <c r="I270" s="47" t="s">
        <v>67</v>
      </c>
      <c r="J270" s="52" t="n">
        <f aca="false">503.49/1.2*1000</f>
        <v>419575</v>
      </c>
      <c r="K270" s="53" t="n">
        <f aca="false">D270*J270</f>
        <v>3356.6</v>
      </c>
      <c r="L270" s="47" t="s">
        <v>272</v>
      </c>
      <c r="M270" s="52" t="n">
        <v>412432.5</v>
      </c>
      <c r="N270" s="53" t="n">
        <f aca="false">D270*M270</f>
        <v>3299.46</v>
      </c>
      <c r="O270" s="54" t="n">
        <f aca="false">AVERAGE(G270,J270,M270)</f>
        <v>415680.402777778</v>
      </c>
      <c r="P270" s="55" t="n">
        <f aca="false">E270*100/O270-100</f>
        <v>-1.00507571438514</v>
      </c>
      <c r="Q270" s="54" t="n">
        <f aca="false">D270*E270</f>
        <v>3292.02</v>
      </c>
      <c r="R270" s="56"/>
      <c r="T270" s="57" t="n">
        <f aca="false">ROUND(G270*100/O270-100,0)</f>
        <v>-0</v>
      </c>
      <c r="U270" s="57" t="n">
        <f aca="false">ROUND(J270*100/O270-100,0)</f>
        <v>1</v>
      </c>
      <c r="V270" s="57" t="n">
        <f aca="false">ROUND(M270*100/O270-100,0)</f>
        <v>-1</v>
      </c>
    </row>
    <row r="271" s="43" customFormat="true" ht="73.5" hidden="false" customHeight="true" outlineLevel="0" collapsed="false">
      <c r="A271" s="45" t="n">
        <v>260</v>
      </c>
      <c r="B271" s="46" t="s">
        <v>379</v>
      </c>
      <c r="C271" s="47" t="s">
        <v>25</v>
      </c>
      <c r="D271" s="48" t="n">
        <v>20</v>
      </c>
      <c r="E271" s="50" t="n">
        <v>28.03</v>
      </c>
      <c r="F271" s="47" t="s">
        <v>27</v>
      </c>
      <c r="G271" s="52" t="n">
        <f aca="false">30.27/1.2</f>
        <v>25.225</v>
      </c>
      <c r="H271" s="53" t="n">
        <f aca="false">D271*G271</f>
        <v>504.5</v>
      </c>
      <c r="I271" s="53" t="s">
        <v>28</v>
      </c>
      <c r="J271" s="52" t="n">
        <v>29.45</v>
      </c>
      <c r="K271" s="53" t="n">
        <f aca="false">D271*J271</f>
        <v>589</v>
      </c>
      <c r="L271" s="48" t="s">
        <v>29</v>
      </c>
      <c r="M271" s="52" t="n">
        <v>31.7</v>
      </c>
      <c r="N271" s="53" t="n">
        <f aca="false">D271*M271</f>
        <v>634</v>
      </c>
      <c r="O271" s="54" t="n">
        <f aca="false">AVERAGE(G271,J271,M271)</f>
        <v>28.7916666666667</v>
      </c>
      <c r="P271" s="55" t="n">
        <f aca="false">E271*100/O271-100</f>
        <v>-2.64544138929088</v>
      </c>
      <c r="Q271" s="54" t="n">
        <f aca="false">D271*E271</f>
        <v>560.6</v>
      </c>
      <c r="R271" s="56"/>
      <c r="T271" s="57" t="n">
        <f aca="false">ROUND(G271*100/O271-100,0)</f>
        <v>-12</v>
      </c>
      <c r="U271" s="57" t="n">
        <f aca="false">ROUND(J271*100/O271-100,0)</f>
        <v>2</v>
      </c>
      <c r="V271" s="57" t="n">
        <f aca="false">ROUND(M271*100/O271-100,0)</f>
        <v>10</v>
      </c>
    </row>
    <row r="272" s="43" customFormat="true" ht="73.5" hidden="false" customHeight="true" outlineLevel="0" collapsed="false">
      <c r="A272" s="45" t="n">
        <v>261</v>
      </c>
      <c r="B272" s="46" t="s">
        <v>380</v>
      </c>
      <c r="C272" s="47" t="s">
        <v>381</v>
      </c>
      <c r="D272" s="48" t="n">
        <v>2</v>
      </c>
      <c r="E272" s="50" t="n">
        <v>41590.2</v>
      </c>
      <c r="F272" s="47" t="s">
        <v>90</v>
      </c>
      <c r="G272" s="52" t="n">
        <f aca="false">51705.01/1.2</f>
        <v>43087.5083333333</v>
      </c>
      <c r="H272" s="53" t="n">
        <f aca="false">D272*G272</f>
        <v>86175.0166666667</v>
      </c>
      <c r="I272" s="47" t="s">
        <v>46</v>
      </c>
      <c r="J272" s="52" t="n">
        <v>41393.25</v>
      </c>
      <c r="K272" s="53" t="n">
        <f aca="false">D272*J272</f>
        <v>82786.5</v>
      </c>
      <c r="L272" s="47" t="s">
        <v>58</v>
      </c>
      <c r="M272" s="52" t="n">
        <v>40981.06</v>
      </c>
      <c r="N272" s="53" t="n">
        <f aca="false">D272*M272</f>
        <v>81962.12</v>
      </c>
      <c r="O272" s="54" t="n">
        <f aca="false">AVERAGE(G272,J272,M272)</f>
        <v>41820.6061111111</v>
      </c>
      <c r="P272" s="55" t="n">
        <f aca="false">E272*100/O272-100</f>
        <v>-0.550939196096209</v>
      </c>
      <c r="Q272" s="54" t="n">
        <f aca="false">D272*E272</f>
        <v>83180.4</v>
      </c>
      <c r="R272" s="56"/>
      <c r="T272" s="57" t="n">
        <f aca="false">ROUND(G272*100/O272-100,0)</f>
        <v>3</v>
      </c>
      <c r="U272" s="57" t="n">
        <f aca="false">ROUND(J272*100/O272-100,0)</f>
        <v>-1</v>
      </c>
      <c r="V272" s="57" t="n">
        <f aca="false">ROUND(M272*100/O272-100,0)</f>
        <v>-2</v>
      </c>
    </row>
    <row r="273" s="43" customFormat="true" ht="73.5" hidden="false" customHeight="true" outlineLevel="0" collapsed="false">
      <c r="A273" s="45" t="n">
        <v>262</v>
      </c>
      <c r="B273" s="46" t="s">
        <v>382</v>
      </c>
      <c r="C273" s="47" t="s">
        <v>383</v>
      </c>
      <c r="D273" s="48" t="n">
        <v>20</v>
      </c>
      <c r="E273" s="50" t="n">
        <v>1778.52</v>
      </c>
      <c r="F273" s="47" t="s">
        <v>27</v>
      </c>
      <c r="G273" s="52" t="n">
        <f aca="false">2098.33/1.2</f>
        <v>1748.60833333333</v>
      </c>
      <c r="H273" s="53" t="n">
        <f aca="false">D273*G273</f>
        <v>34972.1666666667</v>
      </c>
      <c r="I273" s="53" t="s">
        <v>28</v>
      </c>
      <c r="J273" s="52" t="n">
        <v>1845.6</v>
      </c>
      <c r="K273" s="53" t="n">
        <f aca="false">D273*J273</f>
        <v>36912</v>
      </c>
      <c r="L273" s="48" t="s">
        <v>29</v>
      </c>
      <c r="M273" s="52" t="n">
        <v>1795.33</v>
      </c>
      <c r="N273" s="53" t="n">
        <f aca="false">D273*M273</f>
        <v>35906.6</v>
      </c>
      <c r="O273" s="54" t="n">
        <f aca="false">AVERAGE(G273,J273,M273)</f>
        <v>1796.51277777778</v>
      </c>
      <c r="P273" s="55" t="n">
        <f aca="false">E273*100/O273-100</f>
        <v>-1.00153909286603</v>
      </c>
      <c r="Q273" s="54" t="n">
        <f aca="false">D273*E273</f>
        <v>35570.4</v>
      </c>
      <c r="R273" s="62" t="s">
        <v>116</v>
      </c>
      <c r="T273" s="57" t="n">
        <f aca="false">ROUND(G273*100/O273-100,0)</f>
        <v>-3</v>
      </c>
      <c r="U273" s="57" t="n">
        <f aca="false">ROUND(J273*100/O273-100,0)</f>
        <v>3</v>
      </c>
      <c r="V273" s="57" t="n">
        <f aca="false">ROUND(M273*100/O273-100,0)</f>
        <v>-0</v>
      </c>
    </row>
    <row r="274" s="43" customFormat="true" ht="73.5" hidden="false" customHeight="true" outlineLevel="0" collapsed="false">
      <c r="A274" s="45" t="n">
        <v>263</v>
      </c>
      <c r="B274" s="46" t="s">
        <v>384</v>
      </c>
      <c r="C274" s="47" t="s">
        <v>323</v>
      </c>
      <c r="D274" s="48" t="n">
        <v>18</v>
      </c>
      <c r="E274" s="50" t="n">
        <v>181054.64</v>
      </c>
      <c r="F274" s="53" t="s">
        <v>90</v>
      </c>
      <c r="G274" s="52" t="n">
        <v>185520</v>
      </c>
      <c r="H274" s="53" t="n">
        <f aca="false">D274*G274</f>
        <v>3339360</v>
      </c>
      <c r="I274" s="47" t="s">
        <v>385</v>
      </c>
      <c r="J274" s="52" t="n">
        <v>179571</v>
      </c>
      <c r="K274" s="53" t="n">
        <f aca="false">D274*J274</f>
        <v>3232278</v>
      </c>
      <c r="L274" s="47" t="s">
        <v>386</v>
      </c>
      <c r="M274" s="52" t="n">
        <v>179000</v>
      </c>
      <c r="N274" s="53" t="n">
        <f aca="false">D274*M274</f>
        <v>3222000</v>
      </c>
      <c r="O274" s="54" t="n">
        <f aca="false">AVERAGE(G274,J274,M274)</f>
        <v>181363.666666667</v>
      </c>
      <c r="P274" s="55" t="n">
        <f aca="false">E274*100/O274-100</f>
        <v>-0.170390614805243</v>
      </c>
      <c r="Q274" s="54" t="n">
        <f aca="false">D274*E274</f>
        <v>3258983.52</v>
      </c>
      <c r="R274" s="56"/>
      <c r="T274" s="57" t="n">
        <f aca="false">ROUND(G274*100/O274-100,0)</f>
        <v>2</v>
      </c>
      <c r="U274" s="57" t="n">
        <f aca="false">ROUND(J274*100/O274-100,0)</f>
        <v>-1</v>
      </c>
      <c r="V274" s="57" t="n">
        <f aca="false">ROUND(M274*100/O274-100,0)</f>
        <v>-1</v>
      </c>
    </row>
    <row r="275" s="43" customFormat="true" ht="73.5" hidden="false" customHeight="true" outlineLevel="0" collapsed="false">
      <c r="A275" s="45" t="n">
        <v>264</v>
      </c>
      <c r="B275" s="46" t="s">
        <v>387</v>
      </c>
      <c r="C275" s="47" t="s">
        <v>25</v>
      </c>
      <c r="D275" s="48" t="n">
        <v>48</v>
      </c>
      <c r="E275" s="50" t="n">
        <v>902.6</v>
      </c>
      <c r="F275" s="47" t="s">
        <v>56</v>
      </c>
      <c r="G275" s="52" t="n">
        <v>921.12</v>
      </c>
      <c r="H275" s="53" t="n">
        <f aca="false">D275*G275</f>
        <v>44213.76</v>
      </c>
      <c r="I275" s="47" t="s">
        <v>57</v>
      </c>
      <c r="J275" s="52" t="n">
        <v>899.34</v>
      </c>
      <c r="K275" s="53" t="n">
        <f aca="false">D275*J275</f>
        <v>43168.32</v>
      </c>
      <c r="L275" s="53" t="s">
        <v>68</v>
      </c>
      <c r="M275" s="52" t="n">
        <v>925.7</v>
      </c>
      <c r="N275" s="53" t="n">
        <f aca="false">D275*M275</f>
        <v>44433.6</v>
      </c>
      <c r="O275" s="54" t="n">
        <f aca="false">AVERAGE(G275,J275,M275)</f>
        <v>915.386666666667</v>
      </c>
      <c r="P275" s="55" t="n">
        <f aca="false">E275*100/O275-100</f>
        <v>-1.39685961488041</v>
      </c>
      <c r="Q275" s="54" t="n">
        <f aca="false">D275*E275</f>
        <v>43324.8</v>
      </c>
      <c r="R275" s="56"/>
      <c r="T275" s="57" t="n">
        <f aca="false">ROUND(G275*100/O275-100,0)</f>
        <v>1</v>
      </c>
      <c r="U275" s="57" t="n">
        <f aca="false">ROUND(J275*100/O275-100,0)</f>
        <v>-2</v>
      </c>
      <c r="V275" s="57" t="n">
        <f aca="false">ROUND(M275*100/O275-100,0)</f>
        <v>1</v>
      </c>
    </row>
    <row r="276" s="43" customFormat="true" ht="73.5" hidden="false" customHeight="true" outlineLevel="0" collapsed="false">
      <c r="A276" s="45" t="n">
        <v>265</v>
      </c>
      <c r="B276" s="46" t="s">
        <v>388</v>
      </c>
      <c r="C276" s="47" t="s">
        <v>25</v>
      </c>
      <c r="D276" s="48" t="n">
        <v>40</v>
      </c>
      <c r="E276" s="50" t="n">
        <v>835.7</v>
      </c>
      <c r="F276" s="47" t="s">
        <v>56</v>
      </c>
      <c r="G276" s="52" t="n">
        <v>811.5</v>
      </c>
      <c r="H276" s="53" t="n">
        <f aca="false">D276*G276</f>
        <v>32460</v>
      </c>
      <c r="I276" s="47" t="s">
        <v>57</v>
      </c>
      <c r="J276" s="52" t="n">
        <v>889.61</v>
      </c>
      <c r="K276" s="53" t="n">
        <f aca="false">D276*J276</f>
        <v>35584.4</v>
      </c>
      <c r="L276" s="53" t="s">
        <v>68</v>
      </c>
      <c r="M276" s="52" t="n">
        <v>825.3</v>
      </c>
      <c r="N276" s="53" t="n">
        <f aca="false">D276*M276</f>
        <v>33012</v>
      </c>
      <c r="O276" s="54" t="n">
        <f aca="false">AVERAGE(G276,J276,M276)</f>
        <v>842.136666666667</v>
      </c>
      <c r="P276" s="55" t="n">
        <f aca="false">E276*100/O276-100</f>
        <v>-0.764325663688794</v>
      </c>
      <c r="Q276" s="54" t="n">
        <f aca="false">D276*E276</f>
        <v>33428</v>
      </c>
      <c r="R276" s="56"/>
      <c r="T276" s="57" t="n">
        <f aca="false">ROUND(G276*100/O276-100,0)</f>
        <v>-4</v>
      </c>
      <c r="U276" s="57" t="n">
        <f aca="false">ROUND(J276*100/O276-100,0)</f>
        <v>6</v>
      </c>
      <c r="V276" s="57" t="n">
        <f aca="false">ROUND(M276*100/O276-100,0)</f>
        <v>-2</v>
      </c>
    </row>
    <row r="277" s="43" customFormat="true" ht="73.5" hidden="false" customHeight="true" outlineLevel="0" collapsed="false">
      <c r="A277" s="45" t="n">
        <v>266</v>
      </c>
      <c r="B277" s="46" t="s">
        <v>389</v>
      </c>
      <c r="C277" s="47" t="s">
        <v>390</v>
      </c>
      <c r="D277" s="48" t="n">
        <v>21</v>
      </c>
      <c r="E277" s="50" t="n">
        <v>856.33</v>
      </c>
      <c r="F277" s="47" t="s">
        <v>27</v>
      </c>
      <c r="G277" s="52" t="n">
        <f aca="false">988.3/1.2</f>
        <v>823.583333333333</v>
      </c>
      <c r="H277" s="53" t="n">
        <f aca="false">D277*G277</f>
        <v>17295.25</v>
      </c>
      <c r="I277" s="53" t="s">
        <v>28</v>
      </c>
      <c r="J277" s="52" t="n">
        <v>897.61</v>
      </c>
      <c r="K277" s="53" t="n">
        <f aca="false">D277*J277</f>
        <v>18849.81</v>
      </c>
      <c r="L277" s="48" t="s">
        <v>29</v>
      </c>
      <c r="M277" s="52" t="n">
        <v>854.77</v>
      </c>
      <c r="N277" s="53" t="n">
        <f aca="false">D277*M277</f>
        <v>17950.17</v>
      </c>
      <c r="O277" s="54" t="n">
        <f aca="false">AVERAGE(G277,J277,M277)</f>
        <v>858.654444444444</v>
      </c>
      <c r="P277" s="55" t="n">
        <f aca="false">E277*100/O277-100</f>
        <v>-0.270707786989718</v>
      </c>
      <c r="Q277" s="54" t="n">
        <f aca="false">D277*E277</f>
        <v>17982.93</v>
      </c>
      <c r="R277" s="56"/>
      <c r="T277" s="57" t="n">
        <f aca="false">ROUND(G277*100/O277-100,0)</f>
        <v>-4</v>
      </c>
      <c r="U277" s="57" t="n">
        <f aca="false">ROUND(J277*100/O277-100,0)</f>
        <v>5</v>
      </c>
      <c r="V277" s="57" t="n">
        <f aca="false">ROUND(M277*100/O277-100,0)</f>
        <v>-0</v>
      </c>
    </row>
    <row r="278" s="43" customFormat="true" ht="73.5" hidden="false" customHeight="true" outlineLevel="0" collapsed="false">
      <c r="A278" s="45" t="n">
        <v>267</v>
      </c>
      <c r="B278" s="46" t="s">
        <v>391</v>
      </c>
      <c r="C278" s="47" t="s">
        <v>392</v>
      </c>
      <c r="D278" s="48" t="n">
        <v>80</v>
      </c>
      <c r="E278" s="50" t="n">
        <v>891.4</v>
      </c>
      <c r="F278" s="47" t="s">
        <v>27</v>
      </c>
      <c r="G278" s="52" t="n">
        <f aca="false">993.74/1.2</f>
        <v>828.116666666667</v>
      </c>
      <c r="H278" s="53" t="n">
        <f aca="false">D278*G278</f>
        <v>66249.3333333333</v>
      </c>
      <c r="I278" s="53" t="s">
        <v>28</v>
      </c>
      <c r="J278" s="52" t="n">
        <v>910.49</v>
      </c>
      <c r="K278" s="53" t="n">
        <f aca="false">D278*J278</f>
        <v>72839.2</v>
      </c>
      <c r="L278" s="48" t="s">
        <v>29</v>
      </c>
      <c r="M278" s="52" t="n">
        <v>941.56</v>
      </c>
      <c r="N278" s="53" t="n">
        <f aca="false">D278*M278</f>
        <v>75324.8</v>
      </c>
      <c r="O278" s="54" t="n">
        <f aca="false">AVERAGE(G278,J278,M278)</f>
        <v>893.388888888889</v>
      </c>
      <c r="P278" s="55" t="n">
        <f aca="false">E278*100/O278-100</f>
        <v>-0.222622971208253</v>
      </c>
      <c r="Q278" s="54" t="n">
        <f aca="false">D278*E278</f>
        <v>71312</v>
      </c>
      <c r="R278" s="56"/>
      <c r="T278" s="57" t="n">
        <f aca="false">ROUND(G278*100/O278-100,0)</f>
        <v>-7</v>
      </c>
      <c r="U278" s="57" t="n">
        <f aca="false">ROUND(J278*100/O278-100,0)</f>
        <v>2</v>
      </c>
      <c r="V278" s="57" t="n">
        <f aca="false">ROUND(M278*100/O278-100,0)</f>
        <v>5</v>
      </c>
    </row>
    <row r="279" s="43" customFormat="true" ht="73.5" hidden="false" customHeight="true" outlineLevel="0" collapsed="false">
      <c r="A279" s="45" t="n">
        <v>268</v>
      </c>
      <c r="B279" s="46" t="s">
        <v>393</v>
      </c>
      <c r="C279" s="47" t="s">
        <v>25</v>
      </c>
      <c r="D279" s="48" t="n">
        <v>44</v>
      </c>
      <c r="E279" s="50" t="n">
        <v>85001.4</v>
      </c>
      <c r="F279" s="47" t="s">
        <v>56</v>
      </c>
      <c r="G279" s="52" t="n">
        <v>85400.4</v>
      </c>
      <c r="H279" s="53" t="n">
        <f aca="false">D279*G279</f>
        <v>3757617.6</v>
      </c>
      <c r="I279" s="47" t="s">
        <v>57</v>
      </c>
      <c r="J279" s="52" t="n">
        <v>83700.61</v>
      </c>
      <c r="K279" s="53" t="n">
        <f aca="false">D279*J279</f>
        <v>3682826.84</v>
      </c>
      <c r="L279" s="47" t="s">
        <v>119</v>
      </c>
      <c r="M279" s="52" t="n">
        <v>87712.52</v>
      </c>
      <c r="N279" s="53" t="n">
        <f aca="false">D279*M279</f>
        <v>3859350.88</v>
      </c>
      <c r="O279" s="54" t="n">
        <f aca="false">AVERAGE(G279,J279,M279)</f>
        <v>85604.51</v>
      </c>
      <c r="P279" s="55" t="n">
        <f aca="false">E279*100/O279-100</f>
        <v>-0.704530637462909</v>
      </c>
      <c r="Q279" s="54" t="n">
        <f aca="false">D279*E279</f>
        <v>3740061.6</v>
      </c>
      <c r="R279" s="83"/>
      <c r="T279" s="57" t="n">
        <f aca="false">ROUND(G279*100/O279-100,0)</f>
        <v>-0</v>
      </c>
      <c r="U279" s="57" t="n">
        <f aca="false">ROUND(J279*100/O279-100,0)</f>
        <v>-2</v>
      </c>
      <c r="V279" s="57" t="n">
        <f aca="false">ROUND(M279*100/O279-100,0)</f>
        <v>2</v>
      </c>
    </row>
    <row r="280" s="43" customFormat="true" ht="282" hidden="false" customHeight="true" outlineLevel="0" collapsed="false">
      <c r="A280" s="45" t="n">
        <v>269</v>
      </c>
      <c r="B280" s="93" t="s">
        <v>394</v>
      </c>
      <c r="C280" s="47" t="s">
        <v>65</v>
      </c>
      <c r="D280" s="48" t="n">
        <v>9</v>
      </c>
      <c r="E280" s="50" t="n">
        <v>13200.5</v>
      </c>
      <c r="F280" s="47" t="s">
        <v>27</v>
      </c>
      <c r="G280" s="52" t="n">
        <f aca="false">14543.24/1.2</f>
        <v>12119.3666666667</v>
      </c>
      <c r="H280" s="53" t="n">
        <f aca="false">D280*G280</f>
        <v>109074.3</v>
      </c>
      <c r="I280" s="53" t="s">
        <v>28</v>
      </c>
      <c r="J280" s="52" t="n">
        <v>13540.62</v>
      </c>
      <c r="K280" s="53" t="n">
        <f aca="false">D280*J280</f>
        <v>121865.58</v>
      </c>
      <c r="L280" s="48" t="s">
        <v>29</v>
      </c>
      <c r="M280" s="52" t="n">
        <v>13974.2</v>
      </c>
      <c r="N280" s="53" t="n">
        <f aca="false">D280*M280</f>
        <v>125767.8</v>
      </c>
      <c r="O280" s="54" t="n">
        <f aca="false">AVERAGE(G280,J280,M280)</f>
        <v>13211.3955555556</v>
      </c>
      <c r="P280" s="55" t="n">
        <f aca="false">E280*100/O280-100</f>
        <v>-0.0824708904501392</v>
      </c>
      <c r="Q280" s="54" t="n">
        <f aca="false">D280*E280</f>
        <v>118804.5</v>
      </c>
      <c r="R280" s="56"/>
      <c r="T280" s="57" t="n">
        <f aca="false">ROUND(G280*100/O280-100,0)</f>
        <v>-8</v>
      </c>
      <c r="U280" s="57" t="n">
        <f aca="false">ROUND(J280*100/O280-100,0)</f>
        <v>2</v>
      </c>
      <c r="V280" s="57" t="n">
        <f aca="false">ROUND(M280*100/O280-100,0)</f>
        <v>6</v>
      </c>
    </row>
    <row r="281" s="43" customFormat="true" ht="287.25" hidden="false" customHeight="true" outlineLevel="0" collapsed="false">
      <c r="A281" s="45" t="n">
        <v>270</v>
      </c>
      <c r="B281" s="93" t="s">
        <v>395</v>
      </c>
      <c r="C281" s="47" t="s">
        <v>65</v>
      </c>
      <c r="D281" s="48" t="n">
        <v>6</v>
      </c>
      <c r="E281" s="50" t="n">
        <v>13054.66</v>
      </c>
      <c r="F281" s="47" t="s">
        <v>27</v>
      </c>
      <c r="G281" s="52" t="n">
        <f aca="false">15425.82/1.2</f>
        <v>12854.85</v>
      </c>
      <c r="H281" s="53" t="n">
        <f aca="false">D281*G281</f>
        <v>77129.1</v>
      </c>
      <c r="I281" s="53" t="s">
        <v>28</v>
      </c>
      <c r="J281" s="52" t="n">
        <v>13002.74</v>
      </c>
      <c r="K281" s="53" t="n">
        <f aca="false">D281*J281</f>
        <v>78016.44</v>
      </c>
      <c r="L281" s="48" t="s">
        <v>29</v>
      </c>
      <c r="M281" s="52" t="n">
        <v>13566.4</v>
      </c>
      <c r="N281" s="53" t="n">
        <f aca="false">D281*M281</f>
        <v>81398.4</v>
      </c>
      <c r="O281" s="54" t="n">
        <f aca="false">AVERAGE(G281,J281,M281)</f>
        <v>13141.33</v>
      </c>
      <c r="P281" s="55" t="n">
        <f aca="false">E281*100/O281-100</f>
        <v>-0.65952228579603</v>
      </c>
      <c r="Q281" s="54" t="n">
        <f aca="false">D281*E281</f>
        <v>78327.96</v>
      </c>
      <c r="R281" s="56"/>
      <c r="T281" s="57" t="n">
        <f aca="false">ROUND(G281*100/O281-100,0)</f>
        <v>-2</v>
      </c>
      <c r="U281" s="57" t="n">
        <f aca="false">ROUND(J281*100/O281-100,0)</f>
        <v>-1</v>
      </c>
      <c r="V281" s="57" t="n">
        <f aca="false">ROUND(M281*100/O281-100,0)</f>
        <v>3</v>
      </c>
    </row>
    <row r="282" s="43" customFormat="true" ht="73.5" hidden="false" customHeight="true" outlineLevel="0" collapsed="false">
      <c r="A282" s="45" t="n">
        <v>271</v>
      </c>
      <c r="B282" s="46" t="s">
        <v>396</v>
      </c>
      <c r="C282" s="47" t="s">
        <v>25</v>
      </c>
      <c r="D282" s="48" t="n">
        <v>1</v>
      </c>
      <c r="E282" s="50" t="n">
        <v>16735.5</v>
      </c>
      <c r="F282" s="47" t="s">
        <v>27</v>
      </c>
      <c r="G282" s="52" t="n">
        <f aca="false">20044.48/1.2</f>
        <v>16703.7333333333</v>
      </c>
      <c r="H282" s="53" t="n">
        <f aca="false">D282*G282</f>
        <v>16703.7333333333</v>
      </c>
      <c r="I282" s="53" t="s">
        <v>28</v>
      </c>
      <c r="J282" s="52" t="n">
        <v>16540.53</v>
      </c>
      <c r="K282" s="53" t="n">
        <f aca="false">D282*J282</f>
        <v>16540.53</v>
      </c>
      <c r="L282" s="48" t="s">
        <v>29</v>
      </c>
      <c r="M282" s="52" t="n">
        <v>17010</v>
      </c>
      <c r="N282" s="53" t="n">
        <f aca="false">D282*M282</f>
        <v>17010</v>
      </c>
      <c r="O282" s="54" t="n">
        <f aca="false">AVERAGE(G282,J282,M282)</f>
        <v>16751.4211111111</v>
      </c>
      <c r="P282" s="55" t="n">
        <f aca="false">E282*100/O282-100</f>
        <v>-0.0950433459078255</v>
      </c>
      <c r="Q282" s="54" t="n">
        <f aca="false">D282*E282</f>
        <v>16735.5</v>
      </c>
      <c r="R282" s="72"/>
      <c r="T282" s="57" t="n">
        <f aca="false">ROUND(G282*100/O282-100,0)</f>
        <v>-0</v>
      </c>
      <c r="U282" s="57" t="n">
        <f aca="false">ROUND(J282*100/O282-100,0)</f>
        <v>-1</v>
      </c>
      <c r="V282" s="57" t="n">
        <f aca="false">ROUND(M282*100/O282-100,0)</f>
        <v>2</v>
      </c>
    </row>
    <row r="283" s="43" customFormat="true" ht="73.5" hidden="false" customHeight="true" outlineLevel="0" collapsed="false">
      <c r="A283" s="45" t="n">
        <v>272</v>
      </c>
      <c r="B283" s="46" t="s">
        <v>397</v>
      </c>
      <c r="C283" s="47" t="s">
        <v>25</v>
      </c>
      <c r="D283" s="48" t="n">
        <v>1</v>
      </c>
      <c r="E283" s="50" t="n">
        <v>2330.77</v>
      </c>
      <c r="F283" s="47" t="s">
        <v>27</v>
      </c>
      <c r="G283" s="52" t="n">
        <f aca="false">2628.72/1.2</f>
        <v>2190.6</v>
      </c>
      <c r="H283" s="53" t="n">
        <f aca="false">D283*G283</f>
        <v>2190.6</v>
      </c>
      <c r="I283" s="53" t="s">
        <v>28</v>
      </c>
      <c r="J283" s="52" t="n">
        <v>2345.68</v>
      </c>
      <c r="K283" s="53" t="n">
        <f aca="false">D283*J283</f>
        <v>2345.68</v>
      </c>
      <c r="L283" s="48" t="s">
        <v>29</v>
      </c>
      <c r="M283" s="52" t="n">
        <v>2487.2</v>
      </c>
      <c r="N283" s="53" t="n">
        <f aca="false">D283*M283</f>
        <v>2487.2</v>
      </c>
      <c r="O283" s="54" t="n">
        <f aca="false">AVERAGE(G283,J283,M283)</f>
        <v>2341.16</v>
      </c>
      <c r="P283" s="55" t="n">
        <f aca="false">E283*100/O283-100</f>
        <v>-0.443797092039844</v>
      </c>
      <c r="Q283" s="54" t="n">
        <f aca="false">D283*E283</f>
        <v>2330.77</v>
      </c>
      <c r="R283" s="56"/>
      <c r="T283" s="57" t="n">
        <f aca="false">ROUND(G283*100/O283-100,0)</f>
        <v>-6</v>
      </c>
      <c r="U283" s="57" t="n">
        <f aca="false">ROUND(J283*100/O283-100,0)</f>
        <v>0</v>
      </c>
      <c r="V283" s="57" t="n">
        <f aca="false">ROUND(M283*100/O283-100,0)</f>
        <v>6</v>
      </c>
    </row>
    <row r="284" s="43" customFormat="true" ht="73.5" hidden="false" customHeight="true" outlineLevel="0" collapsed="false">
      <c r="A284" s="45" t="n">
        <v>273</v>
      </c>
      <c r="B284" s="46" t="s">
        <v>398</v>
      </c>
      <c r="C284" s="47" t="s">
        <v>25</v>
      </c>
      <c r="D284" s="48" t="n">
        <v>2</v>
      </c>
      <c r="E284" s="50" t="n">
        <v>3600</v>
      </c>
      <c r="F284" s="47" t="s">
        <v>27</v>
      </c>
      <c r="G284" s="52" t="n">
        <f aca="false">3915.81/1.2</f>
        <v>3263.175</v>
      </c>
      <c r="H284" s="53" t="n">
        <f aca="false">D284*G284</f>
        <v>6526.35</v>
      </c>
      <c r="I284" s="53" t="s">
        <v>28</v>
      </c>
      <c r="J284" s="52" t="n">
        <v>3604.32</v>
      </c>
      <c r="K284" s="53" t="n">
        <f aca="false">D284*J284</f>
        <v>7208.64</v>
      </c>
      <c r="L284" s="48" t="s">
        <v>29</v>
      </c>
      <c r="M284" s="52" t="n">
        <v>3954.31</v>
      </c>
      <c r="N284" s="53" t="n">
        <f aca="false">D284*M284</f>
        <v>7908.62</v>
      </c>
      <c r="O284" s="54" t="n">
        <f aca="false">AVERAGE(G284,J284,M284)</f>
        <v>3607.26833333333</v>
      </c>
      <c r="P284" s="55" t="n">
        <f aca="false">E284*100/O284-100</f>
        <v>-0.201491340862276</v>
      </c>
      <c r="Q284" s="54" t="n">
        <f aca="false">D284*E284</f>
        <v>7200</v>
      </c>
      <c r="R284" s="56"/>
      <c r="T284" s="57" t="n">
        <f aca="false">ROUND(G284*100/O284-100,0)</f>
        <v>-10</v>
      </c>
      <c r="U284" s="57" t="n">
        <f aca="false">ROUND(J284*100/O284-100,0)</f>
        <v>-0</v>
      </c>
      <c r="V284" s="57" t="n">
        <f aca="false">ROUND(M284*100/O284-100,0)</f>
        <v>10</v>
      </c>
    </row>
    <row r="285" s="43" customFormat="true" ht="73.5" hidden="false" customHeight="true" outlineLevel="0" collapsed="false">
      <c r="A285" s="45" t="n">
        <v>274</v>
      </c>
      <c r="B285" s="46" t="s">
        <v>399</v>
      </c>
      <c r="C285" s="47" t="s">
        <v>25</v>
      </c>
      <c r="D285" s="48" t="n">
        <v>1</v>
      </c>
      <c r="E285" s="50" t="n">
        <v>6600.75</v>
      </c>
      <c r="F285" s="47" t="s">
        <v>27</v>
      </c>
      <c r="G285" s="52" t="n">
        <f aca="false">7630.45/1.2</f>
        <v>6358.70833333333</v>
      </c>
      <c r="H285" s="53" t="n">
        <f aca="false">D285*G285</f>
        <v>6358.70833333333</v>
      </c>
      <c r="I285" s="53" t="s">
        <v>28</v>
      </c>
      <c r="J285" s="52" t="n">
        <v>6468.15</v>
      </c>
      <c r="K285" s="53" t="n">
        <f aca="false">D285*J285</f>
        <v>6468.15</v>
      </c>
      <c r="L285" s="48" t="s">
        <v>29</v>
      </c>
      <c r="M285" s="52" t="n">
        <v>7020.16</v>
      </c>
      <c r="N285" s="53" t="n">
        <f aca="false">D285*M285</f>
        <v>7020.16</v>
      </c>
      <c r="O285" s="54" t="n">
        <f aca="false">AVERAGE(G285,J285,M285)</f>
        <v>6615.67277777778</v>
      </c>
      <c r="P285" s="55" t="n">
        <f aca="false">E285*100/O285-100</f>
        <v>-0.225567047812646</v>
      </c>
      <c r="Q285" s="54" t="n">
        <f aca="false">D285*E285</f>
        <v>6600.75</v>
      </c>
      <c r="R285" s="56"/>
      <c r="T285" s="57" t="n">
        <f aca="false">ROUND(G285*100/O285-100,0)</f>
        <v>-4</v>
      </c>
      <c r="U285" s="57" t="n">
        <f aca="false">ROUND(J285*100/O285-100,0)</f>
        <v>-2</v>
      </c>
      <c r="V285" s="57" t="n">
        <f aca="false">ROUND(M285*100/O285-100,0)</f>
        <v>6</v>
      </c>
    </row>
    <row r="286" s="43" customFormat="true" ht="73.5" hidden="false" customHeight="true" outlineLevel="0" collapsed="false">
      <c r="A286" s="45" t="n">
        <v>275</v>
      </c>
      <c r="B286" s="46" t="s">
        <v>400</v>
      </c>
      <c r="C286" s="47" t="s">
        <v>25</v>
      </c>
      <c r="D286" s="48" t="n">
        <v>2</v>
      </c>
      <c r="E286" s="50" t="n">
        <v>27700.56</v>
      </c>
      <c r="F286" s="47" t="s">
        <v>27</v>
      </c>
      <c r="G286" s="52" t="n">
        <f aca="false">32738.89/1.2</f>
        <v>27282.4083333333</v>
      </c>
      <c r="H286" s="53" t="n">
        <f aca="false">D286*G286</f>
        <v>54564.8166666667</v>
      </c>
      <c r="I286" s="53" t="s">
        <v>28</v>
      </c>
      <c r="J286" s="52" t="n">
        <v>28314.24</v>
      </c>
      <c r="K286" s="53" t="n">
        <f aca="false">D286*J286</f>
        <v>56628.48</v>
      </c>
      <c r="L286" s="48" t="s">
        <v>29</v>
      </c>
      <c r="M286" s="52" t="n">
        <v>27597.6</v>
      </c>
      <c r="N286" s="53" t="n">
        <f aca="false">D286*M286</f>
        <v>55195.2</v>
      </c>
      <c r="O286" s="54" t="n">
        <f aca="false">AVERAGE(G286,J286,M286)</f>
        <v>27731.4161111111</v>
      </c>
      <c r="P286" s="55" t="n">
        <f aca="false">E286*100/O286-100</f>
        <v>-0.11126770803007</v>
      </c>
      <c r="Q286" s="54" t="n">
        <f aca="false">D286*E286</f>
        <v>55401.12</v>
      </c>
      <c r="R286" s="56"/>
      <c r="T286" s="57" t="n">
        <f aca="false">ROUND(G286*100/O286-100,0)</f>
        <v>-2</v>
      </c>
      <c r="U286" s="57" t="n">
        <f aca="false">ROUND(J286*100/O286-100,0)</f>
        <v>2</v>
      </c>
      <c r="V286" s="57" t="n">
        <f aca="false">ROUND(M286*100/O286-100,0)</f>
        <v>-0</v>
      </c>
    </row>
    <row r="287" s="43" customFormat="true" ht="73.5" hidden="false" customHeight="true" outlineLevel="0" collapsed="false">
      <c r="A287" s="45" t="n">
        <v>276</v>
      </c>
      <c r="B287" s="46" t="s">
        <v>401</v>
      </c>
      <c r="C287" s="47" t="s">
        <v>25</v>
      </c>
      <c r="D287" s="48" t="n">
        <v>1</v>
      </c>
      <c r="E287" s="50" t="n">
        <v>46300.5</v>
      </c>
      <c r="F287" s="47" t="s">
        <v>27</v>
      </c>
      <c r="G287" s="52" t="n">
        <f aca="false">54979.55/1.2</f>
        <v>45816.2916666667</v>
      </c>
      <c r="H287" s="53" t="n">
        <f aca="false">D287*G287</f>
        <v>45816.2916666667</v>
      </c>
      <c r="I287" s="53" t="s">
        <v>28</v>
      </c>
      <c r="J287" s="52" t="n">
        <v>46315.48</v>
      </c>
      <c r="K287" s="53" t="n">
        <f aca="false">D287*J287</f>
        <v>46315.48</v>
      </c>
      <c r="L287" s="48" t="s">
        <v>29</v>
      </c>
      <c r="M287" s="52" t="n">
        <v>46780.3</v>
      </c>
      <c r="N287" s="53" t="n">
        <f aca="false">D287*M287</f>
        <v>46780.3</v>
      </c>
      <c r="O287" s="54" t="n">
        <f aca="false">AVERAGE(G287,J287,M287)</f>
        <v>46304.0238888889</v>
      </c>
      <c r="P287" s="55" t="n">
        <f aca="false">E287*100/O287-100</f>
        <v>-0.00761032971421116</v>
      </c>
      <c r="Q287" s="54" t="n">
        <f aca="false">D287*E287</f>
        <v>46300.5</v>
      </c>
      <c r="R287" s="56"/>
      <c r="T287" s="57" t="n">
        <f aca="false">ROUND(G287*100/O287-100,0)</f>
        <v>-1</v>
      </c>
      <c r="U287" s="57" t="n">
        <f aca="false">ROUND(J287*100/O287-100,0)</f>
        <v>0</v>
      </c>
      <c r="V287" s="57" t="n">
        <f aca="false">ROUND(M287*100/O287-100,0)</f>
        <v>1</v>
      </c>
    </row>
    <row r="288" s="43" customFormat="true" ht="73.5" hidden="false" customHeight="true" outlineLevel="0" collapsed="false">
      <c r="A288" s="45" t="n">
        <v>277</v>
      </c>
      <c r="B288" s="46" t="s">
        <v>402</v>
      </c>
      <c r="C288" s="47" t="s">
        <v>147</v>
      </c>
      <c r="D288" s="48" t="n">
        <v>2</v>
      </c>
      <c r="E288" s="50" t="n">
        <v>42.3</v>
      </c>
      <c r="F288" s="47" t="s">
        <v>27</v>
      </c>
      <c r="G288" s="52" t="n">
        <f aca="false">50.03/1.2</f>
        <v>41.6916666666667</v>
      </c>
      <c r="H288" s="53" t="n">
        <f aca="false">D288*G288</f>
        <v>83.3833333333333</v>
      </c>
      <c r="I288" s="53" t="s">
        <v>28</v>
      </c>
      <c r="J288" s="52" t="n">
        <v>42.01</v>
      </c>
      <c r="K288" s="53" t="n">
        <f aca="false">D288*J288</f>
        <v>84.02</v>
      </c>
      <c r="L288" s="48" t="s">
        <v>29</v>
      </c>
      <c r="M288" s="52" t="n">
        <v>44.25</v>
      </c>
      <c r="N288" s="53" t="n">
        <f aca="false">D288*M288</f>
        <v>88.5</v>
      </c>
      <c r="O288" s="54" t="n">
        <f aca="false">AVERAGE(G288,J288,M288)</f>
        <v>42.6505555555556</v>
      </c>
      <c r="P288" s="55" t="n">
        <f aca="false">E288*100/O288-100</f>
        <v>-0.821924945617482</v>
      </c>
      <c r="Q288" s="54" t="n">
        <f aca="false">D288*E288</f>
        <v>84.6</v>
      </c>
      <c r="R288" s="62" t="s">
        <v>116</v>
      </c>
      <c r="T288" s="57" t="n">
        <f aca="false">ROUND(G288*100/O288-100,0)</f>
        <v>-2</v>
      </c>
      <c r="U288" s="57" t="n">
        <f aca="false">ROUND(J288*100/O288-100,0)</f>
        <v>-2</v>
      </c>
      <c r="V288" s="57" t="n">
        <f aca="false">ROUND(M288*100/O288-100,0)</f>
        <v>4</v>
      </c>
    </row>
    <row r="289" s="43" customFormat="true" ht="73.5" hidden="false" customHeight="true" outlineLevel="0" collapsed="false">
      <c r="A289" s="45" t="n">
        <v>278</v>
      </c>
      <c r="B289" s="46" t="s">
        <v>403</v>
      </c>
      <c r="C289" s="47" t="s">
        <v>147</v>
      </c>
      <c r="D289" s="48" t="n">
        <v>10</v>
      </c>
      <c r="E289" s="50" t="n">
        <v>21.55</v>
      </c>
      <c r="F289" s="47" t="s">
        <v>27</v>
      </c>
      <c r="G289" s="52" t="n">
        <f aca="false">23.86/1.2</f>
        <v>19.8833333333333</v>
      </c>
      <c r="H289" s="53" t="n">
        <f aca="false">D289*G289</f>
        <v>198.833333333333</v>
      </c>
      <c r="I289" s="53" t="s">
        <v>28</v>
      </c>
      <c r="J289" s="52" t="n">
        <v>23.66</v>
      </c>
      <c r="K289" s="53" t="n">
        <f aca="false">D289*J289</f>
        <v>236.6</v>
      </c>
      <c r="L289" s="48" t="s">
        <v>29</v>
      </c>
      <c r="M289" s="52" t="n">
        <v>21.7</v>
      </c>
      <c r="N289" s="53" t="n">
        <f aca="false">D289*M289</f>
        <v>217</v>
      </c>
      <c r="O289" s="54" t="n">
        <f aca="false">AVERAGE(G289,J289,M289)</f>
        <v>21.7477777777778</v>
      </c>
      <c r="P289" s="55" t="n">
        <f aca="false">E289*100/O289-100</f>
        <v>-0.9094160322894</v>
      </c>
      <c r="Q289" s="54" t="n">
        <f aca="false">D289*E289</f>
        <v>215.5</v>
      </c>
      <c r="R289" s="62" t="s">
        <v>116</v>
      </c>
      <c r="T289" s="57" t="n">
        <f aca="false">ROUND(G289*100/O289-100,0)</f>
        <v>-9</v>
      </c>
      <c r="U289" s="57" t="n">
        <f aca="false">ROUND(J289*100/O289-100,0)</f>
        <v>9</v>
      </c>
      <c r="V289" s="57" t="n">
        <f aca="false">ROUND(M289*100/O289-100,0)</f>
        <v>-0</v>
      </c>
    </row>
    <row r="290" s="43" customFormat="true" ht="73.5" hidden="false" customHeight="true" outlineLevel="0" collapsed="false">
      <c r="A290" s="45" t="n">
        <v>279</v>
      </c>
      <c r="B290" s="46" t="s">
        <v>404</v>
      </c>
      <c r="C290" s="47" t="s">
        <v>147</v>
      </c>
      <c r="D290" s="48" t="n">
        <v>2</v>
      </c>
      <c r="E290" s="50" t="n">
        <v>17.5</v>
      </c>
      <c r="F290" s="47" t="s">
        <v>27</v>
      </c>
      <c r="G290" s="52" t="n">
        <f aca="false">19.58/1.2</f>
        <v>16.3166666666667</v>
      </c>
      <c r="H290" s="53" t="n">
        <f aca="false">D290*G290</f>
        <v>32.6333333333333</v>
      </c>
      <c r="I290" s="53" t="s">
        <v>28</v>
      </c>
      <c r="J290" s="52" t="n">
        <v>17.74</v>
      </c>
      <c r="K290" s="53" t="n">
        <f aca="false">D290*J290</f>
        <v>35.48</v>
      </c>
      <c r="L290" s="48" t="s">
        <v>29</v>
      </c>
      <c r="M290" s="52" t="n">
        <v>19.7</v>
      </c>
      <c r="N290" s="53" t="n">
        <f aca="false">D290*M290</f>
        <v>39.4</v>
      </c>
      <c r="O290" s="54" t="n">
        <f aca="false">AVERAGE(G290,J290,M290)</f>
        <v>17.9188888888889</v>
      </c>
      <c r="P290" s="55" t="n">
        <f aca="false">E290*100/O290-100</f>
        <v>-2.33769454951323</v>
      </c>
      <c r="Q290" s="54" t="n">
        <f aca="false">D290*E290</f>
        <v>35</v>
      </c>
      <c r="R290" s="62" t="s">
        <v>116</v>
      </c>
      <c r="T290" s="57" t="n">
        <f aca="false">ROUND(G290*100/O290-100,0)</f>
        <v>-9</v>
      </c>
      <c r="U290" s="57" t="n">
        <f aca="false">ROUND(J290*100/O290-100,0)</f>
        <v>-1</v>
      </c>
      <c r="V290" s="57" t="n">
        <f aca="false">ROUND(M290*100/O290-100,0)</f>
        <v>10</v>
      </c>
    </row>
    <row r="291" s="43" customFormat="true" ht="73.5" hidden="false" customHeight="true" outlineLevel="0" collapsed="false">
      <c r="A291" s="45" t="n">
        <v>280</v>
      </c>
      <c r="B291" s="46" t="s">
        <v>405</v>
      </c>
      <c r="C291" s="47" t="s">
        <v>147</v>
      </c>
      <c r="D291" s="48" t="n">
        <v>10</v>
      </c>
      <c r="E291" s="50" t="n">
        <v>48.02</v>
      </c>
      <c r="F291" s="47" t="s">
        <v>27</v>
      </c>
      <c r="G291" s="52" t="n">
        <f aca="false">55.42/1.2</f>
        <v>46.1833333333333</v>
      </c>
      <c r="H291" s="53" t="n">
        <f aca="false">D291*G291</f>
        <v>461.833333333333</v>
      </c>
      <c r="I291" s="53" t="s">
        <v>28</v>
      </c>
      <c r="J291" s="52" t="n">
        <v>51.47</v>
      </c>
      <c r="K291" s="53" t="n">
        <f aca="false">D291*J291</f>
        <v>514.7</v>
      </c>
      <c r="L291" s="48" t="s">
        <v>29</v>
      </c>
      <c r="M291" s="52" t="n">
        <v>48.63</v>
      </c>
      <c r="N291" s="53" t="n">
        <f aca="false">D291*M291</f>
        <v>486.3</v>
      </c>
      <c r="O291" s="54" t="n">
        <f aca="false">AVERAGE(G291,J291,M291)</f>
        <v>48.7611111111111</v>
      </c>
      <c r="P291" s="55" t="n">
        <f aca="false">E291*100/O291-100</f>
        <v>-1.5198815084881</v>
      </c>
      <c r="Q291" s="54" t="n">
        <f aca="false">D291*E291</f>
        <v>480.2</v>
      </c>
      <c r="R291" s="62" t="s">
        <v>116</v>
      </c>
      <c r="T291" s="57" t="n">
        <f aca="false">ROUND(G291*100/O291-100,0)</f>
        <v>-5</v>
      </c>
      <c r="U291" s="57" t="n">
        <f aca="false">ROUND(J291*100/O291-100,0)</f>
        <v>6</v>
      </c>
      <c r="V291" s="57" t="n">
        <f aca="false">ROUND(M291*100/O291-100,0)</f>
        <v>-0</v>
      </c>
    </row>
    <row r="292" s="43" customFormat="true" ht="73.5" hidden="false" customHeight="true" outlineLevel="0" collapsed="false">
      <c r="A292" s="45" t="n">
        <v>281</v>
      </c>
      <c r="B292" s="46" t="s">
        <v>406</v>
      </c>
      <c r="C292" s="47" t="s">
        <v>25</v>
      </c>
      <c r="D292" s="48" t="n">
        <v>4</v>
      </c>
      <c r="E292" s="50" t="n">
        <v>869.7</v>
      </c>
      <c r="F292" s="47" t="s">
        <v>27</v>
      </c>
      <c r="G292" s="52" t="n">
        <f aca="false">998.09/1.2</f>
        <v>831.741666666667</v>
      </c>
      <c r="H292" s="53" t="n">
        <f aca="false">D292*G292</f>
        <v>3326.96666666667</v>
      </c>
      <c r="I292" s="53" t="s">
        <v>28</v>
      </c>
      <c r="J292" s="52" t="n">
        <v>864.2</v>
      </c>
      <c r="K292" s="53" t="n">
        <f aca="false">D292*J292</f>
        <v>3456.8</v>
      </c>
      <c r="L292" s="48" t="s">
        <v>29</v>
      </c>
      <c r="M292" s="52" t="n">
        <v>921.4</v>
      </c>
      <c r="N292" s="53" t="n">
        <f aca="false">D292*M292</f>
        <v>3685.6</v>
      </c>
      <c r="O292" s="54" t="n">
        <f aca="false">AVERAGE(G292,J292,M292)</f>
        <v>872.447222222222</v>
      </c>
      <c r="P292" s="55" t="n">
        <f aca="false">E292*100/O292-100</f>
        <v>-0.314886924073718</v>
      </c>
      <c r="Q292" s="54" t="n">
        <f aca="false">D292*E292</f>
        <v>3478.8</v>
      </c>
      <c r="R292" s="63"/>
      <c r="T292" s="57" t="n">
        <f aca="false">ROUND(G292*100/O292-100,0)</f>
        <v>-5</v>
      </c>
      <c r="U292" s="57" t="n">
        <f aca="false">ROUND(J292*100/O292-100,0)</f>
        <v>-1</v>
      </c>
      <c r="V292" s="57" t="n">
        <f aca="false">ROUND(M292*100/O292-100,0)</f>
        <v>6</v>
      </c>
    </row>
    <row r="293" s="43" customFormat="true" ht="73.5" hidden="false" customHeight="true" outlineLevel="0" collapsed="false">
      <c r="A293" s="45" t="n">
        <v>282</v>
      </c>
      <c r="B293" s="46" t="s">
        <v>407</v>
      </c>
      <c r="C293" s="47" t="s">
        <v>25</v>
      </c>
      <c r="D293" s="48" t="n">
        <v>100</v>
      </c>
      <c r="E293" s="50" t="n">
        <v>2075.4</v>
      </c>
      <c r="F293" s="47" t="s">
        <v>56</v>
      </c>
      <c r="G293" s="52" t="n">
        <v>2105.69</v>
      </c>
      <c r="H293" s="53" t="n">
        <f aca="false">D293*G293</f>
        <v>210569</v>
      </c>
      <c r="I293" s="47" t="s">
        <v>57</v>
      </c>
      <c r="J293" s="52" t="n">
        <v>1929.86</v>
      </c>
      <c r="K293" s="53" t="n">
        <f aca="false">D293*J293</f>
        <v>192986</v>
      </c>
      <c r="L293" s="47" t="s">
        <v>119</v>
      </c>
      <c r="M293" s="52" t="n">
        <v>2201.34</v>
      </c>
      <c r="N293" s="53" t="n">
        <f aca="false">D293*M293</f>
        <v>220134</v>
      </c>
      <c r="O293" s="54" t="n">
        <f aca="false">AVERAGE(G293,J293,M293)</f>
        <v>2078.96333333333</v>
      </c>
      <c r="P293" s="55" t="n">
        <f aca="false">E293*100/O293-100</f>
        <v>-0.171399527649214</v>
      </c>
      <c r="Q293" s="54" t="n">
        <f aca="false">D293*E293</f>
        <v>207540</v>
      </c>
      <c r="R293" s="63"/>
      <c r="T293" s="57" t="n">
        <f aca="false">ROUND(G293*100/O293-100,0)</f>
        <v>1</v>
      </c>
      <c r="U293" s="57" t="n">
        <f aca="false">ROUND(J293*100/O293-100,0)</f>
        <v>-7</v>
      </c>
      <c r="V293" s="57" t="n">
        <f aca="false">ROUND(M293*100/O293-100,0)</f>
        <v>6</v>
      </c>
    </row>
    <row r="294" s="43" customFormat="true" ht="73.5" hidden="false" customHeight="true" outlineLevel="0" collapsed="false">
      <c r="A294" s="45" t="n">
        <v>283</v>
      </c>
      <c r="B294" s="46" t="s">
        <v>408</v>
      </c>
      <c r="C294" s="47" t="s">
        <v>25</v>
      </c>
      <c r="D294" s="48" t="n">
        <v>10</v>
      </c>
      <c r="E294" s="50" t="n">
        <v>1865.8</v>
      </c>
      <c r="F294" s="47" t="s">
        <v>27</v>
      </c>
      <c r="G294" s="52" t="n">
        <f aca="false">2139.16/1.2</f>
        <v>1782.63333333333</v>
      </c>
      <c r="H294" s="53" t="n">
        <f aca="false">D294*G294</f>
        <v>17826.3333333333</v>
      </c>
      <c r="I294" s="53" t="s">
        <v>28</v>
      </c>
      <c r="J294" s="52" t="n">
        <v>1874.56</v>
      </c>
      <c r="K294" s="53" t="n">
        <f aca="false">D294*J294</f>
        <v>18745.6</v>
      </c>
      <c r="L294" s="48" t="s">
        <v>29</v>
      </c>
      <c r="M294" s="52" t="n">
        <v>1947.3</v>
      </c>
      <c r="N294" s="53" t="n">
        <f aca="false">D294*M294</f>
        <v>19473</v>
      </c>
      <c r="O294" s="54" t="n">
        <f aca="false">AVERAGE(G294,J294,M294)</f>
        <v>1868.16444444444</v>
      </c>
      <c r="P294" s="55" t="n">
        <f aca="false">E294*100/O294-100</f>
        <v>-0.126565113230569</v>
      </c>
      <c r="Q294" s="54" t="n">
        <f aca="false">D294*E294</f>
        <v>18658</v>
      </c>
      <c r="R294" s="63"/>
      <c r="T294" s="57" t="n">
        <f aca="false">ROUND(G294*100/O294-100,0)</f>
        <v>-5</v>
      </c>
      <c r="U294" s="57" t="n">
        <f aca="false">ROUND(J294*100/O294-100,0)</f>
        <v>0</v>
      </c>
      <c r="V294" s="57" t="n">
        <f aca="false">ROUND(M294*100/O294-100,0)</f>
        <v>4</v>
      </c>
    </row>
    <row r="295" s="43" customFormat="true" ht="73.5" hidden="false" customHeight="true" outlineLevel="0" collapsed="false">
      <c r="A295" s="45" t="n">
        <v>284</v>
      </c>
      <c r="B295" s="46" t="s">
        <v>409</v>
      </c>
      <c r="C295" s="47" t="s">
        <v>25</v>
      </c>
      <c r="D295" s="48" t="n">
        <v>2</v>
      </c>
      <c r="E295" s="50" t="n">
        <v>31990.5</v>
      </c>
      <c r="F295" s="47" t="s">
        <v>27</v>
      </c>
      <c r="G295" s="52" t="n">
        <f aca="false">37069.36/1.2</f>
        <v>30891.1333333333</v>
      </c>
      <c r="H295" s="53" t="n">
        <f aca="false">D295*G295</f>
        <v>61782.2666666667</v>
      </c>
      <c r="I295" s="53" t="s">
        <v>28</v>
      </c>
      <c r="J295" s="52" t="n">
        <v>32114.72</v>
      </c>
      <c r="K295" s="53" t="n">
        <f aca="false">D295*J295</f>
        <v>64229.44</v>
      </c>
      <c r="L295" s="48" t="s">
        <v>29</v>
      </c>
      <c r="M295" s="52" t="n">
        <v>32972.6</v>
      </c>
      <c r="N295" s="53" t="n">
        <f aca="false">D295*M295</f>
        <v>65945.2</v>
      </c>
      <c r="O295" s="54" t="n">
        <f aca="false">AVERAGE(G295,J295,M295)</f>
        <v>31992.8177777778</v>
      </c>
      <c r="P295" s="55" t="n">
        <f aca="false">E295*100/O295-100</f>
        <v>-0.00724468158408342</v>
      </c>
      <c r="Q295" s="54" t="n">
        <f aca="false">D295*E295</f>
        <v>63981</v>
      </c>
      <c r="R295" s="63"/>
      <c r="T295" s="57" t="n">
        <f aca="false">ROUND(G295*100/O295-100,0)</f>
        <v>-3</v>
      </c>
      <c r="U295" s="57" t="n">
        <f aca="false">ROUND(J295*100/O295-100,0)</f>
        <v>0</v>
      </c>
      <c r="V295" s="57" t="n">
        <f aca="false">ROUND(M295*100/O295-100,0)</f>
        <v>3</v>
      </c>
    </row>
    <row r="296" s="43" customFormat="true" ht="73.5" hidden="false" customHeight="true" outlineLevel="0" collapsed="false">
      <c r="A296" s="45" t="n">
        <v>285</v>
      </c>
      <c r="B296" s="46" t="s">
        <v>410</v>
      </c>
      <c r="C296" s="47" t="s">
        <v>25</v>
      </c>
      <c r="D296" s="48" t="n">
        <v>20</v>
      </c>
      <c r="E296" s="50" t="n">
        <v>110.4</v>
      </c>
      <c r="F296" s="47" t="s">
        <v>27</v>
      </c>
      <c r="G296" s="52" t="n">
        <f aca="false">130.26/1.2</f>
        <v>108.55</v>
      </c>
      <c r="H296" s="53" t="n">
        <f aca="false">D296*G296</f>
        <v>2171</v>
      </c>
      <c r="I296" s="53" t="s">
        <v>28</v>
      </c>
      <c r="J296" s="52" t="n">
        <v>110.5</v>
      </c>
      <c r="K296" s="53" t="n">
        <f aca="false">D296*J296</f>
        <v>2210</v>
      </c>
      <c r="L296" s="48" t="s">
        <v>29</v>
      </c>
      <c r="M296" s="52" t="n">
        <v>114.8</v>
      </c>
      <c r="N296" s="53" t="n">
        <f aca="false">D296*M296</f>
        <v>2296</v>
      </c>
      <c r="O296" s="54" t="n">
        <f aca="false">AVERAGE(G296,J296,M296)</f>
        <v>111.283333333333</v>
      </c>
      <c r="P296" s="55" t="n">
        <f aca="false">E296*100/O296-100</f>
        <v>-0.793769657031618</v>
      </c>
      <c r="Q296" s="54" t="n">
        <f aca="false">D296*E296</f>
        <v>2208</v>
      </c>
      <c r="R296" s="62" t="s">
        <v>116</v>
      </c>
      <c r="T296" s="57" t="n">
        <f aca="false">ROUND(G296*100/O296-100,0)</f>
        <v>-2</v>
      </c>
      <c r="U296" s="57" t="n">
        <f aca="false">ROUND(J296*100/O296-100,0)</f>
        <v>-1</v>
      </c>
      <c r="V296" s="57" t="n">
        <f aca="false">ROUND(M296*100/O296-100,0)</f>
        <v>3</v>
      </c>
    </row>
    <row r="297" s="43" customFormat="true" ht="73.5" hidden="false" customHeight="true" outlineLevel="0" collapsed="false">
      <c r="A297" s="45" t="n">
        <v>286</v>
      </c>
      <c r="B297" s="46" t="s">
        <v>411</v>
      </c>
      <c r="C297" s="47" t="s">
        <v>25</v>
      </c>
      <c r="D297" s="48" t="n">
        <v>1</v>
      </c>
      <c r="E297" s="50" t="n">
        <v>2664.2</v>
      </c>
      <c r="F297" s="47" t="s">
        <v>27</v>
      </c>
      <c r="G297" s="52" t="n">
        <f aca="false">3124.54/1.2</f>
        <v>2603.78333333333</v>
      </c>
      <c r="H297" s="53" t="n">
        <f aca="false">D297*G297</f>
        <v>2603.78333333333</v>
      </c>
      <c r="I297" s="53" t="s">
        <v>28</v>
      </c>
      <c r="J297" s="52" t="n">
        <v>2754.12</v>
      </c>
      <c r="K297" s="53" t="n">
        <f aca="false">D297*J297</f>
        <v>2754.12</v>
      </c>
      <c r="L297" s="48" t="s">
        <v>29</v>
      </c>
      <c r="M297" s="52" t="n">
        <v>2697.35</v>
      </c>
      <c r="N297" s="53" t="n">
        <f aca="false">D297*M297</f>
        <v>2697.35</v>
      </c>
      <c r="O297" s="54" t="n">
        <f aca="false">AVERAGE(G297,J297,M297)</f>
        <v>2685.08444444444</v>
      </c>
      <c r="P297" s="55" t="n">
        <f aca="false">E297*100/O297-100</f>
        <v>-0.7777946979528</v>
      </c>
      <c r="Q297" s="54" t="n">
        <f aca="false">D297*E297</f>
        <v>2664.2</v>
      </c>
      <c r="R297" s="63"/>
      <c r="T297" s="57" t="n">
        <f aca="false">ROUND(G297*100/O297-100,0)</f>
        <v>-3</v>
      </c>
      <c r="U297" s="57" t="n">
        <f aca="false">ROUND(J297*100/O297-100,0)</f>
        <v>3</v>
      </c>
      <c r="V297" s="57" t="n">
        <f aca="false">ROUND(M297*100/O297-100,0)</f>
        <v>0</v>
      </c>
    </row>
    <row r="298" s="43" customFormat="true" ht="73.5" hidden="false" customHeight="true" outlineLevel="0" collapsed="false">
      <c r="A298" s="45" t="n">
        <v>287</v>
      </c>
      <c r="B298" s="46" t="s">
        <v>412</v>
      </c>
      <c r="C298" s="47" t="s">
        <v>25</v>
      </c>
      <c r="D298" s="48" t="n">
        <v>1250</v>
      </c>
      <c r="E298" s="50" t="n">
        <v>1.37</v>
      </c>
      <c r="F298" s="47" t="s">
        <v>27</v>
      </c>
      <c r="G298" s="52" t="n">
        <f aca="false">1.55/1.2</f>
        <v>1.29166666666667</v>
      </c>
      <c r="H298" s="53" t="n">
        <f aca="false">D298*G298</f>
        <v>1614.58333333333</v>
      </c>
      <c r="I298" s="53" t="s">
        <v>28</v>
      </c>
      <c r="J298" s="52" t="n">
        <v>1.36</v>
      </c>
      <c r="K298" s="53" t="n">
        <f aca="false">D298*J298</f>
        <v>1700</v>
      </c>
      <c r="L298" s="48" t="s">
        <v>29</v>
      </c>
      <c r="M298" s="52" t="n">
        <v>1.51</v>
      </c>
      <c r="N298" s="53" t="n">
        <f aca="false">D298*M298</f>
        <v>1887.5</v>
      </c>
      <c r="O298" s="54" t="n">
        <f aca="false">AVERAGE(G298,J298,M298)</f>
        <v>1.38722222222222</v>
      </c>
      <c r="P298" s="55" t="n">
        <f aca="false">E298*100/O298-100</f>
        <v>-1.24148978774531</v>
      </c>
      <c r="Q298" s="54" t="n">
        <f aca="false">D298*E298</f>
        <v>1712.5</v>
      </c>
      <c r="R298" s="63"/>
      <c r="T298" s="57" t="n">
        <f aca="false">ROUND(G298*100/O298-100,0)</f>
        <v>-7</v>
      </c>
      <c r="U298" s="57" t="n">
        <f aca="false">ROUND(J298*100/O298-100,0)</f>
        <v>-2</v>
      </c>
      <c r="V298" s="57" t="n">
        <f aca="false">ROUND(M298*100/O298-100,0)</f>
        <v>9</v>
      </c>
    </row>
    <row r="299" s="43" customFormat="true" ht="73.5" hidden="false" customHeight="true" outlineLevel="0" collapsed="false">
      <c r="A299" s="45" t="n">
        <v>288</v>
      </c>
      <c r="B299" s="46" t="s">
        <v>413</v>
      </c>
      <c r="C299" s="47" t="s">
        <v>25</v>
      </c>
      <c r="D299" s="48" t="n">
        <v>80</v>
      </c>
      <c r="E299" s="50" t="n">
        <v>1.18</v>
      </c>
      <c r="F299" s="47" t="s">
        <v>39</v>
      </c>
      <c r="G299" s="52" t="n">
        <v>1.14</v>
      </c>
      <c r="H299" s="53" t="n">
        <f aca="false">D299*G299</f>
        <v>91.2</v>
      </c>
      <c r="I299" s="47" t="s">
        <v>54</v>
      </c>
      <c r="J299" s="52" t="n">
        <v>1.2</v>
      </c>
      <c r="K299" s="53" t="n">
        <f aca="false">D299*J299</f>
        <v>96</v>
      </c>
      <c r="L299" s="53" t="s">
        <v>41</v>
      </c>
      <c r="M299" s="52" t="n">
        <v>1.23</v>
      </c>
      <c r="N299" s="53" t="n">
        <f aca="false">D299*M299</f>
        <v>98.4</v>
      </c>
      <c r="O299" s="54" t="n">
        <f aca="false">AVERAGE(G299,J299,M299)</f>
        <v>1.19</v>
      </c>
      <c r="P299" s="55" t="n">
        <f aca="false">E299*100/O299-100</f>
        <v>-0.840336134453779</v>
      </c>
      <c r="Q299" s="54" t="n">
        <f aca="false">D299*E299</f>
        <v>94.4</v>
      </c>
      <c r="R299" s="56"/>
      <c r="T299" s="57" t="n">
        <f aca="false">ROUND(G299*100/O299-100,0)</f>
        <v>-4</v>
      </c>
      <c r="U299" s="57" t="n">
        <f aca="false">ROUND(J299*100/O299-100,0)</f>
        <v>1</v>
      </c>
      <c r="V299" s="57" t="n">
        <f aca="false">ROUND(M299*100/O299-100,0)</f>
        <v>3</v>
      </c>
    </row>
    <row r="300" s="43" customFormat="true" ht="73.5" hidden="false" customHeight="true" outlineLevel="0" collapsed="false">
      <c r="A300" s="45" t="n">
        <v>289</v>
      </c>
      <c r="B300" s="46" t="s">
        <v>414</v>
      </c>
      <c r="C300" s="47" t="s">
        <v>25</v>
      </c>
      <c r="D300" s="48" t="n">
        <v>40</v>
      </c>
      <c r="E300" s="50" t="n">
        <v>3.91</v>
      </c>
      <c r="F300" s="47" t="s">
        <v>39</v>
      </c>
      <c r="G300" s="52" t="n">
        <v>3.82</v>
      </c>
      <c r="H300" s="53" t="n">
        <f aca="false">D300*G300</f>
        <v>152.8</v>
      </c>
      <c r="I300" s="47" t="s">
        <v>54</v>
      </c>
      <c r="J300" s="52" t="n">
        <v>4.01</v>
      </c>
      <c r="K300" s="53" t="n">
        <f aca="false">D300*J300</f>
        <v>160.4</v>
      </c>
      <c r="L300" s="53" t="s">
        <v>41</v>
      </c>
      <c r="M300" s="52" t="n">
        <v>4.05</v>
      </c>
      <c r="N300" s="53" t="n">
        <f aca="false">D300*M300</f>
        <v>162</v>
      </c>
      <c r="O300" s="54" t="n">
        <f aca="false">AVERAGE(G300,J300,M300)</f>
        <v>3.96</v>
      </c>
      <c r="P300" s="55" t="n">
        <f aca="false">E300*100/O300-100</f>
        <v>-1.26262626262626</v>
      </c>
      <c r="Q300" s="54" t="n">
        <f aca="false">D300*E300</f>
        <v>156.4</v>
      </c>
      <c r="R300" s="56"/>
      <c r="T300" s="57" t="n">
        <f aca="false">ROUND(G300*100/O300-100,0)</f>
        <v>-4</v>
      </c>
      <c r="U300" s="57" t="n">
        <f aca="false">ROUND(J300*100/O300-100,0)</f>
        <v>1</v>
      </c>
      <c r="V300" s="57" t="n">
        <f aca="false">ROUND(M300*100/O300-100,0)</f>
        <v>2</v>
      </c>
    </row>
    <row r="301" s="43" customFormat="true" ht="73.5" hidden="false" customHeight="true" outlineLevel="0" collapsed="false">
      <c r="A301" s="45" t="n">
        <v>290</v>
      </c>
      <c r="B301" s="46" t="s">
        <v>415</v>
      </c>
      <c r="C301" s="47" t="s">
        <v>25</v>
      </c>
      <c r="D301" s="48" t="n">
        <v>960</v>
      </c>
      <c r="E301" s="50" t="n">
        <v>2.4</v>
      </c>
      <c r="F301" s="47" t="s">
        <v>39</v>
      </c>
      <c r="G301" s="52" t="n">
        <v>2.36</v>
      </c>
      <c r="H301" s="53" t="n">
        <f aca="false">D301*G301</f>
        <v>2265.6</v>
      </c>
      <c r="I301" s="47" t="s">
        <v>54</v>
      </c>
      <c r="J301" s="52" t="n">
        <v>2.42</v>
      </c>
      <c r="K301" s="53" t="n">
        <f aca="false">D301*J301</f>
        <v>2323.2</v>
      </c>
      <c r="L301" s="53" t="s">
        <v>41</v>
      </c>
      <c r="M301" s="52" t="n">
        <v>2.45</v>
      </c>
      <c r="N301" s="53" t="n">
        <f aca="false">D301*M301</f>
        <v>2352</v>
      </c>
      <c r="O301" s="54" t="n">
        <f aca="false">AVERAGE(G301,J301,M301)</f>
        <v>2.41</v>
      </c>
      <c r="P301" s="55" t="n">
        <f aca="false">E301*100/O301-100</f>
        <v>-0.414937759336112</v>
      </c>
      <c r="Q301" s="54" t="n">
        <f aca="false">D301*E301</f>
        <v>2304</v>
      </c>
      <c r="R301" s="56"/>
      <c r="T301" s="57" t="n">
        <f aca="false">ROUND(G301*100/O301-100,0)</f>
        <v>-2</v>
      </c>
      <c r="U301" s="57" t="n">
        <f aca="false">ROUND(J301*100/O301-100,0)</f>
        <v>0</v>
      </c>
      <c r="V301" s="57" t="n">
        <f aca="false">ROUND(M301*100/O301-100,0)</f>
        <v>2</v>
      </c>
    </row>
    <row r="302" s="43" customFormat="true" ht="73.5" hidden="false" customHeight="true" outlineLevel="0" collapsed="false">
      <c r="A302" s="45" t="n">
        <v>291</v>
      </c>
      <c r="B302" s="46" t="s">
        <v>416</v>
      </c>
      <c r="C302" s="47" t="s">
        <v>25</v>
      </c>
      <c r="D302" s="48" t="n">
        <v>1200</v>
      </c>
      <c r="E302" s="50" t="n">
        <v>12.6</v>
      </c>
      <c r="F302" s="47" t="s">
        <v>39</v>
      </c>
      <c r="G302" s="52" t="n">
        <v>12.21</v>
      </c>
      <c r="H302" s="53" t="n">
        <f aca="false">D302*G302</f>
        <v>14652</v>
      </c>
      <c r="I302" s="47" t="s">
        <v>54</v>
      </c>
      <c r="J302" s="52" t="n">
        <v>12.8</v>
      </c>
      <c r="K302" s="53" t="n">
        <f aca="false">D302*J302</f>
        <v>15360</v>
      </c>
      <c r="L302" s="53" t="s">
        <v>41</v>
      </c>
      <c r="M302" s="52" t="n">
        <v>13.01</v>
      </c>
      <c r="N302" s="53" t="n">
        <f aca="false">D302*M302</f>
        <v>15612</v>
      </c>
      <c r="O302" s="54" t="n">
        <f aca="false">AVERAGE(G302,J302,M302)</f>
        <v>12.6733333333333</v>
      </c>
      <c r="P302" s="55" t="n">
        <f aca="false">E302*100/O302-100</f>
        <v>-0.578642819568657</v>
      </c>
      <c r="Q302" s="54" t="n">
        <f aca="false">D302*E302</f>
        <v>15120</v>
      </c>
      <c r="R302" s="56"/>
      <c r="T302" s="57" t="n">
        <f aca="false">ROUND(G302*100/O302-100,0)</f>
        <v>-4</v>
      </c>
      <c r="U302" s="57" t="n">
        <f aca="false">ROUND(J302*100/O302-100,0)</f>
        <v>1</v>
      </c>
      <c r="V302" s="57" t="n">
        <f aca="false">ROUND(M302*100/O302-100,0)</f>
        <v>3</v>
      </c>
    </row>
    <row r="303" s="43" customFormat="true" ht="73.5" hidden="false" customHeight="true" outlineLevel="0" collapsed="false">
      <c r="A303" s="45" t="n">
        <v>292</v>
      </c>
      <c r="B303" s="46" t="s">
        <v>417</v>
      </c>
      <c r="C303" s="47" t="s">
        <v>25</v>
      </c>
      <c r="D303" s="48" t="n">
        <v>80</v>
      </c>
      <c r="E303" s="50" t="n">
        <v>1.17</v>
      </c>
      <c r="F303" s="47" t="s">
        <v>39</v>
      </c>
      <c r="G303" s="52" t="n">
        <v>1.11</v>
      </c>
      <c r="H303" s="53" t="n">
        <f aca="false">D303*G303</f>
        <v>88.8</v>
      </c>
      <c r="I303" s="47" t="s">
        <v>54</v>
      </c>
      <c r="J303" s="52" t="n">
        <v>1.16</v>
      </c>
      <c r="K303" s="53" t="n">
        <f aca="false">D303*J303</f>
        <v>92.8</v>
      </c>
      <c r="L303" s="53" t="s">
        <v>41</v>
      </c>
      <c r="M303" s="52" t="n">
        <v>1.31</v>
      </c>
      <c r="N303" s="53" t="n">
        <f aca="false">D303*M303</f>
        <v>104.8</v>
      </c>
      <c r="O303" s="54" t="n">
        <f aca="false">AVERAGE(G303,J303,M303)</f>
        <v>1.19333333333333</v>
      </c>
      <c r="P303" s="55" t="n">
        <f aca="false">E303*100/O303-100</f>
        <v>-1.95530726256983</v>
      </c>
      <c r="Q303" s="54" t="n">
        <f aca="false">D303*E303</f>
        <v>93.6</v>
      </c>
      <c r="R303" s="56"/>
      <c r="T303" s="57" t="n">
        <f aca="false">ROUND(G303*100/O303-100,0)</f>
        <v>-7</v>
      </c>
      <c r="U303" s="57" t="n">
        <f aca="false">ROUND(J303*100/O303-100,0)</f>
        <v>-3</v>
      </c>
      <c r="V303" s="57" t="n">
        <f aca="false">ROUND(M303*100/O303-100,0)</f>
        <v>10</v>
      </c>
    </row>
    <row r="304" s="43" customFormat="true" ht="73.5" hidden="false" customHeight="true" outlineLevel="0" collapsed="false">
      <c r="A304" s="45" t="n">
        <v>293</v>
      </c>
      <c r="B304" s="46" t="s">
        <v>418</v>
      </c>
      <c r="C304" s="47" t="s">
        <v>25</v>
      </c>
      <c r="D304" s="48" t="n">
        <v>60</v>
      </c>
      <c r="E304" s="50" t="n">
        <v>0.51</v>
      </c>
      <c r="F304" s="47" t="s">
        <v>39</v>
      </c>
      <c r="G304" s="52" t="n">
        <v>0.49</v>
      </c>
      <c r="H304" s="53" t="n">
        <f aca="false">D304*G304</f>
        <v>29.4</v>
      </c>
      <c r="I304" s="47" t="s">
        <v>54</v>
      </c>
      <c r="J304" s="52" t="n">
        <v>0.51</v>
      </c>
      <c r="K304" s="53" t="n">
        <f aca="false">D304*J304</f>
        <v>30.6</v>
      </c>
      <c r="L304" s="53" t="s">
        <v>41</v>
      </c>
      <c r="M304" s="52" t="n">
        <v>0.55</v>
      </c>
      <c r="N304" s="53" t="n">
        <f aca="false">D304*M304</f>
        <v>33</v>
      </c>
      <c r="O304" s="54" t="n">
        <f aca="false">AVERAGE(G304,J304,M304)</f>
        <v>0.516666666666667</v>
      </c>
      <c r="P304" s="55" t="n">
        <f aca="false">E304*100/O304-100</f>
        <v>-1.29032258064517</v>
      </c>
      <c r="Q304" s="54" t="n">
        <f aca="false">D304*E304</f>
        <v>30.6</v>
      </c>
      <c r="R304" s="56"/>
      <c r="T304" s="57" t="n">
        <f aca="false">ROUND(G304*100/O304-100,0)</f>
        <v>-5</v>
      </c>
      <c r="U304" s="57" t="n">
        <f aca="false">ROUND(J304*100/O304-100,0)</f>
        <v>-1</v>
      </c>
      <c r="V304" s="57" t="n">
        <f aca="false">ROUND(M304*100/O304-100,0)</f>
        <v>6</v>
      </c>
    </row>
    <row r="305" s="43" customFormat="true" ht="73.5" hidden="false" customHeight="true" outlineLevel="0" collapsed="false">
      <c r="A305" s="45" t="n">
        <v>294</v>
      </c>
      <c r="B305" s="46" t="s">
        <v>419</v>
      </c>
      <c r="C305" s="47" t="s">
        <v>25</v>
      </c>
      <c r="D305" s="48" t="n">
        <v>40</v>
      </c>
      <c r="E305" s="50" t="n">
        <v>2.35</v>
      </c>
      <c r="F305" s="47" t="s">
        <v>39</v>
      </c>
      <c r="G305" s="52" t="n">
        <v>2.14</v>
      </c>
      <c r="H305" s="53" t="n">
        <f aca="false">D305*G305</f>
        <v>85.6</v>
      </c>
      <c r="I305" s="47" t="s">
        <v>54</v>
      </c>
      <c r="J305" s="52" t="n">
        <v>2.64</v>
      </c>
      <c r="K305" s="53" t="n">
        <f aca="false">D305*J305</f>
        <v>105.6</v>
      </c>
      <c r="L305" s="53" t="s">
        <v>41</v>
      </c>
      <c r="M305" s="52" t="n">
        <v>2.33</v>
      </c>
      <c r="N305" s="53" t="n">
        <f aca="false">D305*M305</f>
        <v>93.2</v>
      </c>
      <c r="O305" s="54" t="n">
        <f aca="false">AVERAGE(G305,J305,M305)</f>
        <v>2.37</v>
      </c>
      <c r="P305" s="55" t="n">
        <f aca="false">E305*100/O305-100</f>
        <v>-0.843881856540094</v>
      </c>
      <c r="Q305" s="54" t="n">
        <f aca="false">D305*E305</f>
        <v>94</v>
      </c>
      <c r="R305" s="56"/>
      <c r="T305" s="57" t="n">
        <f aca="false">ROUND(G305*100/O305-100,0)</f>
        <v>-10</v>
      </c>
      <c r="U305" s="57" t="n">
        <f aca="false">ROUND(J305*100/O305-100,0)</f>
        <v>11</v>
      </c>
      <c r="V305" s="57" t="n">
        <f aca="false">ROUND(M305*100/O305-100,0)</f>
        <v>-2</v>
      </c>
    </row>
    <row r="306" s="43" customFormat="true" ht="73.5" hidden="false" customHeight="true" outlineLevel="0" collapsed="false">
      <c r="A306" s="45" t="n">
        <v>295</v>
      </c>
      <c r="B306" s="46" t="s">
        <v>420</v>
      </c>
      <c r="C306" s="47" t="s">
        <v>25</v>
      </c>
      <c r="D306" s="48" t="s">
        <v>421</v>
      </c>
      <c r="E306" s="50" t="n">
        <v>2.71</v>
      </c>
      <c r="F306" s="47" t="s">
        <v>39</v>
      </c>
      <c r="G306" s="52" t="n">
        <v>2.68</v>
      </c>
      <c r="H306" s="53" t="n">
        <f aca="false">D306*G306</f>
        <v>6592.8</v>
      </c>
      <c r="I306" s="47" t="s">
        <v>54</v>
      </c>
      <c r="J306" s="52" t="n">
        <v>2.72</v>
      </c>
      <c r="K306" s="53" t="n">
        <f aca="false">D306*J306</f>
        <v>6691.2</v>
      </c>
      <c r="L306" s="53" t="s">
        <v>41</v>
      </c>
      <c r="M306" s="52" t="n">
        <v>2.75</v>
      </c>
      <c r="N306" s="53" t="n">
        <f aca="false">D306*M306</f>
        <v>6765</v>
      </c>
      <c r="O306" s="54" t="n">
        <f aca="false">AVERAGE(G306,J306,M306)</f>
        <v>2.71666666666667</v>
      </c>
      <c r="P306" s="55" t="n">
        <f aca="false">E306*100/O306-100</f>
        <v>-0.245398773006144</v>
      </c>
      <c r="Q306" s="54" t="n">
        <f aca="false">D306*E306</f>
        <v>6666.6</v>
      </c>
      <c r="R306" s="56"/>
      <c r="T306" s="57" t="n">
        <f aca="false">ROUND(G306*100/O306-100,0)</f>
        <v>-1</v>
      </c>
      <c r="U306" s="57" t="n">
        <f aca="false">ROUND(J306*100/O306-100,0)</f>
        <v>0</v>
      </c>
      <c r="V306" s="57" t="n">
        <f aca="false">ROUND(M306*100/O306-100,0)</f>
        <v>1</v>
      </c>
    </row>
    <row r="307" s="43" customFormat="true" ht="73.5" hidden="false" customHeight="true" outlineLevel="0" collapsed="false">
      <c r="A307" s="45" t="n">
        <v>296</v>
      </c>
      <c r="B307" s="46" t="s">
        <v>422</v>
      </c>
      <c r="C307" s="47" t="s">
        <v>25</v>
      </c>
      <c r="D307" s="48" t="n">
        <v>480</v>
      </c>
      <c r="E307" s="50" t="n">
        <v>5.82</v>
      </c>
      <c r="F307" s="47" t="s">
        <v>39</v>
      </c>
      <c r="G307" s="52" t="n">
        <v>5.76</v>
      </c>
      <c r="H307" s="53" t="n">
        <f aca="false">D307*G307</f>
        <v>2764.8</v>
      </c>
      <c r="I307" s="47" t="s">
        <v>54</v>
      </c>
      <c r="J307" s="52" t="n">
        <v>5.87</v>
      </c>
      <c r="K307" s="53" t="n">
        <f aca="false">D307*J307</f>
        <v>2817.6</v>
      </c>
      <c r="L307" s="53" t="s">
        <v>41</v>
      </c>
      <c r="M307" s="52" t="n">
        <v>6.02</v>
      </c>
      <c r="N307" s="53" t="n">
        <f aca="false">D307*M307</f>
        <v>2889.6</v>
      </c>
      <c r="O307" s="54" t="n">
        <f aca="false">AVERAGE(G307,J307,M307)</f>
        <v>5.88333333333333</v>
      </c>
      <c r="P307" s="55" t="n">
        <f aca="false">E307*100/O307-100</f>
        <v>-1.07648725212464</v>
      </c>
      <c r="Q307" s="54" t="n">
        <f aca="false">D307*E307</f>
        <v>2793.6</v>
      </c>
      <c r="R307" s="56"/>
      <c r="T307" s="57" t="n">
        <f aca="false">ROUND(G307*100/O307-100,0)</f>
        <v>-2</v>
      </c>
      <c r="U307" s="57" t="n">
        <f aca="false">ROUND(J307*100/O307-100,0)</f>
        <v>-0</v>
      </c>
      <c r="V307" s="57" t="n">
        <f aca="false">ROUND(M307*100/O307-100,0)</f>
        <v>2</v>
      </c>
    </row>
    <row r="308" s="43" customFormat="true" ht="73.5" hidden="false" customHeight="true" outlineLevel="0" collapsed="false">
      <c r="A308" s="45" t="n">
        <v>297</v>
      </c>
      <c r="B308" s="46" t="s">
        <v>423</v>
      </c>
      <c r="C308" s="47" t="s">
        <v>25</v>
      </c>
      <c r="D308" s="48" t="n">
        <v>40</v>
      </c>
      <c r="E308" s="50" t="n">
        <v>0.39</v>
      </c>
      <c r="F308" s="47" t="s">
        <v>39</v>
      </c>
      <c r="G308" s="52" t="n">
        <v>0.34</v>
      </c>
      <c r="H308" s="53" t="n">
        <f aca="false">D308*G308</f>
        <v>13.6</v>
      </c>
      <c r="I308" s="47" t="s">
        <v>54</v>
      </c>
      <c r="J308" s="52" t="n">
        <v>0.44</v>
      </c>
      <c r="K308" s="53" t="n">
        <f aca="false">D308*J308</f>
        <v>17.6</v>
      </c>
      <c r="L308" s="53" t="s">
        <v>41</v>
      </c>
      <c r="M308" s="52" t="n">
        <v>0.42</v>
      </c>
      <c r="N308" s="53" t="n">
        <f aca="false">D308*M308</f>
        <v>16.8</v>
      </c>
      <c r="O308" s="54" t="n">
        <f aca="false">AVERAGE(G308,J308,M308)</f>
        <v>0.4</v>
      </c>
      <c r="P308" s="55" t="n">
        <f aca="false">E308*100/O308-100</f>
        <v>-2.49999999999999</v>
      </c>
      <c r="Q308" s="54" t="n">
        <f aca="false">D308*E308</f>
        <v>15.6</v>
      </c>
      <c r="R308" s="56"/>
      <c r="T308" s="57" t="n">
        <f aca="false">ROUND(G308*100/O308-100,0)</f>
        <v>-15</v>
      </c>
      <c r="U308" s="57" t="n">
        <f aca="false">ROUND(J308*100/O308-100,0)</f>
        <v>10</v>
      </c>
      <c r="V308" s="57" t="n">
        <f aca="false">ROUND(M308*100/O308-100,0)</f>
        <v>5</v>
      </c>
    </row>
    <row r="309" s="43" customFormat="true" ht="73.5" hidden="false" customHeight="true" outlineLevel="0" collapsed="false">
      <c r="A309" s="45" t="n">
        <v>298</v>
      </c>
      <c r="B309" s="46" t="s">
        <v>424</v>
      </c>
      <c r="C309" s="47" t="s">
        <v>25</v>
      </c>
      <c r="D309" s="48" t="n">
        <v>30</v>
      </c>
      <c r="E309" s="50" t="n">
        <v>1.44</v>
      </c>
      <c r="F309" s="47" t="s">
        <v>39</v>
      </c>
      <c r="G309" s="52" t="n">
        <v>1.37</v>
      </c>
      <c r="H309" s="53" t="n">
        <f aca="false">D309*G309</f>
        <v>41.1</v>
      </c>
      <c r="I309" s="47" t="s">
        <v>54</v>
      </c>
      <c r="J309" s="52" t="n">
        <v>1.58</v>
      </c>
      <c r="K309" s="53" t="n">
        <f aca="false">D309*J309</f>
        <v>47.4</v>
      </c>
      <c r="L309" s="53" t="s">
        <v>41</v>
      </c>
      <c r="M309" s="52" t="n">
        <v>1.44</v>
      </c>
      <c r="N309" s="53" t="n">
        <f aca="false">D309*M309</f>
        <v>43.2</v>
      </c>
      <c r="O309" s="54" t="n">
        <f aca="false">AVERAGE(G309,J309,M309)</f>
        <v>1.46333333333333</v>
      </c>
      <c r="P309" s="55" t="n">
        <f aca="false">E309*100/O309-100</f>
        <v>-1.59453302961278</v>
      </c>
      <c r="Q309" s="54" t="n">
        <f aca="false">D309*E309</f>
        <v>43.2</v>
      </c>
      <c r="R309" s="56"/>
      <c r="T309" s="57" t="n">
        <f aca="false">ROUND(G309*100/O309-100,0)</f>
        <v>-6</v>
      </c>
      <c r="U309" s="57" t="n">
        <f aca="false">ROUND(J309*100/O309-100,0)</f>
        <v>8</v>
      </c>
      <c r="V309" s="57" t="n">
        <f aca="false">ROUND(M309*100/O309-100,0)</f>
        <v>-2</v>
      </c>
    </row>
    <row r="310" s="43" customFormat="true" ht="66.75" hidden="false" customHeight="true" outlineLevel="0" collapsed="false">
      <c r="A310" s="45" t="n">
        <v>299</v>
      </c>
      <c r="B310" s="46" t="s">
        <v>425</v>
      </c>
      <c r="C310" s="47" t="s">
        <v>25</v>
      </c>
      <c r="D310" s="48" t="n">
        <v>200</v>
      </c>
      <c r="E310" s="50" t="n">
        <v>39</v>
      </c>
      <c r="F310" s="47" t="s">
        <v>39</v>
      </c>
      <c r="G310" s="52" t="n">
        <v>37.82</v>
      </c>
      <c r="H310" s="53" t="n">
        <f aca="false">D310*G310</f>
        <v>7564</v>
      </c>
      <c r="I310" s="47" t="s">
        <v>54</v>
      </c>
      <c r="J310" s="52" t="n">
        <v>41.02</v>
      </c>
      <c r="K310" s="53" t="n">
        <f aca="false">D310*J310</f>
        <v>8204</v>
      </c>
      <c r="L310" s="53" t="s">
        <v>41</v>
      </c>
      <c r="M310" s="52" t="n">
        <v>38.46</v>
      </c>
      <c r="N310" s="53" t="n">
        <f aca="false">D310*M310</f>
        <v>7692</v>
      </c>
      <c r="O310" s="54" t="n">
        <f aca="false">AVERAGE(G310,J310,M310)</f>
        <v>39.1</v>
      </c>
      <c r="P310" s="55" t="n">
        <f aca="false">E310*100/O310-100</f>
        <v>-0.255754475703327</v>
      </c>
      <c r="Q310" s="54" t="n">
        <f aca="false">D310*E310</f>
        <v>7800</v>
      </c>
      <c r="R310" s="56"/>
      <c r="T310" s="57" t="n">
        <f aca="false">ROUND(G310*100/O310-100,0)</f>
        <v>-3</v>
      </c>
      <c r="U310" s="57" t="n">
        <f aca="false">ROUND(J310*100/O310-100,0)</f>
        <v>5</v>
      </c>
      <c r="V310" s="57" t="n">
        <f aca="false">ROUND(M310*100/O310-100,0)</f>
        <v>-2</v>
      </c>
    </row>
    <row r="311" s="43" customFormat="true" ht="73.5" hidden="false" customHeight="true" outlineLevel="0" collapsed="false">
      <c r="A311" s="45" t="n">
        <v>300</v>
      </c>
      <c r="B311" s="46" t="s">
        <v>426</v>
      </c>
      <c r="C311" s="47" t="s">
        <v>147</v>
      </c>
      <c r="D311" s="48" t="n">
        <v>48</v>
      </c>
      <c r="E311" s="50" t="n">
        <v>17801.5</v>
      </c>
      <c r="F311" s="47" t="s">
        <v>27</v>
      </c>
      <c r="G311" s="52" t="n">
        <f aca="false">20996.75/1.2</f>
        <v>17497.2916666667</v>
      </c>
      <c r="H311" s="53" t="n">
        <f aca="false">D311*G311</f>
        <v>839870</v>
      </c>
      <c r="I311" s="53" t="s">
        <v>28</v>
      </c>
      <c r="J311" s="52" t="n">
        <v>17891.4</v>
      </c>
      <c r="K311" s="53" t="n">
        <f aca="false">D311*J311</f>
        <v>858787.2</v>
      </c>
      <c r="L311" s="48" t="s">
        <v>29</v>
      </c>
      <c r="M311" s="52" t="n">
        <v>18112.77</v>
      </c>
      <c r="N311" s="53" t="n">
        <f aca="false">D311*M311</f>
        <v>869412.96</v>
      </c>
      <c r="O311" s="54" t="n">
        <f aca="false">AVERAGE(G311,J311,M311)</f>
        <v>17833.8205555556</v>
      </c>
      <c r="P311" s="55" t="n">
        <f aca="false">E311*100/O311-100</f>
        <v>-0.18123180871352</v>
      </c>
      <c r="Q311" s="54" t="n">
        <f aca="false">D311*E311</f>
        <v>854472</v>
      </c>
      <c r="R311" s="56"/>
      <c r="T311" s="57" t="n">
        <f aca="false">ROUND(G311*100/O311-100,0)</f>
        <v>-2</v>
      </c>
      <c r="U311" s="57" t="n">
        <f aca="false">ROUND(J311*100/O311-100,0)</f>
        <v>0</v>
      </c>
      <c r="V311" s="57" t="n">
        <f aca="false">ROUND(M311*100/O311-100,0)</f>
        <v>2</v>
      </c>
    </row>
    <row r="312" s="43" customFormat="true" ht="73.5" hidden="false" customHeight="true" outlineLevel="0" collapsed="false">
      <c r="A312" s="45" t="n">
        <v>301</v>
      </c>
      <c r="B312" s="46" t="s">
        <v>427</v>
      </c>
      <c r="C312" s="47" t="s">
        <v>25</v>
      </c>
      <c r="D312" s="48" t="n">
        <v>96</v>
      </c>
      <c r="E312" s="50" t="n">
        <v>15087.84</v>
      </c>
      <c r="F312" s="47" t="s">
        <v>27</v>
      </c>
      <c r="G312" s="52" t="n">
        <v>15023.18</v>
      </c>
      <c r="H312" s="53" t="n">
        <f aca="false">D312*G312</f>
        <v>1442225.28</v>
      </c>
      <c r="I312" s="53" t="s">
        <v>28</v>
      </c>
      <c r="J312" s="52" t="n">
        <v>14681.33</v>
      </c>
      <c r="K312" s="53" t="n">
        <f aca="false">D312*J312</f>
        <v>1409407.68</v>
      </c>
      <c r="L312" s="48" t="s">
        <v>29</v>
      </c>
      <c r="M312" s="52" t="n">
        <v>15762.2</v>
      </c>
      <c r="N312" s="53" t="n">
        <f aca="false">D312*M312</f>
        <v>1513171.2</v>
      </c>
      <c r="O312" s="54" t="n">
        <f aca="false">AVERAGE(G312,J312,M312)</f>
        <v>15155.57</v>
      </c>
      <c r="P312" s="55" t="n">
        <f aca="false">E312*100/O312-100</f>
        <v>-0.446898401049907</v>
      </c>
      <c r="Q312" s="54" t="n">
        <f aca="false">D312*E312</f>
        <v>1448432.64</v>
      </c>
      <c r="R312" s="56"/>
      <c r="T312" s="57" t="n">
        <f aca="false">ROUND(G312*100/O312-100,0)</f>
        <v>-1</v>
      </c>
      <c r="U312" s="57" t="n">
        <f aca="false">ROUND(J312*100/O312-100,0)</f>
        <v>-3</v>
      </c>
      <c r="V312" s="57" t="n">
        <f aca="false">ROUND(M312*100/O312-100,0)</f>
        <v>4</v>
      </c>
    </row>
    <row r="313" s="43" customFormat="true" ht="73.5" hidden="false" customHeight="true" outlineLevel="0" collapsed="false">
      <c r="A313" s="45" t="n">
        <v>302</v>
      </c>
      <c r="B313" s="46" t="s">
        <v>428</v>
      </c>
      <c r="C313" s="47" t="s">
        <v>25</v>
      </c>
      <c r="D313" s="48" t="n">
        <v>48</v>
      </c>
      <c r="E313" s="50" t="n">
        <v>24326.9</v>
      </c>
      <c r="F313" s="47" t="s">
        <v>56</v>
      </c>
      <c r="G313" s="52" t="n">
        <v>24568.84</v>
      </c>
      <c r="H313" s="53" t="n">
        <f aca="false">D313*G313</f>
        <v>1179304.32</v>
      </c>
      <c r="I313" s="47" t="s">
        <v>57</v>
      </c>
      <c r="J313" s="52" t="n">
        <v>25037.67</v>
      </c>
      <c r="K313" s="53" t="n">
        <f aca="false">D313*J313</f>
        <v>1201808.16</v>
      </c>
      <c r="L313" s="47" t="s">
        <v>119</v>
      </c>
      <c r="M313" s="52" t="n">
        <v>23991.05</v>
      </c>
      <c r="N313" s="53" t="n">
        <f aca="false">D313*M313</f>
        <v>1151570.4</v>
      </c>
      <c r="O313" s="54" t="n">
        <f aca="false">AVERAGE(G313,J313,M313)</f>
        <v>24532.52</v>
      </c>
      <c r="P313" s="55" t="n">
        <f aca="false">E313*100/O313-100</f>
        <v>-0.838152786586946</v>
      </c>
      <c r="Q313" s="54" t="n">
        <f aca="false">D313*E313</f>
        <v>1167691.2</v>
      </c>
      <c r="R313" s="56"/>
      <c r="T313" s="57" t="n">
        <f aca="false">ROUND(G313*100/O313-100,0)</f>
        <v>0</v>
      </c>
      <c r="U313" s="57" t="n">
        <f aca="false">ROUND(J313*100/O313-100,0)</f>
        <v>2</v>
      </c>
      <c r="V313" s="57" t="n">
        <f aca="false">ROUND(M313*100/O313-100,0)</f>
        <v>-2</v>
      </c>
    </row>
    <row r="314" s="43" customFormat="true" ht="73.5" hidden="false" customHeight="true" outlineLevel="0" collapsed="false">
      <c r="A314" s="45" t="n">
        <v>303</v>
      </c>
      <c r="B314" s="46" t="s">
        <v>429</v>
      </c>
      <c r="C314" s="47" t="s">
        <v>25</v>
      </c>
      <c r="D314" s="48" t="n">
        <v>400</v>
      </c>
      <c r="E314" s="50" t="n">
        <v>37.4</v>
      </c>
      <c r="F314" s="47" t="s">
        <v>39</v>
      </c>
      <c r="G314" s="52" t="n">
        <v>39.6</v>
      </c>
      <c r="H314" s="53" t="n">
        <f aca="false">D314*G314</f>
        <v>15840</v>
      </c>
      <c r="I314" s="47" t="s">
        <v>430</v>
      </c>
      <c r="J314" s="52" t="n">
        <f aca="false">46.28/1.2</f>
        <v>38.5666666666667</v>
      </c>
      <c r="K314" s="53" t="n">
        <f aca="false">D314*J314</f>
        <v>15426.6666666667</v>
      </c>
      <c r="L314" s="47" t="s">
        <v>431</v>
      </c>
      <c r="M314" s="52" t="n">
        <f aca="false">42.67/1.2</f>
        <v>35.5583333333333</v>
      </c>
      <c r="N314" s="53" t="n">
        <f aca="false">D314*M314</f>
        <v>14223.3333333333</v>
      </c>
      <c r="O314" s="54" t="n">
        <f aca="false">AVERAGE(G314,J314,M314)</f>
        <v>37.9083333333333</v>
      </c>
      <c r="P314" s="55" t="n">
        <f aca="false">E314*100/O314-100</f>
        <v>-1.34095405583646</v>
      </c>
      <c r="Q314" s="54" t="n">
        <f aca="false">D314*E314</f>
        <v>14960</v>
      </c>
      <c r="R314" s="56"/>
      <c r="T314" s="57" t="n">
        <f aca="false">ROUND(G314*100/O314-100,0)</f>
        <v>4</v>
      </c>
      <c r="U314" s="57" t="n">
        <f aca="false">ROUND(J314*100/O314-100,0)</f>
        <v>2</v>
      </c>
      <c r="V314" s="57" t="n">
        <f aca="false">ROUND(M314*100/O314-100,0)</f>
        <v>-6</v>
      </c>
    </row>
    <row r="315" s="43" customFormat="true" ht="73.5" hidden="false" customHeight="true" outlineLevel="0" collapsed="false">
      <c r="A315" s="45" t="n">
        <v>304</v>
      </c>
      <c r="B315" s="46" t="s">
        <v>432</v>
      </c>
      <c r="C315" s="47" t="s">
        <v>147</v>
      </c>
      <c r="D315" s="48" t="s">
        <v>433</v>
      </c>
      <c r="E315" s="50" t="n">
        <v>11.03</v>
      </c>
      <c r="F315" s="47" t="s">
        <v>90</v>
      </c>
      <c r="G315" s="52" t="n">
        <f aca="false">13.24/1.2</f>
        <v>11.0333333333333</v>
      </c>
      <c r="H315" s="53" t="n">
        <f aca="false">D315*G315</f>
        <v>17653.3333333333</v>
      </c>
      <c r="I315" s="47" t="s">
        <v>46</v>
      </c>
      <c r="J315" s="52" t="n">
        <v>10.93</v>
      </c>
      <c r="K315" s="53" t="n">
        <f aca="false">D315*J315</f>
        <v>17488</v>
      </c>
      <c r="L315" s="47" t="s">
        <v>58</v>
      </c>
      <c r="M315" s="52" t="n">
        <v>11.89</v>
      </c>
      <c r="N315" s="53" t="n">
        <f aca="false">D315*M315</f>
        <v>19024</v>
      </c>
      <c r="O315" s="54" t="n">
        <f aca="false">AVERAGE(G315,J315,M315)</f>
        <v>11.2844444444444</v>
      </c>
      <c r="P315" s="55" t="n">
        <f aca="false">E315*100/O315-100</f>
        <v>-2.25482473414731</v>
      </c>
      <c r="Q315" s="54" t="n">
        <f aca="false">D315*E315</f>
        <v>17648</v>
      </c>
      <c r="R315" s="56"/>
      <c r="T315" s="57" t="n">
        <f aca="false">ROUND(G315*100/O315-100,0)</f>
        <v>-2</v>
      </c>
      <c r="U315" s="57" t="n">
        <f aca="false">ROUND(J315*100/O315-100,0)</f>
        <v>-3</v>
      </c>
      <c r="V315" s="57" t="n">
        <f aca="false">ROUND(M315*100/O315-100,0)</f>
        <v>5</v>
      </c>
    </row>
    <row r="316" s="43" customFormat="true" ht="73.5" hidden="false" customHeight="true" outlineLevel="0" collapsed="false">
      <c r="A316" s="45" t="n">
        <v>305</v>
      </c>
      <c r="B316" s="46" t="s">
        <v>434</v>
      </c>
      <c r="C316" s="47" t="s">
        <v>25</v>
      </c>
      <c r="D316" s="48" t="n">
        <v>30</v>
      </c>
      <c r="E316" s="50" t="n">
        <v>1285.66</v>
      </c>
      <c r="F316" s="47" t="s">
        <v>435</v>
      </c>
      <c r="G316" s="52" t="n">
        <v>1300</v>
      </c>
      <c r="H316" s="53" t="n">
        <f aca="false">D316*G316</f>
        <v>39000</v>
      </c>
      <c r="I316" s="47" t="s">
        <v>436</v>
      </c>
      <c r="J316" s="52" t="n">
        <v>1300</v>
      </c>
      <c r="K316" s="53" t="n">
        <f aca="false">D316*J316</f>
        <v>39000</v>
      </c>
      <c r="L316" s="47" t="s">
        <v>437</v>
      </c>
      <c r="M316" s="52" t="n">
        <v>1260</v>
      </c>
      <c r="N316" s="53" t="n">
        <f aca="false">D316*M316</f>
        <v>37800</v>
      </c>
      <c r="O316" s="54" t="n">
        <f aca="false">AVERAGE(G316,J316,M316)</f>
        <v>1286.66666666667</v>
      </c>
      <c r="P316" s="55" t="n">
        <f aca="false">E316*100/O316-100</f>
        <v>-0.0782383419689126</v>
      </c>
      <c r="Q316" s="54" t="n">
        <f aca="false">D316*E316</f>
        <v>38569.8</v>
      </c>
      <c r="R316" s="56"/>
      <c r="T316" s="57" t="n">
        <f aca="false">ROUND(G316*100/O316-100,0)</f>
        <v>1</v>
      </c>
      <c r="U316" s="57" t="n">
        <f aca="false">ROUND(J316*100/O316-100,0)</f>
        <v>1</v>
      </c>
      <c r="V316" s="57" t="n">
        <f aca="false">ROUND(M316*100/O316-100,0)</f>
        <v>-2</v>
      </c>
    </row>
    <row r="317" s="43" customFormat="true" ht="73.5" hidden="false" customHeight="true" outlineLevel="0" collapsed="false">
      <c r="A317" s="45" t="n">
        <v>306</v>
      </c>
      <c r="B317" s="46" t="s">
        <v>438</v>
      </c>
      <c r="C317" s="47" t="s">
        <v>25</v>
      </c>
      <c r="D317" s="48" t="n">
        <v>1</v>
      </c>
      <c r="E317" s="50" t="n">
        <v>26054.6</v>
      </c>
      <c r="F317" s="47" t="s">
        <v>27</v>
      </c>
      <c r="G317" s="52" t="n">
        <f aca="false">30302.49/1.2</f>
        <v>25252.075</v>
      </c>
      <c r="H317" s="53" t="n">
        <f aca="false">D317*G317</f>
        <v>25252.075</v>
      </c>
      <c r="I317" s="53" t="s">
        <v>28</v>
      </c>
      <c r="J317" s="52" t="n">
        <v>26315.4</v>
      </c>
      <c r="K317" s="53" t="n">
        <f aca="false">D317*J317</f>
        <v>26315.4</v>
      </c>
      <c r="L317" s="48" t="s">
        <v>29</v>
      </c>
      <c r="M317" s="52" t="n">
        <v>26678.22</v>
      </c>
      <c r="N317" s="53" t="n">
        <f aca="false">D317*M317</f>
        <v>26678.22</v>
      </c>
      <c r="O317" s="54" t="n">
        <f aca="false">AVERAGE(G317,J317,M317)</f>
        <v>26081.8983333333</v>
      </c>
      <c r="P317" s="55" t="n">
        <f aca="false">E317*100/O317-100</f>
        <v>-0.104663905151597</v>
      </c>
      <c r="Q317" s="54" t="n">
        <f aca="false">D317*E317</f>
        <v>26054.6</v>
      </c>
      <c r="R317" s="56"/>
      <c r="T317" s="57" t="n">
        <f aca="false">ROUND(G317*100/O317-100,0)</f>
        <v>-3</v>
      </c>
      <c r="U317" s="57" t="n">
        <f aca="false">ROUND(J317*100/O317-100,0)</f>
        <v>1</v>
      </c>
      <c r="V317" s="57" t="n">
        <f aca="false">ROUND(M317*100/O317-100,0)</f>
        <v>2</v>
      </c>
    </row>
    <row r="318" s="43" customFormat="true" ht="73.5" hidden="false" customHeight="true" outlineLevel="0" collapsed="false">
      <c r="A318" s="45" t="n">
        <v>307</v>
      </c>
      <c r="B318" s="46" t="s">
        <v>439</v>
      </c>
      <c r="C318" s="47" t="s">
        <v>25</v>
      </c>
      <c r="D318" s="48" t="n">
        <v>1</v>
      </c>
      <c r="E318" s="50" t="n">
        <v>8930.15</v>
      </c>
      <c r="F318" s="47" t="s">
        <v>56</v>
      </c>
      <c r="G318" s="52" t="n">
        <v>9150.22</v>
      </c>
      <c r="H318" s="53" t="n">
        <f aca="false">D318*G318</f>
        <v>9150.22</v>
      </c>
      <c r="I318" s="47" t="s">
        <v>57</v>
      </c>
      <c r="J318" s="52" t="n">
        <v>8700</v>
      </c>
      <c r="K318" s="53" t="n">
        <f aca="false">D318*J318</f>
        <v>8700</v>
      </c>
      <c r="L318" s="53" t="s">
        <v>67</v>
      </c>
      <c r="M318" s="52" t="n">
        <f aca="false">10766.52/1.2</f>
        <v>8972.1</v>
      </c>
      <c r="N318" s="53" t="n">
        <f aca="false">D318*M318</f>
        <v>8972.1</v>
      </c>
      <c r="O318" s="54" t="n">
        <f aca="false">AVERAGE(G318,J318,M318)</f>
        <v>8940.77333333333</v>
      </c>
      <c r="P318" s="55" t="n">
        <f aca="false">E318*100/O318-100</f>
        <v>-0.118818953766862</v>
      </c>
      <c r="Q318" s="54" t="n">
        <f aca="false">D318*E318</f>
        <v>8930.15</v>
      </c>
      <c r="R318" s="56"/>
      <c r="T318" s="57" t="n">
        <f aca="false">ROUND(G318*100/O318-100,0)</f>
        <v>2</v>
      </c>
      <c r="U318" s="57" t="n">
        <f aca="false">ROUND(J318*100/O318-100,0)</f>
        <v>-3</v>
      </c>
      <c r="V318" s="57" t="n">
        <f aca="false">ROUND(M318*100/O318-100,0)</f>
        <v>0</v>
      </c>
    </row>
    <row r="319" s="43" customFormat="true" ht="73.5" hidden="false" customHeight="true" outlineLevel="0" collapsed="false">
      <c r="A319" s="45" t="n">
        <v>308</v>
      </c>
      <c r="B319" s="46" t="s">
        <v>440</v>
      </c>
      <c r="C319" s="47" t="s">
        <v>25</v>
      </c>
      <c r="D319" s="48" t="n">
        <v>1</v>
      </c>
      <c r="E319" s="50" t="n">
        <v>9080.12</v>
      </c>
      <c r="F319" s="47" t="s">
        <v>56</v>
      </c>
      <c r="G319" s="52" t="n">
        <v>9205.49</v>
      </c>
      <c r="H319" s="53" t="n">
        <f aca="false">D319*G319</f>
        <v>9205.49</v>
      </c>
      <c r="I319" s="47" t="s">
        <v>57</v>
      </c>
      <c r="J319" s="52" t="n">
        <v>8900</v>
      </c>
      <c r="K319" s="53" t="n">
        <f aca="false">D319*J319</f>
        <v>8900</v>
      </c>
      <c r="L319" s="53" t="s">
        <v>67</v>
      </c>
      <c r="M319" s="52" t="n">
        <f aca="false">10969.78/1.2</f>
        <v>9141.48333333333</v>
      </c>
      <c r="N319" s="53" t="n">
        <f aca="false">D319*M319</f>
        <v>9141.48333333333</v>
      </c>
      <c r="O319" s="54" t="n">
        <f aca="false">AVERAGE(G319,J319,M319)</f>
        <v>9082.32444444444</v>
      </c>
      <c r="P319" s="55" t="n">
        <f aca="false">E319*100/O319-100</f>
        <v>-0.0242718090278231</v>
      </c>
      <c r="Q319" s="54" t="n">
        <f aca="false">D319*E319</f>
        <v>9080.12</v>
      </c>
      <c r="R319" s="56"/>
      <c r="T319" s="57" t="n">
        <f aca="false">ROUND(G319*100/O319-100,0)</f>
        <v>1</v>
      </c>
      <c r="U319" s="57" t="n">
        <f aca="false">ROUND(J319*100/O319-100,0)</f>
        <v>-2</v>
      </c>
      <c r="V319" s="57" t="n">
        <f aca="false">ROUND(M319*100/O319-100,0)</f>
        <v>1</v>
      </c>
    </row>
    <row r="320" s="43" customFormat="true" ht="73.5" hidden="false" customHeight="true" outlineLevel="0" collapsed="false">
      <c r="A320" s="45" t="n">
        <v>309</v>
      </c>
      <c r="B320" s="46" t="s">
        <v>441</v>
      </c>
      <c r="C320" s="47" t="s">
        <v>25</v>
      </c>
      <c r="D320" s="48" t="n">
        <v>2</v>
      </c>
      <c r="E320" s="50" t="n">
        <v>33102.4</v>
      </c>
      <c r="F320" s="47" t="s">
        <v>56</v>
      </c>
      <c r="G320" s="52" t="n">
        <v>33450</v>
      </c>
      <c r="H320" s="53" t="n">
        <f aca="false">D320*G320</f>
        <v>66900</v>
      </c>
      <c r="I320" s="47" t="s">
        <v>57</v>
      </c>
      <c r="J320" s="52" t="n">
        <v>32000</v>
      </c>
      <c r="K320" s="53" t="n">
        <f aca="false">D320*J320</f>
        <v>64000</v>
      </c>
      <c r="L320" s="53" t="s">
        <v>67</v>
      </c>
      <c r="M320" s="52" t="n">
        <f aca="false">40734.72/1.2</f>
        <v>33945.6</v>
      </c>
      <c r="N320" s="53" t="n">
        <f aca="false">D320*M320</f>
        <v>67891.2</v>
      </c>
      <c r="O320" s="54" t="n">
        <f aca="false">AVERAGE(G320,J320,M320)</f>
        <v>33131.8666666667</v>
      </c>
      <c r="P320" s="55" t="n">
        <f aca="false">E320*100/O320-100</f>
        <v>-0.0889375384825968</v>
      </c>
      <c r="Q320" s="54" t="n">
        <f aca="false">D320*E320</f>
        <v>66204.8</v>
      </c>
      <c r="R320" s="56"/>
      <c r="T320" s="57" t="n">
        <f aca="false">ROUND(G320*100/O320-100,0)</f>
        <v>1</v>
      </c>
      <c r="U320" s="57" t="n">
        <f aca="false">ROUND(J320*100/O320-100,0)</f>
        <v>-3</v>
      </c>
      <c r="V320" s="57" t="n">
        <f aca="false">ROUND(M320*100/O320-100,0)</f>
        <v>2</v>
      </c>
    </row>
    <row r="321" s="43" customFormat="true" ht="73.5" hidden="false" customHeight="true" outlineLevel="0" collapsed="false">
      <c r="A321" s="45" t="n">
        <v>310</v>
      </c>
      <c r="B321" s="46" t="s">
        <v>442</v>
      </c>
      <c r="C321" s="47" t="s">
        <v>25</v>
      </c>
      <c r="D321" s="48" t="n">
        <v>2</v>
      </c>
      <c r="E321" s="50" t="n">
        <v>69148.5</v>
      </c>
      <c r="F321" s="47" t="s">
        <v>56</v>
      </c>
      <c r="G321" s="52" t="n">
        <v>69725.6</v>
      </c>
      <c r="H321" s="53" t="n">
        <f aca="false">D321*G321</f>
        <v>139451.2</v>
      </c>
      <c r="I321" s="47" t="s">
        <v>57</v>
      </c>
      <c r="J321" s="52" t="n">
        <v>68000</v>
      </c>
      <c r="K321" s="53" t="n">
        <f aca="false">D321*J321</f>
        <v>136000</v>
      </c>
      <c r="L321" s="53" t="s">
        <v>67</v>
      </c>
      <c r="M321" s="52" t="n">
        <f aca="false">84060.86/1.2</f>
        <v>70050.7166666667</v>
      </c>
      <c r="N321" s="53" t="n">
        <f aca="false">D321*M321</f>
        <v>140101.433333333</v>
      </c>
      <c r="O321" s="54" t="n">
        <f aca="false">AVERAGE(G321,J321,M321)</f>
        <v>69258.7722222222</v>
      </c>
      <c r="P321" s="55" t="n">
        <f aca="false">E321*100/O321-100</f>
        <v>-0.159217697172579</v>
      </c>
      <c r="Q321" s="54" t="n">
        <f aca="false">D321*E321</f>
        <v>138297</v>
      </c>
      <c r="R321" s="56"/>
      <c r="T321" s="57" t="n">
        <f aca="false">ROUND(G321*100/O321-100,0)</f>
        <v>1</v>
      </c>
      <c r="U321" s="57" t="n">
        <f aca="false">ROUND(J321*100/O321-100,0)</f>
        <v>-2</v>
      </c>
      <c r="V321" s="57" t="n">
        <f aca="false">ROUND(M321*100/O321-100,0)</f>
        <v>1</v>
      </c>
    </row>
    <row r="322" s="43" customFormat="true" ht="73.5" hidden="false" customHeight="true" outlineLevel="0" collapsed="false">
      <c r="A322" s="45" t="n">
        <v>311</v>
      </c>
      <c r="B322" s="46" t="s">
        <v>443</v>
      </c>
      <c r="C322" s="47" t="s">
        <v>45</v>
      </c>
      <c r="D322" s="48" t="n">
        <v>125.8</v>
      </c>
      <c r="E322" s="50" t="n">
        <v>395.2</v>
      </c>
      <c r="F322" s="47" t="s">
        <v>39</v>
      </c>
      <c r="G322" s="52" t="n">
        <v>388.09</v>
      </c>
      <c r="H322" s="53" t="n">
        <f aca="false">D322*G322</f>
        <v>48821.722</v>
      </c>
      <c r="I322" s="47" t="s">
        <v>54</v>
      </c>
      <c r="J322" s="52" t="n">
        <v>410.77</v>
      </c>
      <c r="K322" s="53" t="n">
        <f aca="false">D322*J322</f>
        <v>51674.866</v>
      </c>
      <c r="L322" s="53" t="s">
        <v>67</v>
      </c>
      <c r="M322" s="52" t="n">
        <f aca="false">488.26/1.2</f>
        <v>406.883333333333</v>
      </c>
      <c r="N322" s="53" t="n">
        <f aca="false">D322*M322</f>
        <v>51185.9233333333</v>
      </c>
      <c r="O322" s="54" t="n">
        <f aca="false">AVERAGE(G322,J322,M322)</f>
        <v>401.914444444444</v>
      </c>
      <c r="P322" s="55" t="n">
        <f aca="false">E322*100/O322-100</f>
        <v>-1.67061536037244</v>
      </c>
      <c r="Q322" s="54" t="n">
        <f aca="false">D322*E322</f>
        <v>49716.16</v>
      </c>
      <c r="R322" s="56"/>
      <c r="T322" s="57" t="n">
        <f aca="false">ROUND(G322*100/O322-100,0)</f>
        <v>-3</v>
      </c>
      <c r="U322" s="57" t="n">
        <f aca="false">ROUND(J322*100/O322-100,0)</f>
        <v>2</v>
      </c>
      <c r="V322" s="57" t="n">
        <f aca="false">ROUND(M322*100/O322-100,0)</f>
        <v>1</v>
      </c>
    </row>
    <row r="323" s="43" customFormat="true" ht="73.5" hidden="false" customHeight="true" outlineLevel="0" collapsed="false">
      <c r="A323" s="45" t="n">
        <v>312</v>
      </c>
      <c r="B323" s="46" t="s">
        <v>444</v>
      </c>
      <c r="C323" s="47" t="s">
        <v>45</v>
      </c>
      <c r="D323" s="48" t="s">
        <v>445</v>
      </c>
      <c r="E323" s="50" t="n">
        <v>385.4</v>
      </c>
      <c r="F323" s="47" t="s">
        <v>39</v>
      </c>
      <c r="G323" s="52" t="n">
        <v>395.81</v>
      </c>
      <c r="H323" s="53" t="n">
        <f aca="false">D323*G323</f>
        <v>28498.32</v>
      </c>
      <c r="I323" s="47" t="s">
        <v>54</v>
      </c>
      <c r="J323" s="52" t="n">
        <v>403.69</v>
      </c>
      <c r="K323" s="53" t="n">
        <f aca="false">D323*J323</f>
        <v>29065.68</v>
      </c>
      <c r="L323" s="53" t="s">
        <v>67</v>
      </c>
      <c r="M323" s="52" t="n">
        <f aca="false">465/1.2</f>
        <v>387.5</v>
      </c>
      <c r="N323" s="53" t="n">
        <f aca="false">D323*M323</f>
        <v>27900</v>
      </c>
      <c r="O323" s="54" t="n">
        <f aca="false">AVERAGE(G323,J323,M323)</f>
        <v>395.666666666667</v>
      </c>
      <c r="P323" s="55" t="n">
        <f aca="false">E323*100/O323-100</f>
        <v>-2.59477674810447</v>
      </c>
      <c r="Q323" s="54" t="n">
        <f aca="false">D323*E323</f>
        <v>27748.8</v>
      </c>
      <c r="R323" s="56"/>
      <c r="T323" s="57" t="n">
        <f aca="false">ROUND(G323*100/O323-100,0)</f>
        <v>0</v>
      </c>
      <c r="U323" s="57" t="n">
        <f aca="false">ROUND(J323*100/O323-100,0)</f>
        <v>2</v>
      </c>
      <c r="V323" s="57" t="n">
        <f aca="false">ROUND(M323*100/O323-100,0)</f>
        <v>-2</v>
      </c>
    </row>
    <row r="324" s="43" customFormat="true" ht="73.5" hidden="false" customHeight="true" outlineLevel="0" collapsed="false">
      <c r="A324" s="45" t="n">
        <v>313</v>
      </c>
      <c r="B324" s="46" t="s">
        <v>446</v>
      </c>
      <c r="C324" s="47" t="s">
        <v>45</v>
      </c>
      <c r="D324" s="48" t="n">
        <v>24</v>
      </c>
      <c r="E324" s="50" t="n">
        <v>383</v>
      </c>
      <c r="F324" s="47" t="s">
        <v>39</v>
      </c>
      <c r="G324" s="52" t="n">
        <v>395.81</v>
      </c>
      <c r="H324" s="53" t="n">
        <f aca="false">D324*G324</f>
        <v>9499.44</v>
      </c>
      <c r="I324" s="47" t="s">
        <v>54</v>
      </c>
      <c r="J324" s="52" t="n">
        <v>403.69</v>
      </c>
      <c r="K324" s="53" t="n">
        <f aca="false">D324*J324</f>
        <v>9688.56</v>
      </c>
      <c r="L324" s="53" t="s">
        <v>67</v>
      </c>
      <c r="M324" s="52" t="n">
        <f aca="false">460.44/1.2</f>
        <v>383.7</v>
      </c>
      <c r="N324" s="53" t="n">
        <f aca="false">D324*M324</f>
        <v>9208.8</v>
      </c>
      <c r="O324" s="54" t="n">
        <f aca="false">AVERAGE(G324,J324,M324)</f>
        <v>394.4</v>
      </c>
      <c r="P324" s="55" t="n">
        <f aca="false">E324*100/O324-100</f>
        <v>-2.89046653144017</v>
      </c>
      <c r="Q324" s="54" t="n">
        <f aca="false">D324*E324</f>
        <v>9192</v>
      </c>
      <c r="R324" s="56"/>
      <c r="T324" s="57" t="n">
        <f aca="false">ROUND(G324*100/O324-100,0)</f>
        <v>0</v>
      </c>
      <c r="U324" s="57" t="n">
        <f aca="false">ROUND(J324*100/O324-100,0)</f>
        <v>2</v>
      </c>
      <c r="V324" s="57" t="n">
        <f aca="false">ROUND(M324*100/O324-100,0)</f>
        <v>-3</v>
      </c>
    </row>
    <row r="325" s="43" customFormat="true" ht="73.5" hidden="false" customHeight="true" outlineLevel="0" collapsed="false">
      <c r="A325" s="45" t="n">
        <v>314</v>
      </c>
      <c r="B325" s="46" t="s">
        <v>447</v>
      </c>
      <c r="C325" s="47" t="s">
        <v>25</v>
      </c>
      <c r="D325" s="48" t="n">
        <v>4</v>
      </c>
      <c r="E325" s="50" t="n">
        <v>1175.2</v>
      </c>
      <c r="F325" s="47" t="s">
        <v>27</v>
      </c>
      <c r="G325" s="52" t="n">
        <f aca="false">1338.34/1.2</f>
        <v>1115.28333333333</v>
      </c>
      <c r="H325" s="53" t="n">
        <f aca="false">D325*G325</f>
        <v>4461.13333333333</v>
      </c>
      <c r="I325" s="53" t="s">
        <v>28</v>
      </c>
      <c r="J325" s="52" t="n">
        <v>1170.64</v>
      </c>
      <c r="K325" s="53" t="n">
        <f aca="false">D325*J325</f>
        <v>4682.56</v>
      </c>
      <c r="L325" s="48" t="s">
        <v>29</v>
      </c>
      <c r="M325" s="52" t="n">
        <v>1246.5</v>
      </c>
      <c r="N325" s="53" t="n">
        <f aca="false">D325*M325</f>
        <v>4986</v>
      </c>
      <c r="O325" s="54" t="n">
        <f aca="false">AVERAGE(G325,J325,M325)</f>
        <v>1177.47444444444</v>
      </c>
      <c r="P325" s="55" t="n">
        <f aca="false">E325*100/O325-100</f>
        <v>-0.193162956119821</v>
      </c>
      <c r="Q325" s="54" t="n">
        <f aca="false">D325*E325</f>
        <v>4700.8</v>
      </c>
      <c r="R325" s="56"/>
      <c r="T325" s="57" t="n">
        <f aca="false">ROUND(G325*100/O325-100,0)</f>
        <v>-5</v>
      </c>
      <c r="U325" s="57" t="n">
        <f aca="false">ROUND(J325*100/O325-100,0)</f>
        <v>-1</v>
      </c>
      <c r="V325" s="57" t="n">
        <f aca="false">ROUND(M325*100/O325-100,0)</f>
        <v>6</v>
      </c>
    </row>
    <row r="326" s="43" customFormat="true" ht="73.5" hidden="false" customHeight="true" outlineLevel="0" collapsed="false">
      <c r="A326" s="45" t="n">
        <v>315</v>
      </c>
      <c r="B326" s="46" t="s">
        <v>448</v>
      </c>
      <c r="C326" s="47" t="s">
        <v>25</v>
      </c>
      <c r="D326" s="47" t="n">
        <v>71</v>
      </c>
      <c r="E326" s="50" t="n">
        <v>1974.45</v>
      </c>
      <c r="F326" s="47" t="s">
        <v>27</v>
      </c>
      <c r="G326" s="52" t="n">
        <f aca="false">2332.39/1.2</f>
        <v>1943.65833333333</v>
      </c>
      <c r="H326" s="53" t="n">
        <f aca="false">D326*G326</f>
        <v>137999.741666667</v>
      </c>
      <c r="I326" s="53" t="s">
        <v>28</v>
      </c>
      <c r="J326" s="52" t="n">
        <v>2010.42</v>
      </c>
      <c r="K326" s="53" t="n">
        <f aca="false">D326*J326</f>
        <v>142739.82</v>
      </c>
      <c r="L326" s="48" t="s">
        <v>29</v>
      </c>
      <c r="M326" s="52" t="n">
        <v>1972.2</v>
      </c>
      <c r="N326" s="53" t="n">
        <f aca="false">D326*M326</f>
        <v>140026.2</v>
      </c>
      <c r="O326" s="54" t="n">
        <f aca="false">AVERAGE(G326,J326,M326)</f>
        <v>1975.42611111111</v>
      </c>
      <c r="P326" s="55" t="n">
        <f aca="false">E326*100/O326-100</f>
        <v>-0.0494126864893048</v>
      </c>
      <c r="Q326" s="54" t="n">
        <f aca="false">D326*E326</f>
        <v>140185.95</v>
      </c>
      <c r="R326" s="56"/>
      <c r="T326" s="57" t="n">
        <f aca="false">ROUND(G326*100/O326-100,0)</f>
        <v>-2</v>
      </c>
      <c r="U326" s="57" t="n">
        <f aca="false">ROUND(J326*100/O326-100,0)</f>
        <v>2</v>
      </c>
      <c r="V326" s="57" t="n">
        <f aca="false">ROUND(M326*100/O326-100,0)</f>
        <v>-0</v>
      </c>
    </row>
    <row r="327" s="43" customFormat="true" ht="73.5" hidden="false" customHeight="true" outlineLevel="0" collapsed="false">
      <c r="A327" s="45" t="n">
        <v>316</v>
      </c>
      <c r="B327" s="46" t="s">
        <v>449</v>
      </c>
      <c r="C327" s="47" t="s">
        <v>25</v>
      </c>
      <c r="D327" s="48" t="n">
        <v>34</v>
      </c>
      <c r="E327" s="50" t="n">
        <v>2651.1</v>
      </c>
      <c r="F327" s="47" t="s">
        <v>27</v>
      </c>
      <c r="G327" s="52" t="n">
        <f aca="false">2925.52/1.2</f>
        <v>2437.93333333333</v>
      </c>
      <c r="H327" s="53" t="n">
        <f aca="false">D327*G327</f>
        <v>82889.7333333333</v>
      </c>
      <c r="I327" s="53" t="s">
        <v>28</v>
      </c>
      <c r="J327" s="52" t="n">
        <v>2845.3</v>
      </c>
      <c r="K327" s="53" t="n">
        <f aca="false">D327*J327</f>
        <v>96740.2</v>
      </c>
      <c r="L327" s="48" t="s">
        <v>29</v>
      </c>
      <c r="M327" s="52" t="n">
        <v>2680.49</v>
      </c>
      <c r="N327" s="53" t="n">
        <f aca="false">D327*M327</f>
        <v>91136.66</v>
      </c>
      <c r="O327" s="54" t="n">
        <f aca="false">AVERAGE(G327,J327,M327)</f>
        <v>2654.57444444444</v>
      </c>
      <c r="P327" s="55" t="n">
        <f aca="false">E327*100/O327-100</f>
        <v>-0.130885176406181</v>
      </c>
      <c r="Q327" s="54" t="n">
        <f aca="false">D327*E327</f>
        <v>90137.4</v>
      </c>
      <c r="R327" s="56"/>
      <c r="T327" s="57" t="n">
        <f aca="false">ROUND(G327*100/O327-100,0)</f>
        <v>-8</v>
      </c>
      <c r="U327" s="57" t="n">
        <f aca="false">ROUND(J327*100/O327-100,0)</f>
        <v>7</v>
      </c>
      <c r="V327" s="57" t="n">
        <f aca="false">ROUND(M327*100/O327-100,0)</f>
        <v>1</v>
      </c>
    </row>
    <row r="328" s="43" customFormat="true" ht="73.5" hidden="false" customHeight="true" outlineLevel="0" collapsed="false">
      <c r="A328" s="45" t="n">
        <v>317</v>
      </c>
      <c r="B328" s="46" t="s">
        <v>450</v>
      </c>
      <c r="C328" s="47" t="s">
        <v>25</v>
      </c>
      <c r="D328" s="48" t="s">
        <v>451</v>
      </c>
      <c r="E328" s="50" t="n">
        <v>3640.5</v>
      </c>
      <c r="F328" s="47" t="s">
        <v>27</v>
      </c>
      <c r="G328" s="52" t="n">
        <f aca="false">4199.67/1.2</f>
        <v>3499.725</v>
      </c>
      <c r="H328" s="53" t="n">
        <f aca="false">D328*G328</f>
        <v>34997.25</v>
      </c>
      <c r="I328" s="53" t="s">
        <v>28</v>
      </c>
      <c r="J328" s="52" t="n">
        <v>3754.2</v>
      </c>
      <c r="K328" s="53" t="n">
        <f aca="false">D328*J328</f>
        <v>37542</v>
      </c>
      <c r="L328" s="48" t="s">
        <v>29</v>
      </c>
      <c r="M328" s="52" t="n">
        <v>3674.62</v>
      </c>
      <c r="N328" s="53" t="n">
        <f aca="false">D328*M328</f>
        <v>36746.2</v>
      </c>
      <c r="O328" s="54" t="n">
        <f aca="false">AVERAGE(G328,J328,M328)</f>
        <v>3642.84833333333</v>
      </c>
      <c r="P328" s="55" t="n">
        <f aca="false">E328*100/O328-100</f>
        <v>-0.0644642081814197</v>
      </c>
      <c r="Q328" s="54" t="n">
        <f aca="false">D328*E328</f>
        <v>36405</v>
      </c>
      <c r="R328" s="56"/>
      <c r="T328" s="57" t="n">
        <f aca="false">ROUND(G328*100/O328-100,0)</f>
        <v>-4</v>
      </c>
      <c r="U328" s="57" t="n">
        <f aca="false">ROUND(J328*100/O328-100,0)</f>
        <v>3</v>
      </c>
      <c r="V328" s="57" t="n">
        <f aca="false">ROUND(M328*100/O328-100,0)</f>
        <v>1</v>
      </c>
    </row>
    <row r="329" s="43" customFormat="true" ht="73.5" hidden="false" customHeight="true" outlineLevel="0" collapsed="false">
      <c r="A329" s="45" t="n">
        <v>318</v>
      </c>
      <c r="B329" s="46" t="s">
        <v>452</v>
      </c>
      <c r="C329" s="47" t="s">
        <v>25</v>
      </c>
      <c r="D329" s="48" t="n">
        <v>266</v>
      </c>
      <c r="E329" s="50" t="n">
        <v>591.6</v>
      </c>
      <c r="F329" s="47" t="s">
        <v>56</v>
      </c>
      <c r="G329" s="52" t="n">
        <v>589.7</v>
      </c>
      <c r="H329" s="53" t="n">
        <f aca="false">D329*G329</f>
        <v>156860.2</v>
      </c>
      <c r="I329" s="47" t="s">
        <v>57</v>
      </c>
      <c r="J329" s="52" t="n">
        <v>578.64</v>
      </c>
      <c r="K329" s="53" t="n">
        <f aca="false">D329*J329</f>
        <v>153918.24</v>
      </c>
      <c r="L329" s="53" t="s">
        <v>68</v>
      </c>
      <c r="M329" s="52" t="n">
        <v>610.24</v>
      </c>
      <c r="N329" s="53" t="n">
        <f aca="false">D329*M329</f>
        <v>162323.84</v>
      </c>
      <c r="O329" s="54" t="n">
        <f aca="false">AVERAGE(G329,J329,M329)</f>
        <v>592.86</v>
      </c>
      <c r="P329" s="55" t="n">
        <f aca="false">E329*100/O329-100</f>
        <v>-0.212529096245319</v>
      </c>
      <c r="Q329" s="54" t="n">
        <f aca="false">D329*E329</f>
        <v>157365.6</v>
      </c>
      <c r="R329" s="56"/>
      <c r="T329" s="57" t="n">
        <f aca="false">ROUND(G329*100/O329-100,0)</f>
        <v>-1</v>
      </c>
      <c r="U329" s="57" t="n">
        <f aca="false">ROUND(J329*100/O329-100,0)</f>
        <v>-2</v>
      </c>
      <c r="V329" s="57" t="n">
        <f aca="false">ROUND(M329*100/O329-100,0)</f>
        <v>3</v>
      </c>
    </row>
    <row r="330" s="43" customFormat="true" ht="73.5" hidden="false" customHeight="true" outlineLevel="0" collapsed="false">
      <c r="A330" s="45" t="n">
        <v>319</v>
      </c>
      <c r="B330" s="46" t="s">
        <v>453</v>
      </c>
      <c r="C330" s="47" t="s">
        <v>25</v>
      </c>
      <c r="D330" s="48" t="n">
        <v>654</v>
      </c>
      <c r="E330" s="50" t="n">
        <v>595.8</v>
      </c>
      <c r="F330" s="47" t="s">
        <v>56</v>
      </c>
      <c r="G330" s="52" t="n">
        <v>630.12</v>
      </c>
      <c r="H330" s="53" t="n">
        <f aca="false">D330*G330</f>
        <v>412098.48</v>
      </c>
      <c r="I330" s="47" t="s">
        <v>57</v>
      </c>
      <c r="J330" s="52" t="n">
        <v>562.09</v>
      </c>
      <c r="K330" s="53" t="n">
        <f aca="false">D330*J330</f>
        <v>367606.86</v>
      </c>
      <c r="L330" s="53" t="s">
        <v>68</v>
      </c>
      <c r="M330" s="52" t="n">
        <v>599.4</v>
      </c>
      <c r="N330" s="53" t="n">
        <f aca="false">D330*M330</f>
        <v>392007.6</v>
      </c>
      <c r="O330" s="54" t="n">
        <f aca="false">AVERAGE(G330,J330,M330)</f>
        <v>597.203333333333</v>
      </c>
      <c r="P330" s="55" t="n">
        <f aca="false">E330*100/O330-100</f>
        <v>-0.234984176243728</v>
      </c>
      <c r="Q330" s="54" t="n">
        <f aca="false">D330*E330</f>
        <v>389653.2</v>
      </c>
      <c r="R330" s="83"/>
      <c r="T330" s="57" t="n">
        <f aca="false">ROUND(G330*100/O330-100,0)</f>
        <v>6</v>
      </c>
      <c r="U330" s="57" t="n">
        <f aca="false">ROUND(J330*100/O330-100,0)</f>
        <v>-6</v>
      </c>
      <c r="V330" s="57" t="n">
        <f aca="false">ROUND(M330*100/O330-100,0)</f>
        <v>0</v>
      </c>
    </row>
    <row r="331" s="43" customFormat="true" ht="73.5" hidden="false" customHeight="true" outlineLevel="0" collapsed="false">
      <c r="A331" s="45" t="n">
        <v>320</v>
      </c>
      <c r="B331" s="46" t="s">
        <v>454</v>
      </c>
      <c r="C331" s="47" t="s">
        <v>25</v>
      </c>
      <c r="D331" s="48" t="n">
        <v>20</v>
      </c>
      <c r="E331" s="50" t="n">
        <v>2045.3</v>
      </c>
      <c r="F331" s="47" t="s">
        <v>27</v>
      </c>
      <c r="G331" s="52" t="n">
        <f aca="false">2395.66/1.2</f>
        <v>1996.38333333333</v>
      </c>
      <c r="H331" s="53" t="n">
        <f aca="false">D331*G331</f>
        <v>39927.6666666667</v>
      </c>
      <c r="I331" s="53" t="s">
        <v>28</v>
      </c>
      <c r="J331" s="52" t="n">
        <v>2100.3</v>
      </c>
      <c r="K331" s="53" t="n">
        <f aca="false">D331*J331</f>
        <v>42006</v>
      </c>
      <c r="L331" s="48" t="s">
        <v>29</v>
      </c>
      <c r="M331" s="52" t="n">
        <v>2050.88</v>
      </c>
      <c r="N331" s="53" t="n">
        <f aca="false">D331*M331</f>
        <v>41017.6</v>
      </c>
      <c r="O331" s="54" t="n">
        <f aca="false">AVERAGE(G331,J331,M331)</f>
        <v>2049.18777777778</v>
      </c>
      <c r="P331" s="55" t="n">
        <f aca="false">E331*100/O331-100</f>
        <v>-0.189722865807539</v>
      </c>
      <c r="Q331" s="54" t="n">
        <f aca="false">D331*E331</f>
        <v>40906</v>
      </c>
      <c r="R331" s="56"/>
      <c r="T331" s="57" t="n">
        <f aca="false">ROUND(G331*100/O331-100,0)</f>
        <v>-3</v>
      </c>
      <c r="U331" s="57" t="n">
        <f aca="false">ROUND(J331*100/O331-100,0)</f>
        <v>2</v>
      </c>
      <c r="V331" s="57" t="n">
        <f aca="false">ROUND(M331*100/O331-100,0)</f>
        <v>0</v>
      </c>
    </row>
    <row r="332" s="43" customFormat="true" ht="32.25" hidden="false" customHeight="true" outlineLevel="0" collapsed="false">
      <c r="A332" s="45"/>
      <c r="B332" s="73" t="s">
        <v>455</v>
      </c>
      <c r="C332" s="73"/>
      <c r="D332" s="73"/>
      <c r="E332" s="73"/>
      <c r="F332" s="73"/>
      <c r="G332" s="73"/>
      <c r="H332" s="73"/>
      <c r="I332" s="73"/>
      <c r="J332" s="73"/>
      <c r="K332" s="73"/>
      <c r="L332" s="73"/>
      <c r="M332" s="73"/>
      <c r="N332" s="73"/>
      <c r="O332" s="73"/>
      <c r="P332" s="73"/>
      <c r="Q332" s="73"/>
      <c r="R332" s="73"/>
      <c r="T332" s="57"/>
      <c r="U332" s="57"/>
      <c r="V332" s="57"/>
    </row>
    <row r="333" s="43" customFormat="true" ht="73.5" hidden="false" customHeight="true" outlineLevel="0" collapsed="false">
      <c r="A333" s="45" t="n">
        <v>321</v>
      </c>
      <c r="B333" s="46" t="s">
        <v>456</v>
      </c>
      <c r="C333" s="47" t="s">
        <v>25</v>
      </c>
      <c r="D333" s="48" t="n">
        <v>8</v>
      </c>
      <c r="E333" s="50" t="n">
        <v>87042.7</v>
      </c>
      <c r="F333" s="47" t="s">
        <v>56</v>
      </c>
      <c r="G333" s="52" t="n">
        <v>85925.72</v>
      </c>
      <c r="H333" s="53" t="n">
        <f aca="false">D333*G333</f>
        <v>687405.76</v>
      </c>
      <c r="I333" s="47" t="s">
        <v>57</v>
      </c>
      <c r="J333" s="52" t="n">
        <v>88479.67</v>
      </c>
      <c r="K333" s="53" t="n">
        <f aca="false">D333*J333</f>
        <v>707837.36</v>
      </c>
      <c r="L333" s="47" t="s">
        <v>457</v>
      </c>
      <c r="M333" s="52" t="n">
        <f aca="false">87011.83</f>
        <v>87011.83</v>
      </c>
      <c r="N333" s="53" t="n">
        <f aca="false">D333*M333</f>
        <v>696094.64</v>
      </c>
      <c r="O333" s="54" t="n">
        <f aca="false">AVERAGE(G333,J333,M333)</f>
        <v>87139.0733333333</v>
      </c>
      <c r="P333" s="55" t="n">
        <f aca="false">E333*100/O333-100</f>
        <v>-0.110597151939729</v>
      </c>
      <c r="Q333" s="54" t="n">
        <f aca="false">D333*E333</f>
        <v>696341.6</v>
      </c>
      <c r="R333" s="46"/>
      <c r="T333" s="57" t="n">
        <f aca="false">ROUND(G333*100/O333-100,0)</f>
        <v>-1</v>
      </c>
      <c r="U333" s="57" t="n">
        <f aca="false">ROUND(J333*100/O333-100,0)</f>
        <v>2</v>
      </c>
      <c r="V333" s="57" t="n">
        <f aca="false">ROUND(M333*100/O333-100,0)</f>
        <v>-0</v>
      </c>
    </row>
    <row r="334" s="43" customFormat="true" ht="25.5" hidden="false" customHeight="true" outlineLevel="0" collapsed="false">
      <c r="A334" s="74" t="s">
        <v>458</v>
      </c>
      <c r="B334" s="74"/>
      <c r="C334" s="74"/>
      <c r="D334" s="74"/>
      <c r="E334" s="74"/>
      <c r="F334" s="74"/>
      <c r="G334" s="74"/>
      <c r="H334" s="74"/>
      <c r="I334" s="74"/>
      <c r="J334" s="74"/>
      <c r="K334" s="74"/>
      <c r="L334" s="74"/>
      <c r="M334" s="74"/>
      <c r="N334" s="74"/>
      <c r="O334" s="54" t="n">
        <f aca="false">SUM(O11:O333)</f>
        <v>6352235.05677521</v>
      </c>
      <c r="P334" s="55"/>
      <c r="Q334" s="54" t="n">
        <f aca="false">SUM(Q11:Q333)</f>
        <v>44179579.4474</v>
      </c>
      <c r="R334" s="46"/>
    </row>
    <row r="335" s="14" customFormat="true" ht="33" hidden="false" customHeight="true" outlineLevel="0" collapsed="false">
      <c r="A335" s="75"/>
      <c r="B335" s="76"/>
      <c r="C335" s="76"/>
      <c r="D335" s="76"/>
      <c r="E335" s="76"/>
      <c r="F335" s="76"/>
      <c r="G335" s="76"/>
      <c r="H335" s="76"/>
      <c r="I335" s="77"/>
      <c r="J335" s="78"/>
      <c r="K335" s="75"/>
      <c r="L335" s="75"/>
      <c r="M335" s="78"/>
      <c r="N335" s="75"/>
      <c r="O335" s="75"/>
      <c r="P335" s="75"/>
      <c r="Q335" s="75"/>
      <c r="R335" s="75"/>
    </row>
    <row r="336" customFormat="false" ht="15.75" hidden="false" customHeight="false" outlineLevel="0" collapsed="false">
      <c r="I336" s="77"/>
    </row>
    <row r="337" customFormat="false" ht="15.75" hidden="false" customHeight="false" outlineLevel="0" collapsed="false">
      <c r="I337" s="77"/>
    </row>
    <row r="339" customFormat="false" ht="124.5" hidden="false" customHeight="true" outlineLevel="0" collapsed="false">
      <c r="B339" s="79" t="s">
        <v>459</v>
      </c>
      <c r="C339" s="79"/>
      <c r="D339" s="79"/>
      <c r="E339" s="79"/>
      <c r="F339" s="79"/>
      <c r="G339" s="79"/>
      <c r="H339" s="79"/>
      <c r="I339" s="79"/>
      <c r="J339" s="79"/>
      <c r="K339" s="79"/>
      <c r="L339" s="79"/>
      <c r="M339" s="79"/>
      <c r="N339" s="79"/>
      <c r="O339" s="79"/>
      <c r="P339" s="79"/>
    </row>
    <row r="341" customFormat="false" ht="32.25" hidden="false" customHeight="true" outlineLevel="0" collapsed="false">
      <c r="B341" s="79" t="s">
        <v>460</v>
      </c>
      <c r="C341" s="79"/>
      <c r="D341" s="79"/>
      <c r="E341" s="79"/>
      <c r="F341" s="79"/>
      <c r="G341" s="79"/>
      <c r="H341" s="79"/>
      <c r="I341" s="79"/>
      <c r="J341" s="79"/>
      <c r="K341" s="79"/>
      <c r="L341" s="79"/>
      <c r="M341" s="79"/>
      <c r="N341" s="79"/>
      <c r="O341" s="79"/>
      <c r="P341" s="79"/>
    </row>
    <row r="349" customFormat="false" ht="14.25" hidden="false" customHeight="false" outlineLevel="0" collapsed="false">
      <c r="F349" s="51"/>
      <c r="G349" s="52"/>
    </row>
  </sheetData>
  <autoFilter ref="A10:R334"/>
  <mergeCells count="23">
    <mergeCell ref="O1:R1"/>
    <mergeCell ref="O2:R2"/>
    <mergeCell ref="A3:O3"/>
    <mergeCell ref="A5:P5"/>
    <mergeCell ref="A7:A9"/>
    <mergeCell ref="B7:B9"/>
    <mergeCell ref="C7:C9"/>
    <mergeCell ref="D7:D9"/>
    <mergeCell ref="E7:E9"/>
    <mergeCell ref="F7:H8"/>
    <mergeCell ref="I7:K8"/>
    <mergeCell ref="L7:N8"/>
    <mergeCell ref="O7:O9"/>
    <mergeCell ref="P7:P9"/>
    <mergeCell ref="Q7:Q9"/>
    <mergeCell ref="R7:R9"/>
    <mergeCell ref="T7:V8"/>
    <mergeCell ref="A11:R11"/>
    <mergeCell ref="B332:R332"/>
    <mergeCell ref="A334:N334"/>
    <mergeCell ref="B335:H335"/>
    <mergeCell ref="B339:P339"/>
    <mergeCell ref="B341:P341"/>
  </mergeCells>
  <conditionalFormatting sqref="P333">
    <cfRule type="cellIs" priority="2" operator="greaterThan" aboveAverage="0" equalAverage="0" bottom="0" percent="0" rank="0" text="" dxfId="24">
      <formula>0</formula>
    </cfRule>
  </conditionalFormatting>
  <conditionalFormatting sqref="T11:V333">
    <cfRule type="expression" priority="3" aboveAverage="0" equalAverage="0" bottom="0" percent="0" rank="0" text="" dxfId="25">
      <formula>AND(T11&lt;-20,T11&lt;0)</formula>
    </cfRule>
    <cfRule type="expression" priority="4" aboveAverage="0" equalAverage="0" bottom="0" percent="0" rank="0" text="" dxfId="26">
      <formula>AND(T11&gt;20,T11&gt;0)</formula>
    </cfRule>
  </conditionalFormatting>
  <conditionalFormatting sqref="P12:P331">
    <cfRule type="cellIs" priority="5" operator="greaterThan" aboveAverage="0" equalAverage="0" bottom="0" percent="0" rank="0" text="" dxfId="27">
      <formula>0</formula>
    </cfRule>
  </conditionalFormatting>
  <hyperlinks>
    <hyperlink ref="L33" r:id="rId2" display="https://kitenergo.ru/catalog/perednie_i_zadnie_elementy_tsokolya_iz_nerzhaveyushchey_stali_za/perednie_i_zadnie_elementy_tsokolya_iz_nerzhaveyushchey_stali_za_80_00_s_v_2/"/>
  </hyperlinks>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J472"/>
  <sheetViews>
    <sheetView showFormulas="false" showGridLines="true" showRowColHeaders="true" showZeros="true" rightToLeft="false" tabSelected="false" showOutlineSymbols="true" defaultGridColor="true" view="normal" topLeftCell="A7" colorId="64" zoomScale="60" zoomScaleNormal="60" zoomScalePageLayoutView="100" workbookViewId="0">
      <pane xSplit="0" ySplit="5" topLeftCell="A69" activePane="bottomLeft" state="frozen"/>
      <selection pane="topLeft" activeCell="A7" activeCellId="0" sqref="A7"/>
      <selection pane="bottomLeft" activeCell="B73" activeCellId="0" sqref="A1:D1048576"/>
    </sheetView>
  </sheetViews>
  <sheetFormatPr defaultColWidth="9.1484375" defaultRowHeight="14.25" zeroHeight="false" outlineLevelRow="0" outlineLevelCol="1"/>
  <cols>
    <col collapsed="false" customWidth="true" hidden="false" outlineLevel="0" max="1" min="1" style="1" width="6.71"/>
    <col collapsed="false" customWidth="true" hidden="false" outlineLevel="0" max="2" min="2" style="110" width="52.14"/>
    <col collapsed="false" customWidth="true" hidden="false" outlineLevel="0" max="3" min="3" style="111" width="14.29"/>
    <col collapsed="false" customWidth="true" hidden="false" outlineLevel="0" max="4" min="4" style="111" width="15.14"/>
    <col collapsed="false" customWidth="true" hidden="false" outlineLevel="0" max="5" min="5" style="112" width="15.14"/>
    <col collapsed="false" customWidth="true" hidden="false" outlineLevel="0" max="6" min="6" style="1" width="16"/>
    <col collapsed="false" customWidth="true" hidden="false" outlineLevel="0" max="7" min="7" style="1" width="23.57"/>
    <col collapsed="false" customWidth="true" hidden="false" outlineLevel="0" max="8" min="8" style="4" width="17.57"/>
    <col collapsed="false" customWidth="true" hidden="false" outlineLevel="0" max="9" min="9" style="1" width="17.42"/>
    <col collapsed="false" customWidth="true" hidden="false" outlineLevel="0" max="10" min="10" style="1" width="21.14"/>
    <col collapsed="false" customWidth="true" hidden="false" outlineLevel="0" max="11" min="11" style="4" width="17.42"/>
    <col collapsed="false" customWidth="true" hidden="false" outlineLevel="0" max="12" min="12" style="1" width="17.86"/>
    <col collapsed="false" customWidth="true" hidden="false" outlineLevel="0" max="13" min="13" style="1" width="21.57"/>
    <col collapsed="false" customWidth="true" hidden="false" outlineLevel="0" max="14" min="14" style="4" width="18.14"/>
    <col collapsed="false" customWidth="true" hidden="false" outlineLevel="0" max="15" min="15" style="1" width="19.71"/>
    <col collapsed="false" customWidth="true" hidden="false" outlineLevel="0" max="16" min="16" style="1" width="20.85"/>
    <col collapsed="false" customWidth="true" hidden="false" outlineLevel="0" max="17" min="17" style="1" width="19.29"/>
    <col collapsed="false" customWidth="true" hidden="false" outlineLevel="0" max="18" min="18" style="1" width="19.71"/>
    <col collapsed="false" customWidth="true" hidden="false" outlineLevel="0" max="19" min="19" style="1" width="23.14"/>
    <col collapsed="false" customWidth="false" hidden="false" outlineLevel="0" max="20" min="20" style="1" width="9.14"/>
    <col collapsed="false" customWidth="true" hidden="false" outlineLevel="1" max="21" min="21" style="113" width="13"/>
    <col collapsed="false" customWidth="true" hidden="false" outlineLevel="1" max="23" min="22" style="1" width="13"/>
    <col collapsed="false" customWidth="false" hidden="false" outlineLevel="0" max="16384" min="24" style="1" width="9.14"/>
  </cols>
  <sheetData>
    <row r="1" customFormat="false" ht="14.25" hidden="false" customHeight="false" outlineLevel="0" collapsed="false">
      <c r="P1" s="5" t="s">
        <v>0</v>
      </c>
      <c r="Q1" s="5"/>
      <c r="R1" s="5"/>
      <c r="S1" s="5"/>
    </row>
    <row r="2" customFormat="false" ht="32.25" hidden="false" customHeight="true" outlineLevel="0" collapsed="false">
      <c r="P2" s="6" t="s">
        <v>1</v>
      </c>
      <c r="Q2" s="6"/>
      <c r="R2" s="6"/>
      <c r="S2" s="6"/>
    </row>
    <row r="3" customFormat="false" ht="25.5" hidden="false" customHeight="true" outlineLevel="0" collapsed="false">
      <c r="A3" s="114" t="s">
        <v>2</v>
      </c>
      <c r="B3" s="114"/>
      <c r="C3" s="114"/>
      <c r="D3" s="114"/>
      <c r="E3" s="114"/>
      <c r="F3" s="114"/>
      <c r="G3" s="114"/>
      <c r="H3" s="114"/>
      <c r="I3" s="114"/>
      <c r="J3" s="114"/>
      <c r="K3" s="114"/>
      <c r="L3" s="114"/>
      <c r="M3" s="114"/>
      <c r="N3" s="114"/>
      <c r="O3" s="114"/>
      <c r="P3" s="114"/>
      <c r="Q3" s="115"/>
      <c r="R3" s="115"/>
    </row>
    <row r="4" customFormat="false" ht="17.25" hidden="false" customHeight="true" outlineLevel="0" collapsed="false">
      <c r="A4" s="9"/>
      <c r="B4" s="10"/>
      <c r="C4" s="116"/>
      <c r="D4" s="116"/>
      <c r="E4" s="117"/>
      <c r="F4" s="9"/>
      <c r="G4" s="9"/>
      <c r="H4" s="12"/>
      <c r="I4" s="9"/>
      <c r="J4" s="9"/>
      <c r="K4" s="12"/>
      <c r="L4" s="9"/>
      <c r="M4" s="9"/>
      <c r="N4" s="12"/>
      <c r="O4" s="9"/>
    </row>
    <row r="5" s="14" customFormat="true" ht="28.5" hidden="false" customHeight="true" outlineLevel="0" collapsed="false">
      <c r="A5" s="118" t="s">
        <v>3</v>
      </c>
      <c r="B5" s="118"/>
      <c r="C5" s="118"/>
      <c r="D5" s="118"/>
      <c r="E5" s="118"/>
      <c r="F5" s="118"/>
      <c r="G5" s="118"/>
      <c r="H5" s="118"/>
      <c r="I5" s="118"/>
      <c r="J5" s="118"/>
      <c r="K5" s="118"/>
      <c r="L5" s="118"/>
      <c r="M5" s="118"/>
      <c r="N5" s="118"/>
      <c r="O5" s="118"/>
      <c r="P5" s="118"/>
      <c r="Q5" s="118"/>
      <c r="U5" s="119"/>
    </row>
    <row r="6" s="14" customFormat="true" ht="14.25" hidden="false" customHeight="false" outlineLevel="0" collapsed="false">
      <c r="B6" s="120"/>
      <c r="C6" s="121"/>
      <c r="D6" s="121"/>
      <c r="E6" s="122"/>
      <c r="H6" s="17"/>
      <c r="K6" s="17"/>
      <c r="N6" s="17"/>
      <c r="U6" s="119"/>
    </row>
    <row r="7" s="14" customFormat="true" ht="27" hidden="false" customHeight="true" outlineLevel="0" collapsed="false">
      <c r="A7" s="123" t="s">
        <v>4</v>
      </c>
      <c r="B7" s="124" t="s">
        <v>5</v>
      </c>
      <c r="C7" s="125" t="s">
        <v>6</v>
      </c>
      <c r="D7" s="125" t="s">
        <v>7</v>
      </c>
      <c r="E7" s="126" t="s">
        <v>495</v>
      </c>
      <c r="F7" s="127" t="s">
        <v>9</v>
      </c>
      <c r="G7" s="128" t="s">
        <v>10</v>
      </c>
      <c r="H7" s="128"/>
      <c r="I7" s="128"/>
      <c r="J7" s="128" t="s">
        <v>11</v>
      </c>
      <c r="K7" s="128"/>
      <c r="L7" s="128"/>
      <c r="M7" s="129" t="s">
        <v>12</v>
      </c>
      <c r="N7" s="129"/>
      <c r="O7" s="129"/>
      <c r="P7" s="130" t="s">
        <v>496</v>
      </c>
      <c r="Q7" s="127" t="s">
        <v>14</v>
      </c>
      <c r="R7" s="130" t="s">
        <v>497</v>
      </c>
      <c r="S7" s="125" t="s">
        <v>16</v>
      </c>
      <c r="U7" s="131" t="s">
        <v>17</v>
      </c>
      <c r="V7" s="131"/>
      <c r="W7" s="131"/>
    </row>
    <row r="8" s="14" customFormat="true" ht="30.75" hidden="false" customHeight="true" outlineLevel="0" collapsed="false">
      <c r="A8" s="123"/>
      <c r="B8" s="124"/>
      <c r="C8" s="125"/>
      <c r="D8" s="125"/>
      <c r="E8" s="126"/>
      <c r="F8" s="127"/>
      <c r="G8" s="128"/>
      <c r="H8" s="128"/>
      <c r="I8" s="128"/>
      <c r="J8" s="128"/>
      <c r="K8" s="128"/>
      <c r="L8" s="128"/>
      <c r="M8" s="129"/>
      <c r="N8" s="129"/>
      <c r="O8" s="129"/>
      <c r="P8" s="130"/>
      <c r="Q8" s="127"/>
      <c r="R8" s="130"/>
      <c r="S8" s="125"/>
      <c r="U8" s="131"/>
      <c r="V8" s="131"/>
      <c r="W8" s="131"/>
    </row>
    <row r="9" s="32" customFormat="true" ht="132.75" hidden="false" customHeight="true" outlineLevel="0" collapsed="false">
      <c r="A9" s="123"/>
      <c r="B9" s="124"/>
      <c r="C9" s="125"/>
      <c r="D9" s="125"/>
      <c r="E9" s="126"/>
      <c r="F9" s="127"/>
      <c r="G9" s="132" t="s">
        <v>18</v>
      </c>
      <c r="H9" s="133" t="s">
        <v>19</v>
      </c>
      <c r="I9" s="133" t="s">
        <v>20</v>
      </c>
      <c r="J9" s="132" t="s">
        <v>18</v>
      </c>
      <c r="K9" s="133" t="s">
        <v>19</v>
      </c>
      <c r="L9" s="133" t="s">
        <v>20</v>
      </c>
      <c r="M9" s="132" t="s">
        <v>18</v>
      </c>
      <c r="N9" s="133" t="s">
        <v>21</v>
      </c>
      <c r="O9" s="133" t="s">
        <v>22</v>
      </c>
      <c r="P9" s="130"/>
      <c r="Q9" s="127"/>
      <c r="R9" s="130"/>
      <c r="S9" s="125"/>
      <c r="T9" s="14"/>
      <c r="U9" s="134" t="s">
        <v>10</v>
      </c>
      <c r="V9" s="134" t="s">
        <v>11</v>
      </c>
      <c r="W9" s="134" t="s">
        <v>12</v>
      </c>
      <c r="X9" s="14"/>
      <c r="Y9" s="14"/>
      <c r="Z9" s="14"/>
      <c r="AA9" s="14"/>
      <c r="AB9" s="14"/>
      <c r="AC9" s="14"/>
      <c r="AD9" s="14"/>
      <c r="AE9" s="14"/>
      <c r="AF9" s="14"/>
      <c r="AG9" s="14"/>
      <c r="AH9" s="14"/>
      <c r="AI9" s="14"/>
      <c r="AJ9" s="14"/>
    </row>
    <row r="10" s="40" customFormat="true" ht="14.25" hidden="false" customHeight="true" outlineLevel="0" collapsed="false">
      <c r="A10" s="135" t="n">
        <v>1</v>
      </c>
      <c r="B10" s="136" t="n">
        <v>2</v>
      </c>
      <c r="C10" s="137" t="n">
        <v>3</v>
      </c>
      <c r="D10" s="137" t="n">
        <v>4</v>
      </c>
      <c r="E10" s="138"/>
      <c r="F10" s="137" t="n">
        <v>5</v>
      </c>
      <c r="G10" s="139" t="n">
        <v>6</v>
      </c>
      <c r="H10" s="139" t="n">
        <v>7</v>
      </c>
      <c r="I10" s="140" t="n">
        <v>8</v>
      </c>
      <c r="J10" s="139" t="n">
        <v>9</v>
      </c>
      <c r="K10" s="140" t="n">
        <v>10</v>
      </c>
      <c r="L10" s="140" t="n">
        <v>11</v>
      </c>
      <c r="M10" s="139" t="n">
        <v>12</v>
      </c>
      <c r="N10" s="140" t="n">
        <v>13</v>
      </c>
      <c r="O10" s="140" t="n">
        <v>14</v>
      </c>
      <c r="P10" s="141" t="n">
        <v>15</v>
      </c>
      <c r="Q10" s="141" t="n">
        <v>16</v>
      </c>
      <c r="R10" s="141" t="n">
        <v>17</v>
      </c>
      <c r="S10" s="141" t="n">
        <v>18</v>
      </c>
      <c r="U10" s="142"/>
      <c r="V10" s="142"/>
      <c r="W10" s="142"/>
    </row>
    <row r="11" s="43" customFormat="true" ht="28.5" hidden="false" customHeight="true" outlineLevel="0" collapsed="false">
      <c r="A11" s="143" t="s">
        <v>498</v>
      </c>
      <c r="B11" s="143"/>
      <c r="C11" s="143"/>
      <c r="D11" s="143"/>
      <c r="E11" s="143"/>
      <c r="F11" s="143"/>
      <c r="G11" s="143"/>
      <c r="H11" s="143"/>
      <c r="I11" s="143"/>
      <c r="J11" s="143"/>
      <c r="K11" s="143"/>
      <c r="L11" s="143"/>
      <c r="M11" s="143"/>
      <c r="N11" s="143"/>
      <c r="O11" s="143"/>
      <c r="P11" s="143"/>
      <c r="Q11" s="143"/>
      <c r="R11" s="143"/>
      <c r="S11" s="143"/>
      <c r="U11" s="144"/>
      <c r="V11" s="144"/>
      <c r="W11" s="144"/>
    </row>
    <row r="12" s="43" customFormat="true" ht="73.5" hidden="false" customHeight="true" outlineLevel="0" collapsed="false">
      <c r="A12" s="45" t="n">
        <v>1</v>
      </c>
      <c r="B12" s="145" t="s">
        <v>499</v>
      </c>
      <c r="C12" s="146" t="s">
        <v>25</v>
      </c>
      <c r="D12" s="147" t="n">
        <v>25</v>
      </c>
      <c r="E12" s="148" t="s">
        <v>500</v>
      </c>
      <c r="F12" s="50"/>
      <c r="G12" s="47"/>
      <c r="H12" s="53"/>
      <c r="I12" s="53" t="n">
        <f aca="false">D12*H12</f>
        <v>0</v>
      </c>
      <c r="J12" s="53"/>
      <c r="K12" s="53"/>
      <c r="L12" s="53" t="n">
        <f aca="false">D12*K12</f>
        <v>0</v>
      </c>
      <c r="M12" s="47"/>
      <c r="N12" s="53"/>
      <c r="O12" s="53" t="n">
        <f aca="false">D12*N12</f>
        <v>0</v>
      </c>
      <c r="P12" s="54" t="e">
        <f aca="false">AVERAGE(H12,K12,N12)</f>
        <v>#DIV/0!</v>
      </c>
      <c r="Q12" s="55" t="e">
        <f aca="false">F12*100/P12-100</f>
        <v>#DIV/0!</v>
      </c>
      <c r="R12" s="54" t="n">
        <f aca="false">D12*F12</f>
        <v>0</v>
      </c>
      <c r="S12" s="47"/>
      <c r="U12" s="57" t="e">
        <f aca="false">ROUND(H12*100/P12-100,0)</f>
        <v>#DIV/0!</v>
      </c>
      <c r="V12" s="57" t="e">
        <f aca="false">ROUND(K12*100/P12-100,0)</f>
        <v>#DIV/0!</v>
      </c>
      <c r="W12" s="57" t="e">
        <f aca="false">ROUND(N12*100/P12-100,0)</f>
        <v>#DIV/0!</v>
      </c>
    </row>
    <row r="13" s="43" customFormat="true" ht="73.5" hidden="false" customHeight="true" outlineLevel="0" collapsed="false">
      <c r="A13" s="45" t="n">
        <v>2</v>
      </c>
      <c r="B13" s="145" t="s">
        <v>35</v>
      </c>
      <c r="C13" s="146" t="s">
        <v>25</v>
      </c>
      <c r="D13" s="147" t="n">
        <v>1</v>
      </c>
      <c r="E13" s="148" t="n">
        <v>155.25</v>
      </c>
      <c r="F13" s="50"/>
      <c r="G13" s="47"/>
      <c r="H13" s="53"/>
      <c r="I13" s="53" t="n">
        <f aca="false">D13*H13</f>
        <v>0</v>
      </c>
      <c r="J13" s="47"/>
      <c r="K13" s="53"/>
      <c r="L13" s="53" t="n">
        <f aca="false">D13*K13</f>
        <v>0</v>
      </c>
      <c r="M13" s="47"/>
      <c r="N13" s="53"/>
      <c r="O13" s="53" t="n">
        <f aca="false">D13*N13</f>
        <v>0</v>
      </c>
      <c r="P13" s="54" t="e">
        <f aca="false">AVERAGE(H13,K13,N13)</f>
        <v>#DIV/0!</v>
      </c>
      <c r="Q13" s="55" t="e">
        <f aca="false">F13*100/P13-100</f>
        <v>#DIV/0!</v>
      </c>
      <c r="R13" s="54" t="n">
        <f aca="false">D13*F13</f>
        <v>0</v>
      </c>
      <c r="S13" s="47"/>
      <c r="U13" s="57" t="e">
        <f aca="false">ROUND(H13*100/P13-100,0)</f>
        <v>#DIV/0!</v>
      </c>
      <c r="V13" s="57" t="e">
        <f aca="false">ROUND(K13*100/P13-100,0)</f>
        <v>#DIV/0!</v>
      </c>
      <c r="W13" s="57" t="e">
        <f aca="false">ROUND(N13*100/P13-100,0)</f>
        <v>#DIV/0!</v>
      </c>
    </row>
    <row r="14" s="43" customFormat="true" ht="73.5" hidden="false" customHeight="true" outlineLevel="0" collapsed="false">
      <c r="A14" s="45" t="n">
        <v>3</v>
      </c>
      <c r="B14" s="145" t="s">
        <v>36</v>
      </c>
      <c r="C14" s="146" t="s">
        <v>25</v>
      </c>
      <c r="D14" s="147" t="n">
        <v>5</v>
      </c>
      <c r="E14" s="148" t="n">
        <v>1088.65</v>
      </c>
      <c r="F14" s="50"/>
      <c r="G14" s="47"/>
      <c r="H14" s="53"/>
      <c r="I14" s="53" t="n">
        <f aca="false">D14*H14</f>
        <v>0</v>
      </c>
      <c r="J14" s="47"/>
      <c r="K14" s="53"/>
      <c r="L14" s="53" t="n">
        <f aca="false">D14*K14</f>
        <v>0</v>
      </c>
      <c r="M14" s="47"/>
      <c r="N14" s="53"/>
      <c r="O14" s="53" t="n">
        <f aca="false">D14*N14</f>
        <v>0</v>
      </c>
      <c r="P14" s="54" t="e">
        <f aca="false">AVERAGE(H14,K14,N14)</f>
        <v>#DIV/0!</v>
      </c>
      <c r="Q14" s="55" t="e">
        <f aca="false">F14*100/P14-100</f>
        <v>#DIV/0!</v>
      </c>
      <c r="R14" s="54" t="n">
        <f aca="false">D14*F14</f>
        <v>0</v>
      </c>
      <c r="S14" s="47"/>
      <c r="U14" s="57" t="e">
        <f aca="false">ROUND(H14*100/P14-100,0)</f>
        <v>#DIV/0!</v>
      </c>
      <c r="V14" s="57" t="e">
        <f aca="false">ROUND(K14*100/P14-100,0)</f>
        <v>#DIV/0!</v>
      </c>
      <c r="W14" s="57" t="e">
        <f aca="false">ROUND(N14*100/P14-100,0)</f>
        <v>#DIV/0!</v>
      </c>
    </row>
    <row r="15" s="43" customFormat="true" ht="73.5" hidden="false" customHeight="true" outlineLevel="0" collapsed="false">
      <c r="A15" s="45" t="n">
        <v>4</v>
      </c>
      <c r="B15" s="145" t="s">
        <v>501</v>
      </c>
      <c r="C15" s="146" t="s">
        <v>25</v>
      </c>
      <c r="D15" s="147" t="n">
        <v>2</v>
      </c>
      <c r="E15" s="148" t="s">
        <v>500</v>
      </c>
      <c r="F15" s="50"/>
      <c r="G15" s="47"/>
      <c r="H15" s="53"/>
      <c r="I15" s="53" t="n">
        <f aca="false">D15*H15</f>
        <v>0</v>
      </c>
      <c r="J15" s="47"/>
      <c r="K15" s="53"/>
      <c r="L15" s="53" t="n">
        <f aca="false">D15*K15</f>
        <v>0</v>
      </c>
      <c r="M15" s="47"/>
      <c r="N15" s="53"/>
      <c r="O15" s="53" t="n">
        <f aca="false">D15*N15</f>
        <v>0</v>
      </c>
      <c r="P15" s="54" t="e">
        <f aca="false">AVERAGE(H15,K15,N15)</f>
        <v>#DIV/0!</v>
      </c>
      <c r="Q15" s="55" t="e">
        <f aca="false">F15*100/P15-100</f>
        <v>#DIV/0!</v>
      </c>
      <c r="R15" s="54" t="n">
        <f aca="false">D15*F15</f>
        <v>0</v>
      </c>
      <c r="S15" s="47"/>
      <c r="U15" s="57" t="e">
        <f aca="false">ROUND(H15*100/P15-100,0)</f>
        <v>#DIV/0!</v>
      </c>
      <c r="V15" s="57" t="e">
        <f aca="false">ROUND(K15*100/P15-100,0)</f>
        <v>#DIV/0!</v>
      </c>
      <c r="W15" s="57" t="e">
        <f aca="false">ROUND(N15*100/P15-100,0)</f>
        <v>#DIV/0!</v>
      </c>
    </row>
    <row r="16" s="43" customFormat="true" ht="73.5" hidden="false" customHeight="true" outlineLevel="0" collapsed="false">
      <c r="A16" s="45" t="n">
        <v>5</v>
      </c>
      <c r="B16" s="145" t="s">
        <v>38</v>
      </c>
      <c r="C16" s="146" t="s">
        <v>25</v>
      </c>
      <c r="D16" s="147" t="n">
        <v>4</v>
      </c>
      <c r="E16" s="148" t="n">
        <v>4105.6</v>
      </c>
      <c r="F16" s="50"/>
      <c r="G16" s="47"/>
      <c r="H16" s="53"/>
      <c r="I16" s="53" t="n">
        <f aca="false">D16*H16</f>
        <v>0</v>
      </c>
      <c r="J16" s="53"/>
      <c r="K16" s="53"/>
      <c r="L16" s="53" t="n">
        <f aca="false">D16*K16</f>
        <v>0</v>
      </c>
      <c r="M16" s="47"/>
      <c r="N16" s="53"/>
      <c r="O16" s="53" t="n">
        <f aca="false">D16*N16</f>
        <v>0</v>
      </c>
      <c r="P16" s="54" t="e">
        <f aca="false">AVERAGE(H16,K16,N16)</f>
        <v>#DIV/0!</v>
      </c>
      <c r="Q16" s="55" t="e">
        <f aca="false">F16*100/P16-100</f>
        <v>#DIV/0!</v>
      </c>
      <c r="R16" s="54" t="n">
        <f aca="false">D16*F16</f>
        <v>0</v>
      </c>
      <c r="S16" s="47"/>
      <c r="U16" s="57" t="e">
        <f aca="false">ROUND(H16*100/P16-100,0)</f>
        <v>#DIV/0!</v>
      </c>
      <c r="V16" s="57" t="e">
        <f aca="false">ROUND(K16*100/P16-100,0)</f>
        <v>#DIV/0!</v>
      </c>
      <c r="W16" s="57" t="e">
        <f aca="false">ROUND(N16*100/P16-100,0)</f>
        <v>#DIV/0!</v>
      </c>
    </row>
    <row r="17" s="43" customFormat="true" ht="73.5" hidden="false" customHeight="true" outlineLevel="0" collapsed="false">
      <c r="A17" s="45" t="n">
        <v>6</v>
      </c>
      <c r="B17" s="145" t="s">
        <v>502</v>
      </c>
      <c r="C17" s="146" t="s">
        <v>25</v>
      </c>
      <c r="D17" s="147" t="n">
        <v>25</v>
      </c>
      <c r="E17" s="148" t="s">
        <v>500</v>
      </c>
      <c r="F17" s="50"/>
      <c r="G17" s="47"/>
      <c r="H17" s="53"/>
      <c r="I17" s="53" t="n">
        <f aca="false">D17*H17</f>
        <v>0</v>
      </c>
      <c r="J17" s="53"/>
      <c r="K17" s="53"/>
      <c r="L17" s="53" t="n">
        <f aca="false">D17*K17</f>
        <v>0</v>
      </c>
      <c r="M17" s="47"/>
      <c r="N17" s="53"/>
      <c r="O17" s="53" t="n">
        <f aca="false">D17*N17</f>
        <v>0</v>
      </c>
      <c r="P17" s="54" t="e">
        <f aca="false">AVERAGE(H17,K17,N17)</f>
        <v>#DIV/0!</v>
      </c>
      <c r="Q17" s="55" t="e">
        <f aca="false">F17*100/P17-100</f>
        <v>#DIV/0!</v>
      </c>
      <c r="R17" s="54" t="n">
        <f aca="false">D17*F17</f>
        <v>0</v>
      </c>
      <c r="S17" s="47"/>
      <c r="U17" s="57" t="e">
        <f aca="false">ROUND(H17*100/P17-100,0)</f>
        <v>#DIV/0!</v>
      </c>
      <c r="V17" s="57" t="e">
        <f aca="false">ROUND(K17*100/P17-100,0)</f>
        <v>#DIV/0!</v>
      </c>
      <c r="W17" s="57" t="e">
        <f aca="false">ROUND(N17*100/P17-100,0)</f>
        <v>#DIV/0!</v>
      </c>
    </row>
    <row r="18" s="43" customFormat="true" ht="73.5" hidden="false" customHeight="true" outlineLevel="0" collapsed="false">
      <c r="A18" s="45" t="n">
        <v>7</v>
      </c>
      <c r="B18" s="145" t="s">
        <v>42</v>
      </c>
      <c r="C18" s="146" t="s">
        <v>25</v>
      </c>
      <c r="D18" s="147" t="n">
        <v>16</v>
      </c>
      <c r="E18" s="148" t="n">
        <v>5173.66</v>
      </c>
      <c r="F18" s="50"/>
      <c r="G18" s="47"/>
      <c r="H18" s="53"/>
      <c r="I18" s="53" t="n">
        <f aca="false">D18*H18</f>
        <v>0</v>
      </c>
      <c r="J18" s="53"/>
      <c r="K18" s="53"/>
      <c r="L18" s="53" t="n">
        <f aca="false">D18*K18</f>
        <v>0</v>
      </c>
      <c r="M18" s="47"/>
      <c r="N18" s="53"/>
      <c r="O18" s="53" t="n">
        <f aca="false">D18*N18</f>
        <v>0</v>
      </c>
      <c r="P18" s="54" t="e">
        <f aca="false">AVERAGE(H18,K18,N18)</f>
        <v>#DIV/0!</v>
      </c>
      <c r="Q18" s="55" t="e">
        <f aca="false">F18*100/P18-100</f>
        <v>#DIV/0!</v>
      </c>
      <c r="R18" s="54" t="n">
        <f aca="false">D18*F18</f>
        <v>0</v>
      </c>
      <c r="S18" s="47"/>
      <c r="U18" s="57" t="e">
        <f aca="false">ROUND(H18*100/P18-100,0)</f>
        <v>#DIV/0!</v>
      </c>
      <c r="V18" s="57" t="e">
        <f aca="false">ROUND(K18*100/P18-100,0)</f>
        <v>#DIV/0!</v>
      </c>
      <c r="W18" s="57" t="e">
        <f aca="false">ROUND(N18*100/P18-100,0)</f>
        <v>#DIV/0!</v>
      </c>
    </row>
    <row r="19" s="43" customFormat="true" ht="73.5" hidden="false" customHeight="true" outlineLevel="0" collapsed="false">
      <c r="A19" s="45" t="n">
        <v>8</v>
      </c>
      <c r="B19" s="145" t="s">
        <v>44</v>
      </c>
      <c r="C19" s="146" t="s">
        <v>45</v>
      </c>
      <c r="D19" s="147" t="n">
        <v>3.3</v>
      </c>
      <c r="E19" s="148" t="n">
        <v>2000</v>
      </c>
      <c r="F19" s="50"/>
      <c r="G19" s="47"/>
      <c r="H19" s="53"/>
      <c r="I19" s="53" t="n">
        <f aca="false">D19*H19</f>
        <v>0</v>
      </c>
      <c r="J19" s="47"/>
      <c r="K19" s="53"/>
      <c r="L19" s="53" t="n">
        <f aca="false">D19*K19</f>
        <v>0</v>
      </c>
      <c r="M19" s="53"/>
      <c r="N19" s="53"/>
      <c r="O19" s="53" t="n">
        <f aca="false">D19*N19</f>
        <v>0</v>
      </c>
      <c r="P19" s="54" t="e">
        <f aca="false">AVERAGE(H19,K19,N19)</f>
        <v>#DIV/0!</v>
      </c>
      <c r="Q19" s="55" t="e">
        <f aca="false">F19*100/P19-100</f>
        <v>#DIV/0!</v>
      </c>
      <c r="R19" s="54" t="n">
        <f aca="false">D19*F19</f>
        <v>0</v>
      </c>
      <c r="S19" s="47"/>
      <c r="U19" s="57" t="e">
        <f aca="false">ROUND(H19*100/P19-100,0)</f>
        <v>#DIV/0!</v>
      </c>
      <c r="V19" s="57" t="e">
        <f aca="false">ROUND(K19*100/P19-100,0)</f>
        <v>#DIV/0!</v>
      </c>
      <c r="W19" s="57" t="e">
        <f aca="false">ROUND(N19*100/P19-100,0)</f>
        <v>#DIV/0!</v>
      </c>
    </row>
    <row r="20" s="43" customFormat="true" ht="73.5" hidden="false" customHeight="true" outlineLevel="0" collapsed="false">
      <c r="A20" s="45" t="n">
        <v>9</v>
      </c>
      <c r="B20" s="145" t="s">
        <v>503</v>
      </c>
      <c r="C20" s="146" t="s">
        <v>25</v>
      </c>
      <c r="D20" s="147" t="n">
        <v>2</v>
      </c>
      <c r="E20" s="148" t="s">
        <v>504</v>
      </c>
      <c r="F20" s="50"/>
      <c r="G20" s="149"/>
      <c r="H20" s="53"/>
      <c r="I20" s="53" t="n">
        <f aca="false">D20*H20</f>
        <v>0</v>
      </c>
      <c r="J20" s="47"/>
      <c r="K20" s="53"/>
      <c r="L20" s="53" t="n">
        <f aca="false">D20*K20</f>
        <v>0</v>
      </c>
      <c r="M20" s="47"/>
      <c r="N20" s="53"/>
      <c r="O20" s="150" t="n">
        <f aca="false">D20*N20</f>
        <v>0</v>
      </c>
      <c r="P20" s="54" t="e">
        <f aca="false">AVERAGE(H20,K20,N20)</f>
        <v>#DIV/0!</v>
      </c>
      <c r="Q20" s="151" t="e">
        <f aca="false">F20*100/P20-100</f>
        <v>#DIV/0!</v>
      </c>
      <c r="R20" s="54" t="n">
        <f aca="false">D20*F20</f>
        <v>0</v>
      </c>
      <c r="S20" s="47"/>
      <c r="U20" s="57" t="e">
        <f aca="false">ROUND(H20*100/P20-100,0)</f>
        <v>#DIV/0!</v>
      </c>
      <c r="V20" s="57" t="e">
        <f aca="false">ROUND(K20*100/P20-100,0)</f>
        <v>#DIV/0!</v>
      </c>
      <c r="W20" s="57" t="e">
        <f aca="false">ROUND(N20*100/P20-100,0)</f>
        <v>#DIV/0!</v>
      </c>
    </row>
    <row r="21" s="43" customFormat="true" ht="73.5" hidden="false" customHeight="true" outlineLevel="0" collapsed="false">
      <c r="A21" s="45" t="n">
        <v>10</v>
      </c>
      <c r="B21" s="145" t="s">
        <v>52</v>
      </c>
      <c r="C21" s="146" t="s">
        <v>53</v>
      </c>
      <c r="D21" s="147" t="n">
        <v>240</v>
      </c>
      <c r="E21" s="148" t="n">
        <v>331.49</v>
      </c>
      <c r="F21" s="50"/>
      <c r="G21" s="47"/>
      <c r="H21" s="53"/>
      <c r="I21" s="53" t="n">
        <f aca="false">D21*H21</f>
        <v>0</v>
      </c>
      <c r="J21" s="53"/>
      <c r="K21" s="53"/>
      <c r="L21" s="53" t="n">
        <f aca="false">D21*K21</f>
        <v>0</v>
      </c>
      <c r="M21" s="47"/>
      <c r="N21" s="53"/>
      <c r="O21" s="53" t="n">
        <f aca="false">D21*N21</f>
        <v>0</v>
      </c>
      <c r="P21" s="54" t="e">
        <f aca="false">AVERAGE(H21,K21,N21)</f>
        <v>#DIV/0!</v>
      </c>
      <c r="Q21" s="55" t="e">
        <f aca="false">F21*100/P21-100</f>
        <v>#DIV/0!</v>
      </c>
      <c r="R21" s="54" t="n">
        <f aca="false">D21*F21</f>
        <v>0</v>
      </c>
      <c r="S21" s="47"/>
      <c r="U21" s="57" t="e">
        <f aca="false">ROUND(H21*100/P21-100,0)</f>
        <v>#DIV/0!</v>
      </c>
      <c r="V21" s="57" t="e">
        <f aca="false">ROUND(K21*100/P21-100,0)</f>
        <v>#DIV/0!</v>
      </c>
      <c r="W21" s="57" t="e">
        <f aca="false">ROUND(N21*100/P21-100,0)</f>
        <v>#DIV/0!</v>
      </c>
    </row>
    <row r="22" s="43" customFormat="true" ht="73.5" hidden="false" customHeight="true" outlineLevel="0" collapsed="false">
      <c r="A22" s="45" t="n">
        <v>11</v>
      </c>
      <c r="B22" s="145" t="s">
        <v>55</v>
      </c>
      <c r="C22" s="146" t="s">
        <v>25</v>
      </c>
      <c r="D22" s="147" t="n">
        <v>2</v>
      </c>
      <c r="E22" s="148" t="n">
        <v>19052</v>
      </c>
      <c r="F22" s="50"/>
      <c r="G22" s="47"/>
      <c r="H22" s="53"/>
      <c r="I22" s="72" t="n">
        <f aca="false">D22*H22</f>
        <v>0</v>
      </c>
      <c r="J22" s="72"/>
      <c r="K22" s="72"/>
      <c r="L22" s="72" t="n">
        <f aca="false">D22*K22</f>
        <v>0</v>
      </c>
      <c r="M22" s="47"/>
      <c r="N22" s="72"/>
      <c r="O22" s="72" t="n">
        <f aca="false">D22*N22</f>
        <v>0</v>
      </c>
      <c r="P22" s="54" t="e">
        <f aca="false">AVERAGE(H22,K22,N22)</f>
        <v>#DIV/0!</v>
      </c>
      <c r="Q22" s="55" t="e">
        <f aca="false">F22*100/P22-100</f>
        <v>#DIV/0!</v>
      </c>
      <c r="R22" s="54" t="n">
        <f aca="false">D22*F22</f>
        <v>0</v>
      </c>
      <c r="S22" s="47"/>
      <c r="U22" s="57" t="e">
        <f aca="false">ROUND(H22*100/P22-100,0)</f>
        <v>#DIV/0!</v>
      </c>
      <c r="V22" s="57" t="e">
        <f aca="false">ROUND(K22*100/P22-100,0)</f>
        <v>#DIV/0!</v>
      </c>
      <c r="W22" s="57" t="e">
        <f aca="false">ROUND(N22*100/P22-100,0)</f>
        <v>#DIV/0!</v>
      </c>
    </row>
    <row r="23" s="43" customFormat="true" ht="73.5" hidden="false" customHeight="true" outlineLevel="0" collapsed="false">
      <c r="A23" s="45" t="n">
        <v>12</v>
      </c>
      <c r="B23" s="145" t="s">
        <v>61</v>
      </c>
      <c r="C23" s="146" t="s">
        <v>45</v>
      </c>
      <c r="D23" s="147" t="n">
        <v>80</v>
      </c>
      <c r="E23" s="148" t="n">
        <v>473.4</v>
      </c>
      <c r="F23" s="50"/>
      <c r="G23" s="47"/>
      <c r="H23" s="53"/>
      <c r="I23" s="72" t="n">
        <f aca="false">D23*H23</f>
        <v>0</v>
      </c>
      <c r="J23" s="72"/>
      <c r="K23" s="72"/>
      <c r="L23" s="72" t="n">
        <f aca="false">D23*K23</f>
        <v>0</v>
      </c>
      <c r="M23" s="47"/>
      <c r="N23" s="72"/>
      <c r="O23" s="72" t="n">
        <f aca="false">D23*N23</f>
        <v>0</v>
      </c>
      <c r="P23" s="54" t="e">
        <f aca="false">AVERAGE(H23,K23,N23)</f>
        <v>#DIV/0!</v>
      </c>
      <c r="Q23" s="55" t="e">
        <f aca="false">F23*100/P23-100</f>
        <v>#DIV/0!</v>
      </c>
      <c r="R23" s="54" t="n">
        <f aca="false">D23*F23</f>
        <v>0</v>
      </c>
      <c r="S23" s="47"/>
      <c r="U23" s="57" t="e">
        <f aca="false">ROUND(H23*100/P23-100,0)</f>
        <v>#DIV/0!</v>
      </c>
      <c r="V23" s="57" t="e">
        <f aca="false">ROUND(K23*100/P23-100,0)</f>
        <v>#DIV/0!</v>
      </c>
      <c r="W23" s="57" t="e">
        <f aca="false">ROUND(N23*100/P23-100,0)</f>
        <v>#DIV/0!</v>
      </c>
    </row>
    <row r="24" s="43" customFormat="true" ht="73.5" hidden="false" customHeight="true" outlineLevel="0" collapsed="false">
      <c r="A24" s="45" t="n">
        <v>13</v>
      </c>
      <c r="B24" s="145" t="s">
        <v>505</v>
      </c>
      <c r="C24" s="146" t="s">
        <v>25</v>
      </c>
      <c r="D24" s="147" t="n">
        <v>50</v>
      </c>
      <c r="E24" s="152"/>
      <c r="F24" s="50"/>
      <c r="G24" s="47"/>
      <c r="H24" s="53"/>
      <c r="I24" s="72" t="n">
        <f aca="false">D24*H24</f>
        <v>0</v>
      </c>
      <c r="J24" s="72"/>
      <c r="K24" s="72"/>
      <c r="L24" s="72" t="n">
        <f aca="false">D24*K24</f>
        <v>0</v>
      </c>
      <c r="M24" s="47"/>
      <c r="N24" s="72"/>
      <c r="O24" s="72" t="n">
        <f aca="false">D24*N24</f>
        <v>0</v>
      </c>
      <c r="P24" s="54" t="e">
        <f aca="false">AVERAGE(H24,K24,N24)</f>
        <v>#DIV/0!</v>
      </c>
      <c r="Q24" s="55" t="e">
        <f aca="false">F24*100/P24-100</f>
        <v>#DIV/0!</v>
      </c>
      <c r="R24" s="54" t="n">
        <f aca="false">D24*F24</f>
        <v>0</v>
      </c>
      <c r="S24" s="47"/>
      <c r="U24" s="57" t="e">
        <f aca="false">ROUND(H24*100/P24-100,0)</f>
        <v>#DIV/0!</v>
      </c>
      <c r="V24" s="57" t="e">
        <f aca="false">ROUND(K24*100/P24-100,0)</f>
        <v>#DIV/0!</v>
      </c>
      <c r="W24" s="57" t="e">
        <f aca="false">ROUND(N24*100/P24-100,0)</f>
        <v>#DIV/0!</v>
      </c>
    </row>
    <row r="25" s="43" customFormat="true" ht="73.5" hidden="false" customHeight="true" outlineLevel="0" collapsed="false">
      <c r="A25" s="45" t="n">
        <v>14</v>
      </c>
      <c r="B25" s="145" t="s">
        <v>70</v>
      </c>
      <c r="C25" s="146" t="s">
        <v>25</v>
      </c>
      <c r="D25" s="147" t="n">
        <v>400</v>
      </c>
      <c r="E25" s="152" t="n">
        <v>36.7</v>
      </c>
      <c r="F25" s="50"/>
      <c r="G25" s="47"/>
      <c r="H25" s="53"/>
      <c r="I25" s="53" t="n">
        <f aca="false">D25*H25</f>
        <v>0</v>
      </c>
      <c r="J25" s="47"/>
      <c r="K25" s="53"/>
      <c r="L25" s="53" t="n">
        <f aca="false">D25*K25</f>
        <v>0</v>
      </c>
      <c r="M25" s="53"/>
      <c r="N25" s="53"/>
      <c r="O25" s="53" t="n">
        <f aca="false">D25*N25</f>
        <v>0</v>
      </c>
      <c r="P25" s="54" t="e">
        <f aca="false">AVERAGE(H25,K25,N25)</f>
        <v>#DIV/0!</v>
      </c>
      <c r="Q25" s="55" t="e">
        <f aca="false">F25*100/P25-100</f>
        <v>#DIV/0!</v>
      </c>
      <c r="R25" s="54" t="n">
        <f aca="false">D25*F25</f>
        <v>0</v>
      </c>
      <c r="S25" s="47"/>
      <c r="U25" s="57" t="e">
        <f aca="false">ROUND(H25*100/P25-100,0)</f>
        <v>#DIV/0!</v>
      </c>
      <c r="V25" s="57" t="e">
        <f aca="false">ROUND(K25*100/P25-100,0)</f>
        <v>#DIV/0!</v>
      </c>
      <c r="W25" s="57" t="e">
        <f aca="false">ROUND(N25*100/P25-100,0)</f>
        <v>#DIV/0!</v>
      </c>
    </row>
    <row r="26" s="43" customFormat="true" ht="73.5" hidden="false" customHeight="true" outlineLevel="0" collapsed="false">
      <c r="A26" s="45" t="n">
        <v>15</v>
      </c>
      <c r="B26" s="145" t="s">
        <v>71</v>
      </c>
      <c r="C26" s="146" t="s">
        <v>25</v>
      </c>
      <c r="D26" s="147" t="n">
        <v>600</v>
      </c>
      <c r="E26" s="152" t="n">
        <v>49.8</v>
      </c>
      <c r="F26" s="50"/>
      <c r="G26" s="47"/>
      <c r="H26" s="53"/>
      <c r="I26" s="53" t="n">
        <f aca="false">D26*H26</f>
        <v>0</v>
      </c>
      <c r="J26" s="53"/>
      <c r="K26" s="53"/>
      <c r="L26" s="53" t="n">
        <f aca="false">D26*K26</f>
        <v>0</v>
      </c>
      <c r="M26" s="47"/>
      <c r="N26" s="53"/>
      <c r="O26" s="53" t="n">
        <f aca="false">D26*N26</f>
        <v>0</v>
      </c>
      <c r="P26" s="54" t="e">
        <f aca="false">AVERAGE(H26,K26,N26)</f>
        <v>#DIV/0!</v>
      </c>
      <c r="Q26" s="55" t="e">
        <f aca="false">F26*100/P26-100</f>
        <v>#DIV/0!</v>
      </c>
      <c r="R26" s="54" t="n">
        <f aca="false">D26*F26</f>
        <v>0</v>
      </c>
      <c r="S26" s="47"/>
      <c r="U26" s="57" t="e">
        <f aca="false">ROUND(H26*100/P26-100,0)</f>
        <v>#DIV/0!</v>
      </c>
      <c r="V26" s="57" t="e">
        <f aca="false">ROUND(K26*100/P26-100,0)</f>
        <v>#DIV/0!</v>
      </c>
      <c r="W26" s="57" t="e">
        <f aca="false">ROUND(N26*100/P26-100,0)</f>
        <v>#DIV/0!</v>
      </c>
    </row>
    <row r="27" s="43" customFormat="true" ht="73.5" hidden="false" customHeight="true" outlineLevel="0" collapsed="false">
      <c r="A27" s="45" t="n">
        <v>16</v>
      </c>
      <c r="B27" s="145" t="s">
        <v>72</v>
      </c>
      <c r="C27" s="146" t="s">
        <v>25</v>
      </c>
      <c r="D27" s="147" t="n">
        <v>80</v>
      </c>
      <c r="E27" s="152" t="n">
        <v>116.1</v>
      </c>
      <c r="F27" s="50"/>
      <c r="G27" s="47"/>
      <c r="H27" s="53"/>
      <c r="I27" s="53" t="n">
        <f aca="false">D27*H27</f>
        <v>0</v>
      </c>
      <c r="J27" s="53"/>
      <c r="K27" s="53"/>
      <c r="L27" s="53" t="n">
        <f aca="false">D27*K27</f>
        <v>0</v>
      </c>
      <c r="M27" s="47"/>
      <c r="N27" s="53"/>
      <c r="O27" s="53" t="n">
        <f aca="false">D27*N27</f>
        <v>0</v>
      </c>
      <c r="P27" s="54" t="e">
        <f aca="false">AVERAGE(H27,K27,N27)</f>
        <v>#DIV/0!</v>
      </c>
      <c r="Q27" s="55" t="e">
        <f aca="false">F27*100/P27-100</f>
        <v>#DIV/0!</v>
      </c>
      <c r="R27" s="54" t="n">
        <f aca="false">D27*F27</f>
        <v>0</v>
      </c>
      <c r="S27" s="47"/>
      <c r="U27" s="57" t="e">
        <f aca="false">ROUND(H27*100/P27-100,0)</f>
        <v>#DIV/0!</v>
      </c>
      <c r="V27" s="57" t="e">
        <f aca="false">ROUND(K27*100/P27-100,0)</f>
        <v>#DIV/0!</v>
      </c>
      <c r="W27" s="57" t="e">
        <f aca="false">ROUND(N27*100/P27-100,0)</f>
        <v>#DIV/0!</v>
      </c>
    </row>
    <row r="28" s="43" customFormat="true" ht="73.5" hidden="false" customHeight="true" outlineLevel="0" collapsed="false">
      <c r="A28" s="45" t="n">
        <v>17</v>
      </c>
      <c r="B28" s="145" t="s">
        <v>506</v>
      </c>
      <c r="C28" s="146" t="s">
        <v>25</v>
      </c>
      <c r="D28" s="147" t="n">
        <v>1320</v>
      </c>
      <c r="E28" s="152" t="s">
        <v>504</v>
      </c>
      <c r="F28" s="50"/>
      <c r="G28" s="47"/>
      <c r="H28" s="53"/>
      <c r="I28" s="53" t="n">
        <f aca="false">D28*H28</f>
        <v>0</v>
      </c>
      <c r="J28" s="53"/>
      <c r="K28" s="53"/>
      <c r="L28" s="53" t="n">
        <f aca="false">D28*K28</f>
        <v>0</v>
      </c>
      <c r="M28" s="47"/>
      <c r="N28" s="53"/>
      <c r="O28" s="53" t="n">
        <f aca="false">D28*N28</f>
        <v>0</v>
      </c>
      <c r="P28" s="54" t="e">
        <f aca="false">AVERAGE(H28,K28,N28)</f>
        <v>#DIV/0!</v>
      </c>
      <c r="Q28" s="55" t="e">
        <f aca="false">F28*100/P28-100</f>
        <v>#DIV/0!</v>
      </c>
      <c r="R28" s="54" t="n">
        <f aca="false">D28*F28</f>
        <v>0</v>
      </c>
      <c r="S28" s="47"/>
      <c r="U28" s="57" t="e">
        <f aca="false">ROUND(H28*100/P28-100,0)</f>
        <v>#DIV/0!</v>
      </c>
      <c r="V28" s="57" t="e">
        <f aca="false">ROUND(K28*100/P28-100,0)</f>
        <v>#DIV/0!</v>
      </c>
      <c r="W28" s="57" t="e">
        <f aca="false">ROUND(N28*100/P28-100,0)</f>
        <v>#DIV/0!</v>
      </c>
    </row>
    <row r="29" s="43" customFormat="true" ht="73.5" hidden="false" customHeight="true" outlineLevel="0" collapsed="false">
      <c r="A29" s="45" t="n">
        <v>18</v>
      </c>
      <c r="B29" s="145" t="s">
        <v>73</v>
      </c>
      <c r="C29" s="146" t="s">
        <v>25</v>
      </c>
      <c r="D29" s="147" t="n">
        <v>40</v>
      </c>
      <c r="E29" s="152" t="n">
        <v>19</v>
      </c>
      <c r="F29" s="50"/>
      <c r="G29" s="47"/>
      <c r="H29" s="53"/>
      <c r="I29" s="53" t="n">
        <f aca="false">D29*H29</f>
        <v>0</v>
      </c>
      <c r="J29" s="53"/>
      <c r="K29" s="53"/>
      <c r="L29" s="53" t="n">
        <f aca="false">D29*K29</f>
        <v>0</v>
      </c>
      <c r="M29" s="47"/>
      <c r="N29" s="53"/>
      <c r="O29" s="53" t="n">
        <f aca="false">D29*N29</f>
        <v>0</v>
      </c>
      <c r="P29" s="54" t="e">
        <f aca="false">AVERAGE(H29,K29,N29)</f>
        <v>#DIV/0!</v>
      </c>
      <c r="Q29" s="55" t="e">
        <f aca="false">F29*100/P29-100</f>
        <v>#DIV/0!</v>
      </c>
      <c r="R29" s="54" t="n">
        <f aca="false">D29*F29</f>
        <v>0</v>
      </c>
      <c r="S29" s="47"/>
      <c r="U29" s="57" t="e">
        <f aca="false">ROUND(H29*100/P29-100,0)</f>
        <v>#DIV/0!</v>
      </c>
      <c r="V29" s="57" t="e">
        <f aca="false">ROUND(K29*100/P29-100,0)</f>
        <v>#DIV/0!</v>
      </c>
      <c r="W29" s="57" t="e">
        <f aca="false">ROUND(N29*100/P29-100,0)</f>
        <v>#DIV/0!</v>
      </c>
    </row>
    <row r="30" s="43" customFormat="true" ht="73.5" hidden="false" customHeight="true" outlineLevel="0" collapsed="false">
      <c r="A30" s="45" t="n">
        <v>19</v>
      </c>
      <c r="B30" s="145" t="s">
        <v>74</v>
      </c>
      <c r="C30" s="146" t="s">
        <v>25</v>
      </c>
      <c r="D30" s="147" t="n">
        <v>20</v>
      </c>
      <c r="E30" s="152" t="n">
        <v>27.3</v>
      </c>
      <c r="F30" s="50"/>
      <c r="G30" s="47"/>
      <c r="H30" s="53"/>
      <c r="I30" s="53" t="n">
        <f aca="false">D30*H30</f>
        <v>0</v>
      </c>
      <c r="J30" s="53"/>
      <c r="K30" s="53"/>
      <c r="L30" s="53" t="n">
        <f aca="false">D30*K30</f>
        <v>0</v>
      </c>
      <c r="M30" s="47"/>
      <c r="N30" s="53"/>
      <c r="O30" s="53" t="n">
        <f aca="false">D30*N30</f>
        <v>0</v>
      </c>
      <c r="P30" s="54" t="e">
        <f aca="false">AVERAGE(H30,K30,N30)</f>
        <v>#DIV/0!</v>
      </c>
      <c r="Q30" s="55" t="e">
        <f aca="false">F30*100/P30-100</f>
        <v>#DIV/0!</v>
      </c>
      <c r="R30" s="54" t="n">
        <f aca="false">D30*F30</f>
        <v>0</v>
      </c>
      <c r="S30" s="47"/>
      <c r="U30" s="57" t="e">
        <f aca="false">ROUND(H30*100/P30-100,0)</f>
        <v>#DIV/0!</v>
      </c>
      <c r="V30" s="57" t="e">
        <f aca="false">ROUND(K30*100/P30-100,0)</f>
        <v>#DIV/0!</v>
      </c>
      <c r="W30" s="57" t="e">
        <f aca="false">ROUND(N30*100/P30-100,0)</f>
        <v>#DIV/0!</v>
      </c>
    </row>
    <row r="31" s="43" customFormat="true" ht="73.5" hidden="false" customHeight="true" outlineLevel="0" collapsed="false">
      <c r="A31" s="45" t="n">
        <v>20</v>
      </c>
      <c r="B31" s="145" t="s">
        <v>75</v>
      </c>
      <c r="C31" s="146" t="s">
        <v>25</v>
      </c>
      <c r="D31" s="147" t="n">
        <v>240</v>
      </c>
      <c r="E31" s="152" t="n">
        <v>34.3</v>
      </c>
      <c r="F31" s="50"/>
      <c r="G31" s="47"/>
      <c r="H31" s="53"/>
      <c r="I31" s="53" t="n">
        <f aca="false">D31*H31</f>
        <v>0</v>
      </c>
      <c r="J31" s="47"/>
      <c r="K31" s="53"/>
      <c r="L31" s="53" t="n">
        <f aca="false">D31*K31</f>
        <v>0</v>
      </c>
      <c r="M31" s="53"/>
      <c r="N31" s="53"/>
      <c r="O31" s="53" t="n">
        <f aca="false">D31*N31</f>
        <v>0</v>
      </c>
      <c r="P31" s="54" t="e">
        <f aca="false">AVERAGE(H31,K31,N31)</f>
        <v>#DIV/0!</v>
      </c>
      <c r="Q31" s="55" t="e">
        <f aca="false">F31*100/P31-100</f>
        <v>#DIV/0!</v>
      </c>
      <c r="R31" s="54" t="n">
        <f aca="false">D31*F31</f>
        <v>0</v>
      </c>
      <c r="S31" s="47"/>
      <c r="U31" s="57" t="e">
        <f aca="false">ROUND(H31*100/P31-100,0)</f>
        <v>#DIV/0!</v>
      </c>
      <c r="V31" s="57" t="e">
        <f aca="false">ROUND(K31*100/P31-100,0)</f>
        <v>#DIV/0!</v>
      </c>
      <c r="W31" s="57" t="e">
        <f aca="false">ROUND(N31*100/P31-100,0)</f>
        <v>#DIV/0!</v>
      </c>
    </row>
    <row r="32" s="43" customFormat="true" ht="67.5" hidden="false" customHeight="true" outlineLevel="0" collapsed="false">
      <c r="A32" s="45" t="n">
        <v>21</v>
      </c>
      <c r="B32" s="145" t="s">
        <v>76</v>
      </c>
      <c r="C32" s="146" t="s">
        <v>25</v>
      </c>
      <c r="D32" s="147" t="n">
        <v>240</v>
      </c>
      <c r="E32" s="152" t="n">
        <v>52</v>
      </c>
      <c r="F32" s="50"/>
      <c r="G32" s="47"/>
      <c r="H32" s="53"/>
      <c r="I32" s="53" t="n">
        <f aca="false">D32*H32</f>
        <v>0</v>
      </c>
      <c r="J32" s="47"/>
      <c r="K32" s="53"/>
      <c r="L32" s="53" t="n">
        <f aca="false">D32*K32</f>
        <v>0</v>
      </c>
      <c r="M32" s="47"/>
      <c r="N32" s="53"/>
      <c r="O32" s="53" t="n">
        <f aca="false">D32*N32</f>
        <v>0</v>
      </c>
      <c r="P32" s="54" t="e">
        <f aca="false">AVERAGE(H32,K32,N32)</f>
        <v>#DIV/0!</v>
      </c>
      <c r="Q32" s="55" t="e">
        <f aca="false">F32*100/P32-100</f>
        <v>#DIV/0!</v>
      </c>
      <c r="R32" s="54" t="n">
        <f aca="false">D32*F32</f>
        <v>0</v>
      </c>
      <c r="S32" s="47"/>
      <c r="U32" s="57" t="e">
        <f aca="false">ROUND(H32*100/P32-100,0)</f>
        <v>#DIV/0!</v>
      </c>
      <c r="V32" s="57" t="e">
        <f aca="false">ROUND(K32*100/P32-100,0)</f>
        <v>#DIV/0!</v>
      </c>
      <c r="W32" s="57" t="e">
        <f aca="false">ROUND(N32*100/P32-100,0)</f>
        <v>#DIV/0!</v>
      </c>
    </row>
    <row r="33" s="43" customFormat="true" ht="62.25" hidden="false" customHeight="true" outlineLevel="0" collapsed="false">
      <c r="A33" s="45" t="n">
        <v>22</v>
      </c>
      <c r="B33" s="145" t="s">
        <v>78</v>
      </c>
      <c r="C33" s="146" t="s">
        <v>25</v>
      </c>
      <c r="D33" s="147" t="n">
        <v>40</v>
      </c>
      <c r="E33" s="152" t="n">
        <v>5.4</v>
      </c>
      <c r="F33" s="50"/>
      <c r="G33" s="149"/>
      <c r="H33" s="53"/>
      <c r="I33" s="53" t="n">
        <f aca="false">D33*H33</f>
        <v>0</v>
      </c>
      <c r="J33" s="47"/>
      <c r="K33" s="53"/>
      <c r="L33" s="53" t="n">
        <f aca="false">D33*K33</f>
        <v>0</v>
      </c>
      <c r="M33" s="47"/>
      <c r="N33" s="53"/>
      <c r="O33" s="150" t="n">
        <f aca="false">D33*N33</f>
        <v>0</v>
      </c>
      <c r="P33" s="54" t="e">
        <f aca="false">AVERAGE(H33,K33,N33)</f>
        <v>#DIV/0!</v>
      </c>
      <c r="Q33" s="151" t="e">
        <f aca="false">F33*100/P33-100</f>
        <v>#DIV/0!</v>
      </c>
      <c r="R33" s="54" t="n">
        <f aca="false">D33*F33</f>
        <v>0</v>
      </c>
      <c r="S33" s="47"/>
      <c r="U33" s="57" t="e">
        <f aca="false">ROUND(H33*100/P33-100,0)</f>
        <v>#DIV/0!</v>
      </c>
      <c r="V33" s="57" t="e">
        <f aca="false">ROUND(K33*100/P33-100,0)</f>
        <v>#DIV/0!</v>
      </c>
      <c r="W33" s="57" t="e">
        <f aca="false">ROUND(N33*100/P33-100,0)</f>
        <v>#DIV/0!</v>
      </c>
    </row>
    <row r="34" s="43" customFormat="true" ht="64.5" hidden="false" customHeight="true" outlineLevel="0" collapsed="false">
      <c r="A34" s="45" t="n">
        <v>23</v>
      </c>
      <c r="B34" s="145" t="s">
        <v>79</v>
      </c>
      <c r="C34" s="146" t="s">
        <v>25</v>
      </c>
      <c r="D34" s="147" t="n">
        <v>30</v>
      </c>
      <c r="E34" s="152" t="n">
        <v>11.82</v>
      </c>
      <c r="F34" s="50"/>
      <c r="G34" s="149"/>
      <c r="H34" s="53"/>
      <c r="I34" s="53" t="n">
        <f aca="false">D34*H34</f>
        <v>0</v>
      </c>
      <c r="J34" s="47"/>
      <c r="K34" s="53"/>
      <c r="L34" s="53" t="n">
        <f aca="false">D34*K34</f>
        <v>0</v>
      </c>
      <c r="M34" s="47"/>
      <c r="N34" s="53"/>
      <c r="O34" s="150" t="n">
        <f aca="false">D34*N34</f>
        <v>0</v>
      </c>
      <c r="P34" s="54" t="e">
        <f aca="false">AVERAGE(H34,K34,N34)</f>
        <v>#DIV/0!</v>
      </c>
      <c r="Q34" s="151" t="e">
        <f aca="false">F34*100/P34-100</f>
        <v>#DIV/0!</v>
      </c>
      <c r="R34" s="54" t="n">
        <f aca="false">D34*F34</f>
        <v>0</v>
      </c>
      <c r="S34" s="47"/>
      <c r="U34" s="57" t="e">
        <f aca="false">ROUND(H34*100/P34-100,0)</f>
        <v>#DIV/0!</v>
      </c>
      <c r="V34" s="57" t="e">
        <f aca="false">ROUND(K34*100/P34-100,0)</f>
        <v>#DIV/0!</v>
      </c>
      <c r="W34" s="57" t="e">
        <f aca="false">ROUND(N34*100/P34-100,0)</f>
        <v>#DIV/0!</v>
      </c>
    </row>
    <row r="35" s="43" customFormat="true" ht="63" hidden="false" customHeight="true" outlineLevel="0" collapsed="false">
      <c r="A35" s="45" t="n">
        <v>24</v>
      </c>
      <c r="B35" s="145" t="s">
        <v>507</v>
      </c>
      <c r="C35" s="146" t="s">
        <v>25</v>
      </c>
      <c r="D35" s="147" t="n">
        <v>69</v>
      </c>
      <c r="E35" s="148" t="s">
        <v>504</v>
      </c>
      <c r="F35" s="50"/>
      <c r="G35" s="47"/>
      <c r="H35" s="53"/>
      <c r="I35" s="53" t="n">
        <f aca="false">D35*H35</f>
        <v>0</v>
      </c>
      <c r="J35" s="47"/>
      <c r="K35" s="53"/>
      <c r="L35" s="53" t="n">
        <f aca="false">D35*K35</f>
        <v>0</v>
      </c>
      <c r="M35" s="53"/>
      <c r="N35" s="53"/>
      <c r="O35" s="53" t="n">
        <f aca="false">D35*N35</f>
        <v>0</v>
      </c>
      <c r="P35" s="54" t="e">
        <f aca="false">AVERAGE(H35,K35,N35)</f>
        <v>#DIV/0!</v>
      </c>
      <c r="Q35" s="55" t="e">
        <f aca="false">F35*100/P35-100</f>
        <v>#DIV/0!</v>
      </c>
      <c r="R35" s="54" t="n">
        <f aca="false">D35*F35</f>
        <v>0</v>
      </c>
      <c r="S35" s="47"/>
      <c r="U35" s="57" t="e">
        <f aca="false">ROUND(H35*100/P35-100,0)</f>
        <v>#DIV/0!</v>
      </c>
      <c r="V35" s="57" t="e">
        <f aca="false">ROUND(K35*100/P35-100,0)</f>
        <v>#DIV/0!</v>
      </c>
      <c r="W35" s="57" t="e">
        <f aca="false">ROUND(N35*100/P35-100,0)</f>
        <v>#DIV/0!</v>
      </c>
    </row>
    <row r="36" s="43" customFormat="true" ht="73.5" hidden="false" customHeight="true" outlineLevel="0" collapsed="false">
      <c r="A36" s="45" t="n">
        <v>25</v>
      </c>
      <c r="B36" s="145" t="s">
        <v>508</v>
      </c>
      <c r="C36" s="146" t="s">
        <v>25</v>
      </c>
      <c r="D36" s="147" t="n">
        <v>150</v>
      </c>
      <c r="E36" s="148" t="s">
        <v>504</v>
      </c>
      <c r="F36" s="50"/>
      <c r="G36" s="149"/>
      <c r="H36" s="53"/>
      <c r="I36" s="53" t="n">
        <f aca="false">D36*H36</f>
        <v>0</v>
      </c>
      <c r="J36" s="47"/>
      <c r="K36" s="53"/>
      <c r="L36" s="53" t="n">
        <f aca="false">D36*K36</f>
        <v>0</v>
      </c>
      <c r="M36" s="47"/>
      <c r="N36" s="53"/>
      <c r="O36" s="150" t="n">
        <f aca="false">D36*N36</f>
        <v>0</v>
      </c>
      <c r="P36" s="54" t="e">
        <f aca="false">AVERAGE(H36,K36,N36)</f>
        <v>#DIV/0!</v>
      </c>
      <c r="Q36" s="151" t="e">
        <f aca="false">F36*100/P36-100</f>
        <v>#DIV/0!</v>
      </c>
      <c r="R36" s="54" t="n">
        <f aca="false">D36*F36</f>
        <v>0</v>
      </c>
      <c r="S36" s="47"/>
      <c r="U36" s="57" t="e">
        <f aca="false">ROUND(H36*100/P36-100,0)</f>
        <v>#DIV/0!</v>
      </c>
      <c r="V36" s="57" t="e">
        <f aca="false">ROUND(K36*100/P36-100,0)</f>
        <v>#DIV/0!</v>
      </c>
      <c r="W36" s="57" t="e">
        <f aca="false">ROUND(N36*100/P36-100,0)</f>
        <v>#DIV/0!</v>
      </c>
    </row>
    <row r="37" s="43" customFormat="true" ht="63" hidden="false" customHeight="true" outlineLevel="0" collapsed="false">
      <c r="A37" s="45" t="n">
        <v>26</v>
      </c>
      <c r="B37" s="145" t="s">
        <v>509</v>
      </c>
      <c r="C37" s="146" t="s">
        <v>25</v>
      </c>
      <c r="D37" s="147" t="n">
        <v>150</v>
      </c>
      <c r="E37" s="148" t="s">
        <v>500</v>
      </c>
      <c r="F37" s="50"/>
      <c r="G37" s="47"/>
      <c r="H37" s="53"/>
      <c r="I37" s="53" t="n">
        <f aca="false">D37*H37</f>
        <v>0</v>
      </c>
      <c r="J37" s="53"/>
      <c r="K37" s="53"/>
      <c r="L37" s="53" t="n">
        <f aca="false">D37*K37</f>
        <v>0</v>
      </c>
      <c r="M37" s="47"/>
      <c r="N37" s="53"/>
      <c r="O37" s="53" t="n">
        <f aca="false">D37*N37</f>
        <v>0</v>
      </c>
      <c r="P37" s="54" t="e">
        <f aca="false">AVERAGE(H37,K37,N37)</f>
        <v>#DIV/0!</v>
      </c>
      <c r="Q37" s="55" t="e">
        <f aca="false">F37*100/P37-100</f>
        <v>#DIV/0!</v>
      </c>
      <c r="R37" s="54" t="n">
        <f aca="false">D37*F37</f>
        <v>0</v>
      </c>
      <c r="S37" s="47"/>
      <c r="U37" s="57" t="e">
        <f aca="false">ROUND(H37*100/P37-100,0)</f>
        <v>#DIV/0!</v>
      </c>
      <c r="V37" s="57" t="e">
        <f aca="false">ROUND(K37*100/P37-100,0)</f>
        <v>#DIV/0!</v>
      </c>
      <c r="W37" s="57" t="e">
        <f aca="false">ROUND(N37*100/P37-100,0)</f>
        <v>#DIV/0!</v>
      </c>
    </row>
    <row r="38" s="43" customFormat="true" ht="73.5" hidden="false" customHeight="true" outlineLevel="0" collapsed="false">
      <c r="A38" s="45" t="n">
        <v>27</v>
      </c>
      <c r="B38" s="145" t="s">
        <v>510</v>
      </c>
      <c r="C38" s="146" t="s">
        <v>25</v>
      </c>
      <c r="D38" s="147" t="n">
        <v>250</v>
      </c>
      <c r="E38" s="148" t="s">
        <v>504</v>
      </c>
      <c r="F38" s="50"/>
      <c r="G38" s="47"/>
      <c r="H38" s="53"/>
      <c r="I38" s="53" t="n">
        <f aca="false">D38*H38</f>
        <v>0</v>
      </c>
      <c r="J38" s="47"/>
      <c r="K38" s="53"/>
      <c r="L38" s="53" t="n">
        <f aca="false">D38*K38</f>
        <v>0</v>
      </c>
      <c r="M38" s="47"/>
      <c r="N38" s="53"/>
      <c r="O38" s="53" t="n">
        <f aca="false">D38*N38</f>
        <v>0</v>
      </c>
      <c r="P38" s="54" t="e">
        <f aca="false">AVERAGE(H38,K38,N38)</f>
        <v>#DIV/0!</v>
      </c>
      <c r="Q38" s="55" t="e">
        <f aca="false">F38*100/P38-100</f>
        <v>#DIV/0!</v>
      </c>
      <c r="R38" s="54" t="n">
        <f aca="false">D38*F38</f>
        <v>0</v>
      </c>
      <c r="S38" s="47"/>
      <c r="U38" s="57" t="e">
        <f aca="false">ROUND(H38*100/P38-100,0)</f>
        <v>#DIV/0!</v>
      </c>
      <c r="V38" s="57" t="e">
        <f aca="false">ROUND(K38*100/P38-100,0)</f>
        <v>#DIV/0!</v>
      </c>
      <c r="W38" s="57" t="e">
        <f aca="false">ROUND(N38*100/P38-100,0)</f>
        <v>#DIV/0!</v>
      </c>
    </row>
    <row r="39" s="43" customFormat="true" ht="73.5" hidden="false" customHeight="true" outlineLevel="0" collapsed="false">
      <c r="A39" s="45" t="n">
        <v>28</v>
      </c>
      <c r="B39" s="145" t="s">
        <v>80</v>
      </c>
      <c r="C39" s="146" t="s">
        <v>81</v>
      </c>
      <c r="D39" s="147" t="n">
        <v>600</v>
      </c>
      <c r="E39" s="148" t="n">
        <v>169.2</v>
      </c>
      <c r="F39" s="50"/>
      <c r="G39" s="47"/>
      <c r="H39" s="53"/>
      <c r="I39" s="53" t="n">
        <f aca="false">D39*H39</f>
        <v>0</v>
      </c>
      <c r="J39" s="53"/>
      <c r="K39" s="53"/>
      <c r="L39" s="53" t="n">
        <f aca="false">D39*K39</f>
        <v>0</v>
      </c>
      <c r="M39" s="47"/>
      <c r="N39" s="53"/>
      <c r="O39" s="53" t="n">
        <f aca="false">D39*N39</f>
        <v>0</v>
      </c>
      <c r="P39" s="54" t="e">
        <f aca="false">AVERAGE(H39,K39,N39)</f>
        <v>#DIV/0!</v>
      </c>
      <c r="Q39" s="55" t="e">
        <f aca="false">F39*100/P39-100</f>
        <v>#DIV/0!</v>
      </c>
      <c r="R39" s="54" t="n">
        <f aca="false">D39*F39</f>
        <v>0</v>
      </c>
      <c r="S39" s="47"/>
      <c r="U39" s="57" t="e">
        <f aca="false">ROUND(H39*100/P39-100,0)</f>
        <v>#DIV/0!</v>
      </c>
      <c r="V39" s="57" t="e">
        <f aca="false">ROUND(K39*100/P39-100,0)</f>
        <v>#DIV/0!</v>
      </c>
      <c r="W39" s="57" t="e">
        <f aca="false">ROUND(N39*100/P39-100,0)</f>
        <v>#DIV/0!</v>
      </c>
    </row>
    <row r="40" s="43" customFormat="true" ht="73.5" hidden="false" customHeight="true" outlineLevel="0" collapsed="false">
      <c r="A40" s="45" t="n">
        <v>29</v>
      </c>
      <c r="B40" s="145" t="s">
        <v>83</v>
      </c>
      <c r="C40" s="146" t="s">
        <v>25</v>
      </c>
      <c r="D40" s="147" t="n">
        <v>12</v>
      </c>
      <c r="E40" s="148" t="n">
        <v>3339.3</v>
      </c>
      <c r="F40" s="50"/>
      <c r="G40" s="47"/>
      <c r="H40" s="53"/>
      <c r="I40" s="72" t="n">
        <f aca="false">D40*H40</f>
        <v>0</v>
      </c>
      <c r="J40" s="72"/>
      <c r="K40" s="72"/>
      <c r="L40" s="72" t="n">
        <f aca="false">D40*K40</f>
        <v>0</v>
      </c>
      <c r="M40" s="72"/>
      <c r="N40" s="72"/>
      <c r="O40" s="72" t="n">
        <f aca="false">D40*N40</f>
        <v>0</v>
      </c>
      <c r="P40" s="54" t="e">
        <f aca="false">AVERAGE(H40,K40,N40)</f>
        <v>#DIV/0!</v>
      </c>
      <c r="Q40" s="55" t="e">
        <f aca="false">F40*100/P40-100</f>
        <v>#DIV/0!</v>
      </c>
      <c r="R40" s="54" t="n">
        <f aca="false">D40*F40</f>
        <v>0</v>
      </c>
      <c r="S40" s="47"/>
      <c r="U40" s="57" t="e">
        <f aca="false">ROUND(H40*100/P40-100,0)</f>
        <v>#DIV/0!</v>
      </c>
      <c r="V40" s="57" t="e">
        <f aca="false">ROUND(K40*100/P40-100,0)</f>
        <v>#DIV/0!</v>
      </c>
      <c r="W40" s="57" t="e">
        <f aca="false">ROUND(N40*100/P40-100,0)</f>
        <v>#DIV/0!</v>
      </c>
    </row>
    <row r="41" s="43" customFormat="true" ht="73.5" hidden="false" customHeight="true" outlineLevel="0" collapsed="false">
      <c r="A41" s="45" t="n">
        <v>30</v>
      </c>
      <c r="B41" s="145" t="s">
        <v>85</v>
      </c>
      <c r="C41" s="146" t="s">
        <v>25</v>
      </c>
      <c r="D41" s="147" t="n">
        <v>5</v>
      </c>
      <c r="E41" s="148" t="n">
        <v>3550.4</v>
      </c>
      <c r="F41" s="50"/>
      <c r="G41" s="47"/>
      <c r="H41" s="53"/>
      <c r="I41" s="53" t="n">
        <f aca="false">D41*H41</f>
        <v>0</v>
      </c>
      <c r="J41" s="53"/>
      <c r="K41" s="53"/>
      <c r="L41" s="53" t="n">
        <f aca="false">D41*K41</f>
        <v>0</v>
      </c>
      <c r="M41" s="53"/>
      <c r="N41" s="53"/>
      <c r="O41" s="53" t="n">
        <f aca="false">D41*N41</f>
        <v>0</v>
      </c>
      <c r="P41" s="54" t="e">
        <f aca="false">AVERAGE(H41,K41,N41)</f>
        <v>#DIV/0!</v>
      </c>
      <c r="Q41" s="55" t="e">
        <f aca="false">F41*100/P41-100</f>
        <v>#DIV/0!</v>
      </c>
      <c r="R41" s="54" t="n">
        <f aca="false">D41*F41</f>
        <v>0</v>
      </c>
      <c r="S41" s="47"/>
      <c r="U41" s="57" t="e">
        <f aca="false">ROUND(H41*100/P41-100,0)</f>
        <v>#DIV/0!</v>
      </c>
      <c r="V41" s="57" t="e">
        <f aca="false">ROUND(K41*100/P41-100,0)</f>
        <v>#DIV/0!</v>
      </c>
      <c r="W41" s="57" t="e">
        <f aca="false">ROUND(N41*100/P41-100,0)</f>
        <v>#DIV/0!</v>
      </c>
    </row>
    <row r="42" s="43" customFormat="true" ht="73.5" hidden="false" customHeight="true" outlineLevel="0" collapsed="false">
      <c r="A42" s="45" t="n">
        <v>31</v>
      </c>
      <c r="B42" s="145" t="s">
        <v>87</v>
      </c>
      <c r="C42" s="146" t="s">
        <v>25</v>
      </c>
      <c r="D42" s="147" t="n">
        <v>5</v>
      </c>
      <c r="E42" s="148" t="n">
        <v>95</v>
      </c>
      <c r="F42" s="50"/>
      <c r="G42" s="47"/>
      <c r="H42" s="53"/>
      <c r="I42" s="53" t="n">
        <f aca="false">D42*H42</f>
        <v>0</v>
      </c>
      <c r="J42" s="47"/>
      <c r="K42" s="53"/>
      <c r="L42" s="53" t="n">
        <f aca="false">D42*K42</f>
        <v>0</v>
      </c>
      <c r="M42" s="53"/>
      <c r="N42" s="53"/>
      <c r="O42" s="53" t="n">
        <f aca="false">D42*N42</f>
        <v>0</v>
      </c>
      <c r="P42" s="54" t="e">
        <f aca="false">AVERAGE(H42,K42,N42)</f>
        <v>#DIV/0!</v>
      </c>
      <c r="Q42" s="55" t="e">
        <f aca="false">F42*100/P42-100</f>
        <v>#DIV/0!</v>
      </c>
      <c r="R42" s="54" t="n">
        <f aca="false">D42*F42</f>
        <v>0</v>
      </c>
      <c r="S42" s="47"/>
      <c r="U42" s="57" t="e">
        <f aca="false">ROUND(H42*100/P42-100,0)</f>
        <v>#DIV/0!</v>
      </c>
      <c r="V42" s="57" t="e">
        <f aca="false">ROUND(K42*100/P42-100,0)</f>
        <v>#DIV/0!</v>
      </c>
      <c r="W42" s="57" t="e">
        <f aca="false">ROUND(N42*100/P42-100,0)</f>
        <v>#DIV/0!</v>
      </c>
    </row>
    <row r="43" s="43" customFormat="true" ht="73.5" hidden="false" customHeight="true" outlineLevel="0" collapsed="false">
      <c r="A43" s="45" t="n">
        <v>32</v>
      </c>
      <c r="B43" s="145" t="s">
        <v>88</v>
      </c>
      <c r="C43" s="146" t="s">
        <v>25</v>
      </c>
      <c r="D43" s="147" t="n">
        <v>28</v>
      </c>
      <c r="E43" s="148" t="n">
        <v>73.01</v>
      </c>
      <c r="F43" s="50"/>
      <c r="G43" s="47"/>
      <c r="H43" s="53"/>
      <c r="I43" s="53" t="n">
        <f aca="false">D43*H43</f>
        <v>0</v>
      </c>
      <c r="J43" s="47"/>
      <c r="K43" s="53"/>
      <c r="L43" s="53" t="n">
        <f aca="false">D43*K43</f>
        <v>0</v>
      </c>
      <c r="M43" s="53"/>
      <c r="N43" s="53"/>
      <c r="O43" s="53" t="n">
        <f aca="false">D43*N43</f>
        <v>0</v>
      </c>
      <c r="P43" s="54" t="e">
        <f aca="false">AVERAGE(H43,K43,N43)</f>
        <v>#DIV/0!</v>
      </c>
      <c r="Q43" s="55" t="e">
        <f aca="false">F43*100/P43-100</f>
        <v>#DIV/0!</v>
      </c>
      <c r="R43" s="54" t="n">
        <f aca="false">D43*F43</f>
        <v>0</v>
      </c>
      <c r="S43" s="47"/>
      <c r="U43" s="57" t="e">
        <f aca="false">ROUND(H43*100/P43-100,0)</f>
        <v>#DIV/0!</v>
      </c>
      <c r="V43" s="57" t="e">
        <f aca="false">ROUND(K43*100/P43-100,0)</f>
        <v>#DIV/0!</v>
      </c>
      <c r="W43" s="57" t="e">
        <f aca="false">ROUND(N43*100/P43-100,0)</f>
        <v>#DIV/0!</v>
      </c>
    </row>
    <row r="44" s="43" customFormat="true" ht="73.5" hidden="false" customHeight="true" outlineLevel="0" collapsed="false">
      <c r="A44" s="45" t="n">
        <v>33</v>
      </c>
      <c r="B44" s="145" t="s">
        <v>511</v>
      </c>
      <c r="C44" s="146" t="s">
        <v>25</v>
      </c>
      <c r="D44" s="147" t="n">
        <v>1</v>
      </c>
      <c r="E44" s="148" t="s">
        <v>504</v>
      </c>
      <c r="F44" s="50"/>
      <c r="G44" s="47"/>
      <c r="H44" s="53"/>
      <c r="I44" s="53" t="n">
        <f aca="false">D44*H44</f>
        <v>0</v>
      </c>
      <c r="J44" s="47"/>
      <c r="K44" s="53"/>
      <c r="L44" s="53" t="n">
        <f aca="false">D44*K44</f>
        <v>0</v>
      </c>
      <c r="M44" s="53"/>
      <c r="N44" s="53"/>
      <c r="O44" s="53" t="n">
        <f aca="false">D44*N44</f>
        <v>0</v>
      </c>
      <c r="P44" s="54" t="e">
        <f aca="false">AVERAGE(H44,K44,N44)</f>
        <v>#DIV/0!</v>
      </c>
      <c r="Q44" s="55" t="e">
        <f aca="false">F44*100/P44-100</f>
        <v>#DIV/0!</v>
      </c>
      <c r="R44" s="54" t="n">
        <f aca="false">D44*F44</f>
        <v>0</v>
      </c>
      <c r="S44" s="47"/>
      <c r="U44" s="57" t="e">
        <f aca="false">ROUND(H44*100/P44-100,0)</f>
        <v>#DIV/0!</v>
      </c>
      <c r="V44" s="57" t="e">
        <f aca="false">ROUND(K44*100/P44-100,0)</f>
        <v>#DIV/0!</v>
      </c>
      <c r="W44" s="57" t="e">
        <f aca="false">ROUND(N44*100/P44-100,0)</f>
        <v>#DIV/0!</v>
      </c>
    </row>
    <row r="45" s="43" customFormat="true" ht="73.5" hidden="false" customHeight="true" outlineLevel="0" collapsed="false">
      <c r="A45" s="45" t="n">
        <v>34</v>
      </c>
      <c r="B45" s="145" t="s">
        <v>89</v>
      </c>
      <c r="C45" s="146" t="s">
        <v>81</v>
      </c>
      <c r="D45" s="147" t="n">
        <v>76</v>
      </c>
      <c r="E45" s="148" t="n">
        <v>3120.3</v>
      </c>
      <c r="F45" s="50"/>
      <c r="G45" s="47"/>
      <c r="H45" s="53"/>
      <c r="I45" s="72" t="n">
        <f aca="false">D45*H45</f>
        <v>0</v>
      </c>
      <c r="J45" s="72"/>
      <c r="K45" s="72"/>
      <c r="L45" s="72" t="n">
        <f aca="false">D45*K45</f>
        <v>0</v>
      </c>
      <c r="M45" s="72"/>
      <c r="N45" s="72"/>
      <c r="O45" s="72" t="n">
        <f aca="false">D45*N45</f>
        <v>0</v>
      </c>
      <c r="P45" s="54" t="e">
        <f aca="false">AVERAGE(H45,K45,N45)</f>
        <v>#DIV/0!</v>
      </c>
      <c r="Q45" s="55" t="e">
        <f aca="false">F45*100/P45-100</f>
        <v>#DIV/0!</v>
      </c>
      <c r="R45" s="54" t="n">
        <f aca="false">D45*F45</f>
        <v>0</v>
      </c>
      <c r="S45" s="47"/>
      <c r="U45" s="57" t="e">
        <f aca="false">ROUND(H45*100/P45-100,0)</f>
        <v>#DIV/0!</v>
      </c>
      <c r="V45" s="57" t="e">
        <f aca="false">ROUND(K45*100/P45-100,0)</f>
        <v>#DIV/0!</v>
      </c>
      <c r="W45" s="57" t="e">
        <f aca="false">ROUND(N45*100/P45-100,0)</f>
        <v>#DIV/0!</v>
      </c>
    </row>
    <row r="46" s="43" customFormat="true" ht="73.5" hidden="false" customHeight="true" outlineLevel="0" collapsed="false">
      <c r="A46" s="45" t="n">
        <v>35</v>
      </c>
      <c r="B46" s="145" t="s">
        <v>512</v>
      </c>
      <c r="C46" s="146" t="s">
        <v>25</v>
      </c>
      <c r="D46" s="147" t="n">
        <v>5</v>
      </c>
      <c r="E46" s="148" t="s">
        <v>504</v>
      </c>
      <c r="F46" s="50"/>
      <c r="G46" s="47"/>
      <c r="H46" s="53"/>
      <c r="I46" s="72" t="n">
        <f aca="false">D46*H46</f>
        <v>0</v>
      </c>
      <c r="J46" s="72"/>
      <c r="K46" s="72"/>
      <c r="L46" s="72" t="n">
        <f aca="false">D46*K46</f>
        <v>0</v>
      </c>
      <c r="M46" s="72"/>
      <c r="N46" s="72"/>
      <c r="O46" s="72" t="n">
        <f aca="false">D46*N46</f>
        <v>0</v>
      </c>
      <c r="P46" s="54" t="e">
        <f aca="false">AVERAGE(H46,K46,N46)</f>
        <v>#DIV/0!</v>
      </c>
      <c r="Q46" s="55" t="e">
        <f aca="false">F46*100/P46-100</f>
        <v>#DIV/0!</v>
      </c>
      <c r="R46" s="54" t="n">
        <f aca="false">D46*F46</f>
        <v>0</v>
      </c>
      <c r="S46" s="47"/>
      <c r="U46" s="57" t="e">
        <f aca="false">ROUND(H46*100/P46-100,0)</f>
        <v>#DIV/0!</v>
      </c>
      <c r="V46" s="57" t="e">
        <f aca="false">ROUND(K46*100/P46-100,0)</f>
        <v>#DIV/0!</v>
      </c>
      <c r="W46" s="57" t="e">
        <f aca="false">ROUND(N46*100/P46-100,0)</f>
        <v>#DIV/0!</v>
      </c>
    </row>
    <row r="47" s="43" customFormat="true" ht="73.5" hidden="false" customHeight="true" outlineLevel="0" collapsed="false">
      <c r="A47" s="45" t="n">
        <v>36</v>
      </c>
      <c r="B47" s="145" t="s">
        <v>513</v>
      </c>
      <c r="C47" s="146" t="s">
        <v>25</v>
      </c>
      <c r="D47" s="147" t="n">
        <v>13</v>
      </c>
      <c r="E47" s="148" t="s">
        <v>500</v>
      </c>
      <c r="F47" s="50"/>
      <c r="G47" s="47"/>
      <c r="H47" s="53"/>
      <c r="I47" s="72" t="n">
        <f aca="false">D47*H47</f>
        <v>0</v>
      </c>
      <c r="J47" s="72"/>
      <c r="K47" s="72"/>
      <c r="L47" s="72" t="n">
        <f aca="false">D47*K47</f>
        <v>0</v>
      </c>
      <c r="M47" s="72"/>
      <c r="N47" s="72"/>
      <c r="O47" s="72" t="n">
        <f aca="false">D47*N47</f>
        <v>0</v>
      </c>
      <c r="P47" s="54" t="e">
        <f aca="false">AVERAGE(H47,K47,N47)</f>
        <v>#DIV/0!</v>
      </c>
      <c r="Q47" s="55" t="e">
        <f aca="false">F47*100/P47-100</f>
        <v>#DIV/0!</v>
      </c>
      <c r="R47" s="54" t="n">
        <f aca="false">D47*F47</f>
        <v>0</v>
      </c>
      <c r="S47" s="47"/>
      <c r="U47" s="57" t="e">
        <f aca="false">ROUND(H47*100/P47-100,0)</f>
        <v>#DIV/0!</v>
      </c>
      <c r="V47" s="57" t="e">
        <f aca="false">ROUND(K47*100/P47-100,0)</f>
        <v>#DIV/0!</v>
      </c>
      <c r="W47" s="57" t="e">
        <f aca="false">ROUND(N47*100/P47-100,0)</f>
        <v>#DIV/0!</v>
      </c>
    </row>
    <row r="48" s="43" customFormat="true" ht="73.5" hidden="false" customHeight="true" outlineLevel="0" collapsed="false">
      <c r="A48" s="45" t="n">
        <v>37</v>
      </c>
      <c r="B48" s="145" t="s">
        <v>94</v>
      </c>
      <c r="C48" s="146" t="s">
        <v>25</v>
      </c>
      <c r="D48" s="147" t="n">
        <v>49</v>
      </c>
      <c r="E48" s="148" t="n">
        <v>517.11</v>
      </c>
      <c r="F48" s="50"/>
      <c r="G48" s="47"/>
      <c r="H48" s="53"/>
      <c r="I48" s="72" t="n">
        <f aca="false">D48*H48</f>
        <v>0</v>
      </c>
      <c r="J48" s="72"/>
      <c r="K48" s="72"/>
      <c r="L48" s="72" t="n">
        <f aca="false">D48*K48</f>
        <v>0</v>
      </c>
      <c r="M48" s="72"/>
      <c r="N48" s="72"/>
      <c r="O48" s="72" t="n">
        <f aca="false">D48*N48</f>
        <v>0</v>
      </c>
      <c r="P48" s="54" t="e">
        <f aca="false">AVERAGE(H48,K48,N48)</f>
        <v>#DIV/0!</v>
      </c>
      <c r="Q48" s="55" t="e">
        <f aca="false">F48*100/P48-100</f>
        <v>#DIV/0!</v>
      </c>
      <c r="R48" s="54" t="n">
        <f aca="false">D48*F48</f>
        <v>0</v>
      </c>
      <c r="S48" s="47"/>
      <c r="U48" s="57" t="e">
        <f aca="false">ROUND(H48*100/P48-100,0)</f>
        <v>#DIV/0!</v>
      </c>
      <c r="V48" s="57" t="e">
        <f aca="false">ROUND(K48*100/P48-100,0)</f>
        <v>#DIV/0!</v>
      </c>
      <c r="W48" s="57" t="e">
        <f aca="false">ROUND(N48*100/P48-100,0)</f>
        <v>#DIV/0!</v>
      </c>
    </row>
    <row r="49" s="43" customFormat="true" ht="73.5" hidden="false" customHeight="true" outlineLevel="0" collapsed="false">
      <c r="A49" s="45" t="n">
        <v>38</v>
      </c>
      <c r="B49" s="145" t="s">
        <v>96</v>
      </c>
      <c r="C49" s="146" t="s">
        <v>25</v>
      </c>
      <c r="D49" s="147" t="n">
        <v>3</v>
      </c>
      <c r="E49" s="148" t="n">
        <v>5116.7</v>
      </c>
      <c r="F49" s="50"/>
      <c r="G49" s="47"/>
      <c r="H49" s="53"/>
      <c r="I49" s="72" t="n">
        <f aca="false">D49*H49</f>
        <v>0</v>
      </c>
      <c r="J49" s="72"/>
      <c r="K49" s="72"/>
      <c r="L49" s="72" t="n">
        <f aca="false">D49*K49</f>
        <v>0</v>
      </c>
      <c r="M49" s="72"/>
      <c r="N49" s="72"/>
      <c r="O49" s="72" t="n">
        <f aca="false">D49*N49</f>
        <v>0</v>
      </c>
      <c r="P49" s="54" t="e">
        <f aca="false">AVERAGE(H49,K49,N49)</f>
        <v>#DIV/0!</v>
      </c>
      <c r="Q49" s="55" t="e">
        <f aca="false">F49*100/P49-100</f>
        <v>#DIV/0!</v>
      </c>
      <c r="R49" s="54" t="n">
        <f aca="false">D49*F49</f>
        <v>0</v>
      </c>
      <c r="S49" s="47"/>
      <c r="U49" s="57" t="e">
        <f aca="false">ROUND(H49*100/P49-100,0)</f>
        <v>#DIV/0!</v>
      </c>
      <c r="V49" s="57" t="e">
        <f aca="false">ROUND(K49*100/P49-100,0)</f>
        <v>#DIV/0!</v>
      </c>
      <c r="W49" s="57" t="e">
        <f aca="false">ROUND(N49*100/P49-100,0)</f>
        <v>#DIV/0!</v>
      </c>
    </row>
    <row r="50" s="43" customFormat="true" ht="73.5" hidden="false" customHeight="true" outlineLevel="0" collapsed="false">
      <c r="A50" s="45" t="n">
        <v>39</v>
      </c>
      <c r="B50" s="145" t="s">
        <v>98</v>
      </c>
      <c r="C50" s="146" t="s">
        <v>25</v>
      </c>
      <c r="D50" s="147" t="n">
        <v>1</v>
      </c>
      <c r="E50" s="148" t="n">
        <v>5200.4</v>
      </c>
      <c r="F50" s="50"/>
      <c r="G50" s="47"/>
      <c r="H50" s="53"/>
      <c r="I50" s="72" t="n">
        <f aca="false">D50*H50</f>
        <v>0</v>
      </c>
      <c r="J50" s="72"/>
      <c r="K50" s="72"/>
      <c r="L50" s="72" t="n">
        <f aca="false">D50*K50</f>
        <v>0</v>
      </c>
      <c r="M50" s="72"/>
      <c r="N50" s="72"/>
      <c r="O50" s="72" t="n">
        <f aca="false">D50*N50</f>
        <v>0</v>
      </c>
      <c r="P50" s="54" t="e">
        <f aca="false">AVERAGE(H50,K50,N50)</f>
        <v>#DIV/0!</v>
      </c>
      <c r="Q50" s="55" t="e">
        <f aca="false">F50*100/P50-100</f>
        <v>#DIV/0!</v>
      </c>
      <c r="R50" s="54" t="n">
        <f aca="false">D50*F50</f>
        <v>0</v>
      </c>
      <c r="S50" s="47"/>
      <c r="U50" s="57" t="e">
        <f aca="false">ROUND(H50*100/P50-100,0)</f>
        <v>#DIV/0!</v>
      </c>
      <c r="V50" s="57" t="e">
        <f aca="false">ROUND(K50*100/P50-100,0)</f>
        <v>#DIV/0!</v>
      </c>
      <c r="W50" s="57" t="e">
        <f aca="false">ROUND(N50*100/P50-100,0)</f>
        <v>#DIV/0!</v>
      </c>
    </row>
    <row r="51" s="43" customFormat="true" ht="73.5" hidden="false" customHeight="true" outlineLevel="0" collapsed="false">
      <c r="A51" s="45" t="n">
        <v>40</v>
      </c>
      <c r="B51" s="145" t="s">
        <v>514</v>
      </c>
      <c r="C51" s="146" t="s">
        <v>25</v>
      </c>
      <c r="D51" s="147" t="n">
        <v>5</v>
      </c>
      <c r="E51" s="148" t="s">
        <v>504</v>
      </c>
      <c r="F51" s="50"/>
      <c r="G51" s="47"/>
      <c r="H51" s="53"/>
      <c r="I51" s="72" t="n">
        <f aca="false">D51*H51</f>
        <v>0</v>
      </c>
      <c r="J51" s="72"/>
      <c r="K51" s="72"/>
      <c r="L51" s="72" t="n">
        <f aca="false">D51*K51</f>
        <v>0</v>
      </c>
      <c r="M51" s="72"/>
      <c r="N51" s="72"/>
      <c r="O51" s="72" t="n">
        <f aca="false">D51*N51</f>
        <v>0</v>
      </c>
      <c r="P51" s="54" t="e">
        <f aca="false">AVERAGE(H51,K51,N51)</f>
        <v>#DIV/0!</v>
      </c>
      <c r="Q51" s="55" t="e">
        <f aca="false">F51*100/P51-100</f>
        <v>#DIV/0!</v>
      </c>
      <c r="R51" s="54" t="n">
        <f aca="false">D51*F51</f>
        <v>0</v>
      </c>
      <c r="S51" s="47"/>
      <c r="U51" s="57" t="e">
        <f aca="false">ROUND(H51*100/P51-100,0)</f>
        <v>#DIV/0!</v>
      </c>
      <c r="V51" s="57" t="e">
        <f aca="false">ROUND(K51*100/P51-100,0)</f>
        <v>#DIV/0!</v>
      </c>
      <c r="W51" s="57" t="e">
        <f aca="false">ROUND(N51*100/P51-100,0)</f>
        <v>#DIV/0!</v>
      </c>
    </row>
    <row r="52" s="43" customFormat="true" ht="73.5" hidden="false" customHeight="true" outlineLevel="0" collapsed="false">
      <c r="A52" s="45" t="n">
        <v>41</v>
      </c>
      <c r="B52" s="145" t="s">
        <v>515</v>
      </c>
      <c r="C52" s="146" t="s">
        <v>25</v>
      </c>
      <c r="D52" s="147" t="n">
        <v>1</v>
      </c>
      <c r="E52" s="148" t="s">
        <v>504</v>
      </c>
      <c r="F52" s="50"/>
      <c r="G52" s="149"/>
      <c r="H52" s="53"/>
      <c r="I52" s="53" t="n">
        <f aca="false">D52*H52</f>
        <v>0</v>
      </c>
      <c r="J52" s="47"/>
      <c r="K52" s="53"/>
      <c r="L52" s="53" t="n">
        <f aca="false">D52*K52</f>
        <v>0</v>
      </c>
      <c r="M52" s="47"/>
      <c r="N52" s="53"/>
      <c r="O52" s="150" t="n">
        <f aca="false">D52*N52</f>
        <v>0</v>
      </c>
      <c r="P52" s="54" t="e">
        <f aca="false">AVERAGE(H52,K52,N52)</f>
        <v>#DIV/0!</v>
      </c>
      <c r="Q52" s="151" t="e">
        <f aca="false">F52*100/P52-100</f>
        <v>#DIV/0!</v>
      </c>
      <c r="R52" s="54" t="n">
        <f aca="false">D52*F52</f>
        <v>0</v>
      </c>
      <c r="S52" s="47"/>
      <c r="U52" s="57" t="e">
        <f aca="false">ROUND(H52*100/P52-100,0)</f>
        <v>#DIV/0!</v>
      </c>
      <c r="V52" s="57" t="e">
        <f aca="false">ROUND(K52*100/P52-100,0)</f>
        <v>#DIV/0!</v>
      </c>
      <c r="W52" s="57" t="e">
        <f aca="false">ROUND(N52*100/P52-100,0)</f>
        <v>#DIV/0!</v>
      </c>
    </row>
    <row r="53" s="43" customFormat="true" ht="73.5" hidden="false" customHeight="true" outlineLevel="0" collapsed="false">
      <c r="A53" s="45" t="n">
        <v>42</v>
      </c>
      <c r="B53" s="145" t="s">
        <v>516</v>
      </c>
      <c r="C53" s="146" t="s">
        <v>25</v>
      </c>
      <c r="D53" s="147" t="n">
        <v>2</v>
      </c>
      <c r="E53" s="148" t="s">
        <v>504</v>
      </c>
      <c r="F53" s="50"/>
      <c r="G53" s="149"/>
      <c r="H53" s="53"/>
      <c r="I53" s="53" t="n">
        <f aca="false">D53*H53</f>
        <v>0</v>
      </c>
      <c r="J53" s="47"/>
      <c r="K53" s="53"/>
      <c r="L53" s="53" t="n">
        <f aca="false">D53*K53</f>
        <v>0</v>
      </c>
      <c r="M53" s="47"/>
      <c r="N53" s="53"/>
      <c r="O53" s="150" t="n">
        <f aca="false">D53*N53</f>
        <v>0</v>
      </c>
      <c r="P53" s="54" t="e">
        <f aca="false">AVERAGE(H53,K53,N53)</f>
        <v>#DIV/0!</v>
      </c>
      <c r="Q53" s="151" t="e">
        <f aca="false">F53*100/P53-100</f>
        <v>#DIV/0!</v>
      </c>
      <c r="R53" s="54" t="n">
        <f aca="false">D53*F53</f>
        <v>0</v>
      </c>
      <c r="S53" s="47"/>
      <c r="U53" s="57" t="e">
        <f aca="false">ROUND(H53*100/P53-100,0)</f>
        <v>#DIV/0!</v>
      </c>
      <c r="V53" s="57" t="e">
        <f aca="false">ROUND(K53*100/P53-100,0)</f>
        <v>#DIV/0!</v>
      </c>
      <c r="W53" s="57" t="e">
        <f aca="false">ROUND(N53*100/P53-100,0)</f>
        <v>#DIV/0!</v>
      </c>
    </row>
    <row r="54" s="43" customFormat="true" ht="73.5" hidden="false" customHeight="true" outlineLevel="0" collapsed="false">
      <c r="A54" s="45" t="n">
        <v>43</v>
      </c>
      <c r="B54" s="145" t="s">
        <v>517</v>
      </c>
      <c r="C54" s="146" t="s">
        <v>25</v>
      </c>
      <c r="D54" s="147" t="n">
        <v>3</v>
      </c>
      <c r="E54" s="148" t="s">
        <v>504</v>
      </c>
      <c r="F54" s="50"/>
      <c r="G54" s="47"/>
      <c r="H54" s="53"/>
      <c r="I54" s="72" t="n">
        <f aca="false">D54*H54</f>
        <v>0</v>
      </c>
      <c r="J54" s="72"/>
      <c r="K54" s="72"/>
      <c r="L54" s="72" t="n">
        <f aca="false">D54*K54</f>
        <v>0</v>
      </c>
      <c r="M54" s="72"/>
      <c r="N54" s="72"/>
      <c r="O54" s="72" t="n">
        <f aca="false">D54*N54</f>
        <v>0</v>
      </c>
      <c r="P54" s="54" t="e">
        <f aca="false">AVERAGE(H54,K54,N54)</f>
        <v>#DIV/0!</v>
      </c>
      <c r="Q54" s="55" t="e">
        <f aca="false">F54*100/P54-100</f>
        <v>#DIV/0!</v>
      </c>
      <c r="R54" s="54" t="n">
        <f aca="false">D54*F54</f>
        <v>0</v>
      </c>
      <c r="S54" s="47"/>
      <c r="U54" s="57" t="e">
        <f aca="false">ROUND(H54*100/P54-100,0)</f>
        <v>#DIV/0!</v>
      </c>
      <c r="V54" s="57" t="e">
        <f aca="false">ROUND(K54*100/P54-100,0)</f>
        <v>#DIV/0!</v>
      </c>
      <c r="W54" s="57" t="e">
        <f aca="false">ROUND(N54*100/P54-100,0)</f>
        <v>#DIV/0!</v>
      </c>
    </row>
    <row r="55" s="43" customFormat="true" ht="73.5" hidden="false" customHeight="true" outlineLevel="0" collapsed="false">
      <c r="A55" s="45" t="n">
        <v>44</v>
      </c>
      <c r="B55" s="145" t="s">
        <v>518</v>
      </c>
      <c r="C55" s="146" t="s">
        <v>25</v>
      </c>
      <c r="D55" s="147" t="n">
        <v>10</v>
      </c>
      <c r="E55" s="148" t="s">
        <v>504</v>
      </c>
      <c r="F55" s="50"/>
      <c r="G55" s="47"/>
      <c r="H55" s="53"/>
      <c r="I55" s="72" t="n">
        <f aca="false">D55*H55</f>
        <v>0</v>
      </c>
      <c r="J55" s="72"/>
      <c r="K55" s="72"/>
      <c r="L55" s="72" t="n">
        <f aca="false">D55*K55</f>
        <v>0</v>
      </c>
      <c r="M55" s="72"/>
      <c r="N55" s="72"/>
      <c r="O55" s="72" t="n">
        <f aca="false">D55*N55</f>
        <v>0</v>
      </c>
      <c r="P55" s="54" t="e">
        <f aca="false">AVERAGE(H55,K55,N55)</f>
        <v>#DIV/0!</v>
      </c>
      <c r="Q55" s="55" t="e">
        <f aca="false">F55*100/P55-100</f>
        <v>#DIV/0!</v>
      </c>
      <c r="R55" s="54" t="n">
        <f aca="false">D55*F55</f>
        <v>0</v>
      </c>
      <c r="S55" s="47"/>
      <c r="U55" s="57" t="e">
        <f aca="false">ROUND(H55*100/P55-100,0)</f>
        <v>#DIV/0!</v>
      </c>
      <c r="V55" s="57" t="e">
        <f aca="false">ROUND(K55*100/P55-100,0)</f>
        <v>#DIV/0!</v>
      </c>
      <c r="W55" s="57" t="e">
        <f aca="false">ROUND(N55*100/P55-100,0)</f>
        <v>#DIV/0!</v>
      </c>
    </row>
    <row r="56" s="43" customFormat="true" ht="73.5" hidden="false" customHeight="true" outlineLevel="0" collapsed="false">
      <c r="A56" s="45" t="n">
        <v>45</v>
      </c>
      <c r="B56" s="145" t="s">
        <v>102</v>
      </c>
      <c r="C56" s="146" t="s">
        <v>25</v>
      </c>
      <c r="D56" s="147" t="n">
        <v>15</v>
      </c>
      <c r="E56" s="148" t="n">
        <v>118.5</v>
      </c>
      <c r="F56" s="50"/>
      <c r="G56" s="47"/>
      <c r="H56" s="53"/>
      <c r="I56" s="72" t="n">
        <f aca="false">D56*H56</f>
        <v>0</v>
      </c>
      <c r="J56" s="72"/>
      <c r="K56" s="72"/>
      <c r="L56" s="72" t="n">
        <f aca="false">D56*K56</f>
        <v>0</v>
      </c>
      <c r="M56" s="72"/>
      <c r="N56" s="72"/>
      <c r="O56" s="72" t="n">
        <f aca="false">D56*N56</f>
        <v>0</v>
      </c>
      <c r="P56" s="54" t="e">
        <f aca="false">AVERAGE(H56,K56,N56)</f>
        <v>#DIV/0!</v>
      </c>
      <c r="Q56" s="55" t="e">
        <f aca="false">F56*100/P56-100</f>
        <v>#DIV/0!</v>
      </c>
      <c r="R56" s="54" t="n">
        <f aca="false">D56*F56</f>
        <v>0</v>
      </c>
      <c r="S56" s="47"/>
      <c r="U56" s="57" t="e">
        <f aca="false">ROUND(H56*100/P56-100,0)</f>
        <v>#DIV/0!</v>
      </c>
      <c r="V56" s="57" t="e">
        <f aca="false">ROUND(K56*100/P56-100,0)</f>
        <v>#DIV/0!</v>
      </c>
      <c r="W56" s="57" t="e">
        <f aca="false">ROUND(N56*100/P56-100,0)</f>
        <v>#DIV/0!</v>
      </c>
    </row>
    <row r="57" s="43" customFormat="true" ht="73.5" hidden="false" customHeight="true" outlineLevel="0" collapsed="false">
      <c r="A57" s="45" t="n">
        <v>46</v>
      </c>
      <c r="B57" s="145" t="s">
        <v>104</v>
      </c>
      <c r="C57" s="146" t="s">
        <v>25</v>
      </c>
      <c r="D57" s="147" t="n">
        <v>2</v>
      </c>
      <c r="E57" s="148" t="n">
        <v>174.59</v>
      </c>
      <c r="F57" s="50"/>
      <c r="G57" s="47"/>
      <c r="H57" s="53"/>
      <c r="I57" s="72" t="n">
        <f aca="false">D57*H57</f>
        <v>0</v>
      </c>
      <c r="J57" s="72"/>
      <c r="K57" s="72"/>
      <c r="L57" s="72" t="n">
        <f aca="false">D57*K57</f>
        <v>0</v>
      </c>
      <c r="M57" s="72"/>
      <c r="N57" s="72"/>
      <c r="O57" s="72" t="n">
        <f aca="false">D57*N57</f>
        <v>0</v>
      </c>
      <c r="P57" s="54" t="e">
        <f aca="false">AVERAGE(H57,K57,N57)</f>
        <v>#DIV/0!</v>
      </c>
      <c r="Q57" s="55" t="e">
        <f aca="false">F57*100/P57-100</f>
        <v>#DIV/0!</v>
      </c>
      <c r="R57" s="54" t="n">
        <f aca="false">D57*F57</f>
        <v>0</v>
      </c>
      <c r="S57" s="47"/>
      <c r="U57" s="57" t="e">
        <f aca="false">ROUND(H57*100/P57-100,0)</f>
        <v>#DIV/0!</v>
      </c>
      <c r="V57" s="57" t="e">
        <f aca="false">ROUND(K57*100/P57-100,0)</f>
        <v>#DIV/0!</v>
      </c>
      <c r="W57" s="57" t="e">
        <f aca="false">ROUND(N57*100/P57-100,0)</f>
        <v>#DIV/0!</v>
      </c>
    </row>
    <row r="58" s="43" customFormat="true" ht="73.5" hidden="false" customHeight="true" outlineLevel="0" collapsed="false">
      <c r="A58" s="45" t="n">
        <v>47</v>
      </c>
      <c r="B58" s="145" t="s">
        <v>106</v>
      </c>
      <c r="C58" s="146" t="s">
        <v>25</v>
      </c>
      <c r="D58" s="147" t="n">
        <v>1</v>
      </c>
      <c r="E58" s="148" t="n">
        <v>800.12</v>
      </c>
      <c r="F58" s="50"/>
      <c r="G58" s="47"/>
      <c r="H58" s="53"/>
      <c r="I58" s="72" t="n">
        <f aca="false">D58*H58</f>
        <v>0</v>
      </c>
      <c r="J58" s="72"/>
      <c r="K58" s="72"/>
      <c r="L58" s="72" t="n">
        <f aca="false">D58*K58</f>
        <v>0</v>
      </c>
      <c r="M58" s="72"/>
      <c r="N58" s="72"/>
      <c r="O58" s="72" t="n">
        <f aca="false">D58*N58</f>
        <v>0</v>
      </c>
      <c r="P58" s="54" t="e">
        <f aca="false">AVERAGE(H58,K58,N58)</f>
        <v>#DIV/0!</v>
      </c>
      <c r="Q58" s="55" t="e">
        <f aca="false">F58*100/P58-100</f>
        <v>#DIV/0!</v>
      </c>
      <c r="R58" s="54" t="n">
        <f aca="false">D58*F58</f>
        <v>0</v>
      </c>
      <c r="S58" s="47"/>
      <c r="U58" s="57" t="e">
        <f aca="false">ROUND(H58*100/P58-100,0)</f>
        <v>#DIV/0!</v>
      </c>
      <c r="V58" s="57" t="e">
        <f aca="false">ROUND(K58*100/P58-100,0)</f>
        <v>#DIV/0!</v>
      </c>
      <c r="W58" s="57" t="e">
        <f aca="false">ROUND(N58*100/P58-100,0)</f>
        <v>#DIV/0!</v>
      </c>
    </row>
    <row r="59" s="43" customFormat="true" ht="73.5" hidden="false" customHeight="true" outlineLevel="0" collapsed="false">
      <c r="A59" s="45" t="n">
        <v>48</v>
      </c>
      <c r="B59" s="145" t="s">
        <v>519</v>
      </c>
      <c r="C59" s="146" t="s">
        <v>25</v>
      </c>
      <c r="D59" s="147" t="n">
        <v>3</v>
      </c>
      <c r="E59" s="148" t="s">
        <v>504</v>
      </c>
      <c r="F59" s="50"/>
      <c r="G59" s="47"/>
      <c r="H59" s="53"/>
      <c r="I59" s="72" t="n">
        <f aca="false">D59*H59</f>
        <v>0</v>
      </c>
      <c r="J59" s="72"/>
      <c r="K59" s="72"/>
      <c r="L59" s="72" t="n">
        <f aca="false">D59*K59</f>
        <v>0</v>
      </c>
      <c r="M59" s="72"/>
      <c r="N59" s="72"/>
      <c r="O59" s="72" t="n">
        <f aca="false">D59*N59</f>
        <v>0</v>
      </c>
      <c r="P59" s="54" t="e">
        <f aca="false">AVERAGE(H59,K59,N59)</f>
        <v>#DIV/0!</v>
      </c>
      <c r="Q59" s="55" t="e">
        <f aca="false">F59*100/P59-100</f>
        <v>#DIV/0!</v>
      </c>
      <c r="R59" s="54" t="n">
        <f aca="false">D59*F59</f>
        <v>0</v>
      </c>
      <c r="S59" s="47"/>
      <c r="U59" s="57" t="e">
        <f aca="false">ROUND(H59*100/P59-100,0)</f>
        <v>#DIV/0!</v>
      </c>
      <c r="V59" s="57" t="e">
        <f aca="false">ROUND(K59*100/P59-100,0)</f>
        <v>#DIV/0!</v>
      </c>
      <c r="W59" s="57" t="e">
        <f aca="false">ROUND(N59*100/P59-100,0)</f>
        <v>#DIV/0!</v>
      </c>
    </row>
    <row r="60" s="43" customFormat="true" ht="73.5" hidden="false" customHeight="true" outlineLevel="0" collapsed="false">
      <c r="A60" s="45" t="n">
        <v>49</v>
      </c>
      <c r="B60" s="145" t="s">
        <v>107</v>
      </c>
      <c r="C60" s="146" t="s">
        <v>45</v>
      </c>
      <c r="D60" s="147" t="n">
        <v>20.4</v>
      </c>
      <c r="E60" s="148" t="n">
        <v>12456.8</v>
      </c>
      <c r="F60" s="50"/>
      <c r="G60" s="149"/>
      <c r="H60" s="53"/>
      <c r="I60" s="53" t="n">
        <f aca="false">D60*H60</f>
        <v>0</v>
      </c>
      <c r="J60" s="47"/>
      <c r="K60" s="53"/>
      <c r="L60" s="53" t="n">
        <f aca="false">D60*K60</f>
        <v>0</v>
      </c>
      <c r="M60" s="47"/>
      <c r="N60" s="53"/>
      <c r="O60" s="150" t="n">
        <f aca="false">D60*N60</f>
        <v>0</v>
      </c>
      <c r="P60" s="54" t="e">
        <f aca="false">AVERAGE(H60,K60,N60)</f>
        <v>#DIV/0!</v>
      </c>
      <c r="Q60" s="151" t="e">
        <f aca="false">F60*100/P60-100</f>
        <v>#DIV/0!</v>
      </c>
      <c r="R60" s="54" t="n">
        <f aca="false">D60*F60</f>
        <v>0</v>
      </c>
      <c r="S60" s="47"/>
      <c r="U60" s="57" t="e">
        <f aca="false">ROUND(H60*100/P60-100,0)</f>
        <v>#DIV/0!</v>
      </c>
      <c r="V60" s="57" t="e">
        <f aca="false">ROUND(K60*100/P60-100,0)</f>
        <v>#DIV/0!</v>
      </c>
      <c r="W60" s="57" t="e">
        <f aca="false">ROUND(N60*100/P60-100,0)</f>
        <v>#DIV/0!</v>
      </c>
    </row>
    <row r="61" s="43" customFormat="true" ht="73.5" hidden="false" customHeight="true" outlineLevel="0" collapsed="false">
      <c r="A61" s="45" t="n">
        <v>50</v>
      </c>
      <c r="B61" s="145" t="s">
        <v>109</v>
      </c>
      <c r="C61" s="146" t="s">
        <v>25</v>
      </c>
      <c r="D61" s="147" t="n">
        <v>40</v>
      </c>
      <c r="E61" s="148" t="n">
        <v>5.11</v>
      </c>
      <c r="F61" s="50"/>
      <c r="G61" s="47"/>
      <c r="H61" s="53"/>
      <c r="I61" s="72" t="n">
        <f aca="false">D61*H61</f>
        <v>0</v>
      </c>
      <c r="J61" s="72"/>
      <c r="K61" s="72"/>
      <c r="L61" s="72" t="n">
        <f aca="false">D61*K61</f>
        <v>0</v>
      </c>
      <c r="M61" s="72"/>
      <c r="N61" s="72"/>
      <c r="O61" s="72" t="n">
        <f aca="false">D61*N61</f>
        <v>0</v>
      </c>
      <c r="P61" s="54" t="e">
        <f aca="false">AVERAGE(H61,K61,N61)</f>
        <v>#DIV/0!</v>
      </c>
      <c r="Q61" s="55" t="e">
        <f aca="false">F61*100/P61-100</f>
        <v>#DIV/0!</v>
      </c>
      <c r="R61" s="54" t="n">
        <f aca="false">D61*F61</f>
        <v>0</v>
      </c>
      <c r="S61" s="47"/>
      <c r="U61" s="57" t="e">
        <f aca="false">ROUND(H61*100/P61-100,0)</f>
        <v>#DIV/0!</v>
      </c>
      <c r="V61" s="57" t="e">
        <f aca="false">ROUND(K61*100/P61-100,0)</f>
        <v>#DIV/0!</v>
      </c>
      <c r="W61" s="57" t="e">
        <f aca="false">ROUND(N61*100/P61-100,0)</f>
        <v>#DIV/0!</v>
      </c>
    </row>
    <row r="62" s="43" customFormat="true" ht="73.5" hidden="false" customHeight="true" outlineLevel="0" collapsed="false">
      <c r="A62" s="45" t="n">
        <v>51</v>
      </c>
      <c r="B62" s="145" t="s">
        <v>110</v>
      </c>
      <c r="C62" s="146" t="s">
        <v>25</v>
      </c>
      <c r="D62" s="147" t="n">
        <v>20</v>
      </c>
      <c r="E62" s="148" t="n">
        <v>7.08</v>
      </c>
      <c r="F62" s="50"/>
      <c r="G62" s="47"/>
      <c r="H62" s="53"/>
      <c r="I62" s="72" t="n">
        <f aca="false">D62*H62</f>
        <v>0</v>
      </c>
      <c r="J62" s="72"/>
      <c r="K62" s="72"/>
      <c r="L62" s="72" t="n">
        <f aca="false">D62*K62</f>
        <v>0</v>
      </c>
      <c r="M62" s="72"/>
      <c r="N62" s="72"/>
      <c r="O62" s="72" t="n">
        <f aca="false">D62*N62</f>
        <v>0</v>
      </c>
      <c r="P62" s="54" t="e">
        <f aca="false">AVERAGE(H62,K62,N62)</f>
        <v>#DIV/0!</v>
      </c>
      <c r="Q62" s="55" t="e">
        <f aca="false">F62*100/P62-100</f>
        <v>#DIV/0!</v>
      </c>
      <c r="R62" s="54" t="n">
        <f aca="false">D62*F62</f>
        <v>0</v>
      </c>
      <c r="S62" s="47"/>
      <c r="U62" s="57" t="e">
        <f aca="false">ROUND(H62*100/P62-100,0)</f>
        <v>#DIV/0!</v>
      </c>
      <c r="V62" s="57" t="e">
        <f aca="false">ROUND(K62*100/P62-100,0)</f>
        <v>#DIV/0!</v>
      </c>
      <c r="W62" s="57" t="e">
        <f aca="false">ROUND(N62*100/P62-100,0)</f>
        <v>#DIV/0!</v>
      </c>
    </row>
    <row r="63" s="43" customFormat="true" ht="73.5" hidden="false" customHeight="true" outlineLevel="0" collapsed="false">
      <c r="A63" s="45" t="n">
        <v>52</v>
      </c>
      <c r="B63" s="145" t="s">
        <v>111</v>
      </c>
      <c r="C63" s="146" t="s">
        <v>25</v>
      </c>
      <c r="D63" s="147" t="n">
        <v>480</v>
      </c>
      <c r="E63" s="148" t="n">
        <v>18.6</v>
      </c>
      <c r="F63" s="50"/>
      <c r="G63" s="47"/>
      <c r="H63" s="53"/>
      <c r="I63" s="72" t="n">
        <f aca="false">D63*H63</f>
        <v>0</v>
      </c>
      <c r="J63" s="72"/>
      <c r="K63" s="72"/>
      <c r="L63" s="72" t="n">
        <f aca="false">D63*K63</f>
        <v>0</v>
      </c>
      <c r="M63" s="72"/>
      <c r="N63" s="72"/>
      <c r="O63" s="72" t="n">
        <f aca="false">D63*N63</f>
        <v>0</v>
      </c>
      <c r="P63" s="54" t="e">
        <f aca="false">AVERAGE(H63,K63,N63)</f>
        <v>#DIV/0!</v>
      </c>
      <c r="Q63" s="55" t="e">
        <f aca="false">F63*100/P63-100</f>
        <v>#DIV/0!</v>
      </c>
      <c r="R63" s="54" t="n">
        <f aca="false">D63*F63</f>
        <v>0</v>
      </c>
      <c r="S63" s="47"/>
      <c r="U63" s="57" t="e">
        <f aca="false">ROUND(H63*100/P63-100,0)</f>
        <v>#DIV/0!</v>
      </c>
      <c r="V63" s="57" t="e">
        <f aca="false">ROUND(K63*100/P63-100,0)</f>
        <v>#DIV/0!</v>
      </c>
      <c r="W63" s="57" t="e">
        <f aca="false">ROUND(N63*100/P63-100,0)</f>
        <v>#DIV/0!</v>
      </c>
    </row>
    <row r="64" s="43" customFormat="true" ht="73.5" hidden="false" customHeight="true" outlineLevel="0" collapsed="false">
      <c r="A64" s="45" t="n">
        <v>53</v>
      </c>
      <c r="B64" s="145" t="s">
        <v>113</v>
      </c>
      <c r="C64" s="146" t="s">
        <v>25</v>
      </c>
      <c r="D64" s="147" t="n">
        <v>40</v>
      </c>
      <c r="E64" s="148" t="n">
        <v>1.5</v>
      </c>
      <c r="F64" s="50"/>
      <c r="G64" s="47"/>
      <c r="H64" s="53"/>
      <c r="I64" s="72" t="n">
        <f aca="false">D64*H64</f>
        <v>0</v>
      </c>
      <c r="J64" s="72"/>
      <c r="K64" s="72"/>
      <c r="L64" s="72" t="n">
        <f aca="false">D64*K64</f>
        <v>0</v>
      </c>
      <c r="M64" s="72"/>
      <c r="N64" s="72"/>
      <c r="O64" s="72" t="n">
        <f aca="false">D64*N64</f>
        <v>0</v>
      </c>
      <c r="P64" s="54" t="e">
        <f aca="false">AVERAGE(H64,K64,N64)</f>
        <v>#DIV/0!</v>
      </c>
      <c r="Q64" s="55" t="e">
        <f aca="false">F64*100/P64-100</f>
        <v>#DIV/0!</v>
      </c>
      <c r="R64" s="54" t="n">
        <f aca="false">D64*F64</f>
        <v>0</v>
      </c>
      <c r="S64" s="47"/>
      <c r="U64" s="57" t="e">
        <f aca="false">ROUND(H64*100/P64-100,0)</f>
        <v>#DIV/0!</v>
      </c>
      <c r="V64" s="57" t="e">
        <f aca="false">ROUND(K64*100/P64-100,0)</f>
        <v>#DIV/0!</v>
      </c>
      <c r="W64" s="57" t="e">
        <f aca="false">ROUND(N64*100/P64-100,0)</f>
        <v>#DIV/0!</v>
      </c>
    </row>
    <row r="65" s="43" customFormat="true" ht="73.5" hidden="false" customHeight="true" outlineLevel="0" collapsed="false">
      <c r="A65" s="45" t="n">
        <v>54</v>
      </c>
      <c r="B65" s="145" t="s">
        <v>114</v>
      </c>
      <c r="C65" s="146" t="s">
        <v>25</v>
      </c>
      <c r="D65" s="147" t="n">
        <v>30</v>
      </c>
      <c r="E65" s="148" t="n">
        <v>2.99</v>
      </c>
      <c r="F65" s="50"/>
      <c r="G65" s="47"/>
      <c r="H65" s="53"/>
      <c r="I65" s="72" t="n">
        <f aca="false">D65*H65</f>
        <v>0</v>
      </c>
      <c r="J65" s="72"/>
      <c r="K65" s="72"/>
      <c r="L65" s="72" t="n">
        <f aca="false">D65*K65</f>
        <v>0</v>
      </c>
      <c r="M65" s="72"/>
      <c r="N65" s="72"/>
      <c r="O65" s="72" t="n">
        <f aca="false">D65*N65</f>
        <v>0</v>
      </c>
      <c r="P65" s="54" t="e">
        <f aca="false">AVERAGE(H65,K65,N65)</f>
        <v>#DIV/0!</v>
      </c>
      <c r="Q65" s="55" t="e">
        <f aca="false">F65*100/P65-100</f>
        <v>#DIV/0!</v>
      </c>
      <c r="R65" s="54" t="n">
        <f aca="false">D65*F65</f>
        <v>0</v>
      </c>
      <c r="S65" s="47"/>
      <c r="U65" s="57" t="e">
        <f aca="false">ROUND(H65*100/P65-100,0)</f>
        <v>#DIV/0!</v>
      </c>
      <c r="V65" s="57" t="e">
        <f aca="false">ROUND(K65*100/P65-100,0)</f>
        <v>#DIV/0!</v>
      </c>
      <c r="W65" s="57" t="e">
        <f aca="false">ROUND(N65*100/P65-100,0)</f>
        <v>#DIV/0!</v>
      </c>
    </row>
    <row r="66" s="43" customFormat="true" ht="73.5" hidden="false" customHeight="true" outlineLevel="0" collapsed="false">
      <c r="A66" s="45" t="n">
        <v>55</v>
      </c>
      <c r="B66" s="145" t="s">
        <v>520</v>
      </c>
      <c r="C66" s="146" t="s">
        <v>25</v>
      </c>
      <c r="D66" s="147" t="n">
        <v>69</v>
      </c>
      <c r="E66" s="148" t="s">
        <v>504</v>
      </c>
      <c r="F66" s="50"/>
      <c r="G66" s="149"/>
      <c r="H66" s="53"/>
      <c r="I66" s="53" t="n">
        <f aca="false">D66*H66</f>
        <v>0</v>
      </c>
      <c r="J66" s="47"/>
      <c r="K66" s="53"/>
      <c r="L66" s="53" t="n">
        <f aca="false">D66*K66</f>
        <v>0</v>
      </c>
      <c r="M66" s="47"/>
      <c r="N66" s="53"/>
      <c r="O66" s="150" t="n">
        <f aca="false">D66*N66</f>
        <v>0</v>
      </c>
      <c r="P66" s="54" t="e">
        <f aca="false">AVERAGE(H66,K66,N66)</f>
        <v>#DIV/0!</v>
      </c>
      <c r="Q66" s="151" t="e">
        <f aca="false">F66*100/P66-100</f>
        <v>#DIV/0!</v>
      </c>
      <c r="R66" s="54" t="n">
        <f aca="false">D66*F66</f>
        <v>0</v>
      </c>
      <c r="S66" s="47"/>
      <c r="U66" s="57" t="e">
        <f aca="false">ROUND(H66*100/P66-100,0)</f>
        <v>#DIV/0!</v>
      </c>
      <c r="V66" s="57" t="e">
        <f aca="false">ROUND(K66*100/P66-100,0)</f>
        <v>#DIV/0!</v>
      </c>
      <c r="W66" s="57" t="e">
        <f aca="false">ROUND(N66*100/P66-100,0)</f>
        <v>#DIV/0!</v>
      </c>
    </row>
    <row r="67" s="43" customFormat="true" ht="73.5" hidden="false" customHeight="true" outlineLevel="0" collapsed="false">
      <c r="A67" s="45" t="n">
        <v>56</v>
      </c>
      <c r="B67" s="145" t="s">
        <v>521</v>
      </c>
      <c r="C67" s="146" t="s">
        <v>25</v>
      </c>
      <c r="D67" s="147" t="n">
        <v>150</v>
      </c>
      <c r="E67" s="148" t="s">
        <v>504</v>
      </c>
      <c r="F67" s="50"/>
      <c r="G67" s="149"/>
      <c r="H67" s="53"/>
      <c r="I67" s="53" t="n">
        <f aca="false">D67*H67</f>
        <v>0</v>
      </c>
      <c r="J67" s="47"/>
      <c r="K67" s="53"/>
      <c r="L67" s="53" t="n">
        <f aca="false">D67*K67</f>
        <v>0</v>
      </c>
      <c r="M67" s="47"/>
      <c r="N67" s="53"/>
      <c r="O67" s="150" t="n">
        <f aca="false">D67*N67</f>
        <v>0</v>
      </c>
      <c r="P67" s="54" t="e">
        <f aca="false">AVERAGE(H67,K67,N67)</f>
        <v>#DIV/0!</v>
      </c>
      <c r="Q67" s="151" t="e">
        <f aca="false">F67*100/P67-100</f>
        <v>#DIV/0!</v>
      </c>
      <c r="R67" s="54" t="n">
        <f aca="false">D67*F67</f>
        <v>0</v>
      </c>
      <c r="S67" s="47"/>
      <c r="U67" s="57" t="e">
        <f aca="false">ROUND(H67*100/P67-100,0)</f>
        <v>#DIV/0!</v>
      </c>
      <c r="V67" s="57" t="e">
        <f aca="false">ROUND(K67*100/P67-100,0)</f>
        <v>#DIV/0!</v>
      </c>
      <c r="W67" s="57" t="e">
        <f aca="false">ROUND(N67*100/P67-100,0)</f>
        <v>#DIV/0!</v>
      </c>
    </row>
    <row r="68" s="43" customFormat="true" ht="73.5" hidden="false" customHeight="true" outlineLevel="0" collapsed="false">
      <c r="A68" s="45" t="n">
        <v>57</v>
      </c>
      <c r="B68" s="145" t="s">
        <v>522</v>
      </c>
      <c r="C68" s="146" t="s">
        <v>25</v>
      </c>
      <c r="D68" s="147" t="n">
        <v>100</v>
      </c>
      <c r="E68" s="148" t="n">
        <v>1.5</v>
      </c>
      <c r="F68" s="50"/>
      <c r="G68" s="47"/>
      <c r="H68" s="53"/>
      <c r="I68" s="72" t="n">
        <f aca="false">D68*H68</f>
        <v>0</v>
      </c>
      <c r="J68" s="72"/>
      <c r="K68" s="72"/>
      <c r="L68" s="72" t="n">
        <f aca="false">D68*K68</f>
        <v>0</v>
      </c>
      <c r="M68" s="72"/>
      <c r="N68" s="72"/>
      <c r="O68" s="72" t="n">
        <f aca="false">D68*N68</f>
        <v>0</v>
      </c>
      <c r="P68" s="54" t="e">
        <f aca="false">AVERAGE(H68,K68,N68)</f>
        <v>#DIV/0!</v>
      </c>
      <c r="Q68" s="55" t="e">
        <f aca="false">F68*100/P68-100</f>
        <v>#DIV/0!</v>
      </c>
      <c r="R68" s="54" t="n">
        <f aca="false">D68*F68</f>
        <v>0</v>
      </c>
      <c r="S68" s="47"/>
      <c r="U68" s="57" t="e">
        <f aca="false">ROUND(H68*100/P68-100,0)</f>
        <v>#DIV/0!</v>
      </c>
      <c r="V68" s="57" t="e">
        <f aca="false">ROUND(K68*100/P68-100,0)</f>
        <v>#DIV/0!</v>
      </c>
      <c r="W68" s="57" t="e">
        <f aca="false">ROUND(N68*100/P68-100,0)</f>
        <v>#DIV/0!</v>
      </c>
    </row>
    <row r="69" s="43" customFormat="true" ht="73.5" hidden="false" customHeight="true" outlineLevel="0" collapsed="false">
      <c r="A69" s="45" t="n">
        <v>58</v>
      </c>
      <c r="B69" s="145" t="s">
        <v>523</v>
      </c>
      <c r="C69" s="146" t="s">
        <v>25</v>
      </c>
      <c r="D69" s="147" t="n">
        <v>275</v>
      </c>
      <c r="E69" s="148" t="n">
        <v>2.99</v>
      </c>
      <c r="F69" s="50"/>
      <c r="G69" s="47"/>
      <c r="H69" s="53"/>
      <c r="I69" s="72" t="n">
        <f aca="false">D69*H69</f>
        <v>0</v>
      </c>
      <c r="J69" s="72"/>
      <c r="K69" s="72"/>
      <c r="L69" s="72" t="n">
        <f aca="false">D69*K69</f>
        <v>0</v>
      </c>
      <c r="M69" s="72"/>
      <c r="N69" s="72"/>
      <c r="O69" s="72" t="n">
        <f aca="false">D69*N69</f>
        <v>0</v>
      </c>
      <c r="P69" s="54" t="e">
        <f aca="false">AVERAGE(H69,K69,N69)</f>
        <v>#DIV/0!</v>
      </c>
      <c r="Q69" s="55" t="e">
        <f aca="false">F69*100/P69-100</f>
        <v>#DIV/0!</v>
      </c>
      <c r="R69" s="54" t="n">
        <f aca="false">D69*F69</f>
        <v>0</v>
      </c>
      <c r="S69" s="47"/>
      <c r="U69" s="57" t="e">
        <f aca="false">ROUND(H69*100/P69-100,0)</f>
        <v>#DIV/0!</v>
      </c>
      <c r="V69" s="57" t="e">
        <f aca="false">ROUND(K69*100/P69-100,0)</f>
        <v>#DIV/0!</v>
      </c>
      <c r="W69" s="57" t="e">
        <f aca="false">ROUND(N69*100/P69-100,0)</f>
        <v>#DIV/0!</v>
      </c>
    </row>
    <row r="70" s="43" customFormat="true" ht="60" hidden="false" customHeight="true" outlineLevel="0" collapsed="false">
      <c r="A70" s="45" t="n">
        <v>59</v>
      </c>
      <c r="B70" s="145" t="s">
        <v>524</v>
      </c>
      <c r="C70" s="146" t="s">
        <v>25</v>
      </c>
      <c r="D70" s="147" t="n">
        <v>7</v>
      </c>
      <c r="E70" s="148" t="s">
        <v>504</v>
      </c>
      <c r="F70" s="50"/>
      <c r="G70" s="47"/>
      <c r="H70" s="53"/>
      <c r="I70" s="72" t="n">
        <f aca="false">D70*H70</f>
        <v>0</v>
      </c>
      <c r="J70" s="72"/>
      <c r="K70" s="72"/>
      <c r="L70" s="72" t="n">
        <f aca="false">D70*K70</f>
        <v>0</v>
      </c>
      <c r="M70" s="72"/>
      <c r="N70" s="72"/>
      <c r="O70" s="72" t="n">
        <f aca="false">D70*N70</f>
        <v>0</v>
      </c>
      <c r="P70" s="54" t="e">
        <f aca="false">AVERAGE(H70,K70,N70)</f>
        <v>#DIV/0!</v>
      </c>
      <c r="Q70" s="55" t="e">
        <f aca="false">F70*100/P70-100</f>
        <v>#DIV/0!</v>
      </c>
      <c r="R70" s="54" t="n">
        <f aca="false">D70*F70</f>
        <v>0</v>
      </c>
      <c r="S70" s="47"/>
      <c r="U70" s="57" t="e">
        <f aca="false">ROUND(H70*100/P70-100,0)</f>
        <v>#DIV/0!</v>
      </c>
      <c r="V70" s="57" t="e">
        <f aca="false">ROUND(K70*100/P70-100,0)</f>
        <v>#DIV/0!</v>
      </c>
      <c r="W70" s="57" t="e">
        <f aca="false">ROUND(N70*100/P70-100,0)</f>
        <v>#DIV/0!</v>
      </c>
    </row>
    <row r="71" s="43" customFormat="true" ht="73.5" hidden="false" customHeight="true" outlineLevel="0" collapsed="false">
      <c r="A71" s="45" t="n">
        <v>60</v>
      </c>
      <c r="B71" s="145" t="s">
        <v>525</v>
      </c>
      <c r="C71" s="146" t="s">
        <v>147</v>
      </c>
      <c r="D71" s="147" t="n">
        <v>20</v>
      </c>
      <c r="E71" s="148" t="s">
        <v>504</v>
      </c>
      <c r="F71" s="50"/>
      <c r="G71" s="47"/>
      <c r="H71" s="53"/>
      <c r="I71" s="72" t="n">
        <f aca="false">D71*H71</f>
        <v>0</v>
      </c>
      <c r="J71" s="72"/>
      <c r="K71" s="72"/>
      <c r="L71" s="72" t="n">
        <f aca="false">D71*K71</f>
        <v>0</v>
      </c>
      <c r="M71" s="72"/>
      <c r="N71" s="72"/>
      <c r="O71" s="72" t="n">
        <f aca="false">D71*N71</f>
        <v>0</v>
      </c>
      <c r="P71" s="54" t="e">
        <f aca="false">AVERAGE(H71,K71,N71)</f>
        <v>#DIV/0!</v>
      </c>
      <c r="Q71" s="55" t="e">
        <f aca="false">F71*100/P71-100</f>
        <v>#DIV/0!</v>
      </c>
      <c r="R71" s="54" t="n">
        <f aca="false">D71*F71</f>
        <v>0</v>
      </c>
      <c r="S71" s="47"/>
      <c r="U71" s="57" t="e">
        <f aca="false">ROUND(H71*100/P71-100,0)</f>
        <v>#DIV/0!</v>
      </c>
      <c r="V71" s="57" t="e">
        <f aca="false">ROUND(K71*100/P71-100,0)</f>
        <v>#DIV/0!</v>
      </c>
      <c r="W71" s="57" t="e">
        <f aca="false">ROUND(N71*100/P71-100,0)</f>
        <v>#DIV/0!</v>
      </c>
    </row>
    <row r="72" s="43" customFormat="true" ht="71.25" hidden="false" customHeight="true" outlineLevel="0" collapsed="false">
      <c r="A72" s="45" t="n">
        <v>61</v>
      </c>
      <c r="B72" s="145" t="s">
        <v>526</v>
      </c>
      <c r="C72" s="146" t="s">
        <v>25</v>
      </c>
      <c r="D72" s="147" t="n">
        <v>25</v>
      </c>
      <c r="E72" s="148"/>
      <c r="F72" s="50"/>
      <c r="G72" s="47"/>
      <c r="H72" s="53"/>
      <c r="I72" s="72" t="n">
        <f aca="false">D72*H72</f>
        <v>0</v>
      </c>
      <c r="J72" s="72"/>
      <c r="K72" s="72"/>
      <c r="L72" s="72" t="n">
        <f aca="false">D72*K72</f>
        <v>0</v>
      </c>
      <c r="M72" s="72"/>
      <c r="N72" s="72"/>
      <c r="O72" s="72" t="n">
        <f aca="false">D72*N72</f>
        <v>0</v>
      </c>
      <c r="P72" s="54" t="e">
        <f aca="false">AVERAGE(H72,K72,N72)</f>
        <v>#DIV/0!</v>
      </c>
      <c r="Q72" s="55" t="e">
        <f aca="false">F72*100/P72-100</f>
        <v>#DIV/0!</v>
      </c>
      <c r="R72" s="54" t="n">
        <f aca="false">D72*F72</f>
        <v>0</v>
      </c>
      <c r="S72" s="47"/>
      <c r="U72" s="57" t="e">
        <f aca="false">ROUND(H72*100/P72-100,0)</f>
        <v>#DIV/0!</v>
      </c>
      <c r="V72" s="57" t="e">
        <f aca="false">ROUND(K72*100/P72-100,0)</f>
        <v>#DIV/0!</v>
      </c>
      <c r="W72" s="57" t="e">
        <f aca="false">ROUND(N72*100/P72-100,0)</f>
        <v>#DIV/0!</v>
      </c>
    </row>
    <row r="73" s="43" customFormat="true" ht="73.5" hidden="false" customHeight="true" outlineLevel="0" collapsed="false">
      <c r="A73" s="45" t="n">
        <v>62</v>
      </c>
      <c r="B73" s="145" t="s">
        <v>527</v>
      </c>
      <c r="C73" s="146" t="s">
        <v>118</v>
      </c>
      <c r="D73" s="147" t="n">
        <v>60</v>
      </c>
      <c r="E73" s="148"/>
      <c r="F73" s="50"/>
      <c r="G73" s="47"/>
      <c r="H73" s="53"/>
      <c r="I73" s="72" t="n">
        <f aca="false">D73*H73</f>
        <v>0</v>
      </c>
      <c r="J73" s="72"/>
      <c r="K73" s="72"/>
      <c r="L73" s="72" t="n">
        <f aca="false">D73*K73</f>
        <v>0</v>
      </c>
      <c r="M73" s="72"/>
      <c r="N73" s="72"/>
      <c r="O73" s="72" t="n">
        <f aca="false">D73*N73</f>
        <v>0</v>
      </c>
      <c r="P73" s="54" t="e">
        <f aca="false">AVERAGE(H73,K73,N73)</f>
        <v>#DIV/0!</v>
      </c>
      <c r="Q73" s="55" t="e">
        <f aca="false">F73*100/P73-100</f>
        <v>#DIV/0!</v>
      </c>
      <c r="R73" s="54" t="n">
        <f aca="false">D73*F73</f>
        <v>0</v>
      </c>
      <c r="S73" s="47"/>
      <c r="U73" s="57" t="e">
        <f aca="false">ROUND(H73*100/P73-100,0)</f>
        <v>#DIV/0!</v>
      </c>
      <c r="V73" s="57" t="e">
        <f aca="false">ROUND(K73*100/P73-100,0)</f>
        <v>#DIV/0!</v>
      </c>
      <c r="W73" s="57" t="e">
        <f aca="false">ROUND(N73*100/P73-100,0)</f>
        <v>#DIV/0!</v>
      </c>
    </row>
    <row r="74" s="43" customFormat="true" ht="73.5" hidden="false" customHeight="true" outlineLevel="0" collapsed="false">
      <c r="A74" s="45" t="n">
        <v>63</v>
      </c>
      <c r="B74" s="145" t="s">
        <v>528</v>
      </c>
      <c r="C74" s="146" t="s">
        <v>25</v>
      </c>
      <c r="D74" s="147" t="n">
        <v>12</v>
      </c>
      <c r="E74" s="148"/>
      <c r="F74" s="50"/>
      <c r="G74" s="149"/>
      <c r="H74" s="53"/>
      <c r="I74" s="53" t="n">
        <f aca="false">D74*H74</f>
        <v>0</v>
      </c>
      <c r="J74" s="47"/>
      <c r="K74" s="53"/>
      <c r="L74" s="53" t="n">
        <f aca="false">D74*K74</f>
        <v>0</v>
      </c>
      <c r="M74" s="47"/>
      <c r="N74" s="53"/>
      <c r="O74" s="150" t="n">
        <f aca="false">D74*N74</f>
        <v>0</v>
      </c>
      <c r="P74" s="54" t="e">
        <f aca="false">AVERAGE(H74,K74,N74)</f>
        <v>#DIV/0!</v>
      </c>
      <c r="Q74" s="151" t="e">
        <f aca="false">F74*100/P74-100</f>
        <v>#DIV/0!</v>
      </c>
      <c r="R74" s="54" t="n">
        <f aca="false">D74*F74</f>
        <v>0</v>
      </c>
      <c r="S74" s="47"/>
      <c r="U74" s="57" t="e">
        <f aca="false">ROUND(H74*100/P74-100,0)</f>
        <v>#DIV/0!</v>
      </c>
      <c r="V74" s="57" t="e">
        <f aca="false">ROUND(K74*100/P74-100,0)</f>
        <v>#DIV/0!</v>
      </c>
      <c r="W74" s="57" t="e">
        <f aca="false">ROUND(N74*100/P74-100,0)</f>
        <v>#DIV/0!</v>
      </c>
    </row>
    <row r="75" s="43" customFormat="true" ht="73.5" hidden="false" customHeight="true" outlineLevel="0" collapsed="false">
      <c r="A75" s="45" t="n">
        <v>64</v>
      </c>
      <c r="B75" s="145" t="s">
        <v>529</v>
      </c>
      <c r="C75" s="146" t="s">
        <v>25</v>
      </c>
      <c r="D75" s="147" t="n">
        <v>75</v>
      </c>
      <c r="E75" s="152"/>
      <c r="F75" s="50"/>
      <c r="G75" s="149"/>
      <c r="H75" s="53"/>
      <c r="I75" s="53" t="n">
        <f aca="false">D75*H75</f>
        <v>0</v>
      </c>
      <c r="J75" s="47"/>
      <c r="K75" s="53"/>
      <c r="L75" s="53" t="n">
        <f aca="false">D75*K75</f>
        <v>0</v>
      </c>
      <c r="M75" s="47"/>
      <c r="N75" s="53"/>
      <c r="O75" s="150" t="n">
        <f aca="false">D75*N75</f>
        <v>0</v>
      </c>
      <c r="P75" s="54" t="e">
        <f aca="false">AVERAGE(H75,K75,N75)</f>
        <v>#DIV/0!</v>
      </c>
      <c r="Q75" s="151" t="e">
        <f aca="false">F75*100/P75-100</f>
        <v>#DIV/0!</v>
      </c>
      <c r="R75" s="54" t="n">
        <f aca="false">D75*F75</f>
        <v>0</v>
      </c>
      <c r="S75" s="47"/>
      <c r="U75" s="57" t="e">
        <f aca="false">ROUND(H75*100/P75-100,0)</f>
        <v>#DIV/0!</v>
      </c>
      <c r="V75" s="57" t="e">
        <f aca="false">ROUND(K75*100/P75-100,0)</f>
        <v>#DIV/0!</v>
      </c>
      <c r="W75" s="57" t="e">
        <f aca="false">ROUND(N75*100/P75-100,0)</f>
        <v>#DIV/0!</v>
      </c>
    </row>
    <row r="76" s="43" customFormat="true" ht="73.5" hidden="false" customHeight="true" outlineLevel="0" collapsed="false">
      <c r="A76" s="45" t="n">
        <v>65</v>
      </c>
      <c r="B76" s="145" t="s">
        <v>123</v>
      </c>
      <c r="C76" s="146" t="s">
        <v>25</v>
      </c>
      <c r="D76" s="147" t="n">
        <v>10</v>
      </c>
      <c r="E76" s="152"/>
      <c r="F76" s="50"/>
      <c r="G76" s="149"/>
      <c r="H76" s="53"/>
      <c r="I76" s="53" t="n">
        <f aca="false">D76*H76</f>
        <v>0</v>
      </c>
      <c r="J76" s="47"/>
      <c r="K76" s="53"/>
      <c r="L76" s="53" t="n">
        <f aca="false">D76*K76</f>
        <v>0</v>
      </c>
      <c r="M76" s="47"/>
      <c r="N76" s="53"/>
      <c r="O76" s="150" t="n">
        <f aca="false">D76*N76</f>
        <v>0</v>
      </c>
      <c r="P76" s="54" t="e">
        <f aca="false">AVERAGE(H76,K76,N76)</f>
        <v>#DIV/0!</v>
      </c>
      <c r="Q76" s="151" t="e">
        <f aca="false">F76*100/P76-100</f>
        <v>#DIV/0!</v>
      </c>
      <c r="R76" s="54" t="n">
        <f aca="false">D76*F76</f>
        <v>0</v>
      </c>
      <c r="S76" s="47"/>
      <c r="U76" s="57" t="e">
        <f aca="false">ROUND(H76*100/P76-100,0)</f>
        <v>#DIV/0!</v>
      </c>
      <c r="V76" s="57" t="e">
        <f aca="false">ROUND(K76*100/P76-100,0)</f>
        <v>#DIV/0!</v>
      </c>
      <c r="W76" s="57" t="e">
        <f aca="false">ROUND(N76*100/P76-100,0)</f>
        <v>#DIV/0!</v>
      </c>
    </row>
    <row r="77" s="43" customFormat="true" ht="73.5" hidden="false" customHeight="true" outlineLevel="0" collapsed="false">
      <c r="A77" s="45" t="n">
        <v>66</v>
      </c>
      <c r="B77" s="145" t="s">
        <v>124</v>
      </c>
      <c r="C77" s="146" t="s">
        <v>25</v>
      </c>
      <c r="D77" s="147" t="n">
        <v>3</v>
      </c>
      <c r="E77" s="152"/>
      <c r="F77" s="50"/>
      <c r="G77" s="47"/>
      <c r="H77" s="53"/>
      <c r="I77" s="72" t="n">
        <f aca="false">D77*H77</f>
        <v>0</v>
      </c>
      <c r="J77" s="72"/>
      <c r="K77" s="72"/>
      <c r="L77" s="72" t="n">
        <f aca="false">D77*K77</f>
        <v>0</v>
      </c>
      <c r="M77" s="72"/>
      <c r="N77" s="72"/>
      <c r="O77" s="72" t="n">
        <f aca="false">D77*N77</f>
        <v>0</v>
      </c>
      <c r="P77" s="54" t="e">
        <f aca="false">AVERAGE(H77,K77,N77)</f>
        <v>#DIV/0!</v>
      </c>
      <c r="Q77" s="55" t="e">
        <f aca="false">F77*100/P77-100</f>
        <v>#DIV/0!</v>
      </c>
      <c r="R77" s="54" t="n">
        <f aca="false">D77*F77</f>
        <v>0</v>
      </c>
      <c r="S77" s="47"/>
      <c r="U77" s="57" t="e">
        <f aca="false">ROUND(H77*100/P77-100,0)</f>
        <v>#DIV/0!</v>
      </c>
      <c r="V77" s="57" t="e">
        <f aca="false">ROUND(K77*100/P77-100,0)</f>
        <v>#DIV/0!</v>
      </c>
      <c r="W77" s="57" t="e">
        <f aca="false">ROUND(N77*100/P77-100,0)</f>
        <v>#DIV/0!</v>
      </c>
    </row>
    <row r="78" s="43" customFormat="true" ht="73.5" hidden="false" customHeight="true" outlineLevel="0" collapsed="false">
      <c r="A78" s="45" t="n">
        <v>67</v>
      </c>
      <c r="B78" s="145" t="s">
        <v>125</v>
      </c>
      <c r="C78" s="146" t="s">
        <v>25</v>
      </c>
      <c r="D78" s="147" t="n">
        <v>15</v>
      </c>
      <c r="E78" s="152"/>
      <c r="F78" s="50"/>
      <c r="G78" s="47"/>
      <c r="H78" s="53"/>
      <c r="I78" s="72" t="n">
        <f aca="false">D78*H78</f>
        <v>0</v>
      </c>
      <c r="J78" s="72"/>
      <c r="K78" s="72"/>
      <c r="L78" s="72" t="n">
        <f aca="false">D78*K78</f>
        <v>0</v>
      </c>
      <c r="M78" s="72"/>
      <c r="N78" s="72"/>
      <c r="O78" s="72" t="n">
        <f aca="false">D78*N78</f>
        <v>0</v>
      </c>
      <c r="P78" s="54" t="e">
        <f aca="false">AVERAGE(H78,K78,N78)</f>
        <v>#DIV/0!</v>
      </c>
      <c r="Q78" s="55" t="e">
        <f aca="false">F78*100/P78-100</f>
        <v>#DIV/0!</v>
      </c>
      <c r="R78" s="54" t="n">
        <f aca="false">D78*F78</f>
        <v>0</v>
      </c>
      <c r="S78" s="47"/>
      <c r="U78" s="57" t="e">
        <f aca="false">ROUND(H78*100/P78-100,0)</f>
        <v>#DIV/0!</v>
      </c>
      <c r="V78" s="57" t="e">
        <f aca="false">ROUND(K78*100/P78-100,0)</f>
        <v>#DIV/0!</v>
      </c>
      <c r="W78" s="57" t="e">
        <f aca="false">ROUND(N78*100/P78-100,0)</f>
        <v>#DIV/0!</v>
      </c>
    </row>
    <row r="79" s="43" customFormat="true" ht="73.5" hidden="false" customHeight="true" outlineLevel="0" collapsed="false">
      <c r="A79" s="45" t="n">
        <v>68</v>
      </c>
      <c r="B79" s="145" t="s">
        <v>126</v>
      </c>
      <c r="C79" s="146" t="s">
        <v>25</v>
      </c>
      <c r="D79" s="147" t="n">
        <v>12</v>
      </c>
      <c r="E79" s="152"/>
      <c r="F79" s="50"/>
      <c r="G79" s="47"/>
      <c r="H79" s="53"/>
      <c r="I79" s="72" t="n">
        <f aca="false">D79*H79</f>
        <v>0</v>
      </c>
      <c r="J79" s="72"/>
      <c r="K79" s="72"/>
      <c r="L79" s="72" t="n">
        <f aca="false">D79*K79</f>
        <v>0</v>
      </c>
      <c r="M79" s="72"/>
      <c r="N79" s="72"/>
      <c r="O79" s="72" t="n">
        <f aca="false">D79*N79</f>
        <v>0</v>
      </c>
      <c r="P79" s="54" t="e">
        <f aca="false">AVERAGE(H79,K79,N79)</f>
        <v>#DIV/0!</v>
      </c>
      <c r="Q79" s="55" t="e">
        <f aca="false">F79*100/P79-100</f>
        <v>#DIV/0!</v>
      </c>
      <c r="R79" s="54" t="n">
        <f aca="false">D79*F79</f>
        <v>0</v>
      </c>
      <c r="S79" s="47"/>
      <c r="U79" s="57" t="e">
        <f aca="false">ROUND(H79*100/P79-100,0)</f>
        <v>#DIV/0!</v>
      </c>
      <c r="V79" s="57" t="e">
        <f aca="false">ROUND(K79*100/P79-100,0)</f>
        <v>#DIV/0!</v>
      </c>
      <c r="W79" s="57" t="e">
        <f aca="false">ROUND(N79*100/P79-100,0)</f>
        <v>#DIV/0!</v>
      </c>
    </row>
    <row r="80" s="43" customFormat="true" ht="73.5" hidden="false" customHeight="true" outlineLevel="0" collapsed="false">
      <c r="A80" s="45" t="n">
        <v>69</v>
      </c>
      <c r="B80" s="145" t="s">
        <v>127</v>
      </c>
      <c r="C80" s="146" t="s">
        <v>25</v>
      </c>
      <c r="D80" s="147" t="n">
        <v>10</v>
      </c>
      <c r="E80" s="152"/>
      <c r="F80" s="50"/>
      <c r="G80" s="47"/>
      <c r="H80" s="53"/>
      <c r="I80" s="53" t="n">
        <f aca="false">D80*H80</f>
        <v>0</v>
      </c>
      <c r="J80" s="47"/>
      <c r="K80" s="53"/>
      <c r="L80" s="53" t="n">
        <f aca="false">D80*K80</f>
        <v>0</v>
      </c>
      <c r="M80" s="53"/>
      <c r="N80" s="53"/>
      <c r="O80" s="53" t="n">
        <f aca="false">D80*N80</f>
        <v>0</v>
      </c>
      <c r="P80" s="54" t="e">
        <f aca="false">AVERAGE(H80,K80,N80)</f>
        <v>#DIV/0!</v>
      </c>
      <c r="Q80" s="55" t="e">
        <f aca="false">F80*100/P80-100</f>
        <v>#DIV/0!</v>
      </c>
      <c r="R80" s="54" t="n">
        <f aca="false">D80*F80</f>
        <v>0</v>
      </c>
      <c r="S80" s="47"/>
      <c r="U80" s="57" t="e">
        <f aca="false">ROUND(H80*100/P80-100,0)</f>
        <v>#DIV/0!</v>
      </c>
      <c r="V80" s="57" t="e">
        <f aca="false">ROUND(K80*100/P80-100,0)</f>
        <v>#DIV/0!</v>
      </c>
      <c r="W80" s="57" t="e">
        <f aca="false">ROUND(N80*100/P80-100,0)</f>
        <v>#DIV/0!</v>
      </c>
    </row>
    <row r="81" s="43" customFormat="true" ht="73.5" hidden="false" customHeight="true" outlineLevel="0" collapsed="false">
      <c r="A81" s="45" t="n">
        <v>70</v>
      </c>
      <c r="B81" s="145" t="s">
        <v>128</v>
      </c>
      <c r="C81" s="146" t="s">
        <v>25</v>
      </c>
      <c r="D81" s="147" t="n">
        <v>70</v>
      </c>
      <c r="E81" s="152"/>
      <c r="F81" s="50"/>
      <c r="G81" s="47"/>
      <c r="H81" s="53"/>
      <c r="I81" s="53" t="n">
        <f aca="false">D81*H81</f>
        <v>0</v>
      </c>
      <c r="J81" s="47"/>
      <c r="K81" s="53"/>
      <c r="L81" s="53" t="n">
        <f aca="false">D81*K81</f>
        <v>0</v>
      </c>
      <c r="M81" s="53"/>
      <c r="N81" s="53"/>
      <c r="O81" s="53" t="n">
        <f aca="false">D81*N81</f>
        <v>0</v>
      </c>
      <c r="P81" s="54" t="e">
        <f aca="false">AVERAGE(H81,K81,N81)</f>
        <v>#DIV/0!</v>
      </c>
      <c r="Q81" s="55" t="e">
        <f aca="false">F81*100/P81-100</f>
        <v>#DIV/0!</v>
      </c>
      <c r="R81" s="54" t="n">
        <f aca="false">D81*F81</f>
        <v>0</v>
      </c>
      <c r="S81" s="47"/>
      <c r="U81" s="57" t="e">
        <f aca="false">ROUND(H81*100/P81-100,0)</f>
        <v>#DIV/0!</v>
      </c>
      <c r="V81" s="57" t="e">
        <f aca="false">ROUND(K81*100/P81-100,0)</f>
        <v>#DIV/0!</v>
      </c>
      <c r="W81" s="57" t="e">
        <f aca="false">ROUND(N81*100/P81-100,0)</f>
        <v>#DIV/0!</v>
      </c>
    </row>
    <row r="82" s="43" customFormat="true" ht="73.5" hidden="false" customHeight="true" outlineLevel="0" collapsed="false">
      <c r="A82" s="45" t="n">
        <v>71</v>
      </c>
      <c r="B82" s="145" t="s">
        <v>129</v>
      </c>
      <c r="C82" s="146" t="s">
        <v>25</v>
      </c>
      <c r="D82" s="147" t="n">
        <v>5</v>
      </c>
      <c r="E82" s="152"/>
      <c r="F82" s="50"/>
      <c r="G82" s="47"/>
      <c r="H82" s="53"/>
      <c r="I82" s="53" t="n">
        <f aca="false">D82*H82</f>
        <v>0</v>
      </c>
      <c r="J82" s="47"/>
      <c r="K82" s="53"/>
      <c r="L82" s="53" t="n">
        <f aca="false">D82*K82</f>
        <v>0</v>
      </c>
      <c r="M82" s="53"/>
      <c r="N82" s="53"/>
      <c r="O82" s="53" t="n">
        <f aca="false">D82*N82</f>
        <v>0</v>
      </c>
      <c r="P82" s="54" t="e">
        <f aca="false">AVERAGE(H82,K82,N82)</f>
        <v>#DIV/0!</v>
      </c>
      <c r="Q82" s="55" t="e">
        <f aca="false">F82*100/P82-100</f>
        <v>#DIV/0!</v>
      </c>
      <c r="R82" s="54" t="n">
        <f aca="false">D82*F82</f>
        <v>0</v>
      </c>
      <c r="S82" s="47"/>
      <c r="U82" s="57" t="e">
        <f aca="false">ROUND(H82*100/P82-100,0)</f>
        <v>#DIV/0!</v>
      </c>
      <c r="V82" s="57" t="e">
        <f aca="false">ROUND(K82*100/P82-100,0)</f>
        <v>#DIV/0!</v>
      </c>
      <c r="W82" s="57" t="e">
        <f aca="false">ROUND(N82*100/P82-100,0)</f>
        <v>#DIV/0!</v>
      </c>
    </row>
    <row r="83" s="43" customFormat="true" ht="73.5" hidden="false" customHeight="true" outlineLevel="0" collapsed="false">
      <c r="A83" s="45" t="n">
        <v>72</v>
      </c>
      <c r="B83" s="145" t="s">
        <v>530</v>
      </c>
      <c r="C83" s="146" t="s">
        <v>25</v>
      </c>
      <c r="D83" s="147" t="n">
        <v>25</v>
      </c>
      <c r="E83" s="152"/>
      <c r="F83" s="50"/>
      <c r="G83" s="47"/>
      <c r="H83" s="53"/>
      <c r="I83" s="53" t="n">
        <f aca="false">D83*H83</f>
        <v>0</v>
      </c>
      <c r="J83" s="47"/>
      <c r="K83" s="53"/>
      <c r="L83" s="53" t="n">
        <f aca="false">D83*K83</f>
        <v>0</v>
      </c>
      <c r="M83" s="53"/>
      <c r="N83" s="53"/>
      <c r="O83" s="53" t="n">
        <f aca="false">D83*N83</f>
        <v>0</v>
      </c>
      <c r="P83" s="54" t="e">
        <f aca="false">AVERAGE(H83,K83,N83)</f>
        <v>#DIV/0!</v>
      </c>
      <c r="Q83" s="55" t="e">
        <f aca="false">F83*100/P83-100</f>
        <v>#DIV/0!</v>
      </c>
      <c r="R83" s="54" t="n">
        <f aca="false">D83*F83</f>
        <v>0</v>
      </c>
      <c r="S83" s="47"/>
      <c r="U83" s="57" t="e">
        <f aca="false">ROUND(H83*100/P83-100,0)</f>
        <v>#DIV/0!</v>
      </c>
      <c r="V83" s="57" t="e">
        <f aca="false">ROUND(K83*100/P83-100,0)</f>
        <v>#DIV/0!</v>
      </c>
      <c r="W83" s="57" t="e">
        <f aca="false">ROUND(N83*100/P83-100,0)</f>
        <v>#DIV/0!</v>
      </c>
    </row>
    <row r="84" s="43" customFormat="true" ht="73.5" hidden="false" customHeight="true" outlineLevel="0" collapsed="false">
      <c r="A84" s="45" t="n">
        <v>73</v>
      </c>
      <c r="B84" s="145" t="s">
        <v>531</v>
      </c>
      <c r="C84" s="146" t="s">
        <v>25</v>
      </c>
      <c r="D84" s="147" t="n">
        <v>500</v>
      </c>
      <c r="E84" s="152"/>
      <c r="F84" s="50"/>
      <c r="G84" s="47"/>
      <c r="H84" s="53"/>
      <c r="I84" s="53" t="n">
        <f aca="false">D84*H84</f>
        <v>0</v>
      </c>
      <c r="J84" s="47"/>
      <c r="K84" s="53"/>
      <c r="L84" s="53" t="n">
        <f aca="false">D84*K84</f>
        <v>0</v>
      </c>
      <c r="M84" s="53"/>
      <c r="N84" s="53"/>
      <c r="O84" s="53" t="n">
        <f aca="false">D84*N84</f>
        <v>0</v>
      </c>
      <c r="P84" s="54" t="e">
        <f aca="false">AVERAGE(H84,K84,N84)</f>
        <v>#DIV/0!</v>
      </c>
      <c r="Q84" s="55" t="e">
        <f aca="false">F84*100/P84-100</f>
        <v>#DIV/0!</v>
      </c>
      <c r="R84" s="54" t="n">
        <f aca="false">D84*F84</f>
        <v>0</v>
      </c>
      <c r="S84" s="47"/>
      <c r="U84" s="57" t="e">
        <f aca="false">ROUND(H84*100/P84-100,0)</f>
        <v>#DIV/0!</v>
      </c>
      <c r="V84" s="57" t="e">
        <f aca="false">ROUND(K84*100/P84-100,0)</f>
        <v>#DIV/0!</v>
      </c>
      <c r="W84" s="57" t="e">
        <f aca="false">ROUND(N84*100/P84-100,0)</f>
        <v>#DIV/0!</v>
      </c>
    </row>
    <row r="85" s="43" customFormat="true" ht="73.5" hidden="false" customHeight="true" outlineLevel="0" collapsed="false">
      <c r="A85" s="45" t="n">
        <v>74</v>
      </c>
      <c r="B85" s="145" t="s">
        <v>130</v>
      </c>
      <c r="C85" s="146" t="s">
        <v>25</v>
      </c>
      <c r="D85" s="147" t="n">
        <v>7250</v>
      </c>
      <c r="E85" s="152"/>
      <c r="F85" s="50"/>
      <c r="G85" s="47"/>
      <c r="H85" s="53"/>
      <c r="I85" s="53" t="n">
        <f aca="false">D85*H85</f>
        <v>0</v>
      </c>
      <c r="J85" s="47"/>
      <c r="K85" s="53"/>
      <c r="L85" s="53" t="n">
        <f aca="false">D85*K85</f>
        <v>0</v>
      </c>
      <c r="M85" s="53"/>
      <c r="N85" s="53"/>
      <c r="O85" s="53" t="n">
        <f aca="false">D85*N85</f>
        <v>0</v>
      </c>
      <c r="P85" s="54" t="e">
        <f aca="false">AVERAGE(H85,K85,N85)</f>
        <v>#DIV/0!</v>
      </c>
      <c r="Q85" s="55" t="e">
        <f aca="false">F85*100/P85-100</f>
        <v>#DIV/0!</v>
      </c>
      <c r="R85" s="54" t="n">
        <f aca="false">D85*F85</f>
        <v>0</v>
      </c>
      <c r="S85" s="47"/>
      <c r="U85" s="57" t="e">
        <f aca="false">ROUND(H85*100/P85-100,0)</f>
        <v>#DIV/0!</v>
      </c>
      <c r="V85" s="57" t="e">
        <f aca="false">ROUND(K85*100/P85-100,0)</f>
        <v>#DIV/0!</v>
      </c>
      <c r="W85" s="57" t="e">
        <f aca="false">ROUND(N85*100/P85-100,0)</f>
        <v>#DIV/0!</v>
      </c>
    </row>
    <row r="86" s="43" customFormat="true" ht="73.5" hidden="false" customHeight="true" outlineLevel="0" collapsed="false">
      <c r="A86" s="45" t="n">
        <v>75</v>
      </c>
      <c r="B86" s="145" t="s">
        <v>132</v>
      </c>
      <c r="C86" s="146" t="s">
        <v>25</v>
      </c>
      <c r="D86" s="147" t="n">
        <v>17</v>
      </c>
      <c r="E86" s="152"/>
      <c r="F86" s="50"/>
      <c r="G86" s="47"/>
      <c r="H86" s="53"/>
      <c r="I86" s="53" t="n">
        <f aca="false">D86*H86</f>
        <v>0</v>
      </c>
      <c r="J86" s="47"/>
      <c r="K86" s="53"/>
      <c r="L86" s="53" t="n">
        <f aca="false">D86*K86</f>
        <v>0</v>
      </c>
      <c r="M86" s="53"/>
      <c r="N86" s="53"/>
      <c r="O86" s="53" t="n">
        <f aca="false">D86*N86</f>
        <v>0</v>
      </c>
      <c r="P86" s="54" t="e">
        <f aca="false">AVERAGE(H86,K86,N86)</f>
        <v>#DIV/0!</v>
      </c>
      <c r="Q86" s="55" t="e">
        <f aca="false">F86*100/P86-100</f>
        <v>#DIV/0!</v>
      </c>
      <c r="R86" s="54" t="n">
        <f aca="false">D86*F86</f>
        <v>0</v>
      </c>
      <c r="S86" s="47"/>
      <c r="U86" s="57" t="e">
        <f aca="false">ROUND(H86*100/P86-100,0)</f>
        <v>#DIV/0!</v>
      </c>
      <c r="V86" s="57" t="e">
        <f aca="false">ROUND(K86*100/P86-100,0)</f>
        <v>#DIV/0!</v>
      </c>
      <c r="W86" s="57" t="e">
        <f aca="false">ROUND(N86*100/P86-100,0)</f>
        <v>#DIV/0!</v>
      </c>
    </row>
    <row r="87" s="43" customFormat="true" ht="73.5" hidden="false" customHeight="true" outlineLevel="0" collapsed="false">
      <c r="A87" s="45" t="n">
        <v>76</v>
      </c>
      <c r="B87" s="145" t="s">
        <v>134</v>
      </c>
      <c r="C87" s="146" t="s">
        <v>25</v>
      </c>
      <c r="D87" s="147" t="n">
        <v>100</v>
      </c>
      <c r="E87" s="152"/>
      <c r="F87" s="50"/>
      <c r="G87" s="47"/>
      <c r="H87" s="53"/>
      <c r="I87" s="72" t="n">
        <f aca="false">D87*H87</f>
        <v>0</v>
      </c>
      <c r="J87" s="72"/>
      <c r="K87" s="72"/>
      <c r="L87" s="72" t="n">
        <f aca="false">D87*K87</f>
        <v>0</v>
      </c>
      <c r="M87" s="72"/>
      <c r="N87" s="72"/>
      <c r="O87" s="72" t="n">
        <f aca="false">D87*N87</f>
        <v>0</v>
      </c>
      <c r="P87" s="54" t="e">
        <f aca="false">AVERAGE(H87,K87,N87)</f>
        <v>#DIV/0!</v>
      </c>
      <c r="Q87" s="55" t="e">
        <f aca="false">F87*100/P87-100</f>
        <v>#DIV/0!</v>
      </c>
      <c r="R87" s="54" t="n">
        <f aca="false">D87*F87</f>
        <v>0</v>
      </c>
      <c r="S87" s="47"/>
      <c r="U87" s="57" t="e">
        <f aca="false">ROUND(H87*100/P87-100,0)</f>
        <v>#DIV/0!</v>
      </c>
      <c r="V87" s="57" t="e">
        <f aca="false">ROUND(K87*100/P87-100,0)</f>
        <v>#DIV/0!</v>
      </c>
      <c r="W87" s="57" t="e">
        <f aca="false">ROUND(N87*100/P87-100,0)</f>
        <v>#DIV/0!</v>
      </c>
    </row>
    <row r="88" s="43" customFormat="true" ht="73.5" hidden="false" customHeight="true" outlineLevel="0" collapsed="false">
      <c r="A88" s="45" t="n">
        <v>77</v>
      </c>
      <c r="B88" s="145" t="s">
        <v>532</v>
      </c>
      <c r="C88" s="146" t="s">
        <v>25</v>
      </c>
      <c r="D88" s="147" t="n">
        <v>33</v>
      </c>
      <c r="E88" s="152"/>
      <c r="F88" s="50"/>
      <c r="G88" s="47"/>
      <c r="H88" s="53"/>
      <c r="I88" s="72" t="n">
        <f aca="false">D88*H88</f>
        <v>0</v>
      </c>
      <c r="J88" s="72"/>
      <c r="K88" s="72"/>
      <c r="L88" s="72" t="n">
        <f aca="false">D88*K88</f>
        <v>0</v>
      </c>
      <c r="M88" s="72"/>
      <c r="N88" s="72"/>
      <c r="O88" s="72" t="n">
        <f aca="false">D88*N88</f>
        <v>0</v>
      </c>
      <c r="P88" s="54" t="e">
        <f aca="false">AVERAGE(H88,K88,N88)</f>
        <v>#DIV/0!</v>
      </c>
      <c r="Q88" s="55" t="e">
        <f aca="false">F88*100/P88-100</f>
        <v>#DIV/0!</v>
      </c>
      <c r="R88" s="54" t="n">
        <f aca="false">D88*F88</f>
        <v>0</v>
      </c>
      <c r="S88" s="47"/>
      <c r="U88" s="57" t="e">
        <f aca="false">ROUND(H88*100/P88-100,0)</f>
        <v>#DIV/0!</v>
      </c>
      <c r="V88" s="57" t="e">
        <f aca="false">ROUND(K88*100/P88-100,0)</f>
        <v>#DIV/0!</v>
      </c>
      <c r="W88" s="57" t="e">
        <f aca="false">ROUND(N88*100/P88-100,0)</f>
        <v>#DIV/0!</v>
      </c>
    </row>
    <row r="89" s="43" customFormat="true" ht="73.5" hidden="false" customHeight="true" outlineLevel="0" collapsed="false">
      <c r="A89" s="45" t="n">
        <v>78</v>
      </c>
      <c r="B89" s="145" t="s">
        <v>138</v>
      </c>
      <c r="C89" s="146" t="s">
        <v>25</v>
      </c>
      <c r="D89" s="147" t="n">
        <v>66</v>
      </c>
      <c r="E89" s="152"/>
      <c r="F89" s="50"/>
      <c r="G89" s="149"/>
      <c r="H89" s="53"/>
      <c r="I89" s="53" t="n">
        <f aca="false">D89*H89</f>
        <v>0</v>
      </c>
      <c r="J89" s="47"/>
      <c r="K89" s="53"/>
      <c r="L89" s="53" t="n">
        <f aca="false">D89*K89</f>
        <v>0</v>
      </c>
      <c r="M89" s="47"/>
      <c r="N89" s="53"/>
      <c r="O89" s="150" t="n">
        <f aca="false">D89*N89</f>
        <v>0</v>
      </c>
      <c r="P89" s="54" t="e">
        <f aca="false">AVERAGE(H89,K89,N89)</f>
        <v>#DIV/0!</v>
      </c>
      <c r="Q89" s="151" t="e">
        <f aca="false">F89*100/P89-100</f>
        <v>#DIV/0!</v>
      </c>
      <c r="R89" s="54" t="n">
        <f aca="false">D89*F89</f>
        <v>0</v>
      </c>
      <c r="S89" s="47"/>
      <c r="U89" s="57" t="e">
        <f aca="false">ROUND(H89*100/P89-100,0)</f>
        <v>#DIV/0!</v>
      </c>
      <c r="V89" s="57" t="e">
        <f aca="false">ROUND(K89*100/P89-100,0)</f>
        <v>#DIV/0!</v>
      </c>
      <c r="W89" s="57" t="e">
        <f aca="false">ROUND(N89*100/P89-100,0)</f>
        <v>#DIV/0!</v>
      </c>
    </row>
    <row r="90" s="43" customFormat="true" ht="73.5" hidden="false" customHeight="true" outlineLevel="0" collapsed="false">
      <c r="A90" s="45" t="n">
        <v>79</v>
      </c>
      <c r="B90" s="145" t="s">
        <v>139</v>
      </c>
      <c r="C90" s="146" t="s">
        <v>25</v>
      </c>
      <c r="D90" s="147" t="n">
        <v>66</v>
      </c>
      <c r="E90" s="152"/>
      <c r="F90" s="50"/>
      <c r="G90" s="47"/>
      <c r="H90" s="53"/>
      <c r="I90" s="72" t="n">
        <f aca="false">D90*H90</f>
        <v>0</v>
      </c>
      <c r="J90" s="72"/>
      <c r="K90" s="72"/>
      <c r="L90" s="72" t="n">
        <f aca="false">D90*K90</f>
        <v>0</v>
      </c>
      <c r="M90" s="72"/>
      <c r="N90" s="72"/>
      <c r="O90" s="72" t="n">
        <f aca="false">D90*N90</f>
        <v>0</v>
      </c>
      <c r="P90" s="54" t="e">
        <f aca="false">AVERAGE(H90,K90,N90)</f>
        <v>#DIV/0!</v>
      </c>
      <c r="Q90" s="55" t="e">
        <f aca="false">F90*100/P90-100</f>
        <v>#DIV/0!</v>
      </c>
      <c r="R90" s="54" t="n">
        <f aca="false">D90*F90</f>
        <v>0</v>
      </c>
      <c r="S90" s="47"/>
      <c r="U90" s="57" t="e">
        <f aca="false">ROUND(H90*100/P90-100,0)</f>
        <v>#DIV/0!</v>
      </c>
      <c r="V90" s="57" t="e">
        <f aca="false">ROUND(K90*100/P90-100,0)</f>
        <v>#DIV/0!</v>
      </c>
      <c r="W90" s="57" t="e">
        <f aca="false">ROUND(N90*100/P90-100,0)</f>
        <v>#DIV/0!</v>
      </c>
    </row>
    <row r="91" s="43" customFormat="true" ht="73.5" hidden="false" customHeight="true" outlineLevel="0" collapsed="false">
      <c r="A91" s="45" t="n">
        <v>80</v>
      </c>
      <c r="B91" s="145" t="s">
        <v>143</v>
      </c>
      <c r="C91" s="146" t="s">
        <v>25</v>
      </c>
      <c r="D91" s="147" t="n">
        <v>155</v>
      </c>
      <c r="E91" s="152"/>
      <c r="F91" s="50"/>
      <c r="G91" s="47"/>
      <c r="H91" s="53"/>
      <c r="I91" s="53" t="n">
        <f aca="false">D91*H91</f>
        <v>0</v>
      </c>
      <c r="J91" s="47"/>
      <c r="K91" s="53"/>
      <c r="L91" s="53" t="n">
        <f aca="false">D91*K91</f>
        <v>0</v>
      </c>
      <c r="M91" s="47"/>
      <c r="N91" s="53"/>
      <c r="O91" s="53" t="n">
        <f aca="false">D91*N91</f>
        <v>0</v>
      </c>
      <c r="P91" s="54" t="e">
        <f aca="false">AVERAGE(H91,K91,N91)</f>
        <v>#DIV/0!</v>
      </c>
      <c r="Q91" s="55" t="e">
        <f aca="false">F91*100/P91-100</f>
        <v>#DIV/0!</v>
      </c>
      <c r="R91" s="54" t="n">
        <f aca="false">D91*F91</f>
        <v>0</v>
      </c>
      <c r="S91" s="47"/>
      <c r="U91" s="57" t="e">
        <f aca="false">ROUND(H91*100/P91-100,0)</f>
        <v>#DIV/0!</v>
      </c>
      <c r="V91" s="57" t="e">
        <f aca="false">ROUND(K91*100/P91-100,0)</f>
        <v>#DIV/0!</v>
      </c>
      <c r="W91" s="57" t="e">
        <f aca="false">ROUND(N91*100/P91-100,0)</f>
        <v>#DIV/0!</v>
      </c>
    </row>
    <row r="92" s="43" customFormat="true" ht="73.5" hidden="false" customHeight="true" outlineLevel="0" collapsed="false">
      <c r="A92" s="45" t="n">
        <v>81</v>
      </c>
      <c r="B92" s="145" t="s">
        <v>145</v>
      </c>
      <c r="C92" s="146" t="s">
        <v>25</v>
      </c>
      <c r="D92" s="147" t="n">
        <v>404</v>
      </c>
      <c r="E92" s="152"/>
      <c r="F92" s="50"/>
      <c r="G92" s="47"/>
      <c r="H92" s="53"/>
      <c r="I92" s="72" t="n">
        <f aca="false">D92*H92</f>
        <v>0</v>
      </c>
      <c r="J92" s="72"/>
      <c r="K92" s="72"/>
      <c r="L92" s="72" t="n">
        <f aca="false">D92*K92</f>
        <v>0</v>
      </c>
      <c r="M92" s="47"/>
      <c r="N92" s="72"/>
      <c r="O92" s="72" t="n">
        <f aca="false">D92*N92</f>
        <v>0</v>
      </c>
      <c r="P92" s="54" t="e">
        <f aca="false">AVERAGE(H92,K92,N92)</f>
        <v>#DIV/0!</v>
      </c>
      <c r="Q92" s="55" t="e">
        <f aca="false">F92*100/P92-100</f>
        <v>#DIV/0!</v>
      </c>
      <c r="R92" s="54" t="n">
        <f aca="false">D92*F92</f>
        <v>0</v>
      </c>
      <c r="S92" s="47"/>
      <c r="U92" s="57" t="e">
        <f aca="false">ROUND(H92*100/P92-100,0)</f>
        <v>#DIV/0!</v>
      </c>
      <c r="V92" s="57" t="e">
        <f aca="false">ROUND(K92*100/P92-100,0)</f>
        <v>#DIV/0!</v>
      </c>
      <c r="W92" s="57" t="e">
        <f aca="false">ROUND(N92*100/P92-100,0)</f>
        <v>#DIV/0!</v>
      </c>
    </row>
    <row r="93" s="43" customFormat="true" ht="73.5" hidden="false" customHeight="true" outlineLevel="0" collapsed="false">
      <c r="A93" s="45" t="n">
        <v>82</v>
      </c>
      <c r="B93" s="145" t="s">
        <v>533</v>
      </c>
      <c r="C93" s="146" t="s">
        <v>147</v>
      </c>
      <c r="D93" s="147" t="n">
        <v>25</v>
      </c>
      <c r="E93" s="148" t="s">
        <v>504</v>
      </c>
      <c r="F93" s="50"/>
      <c r="G93" s="47"/>
      <c r="H93" s="53"/>
      <c r="I93" s="72" t="n">
        <f aca="false">D93*H93</f>
        <v>0</v>
      </c>
      <c r="J93" s="72"/>
      <c r="K93" s="72"/>
      <c r="L93" s="72" t="n">
        <f aca="false">D93*K93</f>
        <v>0</v>
      </c>
      <c r="M93" s="47"/>
      <c r="N93" s="72"/>
      <c r="O93" s="72" t="n">
        <f aca="false">D93*N93</f>
        <v>0</v>
      </c>
      <c r="P93" s="54" t="e">
        <f aca="false">AVERAGE(H93,K93,N93)</f>
        <v>#DIV/0!</v>
      </c>
      <c r="Q93" s="55" t="e">
        <f aca="false">F93*100/P93-100</f>
        <v>#DIV/0!</v>
      </c>
      <c r="R93" s="54" t="n">
        <f aca="false">D93*F93</f>
        <v>0</v>
      </c>
      <c r="S93" s="47"/>
      <c r="U93" s="57" t="e">
        <f aca="false">ROUND(H93*100/P93-100,0)</f>
        <v>#DIV/0!</v>
      </c>
      <c r="V93" s="57" t="e">
        <f aca="false">ROUND(K93*100/P93-100,0)</f>
        <v>#DIV/0!</v>
      </c>
      <c r="W93" s="57" t="e">
        <f aca="false">ROUND(N93*100/P93-100,0)</f>
        <v>#DIV/0!</v>
      </c>
    </row>
    <row r="94" s="43" customFormat="true" ht="73.5" hidden="false" customHeight="true" outlineLevel="0" collapsed="false">
      <c r="A94" s="45" t="n">
        <v>83</v>
      </c>
      <c r="B94" s="145" t="s">
        <v>146</v>
      </c>
      <c r="C94" s="146" t="s">
        <v>147</v>
      </c>
      <c r="D94" s="147" t="n">
        <v>65</v>
      </c>
      <c r="E94" s="148" t="n">
        <v>130.9</v>
      </c>
      <c r="F94" s="50"/>
      <c r="G94" s="47"/>
      <c r="H94" s="53"/>
      <c r="I94" s="72" t="n">
        <f aca="false">D94*H94</f>
        <v>0</v>
      </c>
      <c r="J94" s="72"/>
      <c r="K94" s="72"/>
      <c r="L94" s="72" t="n">
        <f aca="false">D94*K94</f>
        <v>0</v>
      </c>
      <c r="M94" s="47"/>
      <c r="N94" s="72"/>
      <c r="O94" s="72" t="n">
        <f aca="false">D94*N94</f>
        <v>0</v>
      </c>
      <c r="P94" s="54" t="e">
        <f aca="false">AVERAGE(H94,K94,N94)</f>
        <v>#DIV/0!</v>
      </c>
      <c r="Q94" s="55" t="e">
        <f aca="false">F94*100/P94-100</f>
        <v>#DIV/0!</v>
      </c>
      <c r="R94" s="54" t="n">
        <f aca="false">D94*F94</f>
        <v>0</v>
      </c>
      <c r="S94" s="47"/>
      <c r="U94" s="57" t="e">
        <f aca="false">ROUND(H94*100/P94-100,0)</f>
        <v>#DIV/0!</v>
      </c>
      <c r="V94" s="57" t="e">
        <f aca="false">ROUND(K94*100/P94-100,0)</f>
        <v>#DIV/0!</v>
      </c>
      <c r="W94" s="57" t="e">
        <f aca="false">ROUND(N94*100/P94-100,0)</f>
        <v>#DIV/0!</v>
      </c>
    </row>
    <row r="95" s="43" customFormat="true" ht="73.5" hidden="false" customHeight="true" outlineLevel="0" collapsed="false">
      <c r="A95" s="45" t="n">
        <v>84</v>
      </c>
      <c r="B95" s="145" t="s">
        <v>151</v>
      </c>
      <c r="C95" s="146" t="s">
        <v>147</v>
      </c>
      <c r="D95" s="147" t="n">
        <v>50</v>
      </c>
      <c r="E95" s="148" t="n">
        <v>3181.4</v>
      </c>
      <c r="F95" s="50"/>
      <c r="G95" s="47"/>
      <c r="H95" s="53"/>
      <c r="I95" s="53" t="n">
        <f aca="false">D95*H95</f>
        <v>0</v>
      </c>
      <c r="J95" s="53"/>
      <c r="K95" s="53"/>
      <c r="L95" s="53" t="n">
        <f aca="false">D95*K95</f>
        <v>0</v>
      </c>
      <c r="M95" s="47"/>
      <c r="N95" s="53"/>
      <c r="O95" s="53" t="n">
        <f aca="false">D95*N95</f>
        <v>0</v>
      </c>
      <c r="P95" s="54" t="e">
        <f aca="false">AVERAGE(H95,K95,N95)</f>
        <v>#DIV/0!</v>
      </c>
      <c r="Q95" s="55" t="e">
        <f aca="false">F95*100/P95-100</f>
        <v>#DIV/0!</v>
      </c>
      <c r="R95" s="54" t="n">
        <f aca="false">D95*F95</f>
        <v>0</v>
      </c>
      <c r="S95" s="47"/>
      <c r="U95" s="57" t="e">
        <f aca="false">ROUND(H95*100/P95-100,0)</f>
        <v>#DIV/0!</v>
      </c>
      <c r="V95" s="57" t="e">
        <f aca="false">ROUND(K95*100/P95-100,0)</f>
        <v>#DIV/0!</v>
      </c>
      <c r="W95" s="57" t="e">
        <f aca="false">ROUND(N95*100/P95-100,0)</f>
        <v>#DIV/0!</v>
      </c>
    </row>
    <row r="96" s="43" customFormat="true" ht="73.5" hidden="false" customHeight="true" outlineLevel="0" collapsed="false">
      <c r="A96" s="45" t="n">
        <v>85</v>
      </c>
      <c r="B96" s="145" t="s">
        <v>534</v>
      </c>
      <c r="C96" s="146" t="s">
        <v>535</v>
      </c>
      <c r="D96" s="147" t="n">
        <v>0.091</v>
      </c>
      <c r="E96" s="148" t="s">
        <v>504</v>
      </c>
      <c r="F96" s="50"/>
      <c r="G96" s="47"/>
      <c r="H96" s="53"/>
      <c r="I96" s="53" t="n">
        <f aca="false">D96*H96</f>
        <v>0</v>
      </c>
      <c r="J96" s="53"/>
      <c r="K96" s="53"/>
      <c r="L96" s="53" t="n">
        <f aca="false">D96*K96</f>
        <v>0</v>
      </c>
      <c r="M96" s="47"/>
      <c r="N96" s="53"/>
      <c r="O96" s="53" t="n">
        <f aca="false">D96*N96</f>
        <v>0</v>
      </c>
      <c r="P96" s="54" t="e">
        <f aca="false">AVERAGE(H96,K96,N96)</f>
        <v>#DIV/0!</v>
      </c>
      <c r="Q96" s="55" t="e">
        <f aca="false">F96*100/P96-100</f>
        <v>#DIV/0!</v>
      </c>
      <c r="R96" s="54" t="n">
        <f aca="false">D96*F96</f>
        <v>0</v>
      </c>
      <c r="S96" s="47"/>
      <c r="U96" s="57" t="e">
        <f aca="false">ROUND(H96*100/P96-100,0)</f>
        <v>#DIV/0!</v>
      </c>
      <c r="V96" s="57" t="e">
        <f aca="false">ROUND(K96*100/P96-100,0)</f>
        <v>#DIV/0!</v>
      </c>
      <c r="W96" s="57" t="e">
        <f aca="false">ROUND(N96*100/P96-100,0)</f>
        <v>#DIV/0!</v>
      </c>
    </row>
    <row r="97" s="43" customFormat="true" ht="82.5" hidden="false" customHeight="true" outlineLevel="0" collapsed="false">
      <c r="A97" s="45" t="n">
        <v>86</v>
      </c>
      <c r="B97" s="145" t="s">
        <v>536</v>
      </c>
      <c r="C97" s="146" t="s">
        <v>535</v>
      </c>
      <c r="D97" s="147" t="n">
        <v>0.01</v>
      </c>
      <c r="E97" s="148" t="s">
        <v>504</v>
      </c>
      <c r="F97" s="50"/>
      <c r="G97" s="47"/>
      <c r="H97" s="53"/>
      <c r="I97" s="53" t="n">
        <f aca="false">D97*H97</f>
        <v>0</v>
      </c>
      <c r="J97" s="53"/>
      <c r="K97" s="53"/>
      <c r="L97" s="53" t="n">
        <f aca="false">D97*K97</f>
        <v>0</v>
      </c>
      <c r="M97" s="53"/>
      <c r="N97" s="53"/>
      <c r="O97" s="53" t="n">
        <f aca="false">D97*N97</f>
        <v>0</v>
      </c>
      <c r="P97" s="54" t="e">
        <f aca="false">AVERAGE(H97,K97,N97)</f>
        <v>#DIV/0!</v>
      </c>
      <c r="Q97" s="55" t="e">
        <f aca="false">F97*100/P97-100</f>
        <v>#DIV/0!</v>
      </c>
      <c r="R97" s="54" t="n">
        <f aca="false">D97*F97</f>
        <v>0</v>
      </c>
      <c r="S97" s="47"/>
      <c r="U97" s="57" t="e">
        <f aca="false">ROUND(H97*100/P97-100,0)</f>
        <v>#DIV/0!</v>
      </c>
      <c r="V97" s="57" t="e">
        <f aca="false">ROUND(K97*100/P97-100,0)</f>
        <v>#DIV/0!</v>
      </c>
      <c r="W97" s="57" t="e">
        <f aca="false">ROUND(N97*100/P97-100,0)</f>
        <v>#DIV/0!</v>
      </c>
    </row>
    <row r="98" s="43" customFormat="true" ht="73.5" hidden="false" customHeight="true" outlineLevel="0" collapsed="false">
      <c r="A98" s="45" t="n">
        <v>87</v>
      </c>
      <c r="B98" s="145" t="s">
        <v>155</v>
      </c>
      <c r="C98" s="146" t="s">
        <v>25</v>
      </c>
      <c r="D98" s="147" t="n">
        <v>5</v>
      </c>
      <c r="E98" s="148" t="n">
        <v>122.9</v>
      </c>
      <c r="F98" s="50"/>
      <c r="G98" s="47"/>
      <c r="H98" s="53"/>
      <c r="I98" s="53" t="n">
        <f aca="false">D98*H98</f>
        <v>0</v>
      </c>
      <c r="J98" s="53"/>
      <c r="K98" s="53"/>
      <c r="L98" s="53" t="n">
        <f aca="false">D98*K98</f>
        <v>0</v>
      </c>
      <c r="M98" s="47"/>
      <c r="N98" s="53"/>
      <c r="O98" s="53" t="n">
        <f aca="false">D98*N98</f>
        <v>0</v>
      </c>
      <c r="P98" s="54" t="e">
        <f aca="false">AVERAGE(H98,K98,N98)</f>
        <v>#DIV/0!</v>
      </c>
      <c r="Q98" s="55" t="e">
        <f aca="false">F98*100/P98-100</f>
        <v>#DIV/0!</v>
      </c>
      <c r="R98" s="54" t="n">
        <f aca="false">D98*F98</f>
        <v>0</v>
      </c>
      <c r="S98" s="47"/>
      <c r="U98" s="57" t="e">
        <f aca="false">ROUND(H98*100/P98-100,0)</f>
        <v>#DIV/0!</v>
      </c>
      <c r="V98" s="57" t="e">
        <f aca="false">ROUND(K98*100/P98-100,0)</f>
        <v>#DIV/0!</v>
      </c>
      <c r="W98" s="57" t="e">
        <f aca="false">ROUND(N98*100/P98-100,0)</f>
        <v>#DIV/0!</v>
      </c>
    </row>
    <row r="99" s="43" customFormat="true" ht="92.25" hidden="false" customHeight="true" outlineLevel="0" collapsed="false">
      <c r="A99" s="45" t="n">
        <v>88</v>
      </c>
      <c r="B99" s="145" t="s">
        <v>537</v>
      </c>
      <c r="C99" s="146" t="s">
        <v>25</v>
      </c>
      <c r="D99" s="147" t="n">
        <v>4</v>
      </c>
      <c r="E99" s="148" t="s">
        <v>504</v>
      </c>
      <c r="F99" s="50"/>
      <c r="G99" s="47"/>
      <c r="H99" s="53"/>
      <c r="I99" s="53" t="n">
        <f aca="false">D99*H99</f>
        <v>0</v>
      </c>
      <c r="J99" s="53"/>
      <c r="K99" s="53"/>
      <c r="L99" s="53" t="n">
        <f aca="false">D99*K99</f>
        <v>0</v>
      </c>
      <c r="M99" s="53"/>
      <c r="N99" s="53"/>
      <c r="O99" s="53" t="n">
        <f aca="false">D99*N99</f>
        <v>0</v>
      </c>
      <c r="P99" s="54" t="e">
        <f aca="false">AVERAGE(H99,K99,N99)</f>
        <v>#DIV/0!</v>
      </c>
      <c r="Q99" s="55" t="e">
        <f aca="false">F99*100/P99-100</f>
        <v>#DIV/0!</v>
      </c>
      <c r="R99" s="54" t="n">
        <f aca="false">D99*F99</f>
        <v>0</v>
      </c>
      <c r="S99" s="47"/>
      <c r="U99" s="57" t="e">
        <f aca="false">ROUND(H99*100/P99-100,0)</f>
        <v>#DIV/0!</v>
      </c>
      <c r="V99" s="57" t="e">
        <f aca="false">ROUND(K99*100/P99-100,0)</f>
        <v>#DIV/0!</v>
      </c>
      <c r="W99" s="57" t="e">
        <f aca="false">ROUND(N99*100/P99-100,0)</f>
        <v>#DIV/0!</v>
      </c>
    </row>
    <row r="100" s="43" customFormat="true" ht="73.5" hidden="false" customHeight="true" outlineLevel="0" collapsed="false">
      <c r="A100" s="45" t="n">
        <v>89</v>
      </c>
      <c r="B100" s="145" t="s">
        <v>538</v>
      </c>
      <c r="C100" s="146" t="s">
        <v>25</v>
      </c>
      <c r="D100" s="147" t="n">
        <v>25</v>
      </c>
      <c r="E100" s="148" t="s">
        <v>504</v>
      </c>
      <c r="F100" s="50"/>
      <c r="G100" s="47"/>
      <c r="H100" s="53"/>
      <c r="I100" s="72" t="n">
        <f aca="false">D100*H100</f>
        <v>0</v>
      </c>
      <c r="J100" s="72"/>
      <c r="K100" s="72"/>
      <c r="L100" s="72" t="n">
        <f aca="false">D100*K100</f>
        <v>0</v>
      </c>
      <c r="M100" s="72"/>
      <c r="N100" s="72"/>
      <c r="O100" s="72" t="n">
        <f aca="false">D100*N100</f>
        <v>0</v>
      </c>
      <c r="P100" s="54" t="e">
        <f aca="false">AVERAGE(H100,K100,N100)</f>
        <v>#DIV/0!</v>
      </c>
      <c r="Q100" s="55" t="e">
        <f aca="false">F100*100/P100-100</f>
        <v>#DIV/0!</v>
      </c>
      <c r="R100" s="54" t="n">
        <f aca="false">D100*F100</f>
        <v>0</v>
      </c>
      <c r="S100" s="47"/>
      <c r="U100" s="57" t="e">
        <f aca="false">ROUND(H100*100/P100-100,0)</f>
        <v>#DIV/0!</v>
      </c>
      <c r="V100" s="57" t="e">
        <f aca="false">ROUND(K100*100/P100-100,0)</f>
        <v>#DIV/0!</v>
      </c>
      <c r="W100" s="57" t="e">
        <f aca="false">ROUND(N100*100/P100-100,0)</f>
        <v>#DIV/0!</v>
      </c>
    </row>
    <row r="101" s="43" customFormat="true" ht="73.5" hidden="false" customHeight="true" outlineLevel="0" collapsed="false">
      <c r="A101" s="45" t="n">
        <v>90</v>
      </c>
      <c r="B101" s="145" t="s">
        <v>539</v>
      </c>
      <c r="C101" s="146" t="s">
        <v>25</v>
      </c>
      <c r="D101" s="147" t="n">
        <v>15</v>
      </c>
      <c r="E101" s="148" t="s">
        <v>504</v>
      </c>
      <c r="F101" s="50"/>
      <c r="G101" s="47"/>
      <c r="H101" s="53"/>
      <c r="I101" s="72" t="n">
        <f aca="false">D101*H101</f>
        <v>0</v>
      </c>
      <c r="J101" s="72"/>
      <c r="K101" s="72"/>
      <c r="L101" s="72" t="n">
        <f aca="false">D101*K101</f>
        <v>0</v>
      </c>
      <c r="M101" s="72"/>
      <c r="N101" s="72"/>
      <c r="O101" s="72" t="n">
        <f aca="false">D101*N101</f>
        <v>0</v>
      </c>
      <c r="P101" s="54" t="e">
        <f aca="false">AVERAGE(H101,K101,N101)</f>
        <v>#DIV/0!</v>
      </c>
      <c r="Q101" s="55" t="e">
        <f aca="false">F101*100/P101-100</f>
        <v>#DIV/0!</v>
      </c>
      <c r="R101" s="54" t="n">
        <f aca="false">D101*F101</f>
        <v>0</v>
      </c>
      <c r="S101" s="47"/>
      <c r="U101" s="57" t="e">
        <f aca="false">ROUND(H101*100/P101-100,0)</f>
        <v>#DIV/0!</v>
      </c>
      <c r="V101" s="57" t="e">
        <f aca="false">ROUND(K101*100/P101-100,0)</f>
        <v>#DIV/0!</v>
      </c>
      <c r="W101" s="57" t="e">
        <f aca="false">ROUND(N101*100/P101-100,0)</f>
        <v>#DIV/0!</v>
      </c>
    </row>
    <row r="102" s="43" customFormat="true" ht="73.5" hidden="false" customHeight="true" outlineLevel="0" collapsed="false">
      <c r="A102" s="45" t="n">
        <v>91</v>
      </c>
      <c r="B102" s="145" t="s">
        <v>540</v>
      </c>
      <c r="C102" s="146" t="s">
        <v>25</v>
      </c>
      <c r="D102" s="147" t="n">
        <v>5</v>
      </c>
      <c r="E102" s="148" t="s">
        <v>504</v>
      </c>
      <c r="F102" s="50"/>
      <c r="G102" s="47"/>
      <c r="H102" s="53"/>
      <c r="I102" s="72" t="n">
        <f aca="false">D102*H102</f>
        <v>0</v>
      </c>
      <c r="J102" s="72"/>
      <c r="K102" s="72"/>
      <c r="L102" s="72" t="n">
        <f aca="false">D102*K102</f>
        <v>0</v>
      </c>
      <c r="M102" s="72"/>
      <c r="N102" s="72"/>
      <c r="O102" s="72" t="n">
        <f aca="false">D102*N102</f>
        <v>0</v>
      </c>
      <c r="P102" s="54" t="e">
        <f aca="false">AVERAGE(H102,K102,N102)</f>
        <v>#DIV/0!</v>
      </c>
      <c r="Q102" s="55" t="e">
        <f aca="false">F102*100/P102-100</f>
        <v>#DIV/0!</v>
      </c>
      <c r="R102" s="54" t="n">
        <f aca="false">D102*F102</f>
        <v>0</v>
      </c>
      <c r="S102" s="47"/>
      <c r="U102" s="57" t="e">
        <f aca="false">ROUND(H102*100/P102-100,0)</f>
        <v>#DIV/0!</v>
      </c>
      <c r="V102" s="57" t="e">
        <f aca="false">ROUND(K102*100/P102-100,0)</f>
        <v>#DIV/0!</v>
      </c>
      <c r="W102" s="57" t="e">
        <f aca="false">ROUND(N102*100/P102-100,0)</f>
        <v>#DIV/0!</v>
      </c>
    </row>
    <row r="103" s="43" customFormat="true" ht="73.5" hidden="false" customHeight="true" outlineLevel="0" collapsed="false">
      <c r="A103" s="45" t="n">
        <v>92</v>
      </c>
      <c r="B103" s="145" t="s">
        <v>158</v>
      </c>
      <c r="C103" s="146" t="s">
        <v>25</v>
      </c>
      <c r="D103" s="147" t="n">
        <v>42</v>
      </c>
      <c r="E103" s="148" t="n">
        <v>104.2</v>
      </c>
      <c r="F103" s="50"/>
      <c r="G103" s="47"/>
      <c r="H103" s="53"/>
      <c r="I103" s="72" t="n">
        <f aca="false">D103*H103</f>
        <v>0</v>
      </c>
      <c r="J103" s="72"/>
      <c r="K103" s="72"/>
      <c r="L103" s="72" t="n">
        <f aca="false">D103*K103</f>
        <v>0</v>
      </c>
      <c r="M103" s="72"/>
      <c r="N103" s="72"/>
      <c r="O103" s="72" t="n">
        <f aca="false">D103*N103</f>
        <v>0</v>
      </c>
      <c r="P103" s="54" t="e">
        <f aca="false">AVERAGE(H103,K103,N103)</f>
        <v>#DIV/0!</v>
      </c>
      <c r="Q103" s="55" t="e">
        <f aca="false">F103*100/P103-100</f>
        <v>#DIV/0!</v>
      </c>
      <c r="R103" s="54" t="n">
        <f aca="false">D103*F103</f>
        <v>0</v>
      </c>
      <c r="S103" s="47"/>
      <c r="U103" s="57" t="e">
        <f aca="false">ROUND(H103*100/P103-100,0)</f>
        <v>#DIV/0!</v>
      </c>
      <c r="V103" s="57" t="e">
        <f aca="false">ROUND(K103*100/P103-100,0)</f>
        <v>#DIV/0!</v>
      </c>
      <c r="W103" s="57" t="e">
        <f aca="false">ROUND(N103*100/P103-100,0)</f>
        <v>#DIV/0!</v>
      </c>
    </row>
    <row r="104" s="43" customFormat="true" ht="73.5" hidden="false" customHeight="true" outlineLevel="0" collapsed="false">
      <c r="A104" s="45" t="n">
        <v>93</v>
      </c>
      <c r="B104" s="145" t="s">
        <v>159</v>
      </c>
      <c r="C104" s="146" t="s">
        <v>25</v>
      </c>
      <c r="D104" s="147" t="n">
        <v>65</v>
      </c>
      <c r="E104" s="148" t="n">
        <v>125.1</v>
      </c>
      <c r="F104" s="50"/>
      <c r="G104" s="47"/>
      <c r="H104" s="53"/>
      <c r="I104" s="72" t="n">
        <f aca="false">D104*H104</f>
        <v>0</v>
      </c>
      <c r="J104" s="72"/>
      <c r="K104" s="72"/>
      <c r="L104" s="72" t="n">
        <f aca="false">D104*K104</f>
        <v>0</v>
      </c>
      <c r="M104" s="72"/>
      <c r="N104" s="72"/>
      <c r="O104" s="72" t="n">
        <v>62387.5</v>
      </c>
      <c r="P104" s="54" t="e">
        <f aca="false">AVERAGE(H104,K104,N104)</f>
        <v>#DIV/0!</v>
      </c>
      <c r="Q104" s="55" t="e">
        <f aca="false">F104*100/P104-100</f>
        <v>#DIV/0!</v>
      </c>
      <c r="R104" s="54" t="n">
        <f aca="false">D104*F104</f>
        <v>0</v>
      </c>
      <c r="S104" s="47"/>
      <c r="U104" s="57" t="e">
        <f aca="false">ROUND(H104*100/P104-100,0)</f>
        <v>#DIV/0!</v>
      </c>
      <c r="V104" s="57" t="e">
        <f aca="false">ROUND(K104*100/P104-100,0)</f>
        <v>#DIV/0!</v>
      </c>
      <c r="W104" s="57" t="e">
        <f aca="false">ROUND(N104*100/P104-100,0)</f>
        <v>#DIV/0!</v>
      </c>
    </row>
    <row r="105" s="43" customFormat="true" ht="73.5" hidden="false" customHeight="true" outlineLevel="0" collapsed="false">
      <c r="A105" s="45" t="n">
        <v>94</v>
      </c>
      <c r="B105" s="145" t="s">
        <v>160</v>
      </c>
      <c r="C105" s="146" t="s">
        <v>25</v>
      </c>
      <c r="D105" s="147" t="n">
        <v>8</v>
      </c>
      <c r="E105" s="148" t="n">
        <v>19.5</v>
      </c>
      <c r="F105" s="50"/>
      <c r="G105" s="47"/>
      <c r="H105" s="53"/>
      <c r="I105" s="72" t="n">
        <f aca="false">D105*H105</f>
        <v>0</v>
      </c>
      <c r="J105" s="72"/>
      <c r="K105" s="72"/>
      <c r="L105" s="72" t="n">
        <f aca="false">D105*K105</f>
        <v>0</v>
      </c>
      <c r="M105" s="72"/>
      <c r="N105" s="72"/>
      <c r="O105" s="72" t="n">
        <f aca="false">D105*N105</f>
        <v>0</v>
      </c>
      <c r="P105" s="54" t="e">
        <f aca="false">AVERAGE(H105,K105,N105)</f>
        <v>#DIV/0!</v>
      </c>
      <c r="Q105" s="55" t="e">
        <f aca="false">F105*100/P105-100</f>
        <v>#DIV/0!</v>
      </c>
      <c r="R105" s="54" t="n">
        <f aca="false">D105*F105</f>
        <v>0</v>
      </c>
      <c r="S105" s="47"/>
      <c r="U105" s="57" t="e">
        <f aca="false">ROUND(H105*100/P105-100,0)</f>
        <v>#DIV/0!</v>
      </c>
      <c r="V105" s="57" t="e">
        <f aca="false">ROUND(K105*100/P105-100,0)</f>
        <v>#DIV/0!</v>
      </c>
      <c r="W105" s="57" t="e">
        <f aca="false">ROUND(N105*100/P105-100,0)</f>
        <v>#DIV/0!</v>
      </c>
    </row>
    <row r="106" s="43" customFormat="true" ht="73.5" hidden="false" customHeight="true" outlineLevel="0" collapsed="false">
      <c r="A106" s="45" t="n">
        <v>95</v>
      </c>
      <c r="B106" s="145" t="s">
        <v>161</v>
      </c>
      <c r="C106" s="146" t="s">
        <v>25</v>
      </c>
      <c r="D106" s="147" t="n">
        <v>975</v>
      </c>
      <c r="E106" s="148" t="n">
        <v>57.5</v>
      </c>
      <c r="F106" s="50"/>
      <c r="G106" s="47"/>
      <c r="H106" s="53"/>
      <c r="I106" s="72" t="n">
        <f aca="false">D106*H106</f>
        <v>0</v>
      </c>
      <c r="J106" s="72"/>
      <c r="K106" s="72"/>
      <c r="L106" s="72" t="n">
        <f aca="false">D106*K106</f>
        <v>0</v>
      </c>
      <c r="M106" s="72"/>
      <c r="N106" s="72"/>
      <c r="O106" s="72" t="n">
        <f aca="false">D106*N106</f>
        <v>0</v>
      </c>
      <c r="P106" s="54" t="e">
        <f aca="false">AVERAGE(H106,K106,N106)</f>
        <v>#DIV/0!</v>
      </c>
      <c r="Q106" s="55" t="e">
        <f aca="false">F106*100/P106-100</f>
        <v>#DIV/0!</v>
      </c>
      <c r="R106" s="54" t="n">
        <f aca="false">D106*F106</f>
        <v>0</v>
      </c>
      <c r="S106" s="47"/>
      <c r="U106" s="57" t="e">
        <f aca="false">ROUND(H106*100/P106-100,0)</f>
        <v>#DIV/0!</v>
      </c>
      <c r="V106" s="57" t="e">
        <f aca="false">ROUND(K106*100/P106-100,0)</f>
        <v>#DIV/0!</v>
      </c>
      <c r="W106" s="57" t="e">
        <f aca="false">ROUND(N106*100/P106-100,0)</f>
        <v>#DIV/0!</v>
      </c>
    </row>
    <row r="107" s="43" customFormat="true" ht="73.5" hidden="false" customHeight="true" outlineLevel="0" collapsed="false">
      <c r="A107" s="45" t="n">
        <v>96</v>
      </c>
      <c r="B107" s="145" t="s">
        <v>162</v>
      </c>
      <c r="C107" s="146" t="s">
        <v>25</v>
      </c>
      <c r="D107" s="147" t="n">
        <v>3</v>
      </c>
      <c r="E107" s="148" t="n">
        <v>444.12</v>
      </c>
      <c r="F107" s="50"/>
      <c r="G107" s="47"/>
      <c r="H107" s="53"/>
      <c r="I107" s="72" t="n">
        <f aca="false">D107*H107</f>
        <v>0</v>
      </c>
      <c r="J107" s="72"/>
      <c r="K107" s="72"/>
      <c r="L107" s="72" t="n">
        <f aca="false">D107*K107</f>
        <v>0</v>
      </c>
      <c r="M107" s="47"/>
      <c r="N107" s="72"/>
      <c r="O107" s="72" t="n">
        <f aca="false">D107*N107</f>
        <v>0</v>
      </c>
      <c r="P107" s="54" t="e">
        <f aca="false">AVERAGE(H107,K107,N107)</f>
        <v>#DIV/0!</v>
      </c>
      <c r="Q107" s="55" t="e">
        <f aca="false">F107*100/P107-100</f>
        <v>#DIV/0!</v>
      </c>
      <c r="R107" s="54" t="n">
        <f aca="false">D107*F107</f>
        <v>0</v>
      </c>
      <c r="S107" s="47"/>
      <c r="U107" s="57" t="e">
        <f aca="false">ROUND(H107*100/P107-100,0)</f>
        <v>#DIV/0!</v>
      </c>
      <c r="V107" s="57" t="e">
        <f aca="false">ROUND(K107*100/P107-100,0)</f>
        <v>#DIV/0!</v>
      </c>
      <c r="W107" s="57" t="e">
        <f aca="false">ROUND(N107*100/P107-100,0)</f>
        <v>#DIV/0!</v>
      </c>
    </row>
    <row r="108" s="43" customFormat="true" ht="73.5" hidden="false" customHeight="true" outlineLevel="0" collapsed="false">
      <c r="A108" s="45" t="n">
        <v>97</v>
      </c>
      <c r="B108" s="145" t="s">
        <v>541</v>
      </c>
      <c r="C108" s="146" t="s">
        <v>25</v>
      </c>
      <c r="D108" s="147" t="n">
        <v>25</v>
      </c>
      <c r="E108" s="148" t="s">
        <v>504</v>
      </c>
      <c r="F108" s="50"/>
      <c r="G108" s="47"/>
      <c r="H108" s="53"/>
      <c r="I108" s="72" t="n">
        <f aca="false">D108*H108</f>
        <v>0</v>
      </c>
      <c r="J108" s="72"/>
      <c r="K108" s="72"/>
      <c r="L108" s="72" t="n">
        <f aca="false">D108*K108</f>
        <v>0</v>
      </c>
      <c r="M108" s="72"/>
      <c r="N108" s="72"/>
      <c r="O108" s="72" t="n">
        <f aca="false">D108*N108</f>
        <v>0</v>
      </c>
      <c r="P108" s="54" t="e">
        <f aca="false">AVERAGE(H108,K108,N108)</f>
        <v>#DIV/0!</v>
      </c>
      <c r="Q108" s="55" t="e">
        <f aca="false">F108*100/P108-100</f>
        <v>#DIV/0!</v>
      </c>
      <c r="R108" s="54" t="n">
        <f aca="false">D108*F108</f>
        <v>0</v>
      </c>
      <c r="S108" s="47"/>
      <c r="U108" s="57" t="e">
        <f aca="false">ROUND(H108*100/P108-100,0)</f>
        <v>#DIV/0!</v>
      </c>
      <c r="V108" s="57" t="e">
        <f aca="false">ROUND(K108*100/P108-100,0)</f>
        <v>#DIV/0!</v>
      </c>
      <c r="W108" s="57" t="e">
        <f aca="false">ROUND(N108*100/P108-100,0)</f>
        <v>#DIV/0!</v>
      </c>
    </row>
    <row r="109" s="43" customFormat="true" ht="73.5" hidden="false" customHeight="true" outlineLevel="0" collapsed="false">
      <c r="A109" s="45" t="n">
        <v>98</v>
      </c>
      <c r="B109" s="145" t="s">
        <v>542</v>
      </c>
      <c r="C109" s="146" t="s">
        <v>25</v>
      </c>
      <c r="D109" s="147" t="n">
        <v>10</v>
      </c>
      <c r="E109" s="148" t="s">
        <v>504</v>
      </c>
      <c r="F109" s="50"/>
      <c r="G109" s="47"/>
      <c r="H109" s="53"/>
      <c r="I109" s="72" t="n">
        <f aca="false">D109*H109</f>
        <v>0</v>
      </c>
      <c r="J109" s="72"/>
      <c r="K109" s="72"/>
      <c r="L109" s="72" t="n">
        <f aca="false">D109*K109</f>
        <v>0</v>
      </c>
      <c r="M109" s="47"/>
      <c r="N109" s="72"/>
      <c r="O109" s="72" t="n">
        <f aca="false">D109*N109</f>
        <v>0</v>
      </c>
      <c r="P109" s="54" t="e">
        <f aca="false">AVERAGE(H109,K109,N109)</f>
        <v>#DIV/0!</v>
      </c>
      <c r="Q109" s="55" t="e">
        <f aca="false">F109*100/P109-100</f>
        <v>#DIV/0!</v>
      </c>
      <c r="R109" s="54" t="n">
        <f aca="false">D109*F109</f>
        <v>0</v>
      </c>
      <c r="S109" s="47"/>
      <c r="U109" s="57" t="e">
        <f aca="false">ROUND(H109*100/P109-100,0)</f>
        <v>#DIV/0!</v>
      </c>
      <c r="V109" s="57" t="e">
        <f aca="false">ROUND(K109*100/P109-100,0)</f>
        <v>#DIV/0!</v>
      </c>
      <c r="W109" s="57" t="e">
        <f aca="false">ROUND(N109*100/P109-100,0)</f>
        <v>#DIV/0!</v>
      </c>
    </row>
    <row r="110" s="43" customFormat="true" ht="73.5" hidden="false" customHeight="true" outlineLevel="0" collapsed="false">
      <c r="A110" s="45" t="n">
        <v>99</v>
      </c>
      <c r="B110" s="145" t="s">
        <v>173</v>
      </c>
      <c r="C110" s="146" t="s">
        <v>25</v>
      </c>
      <c r="D110" s="147" t="n">
        <v>9</v>
      </c>
      <c r="E110" s="148" t="n">
        <v>10739.64</v>
      </c>
      <c r="F110" s="50"/>
      <c r="G110" s="47"/>
      <c r="H110" s="53"/>
      <c r="I110" s="53" t="n">
        <f aca="false">D110*H110</f>
        <v>0</v>
      </c>
      <c r="J110" s="47"/>
      <c r="K110" s="53"/>
      <c r="L110" s="53" t="n">
        <f aca="false">D110*K110</f>
        <v>0</v>
      </c>
      <c r="M110" s="47"/>
      <c r="N110" s="53"/>
      <c r="O110" s="53" t="n">
        <f aca="false">D110*N110</f>
        <v>0</v>
      </c>
      <c r="P110" s="54" t="e">
        <f aca="false">AVERAGE(H110,K110,N110)</f>
        <v>#DIV/0!</v>
      </c>
      <c r="Q110" s="55" t="e">
        <f aca="false">F110*100/P110-100</f>
        <v>#DIV/0!</v>
      </c>
      <c r="R110" s="54" t="n">
        <f aca="false">D110*F110</f>
        <v>0</v>
      </c>
      <c r="S110" s="47"/>
      <c r="U110" s="57" t="e">
        <f aca="false">ROUND(H110*100/P110-100,0)</f>
        <v>#DIV/0!</v>
      </c>
      <c r="V110" s="57" t="e">
        <f aca="false">ROUND(K110*100/P110-100,0)</f>
        <v>#DIV/0!</v>
      </c>
      <c r="W110" s="57" t="e">
        <f aca="false">ROUND(N110*100/P110-100,0)</f>
        <v>#DIV/0!</v>
      </c>
    </row>
    <row r="111" s="43" customFormat="true" ht="73.5" hidden="false" customHeight="true" outlineLevel="0" collapsed="false">
      <c r="A111" s="45" t="n">
        <v>100</v>
      </c>
      <c r="B111" s="145" t="s">
        <v>174</v>
      </c>
      <c r="C111" s="146" t="s">
        <v>25</v>
      </c>
      <c r="D111" s="147" t="n">
        <v>10</v>
      </c>
      <c r="E111" s="148" t="n">
        <v>11759.65</v>
      </c>
      <c r="F111" s="50"/>
      <c r="G111" s="47"/>
      <c r="H111" s="53"/>
      <c r="I111" s="72" t="n">
        <f aca="false">D111*H111</f>
        <v>0</v>
      </c>
      <c r="J111" s="72"/>
      <c r="K111" s="72"/>
      <c r="L111" s="72" t="n">
        <f aca="false">D111*K111</f>
        <v>0</v>
      </c>
      <c r="M111" s="72"/>
      <c r="N111" s="72"/>
      <c r="O111" s="72" t="n">
        <f aca="false">D111*N111</f>
        <v>0</v>
      </c>
      <c r="P111" s="54" t="e">
        <f aca="false">AVERAGE(H111,K111,N111)</f>
        <v>#DIV/0!</v>
      </c>
      <c r="Q111" s="55" t="e">
        <f aca="false">F111*100/P111-100</f>
        <v>#DIV/0!</v>
      </c>
      <c r="R111" s="54" t="n">
        <f aca="false">D111*F111</f>
        <v>0</v>
      </c>
      <c r="S111" s="47"/>
      <c r="U111" s="57" t="e">
        <f aca="false">ROUND(H111*100/P111-100,0)</f>
        <v>#DIV/0!</v>
      </c>
      <c r="V111" s="57" t="e">
        <f aca="false">ROUND(K111*100/P111-100,0)</f>
        <v>#DIV/0!</v>
      </c>
      <c r="W111" s="57" t="e">
        <f aca="false">ROUND(N111*100/P111-100,0)</f>
        <v>#DIV/0!</v>
      </c>
    </row>
    <row r="112" s="43" customFormat="true" ht="73.5" hidden="false" customHeight="true" outlineLevel="0" collapsed="false">
      <c r="A112" s="45" t="n">
        <v>101</v>
      </c>
      <c r="B112" s="145" t="s">
        <v>543</v>
      </c>
      <c r="C112" s="146" t="s">
        <v>25</v>
      </c>
      <c r="D112" s="147" t="n">
        <v>13</v>
      </c>
      <c r="E112" s="148" t="s">
        <v>504</v>
      </c>
      <c r="F112" s="50"/>
      <c r="G112" s="47"/>
      <c r="H112" s="53"/>
      <c r="I112" s="72" t="n">
        <f aca="false">D112*H112</f>
        <v>0</v>
      </c>
      <c r="J112" s="72"/>
      <c r="K112" s="72"/>
      <c r="L112" s="72" t="n">
        <f aca="false">D112*K112</f>
        <v>0</v>
      </c>
      <c r="M112" s="47"/>
      <c r="N112" s="72"/>
      <c r="O112" s="72" t="n">
        <f aca="false">D112*N112</f>
        <v>0</v>
      </c>
      <c r="P112" s="54" t="e">
        <f aca="false">AVERAGE(H112,K112,N112)</f>
        <v>#DIV/0!</v>
      </c>
      <c r="Q112" s="55" t="e">
        <f aca="false">F112*100/P112-100</f>
        <v>#DIV/0!</v>
      </c>
      <c r="R112" s="54" t="n">
        <f aca="false">D112*F112</f>
        <v>0</v>
      </c>
      <c r="S112" s="47"/>
      <c r="U112" s="57" t="e">
        <f aca="false">ROUND(H112*100/P112-100,0)</f>
        <v>#DIV/0!</v>
      </c>
      <c r="V112" s="57" t="e">
        <f aca="false">ROUND(K112*100/P112-100,0)</f>
        <v>#DIV/0!</v>
      </c>
      <c r="W112" s="57" t="e">
        <f aca="false">ROUND(N112*100/P112-100,0)</f>
        <v>#DIV/0!</v>
      </c>
    </row>
    <row r="113" s="43" customFormat="true" ht="73.5" hidden="false" customHeight="true" outlineLevel="0" collapsed="false">
      <c r="A113" s="45" t="n">
        <v>102</v>
      </c>
      <c r="B113" s="145" t="s">
        <v>544</v>
      </c>
      <c r="C113" s="146" t="s">
        <v>25</v>
      </c>
      <c r="D113" s="147" t="n">
        <v>5</v>
      </c>
      <c r="E113" s="148" t="n">
        <v>5200</v>
      </c>
      <c r="F113" s="50"/>
      <c r="G113" s="47"/>
      <c r="H113" s="53"/>
      <c r="I113" s="72" t="n">
        <f aca="false">D113*H113</f>
        <v>0</v>
      </c>
      <c r="J113" s="72"/>
      <c r="K113" s="72"/>
      <c r="L113" s="72" t="n">
        <f aca="false">D113*K113</f>
        <v>0</v>
      </c>
      <c r="M113" s="47"/>
      <c r="N113" s="72"/>
      <c r="O113" s="72" t="n">
        <f aca="false">D113*N113</f>
        <v>0</v>
      </c>
      <c r="P113" s="54" t="e">
        <f aca="false">AVERAGE(H113,K113,N113)</f>
        <v>#DIV/0!</v>
      </c>
      <c r="Q113" s="55" t="e">
        <f aca="false">F113*100/P113-100</f>
        <v>#DIV/0!</v>
      </c>
      <c r="R113" s="54" t="n">
        <f aca="false">D113*F113</f>
        <v>0</v>
      </c>
      <c r="S113" s="47"/>
      <c r="U113" s="57" t="e">
        <f aca="false">ROUND(H113*100/P113-100,0)</f>
        <v>#DIV/0!</v>
      </c>
      <c r="V113" s="57" t="e">
        <f aca="false">ROUND(K113*100/P113-100,0)</f>
        <v>#DIV/0!</v>
      </c>
      <c r="W113" s="57" t="e">
        <f aca="false">ROUND(N113*100/P113-100,0)</f>
        <v>#DIV/0!</v>
      </c>
    </row>
    <row r="114" s="43" customFormat="true" ht="73.5" hidden="false" customHeight="true" outlineLevel="0" collapsed="false">
      <c r="A114" s="45" t="n">
        <v>103</v>
      </c>
      <c r="B114" s="145" t="s">
        <v>182</v>
      </c>
      <c r="C114" s="146" t="s">
        <v>25</v>
      </c>
      <c r="D114" s="147" t="n">
        <v>1</v>
      </c>
      <c r="E114" s="148" t="n">
        <v>3320.5</v>
      </c>
      <c r="F114" s="50"/>
      <c r="G114" s="47"/>
      <c r="H114" s="53"/>
      <c r="I114" s="72" t="n">
        <f aca="false">D114*H114</f>
        <v>0</v>
      </c>
      <c r="J114" s="72"/>
      <c r="K114" s="72"/>
      <c r="L114" s="72" t="n">
        <f aca="false">D114*K114</f>
        <v>0</v>
      </c>
      <c r="M114" s="47"/>
      <c r="N114" s="72"/>
      <c r="O114" s="72" t="n">
        <f aca="false">D114*N114</f>
        <v>0</v>
      </c>
      <c r="P114" s="54" t="e">
        <f aca="false">AVERAGE(H114,K114,N114)</f>
        <v>#DIV/0!</v>
      </c>
      <c r="Q114" s="55" t="e">
        <f aca="false">F114*100/P114-100</f>
        <v>#DIV/0!</v>
      </c>
      <c r="R114" s="54" t="n">
        <f aca="false">D114*F114</f>
        <v>0</v>
      </c>
      <c r="S114" s="47"/>
      <c r="U114" s="57" t="e">
        <f aca="false">ROUND(H114*100/P114-100,0)</f>
        <v>#DIV/0!</v>
      </c>
      <c r="V114" s="57" t="e">
        <f aca="false">ROUND(K114*100/P114-100,0)</f>
        <v>#DIV/0!</v>
      </c>
      <c r="W114" s="57" t="e">
        <f aca="false">ROUND(N114*100/P114-100,0)</f>
        <v>#DIV/0!</v>
      </c>
    </row>
    <row r="115" s="43" customFormat="true" ht="73.5" hidden="false" customHeight="true" outlineLevel="0" collapsed="false">
      <c r="A115" s="45" t="n">
        <v>104</v>
      </c>
      <c r="B115" s="145" t="s">
        <v>183</v>
      </c>
      <c r="C115" s="146" t="s">
        <v>25</v>
      </c>
      <c r="D115" s="147" t="n">
        <v>80</v>
      </c>
      <c r="E115" s="148" t="n">
        <v>3393.6</v>
      </c>
      <c r="F115" s="50"/>
      <c r="G115" s="47"/>
      <c r="H115" s="53"/>
      <c r="I115" s="72" t="n">
        <f aca="false">D115*H115</f>
        <v>0</v>
      </c>
      <c r="J115" s="72"/>
      <c r="K115" s="72"/>
      <c r="L115" s="72" t="n">
        <f aca="false">D115*K115</f>
        <v>0</v>
      </c>
      <c r="M115" s="47"/>
      <c r="N115" s="72"/>
      <c r="O115" s="72" t="n">
        <f aca="false">D115*N115</f>
        <v>0</v>
      </c>
      <c r="P115" s="54" t="e">
        <f aca="false">AVERAGE(H115,K115,N115)</f>
        <v>#DIV/0!</v>
      </c>
      <c r="Q115" s="55" t="e">
        <f aca="false">F115*100/P115-100</f>
        <v>#DIV/0!</v>
      </c>
      <c r="R115" s="54" t="n">
        <f aca="false">D115*F115</f>
        <v>0</v>
      </c>
      <c r="S115" s="47"/>
      <c r="U115" s="57" t="e">
        <f aca="false">ROUND(H115*100/P115-100,0)</f>
        <v>#DIV/0!</v>
      </c>
      <c r="V115" s="57" t="e">
        <f aca="false">ROUND(K115*100/P115-100,0)</f>
        <v>#DIV/0!</v>
      </c>
      <c r="W115" s="57" t="e">
        <f aca="false">ROUND(N115*100/P115-100,0)</f>
        <v>#DIV/0!</v>
      </c>
    </row>
    <row r="116" s="43" customFormat="true" ht="73.5" hidden="false" customHeight="true" outlineLevel="0" collapsed="false">
      <c r="A116" s="45" t="n">
        <v>105</v>
      </c>
      <c r="B116" s="145" t="s">
        <v>184</v>
      </c>
      <c r="C116" s="146" t="s">
        <v>25</v>
      </c>
      <c r="D116" s="147" t="n">
        <v>5</v>
      </c>
      <c r="E116" s="148" t="n">
        <v>1825</v>
      </c>
      <c r="F116" s="50"/>
      <c r="G116" s="47"/>
      <c r="H116" s="53"/>
      <c r="I116" s="72" t="n">
        <f aca="false">D116*H116</f>
        <v>0</v>
      </c>
      <c r="J116" s="47"/>
      <c r="K116" s="72"/>
      <c r="L116" s="72" t="n">
        <f aca="false">D116*K116</f>
        <v>0</v>
      </c>
      <c r="M116" s="72"/>
      <c r="N116" s="72"/>
      <c r="O116" s="72" t="n">
        <f aca="false">D116*N116</f>
        <v>0</v>
      </c>
      <c r="P116" s="54" t="e">
        <f aca="false">AVERAGE(H116,K116,N116)</f>
        <v>#DIV/0!</v>
      </c>
      <c r="Q116" s="55" t="e">
        <f aca="false">F116*100/P116-100</f>
        <v>#DIV/0!</v>
      </c>
      <c r="R116" s="54" t="n">
        <f aca="false">D116*F116</f>
        <v>0</v>
      </c>
      <c r="S116" s="47"/>
      <c r="U116" s="57" t="e">
        <f aca="false">ROUND(H116*100/P116-100,0)</f>
        <v>#DIV/0!</v>
      </c>
      <c r="V116" s="57" t="e">
        <f aca="false">ROUND(K116*100/P116-100,0)</f>
        <v>#DIV/0!</v>
      </c>
      <c r="W116" s="57" t="e">
        <f aca="false">ROUND(N116*100/P116-100,0)</f>
        <v>#DIV/0!</v>
      </c>
    </row>
    <row r="117" s="43" customFormat="true" ht="73.5" hidden="false" customHeight="true" outlineLevel="0" collapsed="false">
      <c r="A117" s="45" t="n">
        <v>106</v>
      </c>
      <c r="B117" s="145" t="s">
        <v>185</v>
      </c>
      <c r="C117" s="146" t="s">
        <v>25</v>
      </c>
      <c r="D117" s="147" t="n">
        <v>7</v>
      </c>
      <c r="E117" s="148" t="n">
        <v>65.3</v>
      </c>
      <c r="F117" s="50"/>
      <c r="G117" s="47"/>
      <c r="H117" s="53"/>
      <c r="I117" s="72" t="n">
        <f aca="false">D117*H117</f>
        <v>0</v>
      </c>
      <c r="J117" s="72"/>
      <c r="K117" s="72"/>
      <c r="L117" s="72" t="n">
        <f aca="false">D117*K117</f>
        <v>0</v>
      </c>
      <c r="M117" s="47"/>
      <c r="N117" s="72"/>
      <c r="O117" s="72" t="n">
        <f aca="false">D117*N117</f>
        <v>0</v>
      </c>
      <c r="P117" s="54" t="e">
        <f aca="false">AVERAGE(H117,K117,N117)</f>
        <v>#DIV/0!</v>
      </c>
      <c r="Q117" s="55" t="e">
        <f aca="false">F117*100/P117-100</f>
        <v>#DIV/0!</v>
      </c>
      <c r="R117" s="54" t="n">
        <f aca="false">D117*F117</f>
        <v>0</v>
      </c>
      <c r="S117" s="47"/>
      <c r="U117" s="57" t="e">
        <f aca="false">ROUND(H117*100/P117-100,0)</f>
        <v>#DIV/0!</v>
      </c>
      <c r="V117" s="57" t="e">
        <f aca="false">ROUND(K117*100/P117-100,0)</f>
        <v>#DIV/0!</v>
      </c>
      <c r="W117" s="57" t="e">
        <f aca="false">ROUND(N117*100/P117-100,0)</f>
        <v>#DIV/0!</v>
      </c>
    </row>
    <row r="118" s="43" customFormat="true" ht="73.5" hidden="false" customHeight="true" outlineLevel="0" collapsed="false">
      <c r="A118" s="45" t="n">
        <v>107</v>
      </c>
      <c r="B118" s="145" t="s">
        <v>186</v>
      </c>
      <c r="C118" s="146" t="s">
        <v>25</v>
      </c>
      <c r="D118" s="147" t="n">
        <v>2</v>
      </c>
      <c r="E118" s="148" t="n">
        <v>65.01</v>
      </c>
      <c r="F118" s="50"/>
      <c r="G118" s="47"/>
      <c r="H118" s="53"/>
      <c r="I118" s="53" t="n">
        <f aca="false">D118*H118</f>
        <v>0</v>
      </c>
      <c r="J118" s="53"/>
      <c r="K118" s="53"/>
      <c r="L118" s="53" t="n">
        <f aca="false">D118*K118</f>
        <v>0</v>
      </c>
      <c r="M118" s="47"/>
      <c r="N118" s="53"/>
      <c r="O118" s="53" t="n">
        <f aca="false">D118*N118</f>
        <v>0</v>
      </c>
      <c r="P118" s="54" t="e">
        <f aca="false">AVERAGE(H118,K118,N118)</f>
        <v>#DIV/0!</v>
      </c>
      <c r="Q118" s="55" t="e">
        <f aca="false">F118*100/P118-100</f>
        <v>#DIV/0!</v>
      </c>
      <c r="R118" s="54" t="n">
        <f aca="false">D118*F118</f>
        <v>0</v>
      </c>
      <c r="S118" s="47"/>
      <c r="U118" s="57" t="e">
        <f aca="false">ROUND(H118*100/P118-100,0)</f>
        <v>#DIV/0!</v>
      </c>
      <c r="V118" s="57" t="e">
        <f aca="false">ROUND(K118*100/P118-100,0)</f>
        <v>#DIV/0!</v>
      </c>
      <c r="W118" s="57" t="e">
        <f aca="false">ROUND(N118*100/P118-100,0)</f>
        <v>#DIV/0!</v>
      </c>
    </row>
    <row r="119" s="43" customFormat="true" ht="73.5" hidden="false" customHeight="true" outlineLevel="0" collapsed="false">
      <c r="A119" s="45" t="n">
        <v>108</v>
      </c>
      <c r="B119" s="145" t="s">
        <v>187</v>
      </c>
      <c r="C119" s="146" t="s">
        <v>25</v>
      </c>
      <c r="D119" s="147" t="n">
        <v>5</v>
      </c>
      <c r="E119" s="148" t="n">
        <v>133.1</v>
      </c>
      <c r="F119" s="50"/>
      <c r="G119" s="47"/>
      <c r="H119" s="53"/>
      <c r="I119" s="53" t="n">
        <f aca="false">D119*H119</f>
        <v>0</v>
      </c>
      <c r="J119" s="53"/>
      <c r="K119" s="53"/>
      <c r="L119" s="53" t="n">
        <f aca="false">D119*K119</f>
        <v>0</v>
      </c>
      <c r="M119" s="47"/>
      <c r="N119" s="53"/>
      <c r="O119" s="53" t="n">
        <f aca="false">D119*N119</f>
        <v>0</v>
      </c>
      <c r="P119" s="54" t="e">
        <f aca="false">AVERAGE(H119,K119,N119)</f>
        <v>#DIV/0!</v>
      </c>
      <c r="Q119" s="55" t="e">
        <f aca="false">F119*100/P119-100</f>
        <v>#DIV/0!</v>
      </c>
      <c r="R119" s="54" t="n">
        <f aca="false">D119*F119</f>
        <v>0</v>
      </c>
      <c r="S119" s="47"/>
      <c r="U119" s="57" t="e">
        <f aca="false">ROUND(H119*100/P119-100,0)</f>
        <v>#DIV/0!</v>
      </c>
      <c r="V119" s="57" t="e">
        <f aca="false">ROUND(K119*100/P119-100,0)</f>
        <v>#DIV/0!</v>
      </c>
      <c r="W119" s="57" t="e">
        <f aca="false">ROUND(N119*100/P119-100,0)</f>
        <v>#DIV/0!</v>
      </c>
    </row>
    <row r="120" s="43" customFormat="true" ht="73.5" hidden="false" customHeight="true" outlineLevel="0" collapsed="false">
      <c r="A120" s="45" t="n">
        <v>109</v>
      </c>
      <c r="B120" s="145" t="s">
        <v>545</v>
      </c>
      <c r="C120" s="146" t="s">
        <v>25</v>
      </c>
      <c r="D120" s="147" t="n">
        <v>7</v>
      </c>
      <c r="E120" s="148" t="s">
        <v>504</v>
      </c>
      <c r="F120" s="50"/>
      <c r="G120" s="47"/>
      <c r="H120" s="53"/>
      <c r="I120" s="53" t="n">
        <f aca="false">D120*H120</f>
        <v>0</v>
      </c>
      <c r="J120" s="53"/>
      <c r="K120" s="53"/>
      <c r="L120" s="53" t="n">
        <f aca="false">D120*K120</f>
        <v>0</v>
      </c>
      <c r="M120" s="47"/>
      <c r="N120" s="53"/>
      <c r="O120" s="53" t="n">
        <f aca="false">D120*N120</f>
        <v>0</v>
      </c>
      <c r="P120" s="54" t="e">
        <f aca="false">AVERAGE(H120,K120,N120)</f>
        <v>#DIV/0!</v>
      </c>
      <c r="Q120" s="55" t="e">
        <f aca="false">F120*100/P120-100</f>
        <v>#DIV/0!</v>
      </c>
      <c r="R120" s="54" t="n">
        <f aca="false">D120*F120</f>
        <v>0</v>
      </c>
      <c r="S120" s="47"/>
      <c r="U120" s="57" t="e">
        <f aca="false">ROUND(H120*100/P120-100,0)</f>
        <v>#DIV/0!</v>
      </c>
      <c r="V120" s="57" t="e">
        <f aca="false">ROUND(K120*100/P120-100,0)</f>
        <v>#DIV/0!</v>
      </c>
      <c r="W120" s="57" t="e">
        <f aca="false">ROUND(N120*100/P120-100,0)</f>
        <v>#DIV/0!</v>
      </c>
    </row>
    <row r="121" s="43" customFormat="true" ht="73.5" hidden="false" customHeight="true" outlineLevel="0" collapsed="false">
      <c r="A121" s="45" t="n">
        <v>110</v>
      </c>
      <c r="B121" s="153" t="s">
        <v>188</v>
      </c>
      <c r="C121" s="146" t="s">
        <v>53</v>
      </c>
      <c r="D121" s="147" t="n">
        <v>61</v>
      </c>
      <c r="E121" s="148" t="n">
        <v>1090.4</v>
      </c>
      <c r="F121" s="50"/>
      <c r="G121" s="154"/>
      <c r="H121" s="53"/>
      <c r="I121" s="53" t="n">
        <f aca="false">D121*H121</f>
        <v>0</v>
      </c>
      <c r="J121" s="53"/>
      <c r="K121" s="53"/>
      <c r="L121" s="53" t="n">
        <f aca="false">D121*K121</f>
        <v>0</v>
      </c>
      <c r="M121" s="47"/>
      <c r="N121" s="53"/>
      <c r="O121" s="53" t="n">
        <f aca="false">D121*N121</f>
        <v>0</v>
      </c>
      <c r="P121" s="54" t="e">
        <f aca="false">AVERAGE(H121,K121,N121)</f>
        <v>#DIV/0!</v>
      </c>
      <c r="Q121" s="55" t="e">
        <f aca="false">F121*100/P121-100</f>
        <v>#DIV/0!</v>
      </c>
      <c r="R121" s="54" t="n">
        <f aca="false">D121*F121</f>
        <v>0</v>
      </c>
      <c r="S121" s="47"/>
      <c r="U121" s="57" t="e">
        <f aca="false">ROUND(H121*100/P121-100,0)</f>
        <v>#DIV/0!</v>
      </c>
      <c r="V121" s="57" t="e">
        <f aca="false">ROUND(K121*100/P121-100,0)</f>
        <v>#DIV/0!</v>
      </c>
      <c r="W121" s="57" t="e">
        <f aca="false">ROUND(N121*100/P121-100,0)</f>
        <v>#DIV/0!</v>
      </c>
    </row>
    <row r="122" s="43" customFormat="true" ht="73.5" hidden="false" customHeight="true" outlineLevel="0" collapsed="false">
      <c r="A122" s="45" t="n">
        <v>111</v>
      </c>
      <c r="B122" s="153" t="s">
        <v>190</v>
      </c>
      <c r="C122" s="146" t="s">
        <v>53</v>
      </c>
      <c r="D122" s="147" t="n">
        <v>1.1</v>
      </c>
      <c r="E122" s="148" t="n">
        <v>2710.82</v>
      </c>
      <c r="F122" s="50"/>
      <c r="G122" s="154"/>
      <c r="H122" s="53"/>
      <c r="I122" s="53" t="n">
        <f aca="false">D122*H122</f>
        <v>0</v>
      </c>
      <c r="J122" s="53"/>
      <c r="K122" s="53"/>
      <c r="L122" s="53" t="n">
        <f aca="false">D122*K122</f>
        <v>0</v>
      </c>
      <c r="M122" s="47"/>
      <c r="N122" s="53"/>
      <c r="O122" s="53" t="n">
        <f aca="false">D122*N122</f>
        <v>0</v>
      </c>
      <c r="P122" s="54" t="e">
        <f aca="false">AVERAGE(H122,K122,N122)</f>
        <v>#DIV/0!</v>
      </c>
      <c r="Q122" s="55" t="e">
        <f aca="false">F122*100/P122-100</f>
        <v>#DIV/0!</v>
      </c>
      <c r="R122" s="54" t="n">
        <f aca="false">D122*F122</f>
        <v>0</v>
      </c>
      <c r="S122" s="47"/>
      <c r="U122" s="57" t="e">
        <f aca="false">ROUND(H122*100/P122-100,0)</f>
        <v>#DIV/0!</v>
      </c>
      <c r="V122" s="57" t="e">
        <f aca="false">ROUND(K122*100/P122-100,0)</f>
        <v>#DIV/0!</v>
      </c>
      <c r="W122" s="57" t="e">
        <f aca="false">ROUND(N122*100/P122-100,0)</f>
        <v>#DIV/0!</v>
      </c>
    </row>
    <row r="123" s="43" customFormat="true" ht="73.5" hidden="false" customHeight="true" outlineLevel="0" collapsed="false">
      <c r="A123" s="45" t="n">
        <v>112</v>
      </c>
      <c r="B123" s="153" t="s">
        <v>192</v>
      </c>
      <c r="C123" s="146" t="s">
        <v>53</v>
      </c>
      <c r="D123" s="147" t="n">
        <v>3.1</v>
      </c>
      <c r="E123" s="148" t="n">
        <v>2701.65</v>
      </c>
      <c r="F123" s="50"/>
      <c r="G123" s="154"/>
      <c r="H123" s="53"/>
      <c r="I123" s="53" t="n">
        <f aca="false">D123*H123</f>
        <v>0</v>
      </c>
      <c r="J123" s="53"/>
      <c r="K123" s="53"/>
      <c r="L123" s="53" t="n">
        <f aca="false">D123*K123</f>
        <v>0</v>
      </c>
      <c r="M123" s="47"/>
      <c r="N123" s="53"/>
      <c r="O123" s="53" t="n">
        <f aca="false">D123*N123</f>
        <v>0</v>
      </c>
      <c r="P123" s="54" t="e">
        <f aca="false">AVERAGE(H123,K123,N123)</f>
        <v>#DIV/0!</v>
      </c>
      <c r="Q123" s="55" t="e">
        <f aca="false">F123*100/P123-100</f>
        <v>#DIV/0!</v>
      </c>
      <c r="R123" s="54" t="n">
        <f aca="false">D123*F123</f>
        <v>0</v>
      </c>
      <c r="S123" s="47"/>
      <c r="U123" s="57" t="e">
        <f aca="false">ROUND(H123*100/P123-100,0)</f>
        <v>#DIV/0!</v>
      </c>
      <c r="V123" s="57" t="e">
        <f aca="false">ROUND(K123*100/P123-100,0)</f>
        <v>#DIV/0!</v>
      </c>
      <c r="W123" s="57" t="e">
        <f aca="false">ROUND(N123*100/P123-100,0)</f>
        <v>#DIV/0!</v>
      </c>
    </row>
    <row r="124" s="43" customFormat="true" ht="73.5" hidden="false" customHeight="true" outlineLevel="0" collapsed="false">
      <c r="A124" s="45" t="n">
        <v>113</v>
      </c>
      <c r="B124" s="153" t="s">
        <v>194</v>
      </c>
      <c r="C124" s="146" t="s">
        <v>53</v>
      </c>
      <c r="D124" s="147" t="n">
        <v>10</v>
      </c>
      <c r="E124" s="148" t="n">
        <v>1478.6</v>
      </c>
      <c r="F124" s="50"/>
      <c r="G124" s="154"/>
      <c r="H124" s="53"/>
      <c r="I124" s="53" t="n">
        <f aca="false">D124*H124</f>
        <v>0</v>
      </c>
      <c r="J124" s="53"/>
      <c r="K124" s="53"/>
      <c r="L124" s="53" t="n">
        <f aca="false">D124*K124</f>
        <v>0</v>
      </c>
      <c r="M124" s="47"/>
      <c r="N124" s="53"/>
      <c r="O124" s="53" t="n">
        <f aca="false">D124*N124</f>
        <v>0</v>
      </c>
      <c r="P124" s="54" t="e">
        <f aca="false">AVERAGE(H124,K124,N124)</f>
        <v>#DIV/0!</v>
      </c>
      <c r="Q124" s="55" t="e">
        <f aca="false">F124*100/P124-100</f>
        <v>#DIV/0!</v>
      </c>
      <c r="R124" s="54" t="n">
        <f aca="false">D124*F124</f>
        <v>0</v>
      </c>
      <c r="S124" s="47"/>
      <c r="U124" s="57" t="e">
        <f aca="false">ROUND(H124*100/P124-100,0)</f>
        <v>#DIV/0!</v>
      </c>
      <c r="V124" s="57" t="e">
        <f aca="false">ROUND(K124*100/P124-100,0)</f>
        <v>#DIV/0!</v>
      </c>
      <c r="W124" s="57" t="e">
        <f aca="false">ROUND(N124*100/P124-100,0)</f>
        <v>#DIV/0!</v>
      </c>
    </row>
    <row r="125" s="43" customFormat="true" ht="73.5" hidden="false" customHeight="true" outlineLevel="0" collapsed="false">
      <c r="A125" s="45" t="n">
        <v>114</v>
      </c>
      <c r="B125" s="153" t="s">
        <v>195</v>
      </c>
      <c r="C125" s="146" t="s">
        <v>53</v>
      </c>
      <c r="D125" s="147" t="n">
        <v>19</v>
      </c>
      <c r="E125" s="148" t="n">
        <v>1369.87</v>
      </c>
      <c r="F125" s="50"/>
      <c r="G125" s="154"/>
      <c r="H125" s="53"/>
      <c r="I125" s="53" t="n">
        <f aca="false">D125*H125</f>
        <v>0</v>
      </c>
      <c r="J125" s="53"/>
      <c r="K125" s="53"/>
      <c r="L125" s="53" t="n">
        <f aca="false">D125*K125</f>
        <v>0</v>
      </c>
      <c r="M125" s="47"/>
      <c r="N125" s="53"/>
      <c r="O125" s="53" t="n">
        <f aca="false">D125*N125</f>
        <v>0</v>
      </c>
      <c r="P125" s="54" t="e">
        <f aca="false">AVERAGE(H125,K125,N125)</f>
        <v>#DIV/0!</v>
      </c>
      <c r="Q125" s="55" t="e">
        <f aca="false">F125*100/P125-100</f>
        <v>#DIV/0!</v>
      </c>
      <c r="R125" s="54" t="n">
        <f aca="false">D125*F125</f>
        <v>0</v>
      </c>
      <c r="S125" s="47"/>
      <c r="U125" s="57" t="e">
        <f aca="false">ROUND(H125*100/P125-100,0)</f>
        <v>#DIV/0!</v>
      </c>
      <c r="V125" s="57" t="e">
        <f aca="false">ROUND(K125*100/P125-100,0)</f>
        <v>#DIV/0!</v>
      </c>
      <c r="W125" s="57" t="e">
        <f aca="false">ROUND(N125*100/P125-100,0)</f>
        <v>#DIV/0!</v>
      </c>
    </row>
    <row r="126" s="43" customFormat="true" ht="73.5" hidden="false" customHeight="true" outlineLevel="0" collapsed="false">
      <c r="A126" s="45" t="n">
        <v>115</v>
      </c>
      <c r="B126" s="153" t="s">
        <v>196</v>
      </c>
      <c r="C126" s="146" t="s">
        <v>53</v>
      </c>
      <c r="D126" s="147" t="n">
        <v>1.1</v>
      </c>
      <c r="E126" s="148" t="n">
        <v>1878.3</v>
      </c>
      <c r="F126" s="50"/>
      <c r="G126" s="154"/>
      <c r="H126" s="53"/>
      <c r="I126" s="53" t="n">
        <f aca="false">D126*H126</f>
        <v>0</v>
      </c>
      <c r="J126" s="53"/>
      <c r="K126" s="53"/>
      <c r="L126" s="53" t="n">
        <f aca="false">D126*K126</f>
        <v>0</v>
      </c>
      <c r="M126" s="47"/>
      <c r="N126" s="53"/>
      <c r="O126" s="53" t="n">
        <f aca="false">D126*N126</f>
        <v>0</v>
      </c>
      <c r="P126" s="54" t="e">
        <f aca="false">AVERAGE(H126,K126,N126)</f>
        <v>#DIV/0!</v>
      </c>
      <c r="Q126" s="55" t="e">
        <f aca="false">F126*100/P126-100</f>
        <v>#DIV/0!</v>
      </c>
      <c r="R126" s="54" t="n">
        <f aca="false">D126*F126</f>
        <v>0</v>
      </c>
      <c r="S126" s="47"/>
      <c r="U126" s="57" t="e">
        <f aca="false">ROUND(H126*100/P126-100,0)</f>
        <v>#DIV/0!</v>
      </c>
      <c r="V126" s="57" t="e">
        <f aca="false">ROUND(K126*100/P126-100,0)</f>
        <v>#DIV/0!</v>
      </c>
      <c r="W126" s="57" t="e">
        <f aca="false">ROUND(N126*100/P126-100,0)</f>
        <v>#DIV/0!</v>
      </c>
    </row>
    <row r="127" s="43" customFormat="true" ht="73.5" hidden="false" customHeight="true" outlineLevel="0" collapsed="false">
      <c r="A127" s="45" t="n">
        <v>116</v>
      </c>
      <c r="B127" s="145" t="s">
        <v>197</v>
      </c>
      <c r="C127" s="146" t="s">
        <v>45</v>
      </c>
      <c r="D127" s="147" t="n">
        <v>450</v>
      </c>
      <c r="E127" s="148" t="n">
        <v>452.31</v>
      </c>
      <c r="F127" s="50"/>
      <c r="G127" s="47"/>
      <c r="H127" s="53"/>
      <c r="I127" s="53" t="n">
        <f aca="false">D127*H127</f>
        <v>0</v>
      </c>
      <c r="J127" s="53"/>
      <c r="K127" s="53"/>
      <c r="L127" s="53" t="n">
        <f aca="false">D127*K127</f>
        <v>0</v>
      </c>
      <c r="M127" s="47"/>
      <c r="N127" s="53"/>
      <c r="O127" s="53" t="n">
        <f aca="false">D127*N127</f>
        <v>0</v>
      </c>
      <c r="P127" s="54" t="e">
        <f aca="false">AVERAGE(H127,K127,N127)</f>
        <v>#DIV/0!</v>
      </c>
      <c r="Q127" s="55" t="e">
        <f aca="false">F127*100/P127-100</f>
        <v>#DIV/0!</v>
      </c>
      <c r="R127" s="54" t="n">
        <f aca="false">D127*F127</f>
        <v>0</v>
      </c>
      <c r="S127" s="47"/>
      <c r="U127" s="57" t="e">
        <f aca="false">ROUND(H127*100/P127-100,0)</f>
        <v>#DIV/0!</v>
      </c>
      <c r="V127" s="57" t="e">
        <f aca="false">ROUND(K127*100/P127-100,0)</f>
        <v>#DIV/0!</v>
      </c>
      <c r="W127" s="57" t="e">
        <f aca="false">ROUND(N127*100/P127-100,0)</f>
        <v>#DIV/0!</v>
      </c>
    </row>
    <row r="128" s="43" customFormat="true" ht="73.5" hidden="false" customHeight="true" outlineLevel="0" collapsed="false">
      <c r="A128" s="45" t="n">
        <v>117</v>
      </c>
      <c r="B128" s="145" t="s">
        <v>546</v>
      </c>
      <c r="C128" s="146" t="s">
        <v>53</v>
      </c>
      <c r="D128" s="147" t="n">
        <v>11</v>
      </c>
      <c r="E128" s="148" t="s">
        <v>504</v>
      </c>
      <c r="F128" s="50"/>
      <c r="G128" s="47"/>
      <c r="H128" s="53"/>
      <c r="I128" s="53" t="n">
        <f aca="false">D128*H128</f>
        <v>0</v>
      </c>
      <c r="J128" s="53"/>
      <c r="K128" s="53"/>
      <c r="L128" s="53" t="n">
        <f aca="false">D128*K128</f>
        <v>0</v>
      </c>
      <c r="M128" s="47"/>
      <c r="N128" s="53"/>
      <c r="O128" s="53" t="n">
        <f aca="false">D128*N128</f>
        <v>0</v>
      </c>
      <c r="P128" s="54" t="e">
        <f aca="false">AVERAGE(H128,K128,N128)</f>
        <v>#DIV/0!</v>
      </c>
      <c r="Q128" s="55" t="e">
        <f aca="false">F128*100/P128-100</f>
        <v>#DIV/0!</v>
      </c>
      <c r="R128" s="54" t="n">
        <f aca="false">D128*F128</f>
        <v>0</v>
      </c>
      <c r="S128" s="47"/>
      <c r="U128" s="57" t="e">
        <f aca="false">ROUND(H128*100/P128-100,0)</f>
        <v>#DIV/0!</v>
      </c>
      <c r="V128" s="57" t="e">
        <f aca="false">ROUND(K128*100/P128-100,0)</f>
        <v>#DIV/0!</v>
      </c>
      <c r="W128" s="57" t="e">
        <f aca="false">ROUND(N128*100/P128-100,0)</f>
        <v>#DIV/0!</v>
      </c>
    </row>
    <row r="129" s="43" customFormat="true" ht="73.5" hidden="false" customHeight="true" outlineLevel="0" collapsed="false">
      <c r="A129" s="45" t="n">
        <v>118</v>
      </c>
      <c r="B129" s="145" t="s">
        <v>201</v>
      </c>
      <c r="C129" s="146" t="s">
        <v>45</v>
      </c>
      <c r="D129" s="147" t="n">
        <v>140</v>
      </c>
      <c r="E129" s="148" t="n">
        <v>429.98</v>
      </c>
      <c r="F129" s="50"/>
      <c r="G129" s="47"/>
      <c r="H129" s="53"/>
      <c r="I129" s="53" t="n">
        <f aca="false">D129*H129</f>
        <v>0</v>
      </c>
      <c r="J129" s="53"/>
      <c r="K129" s="53"/>
      <c r="L129" s="53" t="n">
        <f aca="false">D129*K129</f>
        <v>0</v>
      </c>
      <c r="M129" s="47"/>
      <c r="N129" s="53"/>
      <c r="O129" s="53" t="n">
        <f aca="false">D129*N129</f>
        <v>0</v>
      </c>
      <c r="P129" s="54" t="e">
        <f aca="false">AVERAGE(H129,K129,N129)</f>
        <v>#DIV/0!</v>
      </c>
      <c r="Q129" s="55" t="e">
        <f aca="false">F129*100/P129-100</f>
        <v>#DIV/0!</v>
      </c>
      <c r="R129" s="54" t="n">
        <f aca="false">D129*F129</f>
        <v>0</v>
      </c>
      <c r="S129" s="47"/>
      <c r="U129" s="57" t="e">
        <f aca="false">ROUND(H129*100/P129-100,0)</f>
        <v>#DIV/0!</v>
      </c>
      <c r="V129" s="57" t="e">
        <f aca="false">ROUND(K129*100/P129-100,0)</f>
        <v>#DIV/0!</v>
      </c>
      <c r="W129" s="57" t="e">
        <f aca="false">ROUND(N129*100/P129-100,0)</f>
        <v>#DIV/0!</v>
      </c>
    </row>
    <row r="130" s="43" customFormat="true" ht="73.5" hidden="false" customHeight="true" outlineLevel="0" collapsed="false">
      <c r="A130" s="45" t="n">
        <v>119</v>
      </c>
      <c r="B130" s="145" t="s">
        <v>547</v>
      </c>
      <c r="C130" s="146" t="s">
        <v>45</v>
      </c>
      <c r="D130" s="147" t="n">
        <v>12</v>
      </c>
      <c r="E130" s="148" t="n">
        <v>905.66</v>
      </c>
      <c r="F130" s="50"/>
      <c r="G130" s="149"/>
      <c r="H130" s="53"/>
      <c r="I130" s="53" t="n">
        <f aca="false">D130*H130</f>
        <v>0</v>
      </c>
      <c r="J130" s="47"/>
      <c r="K130" s="53"/>
      <c r="L130" s="53" t="n">
        <f aca="false">D130*K130</f>
        <v>0</v>
      </c>
      <c r="M130" s="47"/>
      <c r="N130" s="53"/>
      <c r="O130" s="150" t="n">
        <f aca="false">D130*N130</f>
        <v>0</v>
      </c>
      <c r="P130" s="54" t="e">
        <f aca="false">AVERAGE(H130,K130,N130)</f>
        <v>#DIV/0!</v>
      </c>
      <c r="Q130" s="151" t="e">
        <f aca="false">F130*100/P130-100</f>
        <v>#DIV/0!</v>
      </c>
      <c r="R130" s="54" t="n">
        <f aca="false">D130*F130</f>
        <v>0</v>
      </c>
      <c r="S130" s="47"/>
      <c r="U130" s="57" t="e">
        <f aca="false">ROUND(H130*100/P130-100,0)</f>
        <v>#DIV/0!</v>
      </c>
      <c r="V130" s="57" t="e">
        <f aca="false">ROUND(K130*100/P130-100,0)</f>
        <v>#DIV/0!</v>
      </c>
      <c r="W130" s="57" t="e">
        <f aca="false">ROUND(N130*100/P130-100,0)</f>
        <v>#DIV/0!</v>
      </c>
    </row>
    <row r="131" s="43" customFormat="true" ht="73.5" hidden="false" customHeight="true" outlineLevel="0" collapsed="false">
      <c r="A131" s="45" t="n">
        <v>120</v>
      </c>
      <c r="B131" s="145" t="s">
        <v>207</v>
      </c>
      <c r="C131" s="146" t="s">
        <v>25</v>
      </c>
      <c r="D131" s="147" t="n">
        <v>20</v>
      </c>
      <c r="E131" s="148" t="n">
        <v>228.33</v>
      </c>
      <c r="F131" s="50"/>
      <c r="G131" s="47"/>
      <c r="H131" s="53"/>
      <c r="I131" s="53" t="n">
        <f aca="false">D131*H131</f>
        <v>0</v>
      </c>
      <c r="J131" s="47"/>
      <c r="K131" s="53"/>
      <c r="L131" s="53" t="n">
        <f aca="false">D131*K131</f>
        <v>0</v>
      </c>
      <c r="M131" s="47"/>
      <c r="N131" s="53"/>
      <c r="O131" s="53" t="n">
        <f aca="false">D131*N131</f>
        <v>0</v>
      </c>
      <c r="P131" s="54" t="e">
        <f aca="false">AVERAGE(H131,K131,N131)</f>
        <v>#DIV/0!</v>
      </c>
      <c r="Q131" s="55" t="e">
        <f aca="false">F131*100/P131-100</f>
        <v>#DIV/0!</v>
      </c>
      <c r="R131" s="54" t="n">
        <f aca="false">D131*F131</f>
        <v>0</v>
      </c>
      <c r="S131" s="47"/>
      <c r="T131" s="68"/>
      <c r="U131" s="57" t="e">
        <f aca="false">ROUND(H131*100/P131-100,0)</f>
        <v>#DIV/0!</v>
      </c>
      <c r="V131" s="57" t="e">
        <f aca="false">ROUND(K131*100/P131-100,0)</f>
        <v>#DIV/0!</v>
      </c>
      <c r="W131" s="57" t="e">
        <f aca="false">ROUND(N131*100/P131-100,0)</f>
        <v>#DIV/0!</v>
      </c>
    </row>
    <row r="132" s="43" customFormat="true" ht="73.5" hidden="false" customHeight="true" outlineLevel="0" collapsed="false">
      <c r="A132" s="45" t="n">
        <v>121</v>
      </c>
      <c r="B132" s="145" t="s">
        <v>208</v>
      </c>
      <c r="C132" s="146" t="s">
        <v>25</v>
      </c>
      <c r="D132" s="147" t="n">
        <v>90</v>
      </c>
      <c r="E132" s="148" t="n">
        <v>233.64</v>
      </c>
      <c r="F132" s="50"/>
      <c r="G132" s="149"/>
      <c r="H132" s="53"/>
      <c r="I132" s="53" t="n">
        <f aca="false">D132*H132</f>
        <v>0</v>
      </c>
      <c r="J132" s="47"/>
      <c r="K132" s="53"/>
      <c r="L132" s="53" t="n">
        <f aca="false">D132*K132</f>
        <v>0</v>
      </c>
      <c r="M132" s="47"/>
      <c r="N132" s="53"/>
      <c r="O132" s="150" t="n">
        <f aca="false">D132*N132</f>
        <v>0</v>
      </c>
      <c r="P132" s="54" t="e">
        <f aca="false">AVERAGE(H132,K132,N132)</f>
        <v>#DIV/0!</v>
      </c>
      <c r="Q132" s="151" t="e">
        <f aca="false">F132*100/P132-100</f>
        <v>#DIV/0!</v>
      </c>
      <c r="R132" s="54" t="n">
        <f aca="false">D132*F132</f>
        <v>0</v>
      </c>
      <c r="S132" s="47"/>
      <c r="U132" s="57" t="e">
        <f aca="false">ROUND(H132*100/P132-100,0)</f>
        <v>#DIV/0!</v>
      </c>
      <c r="V132" s="57" t="e">
        <f aca="false">ROUND(K132*100/P132-100,0)</f>
        <v>#DIV/0!</v>
      </c>
      <c r="W132" s="57" t="e">
        <f aca="false">ROUND(N132*100/P132-100,0)</f>
        <v>#DIV/0!</v>
      </c>
    </row>
    <row r="133" s="43" customFormat="true" ht="73.5" hidden="false" customHeight="true" outlineLevel="0" collapsed="false">
      <c r="A133" s="45" t="n">
        <v>122</v>
      </c>
      <c r="B133" s="145" t="s">
        <v>210</v>
      </c>
      <c r="C133" s="146" t="s">
        <v>25</v>
      </c>
      <c r="D133" s="147" t="n">
        <v>200</v>
      </c>
      <c r="E133" s="148" t="n">
        <v>325.78</v>
      </c>
      <c r="F133" s="50"/>
      <c r="G133" s="47"/>
      <c r="H133" s="53"/>
      <c r="I133" s="72" t="n">
        <f aca="false">D133*H133</f>
        <v>0</v>
      </c>
      <c r="J133" s="72"/>
      <c r="K133" s="72"/>
      <c r="L133" s="72" t="n">
        <f aca="false">D133*K133</f>
        <v>0</v>
      </c>
      <c r="M133" s="72"/>
      <c r="N133" s="72"/>
      <c r="O133" s="72" t="n">
        <f aca="false">D133*N133</f>
        <v>0</v>
      </c>
      <c r="P133" s="54" t="e">
        <f aca="false">AVERAGE(H133,K133,N133)</f>
        <v>#DIV/0!</v>
      </c>
      <c r="Q133" s="55" t="e">
        <f aca="false">F133*100/P133-100</f>
        <v>#DIV/0!</v>
      </c>
      <c r="R133" s="54" t="n">
        <f aca="false">D133*F133</f>
        <v>0</v>
      </c>
      <c r="S133" s="47"/>
      <c r="U133" s="57" t="e">
        <f aca="false">ROUND(H133*100/P133-100,0)</f>
        <v>#DIV/0!</v>
      </c>
      <c r="V133" s="57" t="e">
        <f aca="false">ROUND(K133*100/P133-100,0)</f>
        <v>#DIV/0!</v>
      </c>
      <c r="W133" s="57" t="e">
        <f aca="false">ROUND(N133*100/P133-100,0)</f>
        <v>#DIV/0!</v>
      </c>
    </row>
    <row r="134" s="43" customFormat="true" ht="73.5" hidden="false" customHeight="true" outlineLevel="0" collapsed="false">
      <c r="A134" s="45" t="n">
        <v>123</v>
      </c>
      <c r="B134" s="145" t="s">
        <v>211</v>
      </c>
      <c r="C134" s="146" t="s">
        <v>25</v>
      </c>
      <c r="D134" s="147" t="n">
        <v>40</v>
      </c>
      <c r="E134" s="148" t="n">
        <v>1233.75</v>
      </c>
      <c r="F134" s="50"/>
      <c r="G134" s="47"/>
      <c r="H134" s="53"/>
      <c r="I134" s="72" t="n">
        <f aca="false">D134*H134</f>
        <v>0</v>
      </c>
      <c r="J134" s="72"/>
      <c r="K134" s="72"/>
      <c r="L134" s="72" t="n">
        <f aca="false">D134*K134</f>
        <v>0</v>
      </c>
      <c r="M134" s="72"/>
      <c r="N134" s="72"/>
      <c r="O134" s="72" t="n">
        <f aca="false">D134*N134</f>
        <v>0</v>
      </c>
      <c r="P134" s="54" t="e">
        <f aca="false">AVERAGE(H134,K134,N134)</f>
        <v>#DIV/0!</v>
      </c>
      <c r="Q134" s="55" t="e">
        <f aca="false">F134*100/P134-100</f>
        <v>#DIV/0!</v>
      </c>
      <c r="R134" s="54" t="n">
        <f aca="false">D134*F134</f>
        <v>0</v>
      </c>
      <c r="S134" s="47"/>
      <c r="U134" s="57" t="e">
        <f aca="false">ROUND(H134*100/P134-100,0)</f>
        <v>#DIV/0!</v>
      </c>
      <c r="V134" s="57" t="e">
        <f aca="false">ROUND(K134*100/P134-100,0)</f>
        <v>#DIV/0!</v>
      </c>
      <c r="W134" s="57" t="e">
        <f aca="false">ROUND(N134*100/P134-100,0)</f>
        <v>#DIV/0!</v>
      </c>
    </row>
    <row r="135" s="43" customFormat="true" ht="73.5" hidden="false" customHeight="true" outlineLevel="0" collapsed="false">
      <c r="A135" s="45" t="n">
        <v>124</v>
      </c>
      <c r="B135" s="145" t="s">
        <v>212</v>
      </c>
      <c r="C135" s="146" t="s">
        <v>25</v>
      </c>
      <c r="D135" s="147" t="n">
        <v>30</v>
      </c>
      <c r="E135" s="148" t="n">
        <v>1098.76</v>
      </c>
      <c r="F135" s="50"/>
      <c r="G135" s="149"/>
      <c r="H135" s="53"/>
      <c r="I135" s="53" t="n">
        <f aca="false">D135*H135</f>
        <v>0</v>
      </c>
      <c r="J135" s="47"/>
      <c r="K135" s="53"/>
      <c r="L135" s="53" t="n">
        <f aca="false">D135*K135</f>
        <v>0</v>
      </c>
      <c r="M135" s="47"/>
      <c r="N135" s="53"/>
      <c r="O135" s="150" t="n">
        <f aca="false">D135*N135</f>
        <v>0</v>
      </c>
      <c r="P135" s="54" t="e">
        <f aca="false">AVERAGE(H135,K135,N135)</f>
        <v>#DIV/0!</v>
      </c>
      <c r="Q135" s="151" t="e">
        <f aca="false">F135*100/P135-100</f>
        <v>#DIV/0!</v>
      </c>
      <c r="R135" s="54" t="n">
        <f aca="false">D135*F135</f>
        <v>0</v>
      </c>
      <c r="S135" s="47"/>
      <c r="U135" s="57" t="e">
        <f aca="false">ROUND(H135*100/P135-100,0)</f>
        <v>#DIV/0!</v>
      </c>
      <c r="V135" s="57" t="e">
        <f aca="false">ROUND(K135*100/P135-100,0)</f>
        <v>#DIV/0!</v>
      </c>
      <c r="W135" s="57" t="e">
        <f aca="false">ROUND(N135*100/P135-100,0)</f>
        <v>#DIV/0!</v>
      </c>
    </row>
    <row r="136" s="43" customFormat="true" ht="73.5" hidden="false" customHeight="true" outlineLevel="0" collapsed="false">
      <c r="A136" s="45" t="n">
        <v>125</v>
      </c>
      <c r="B136" s="145" t="s">
        <v>213</v>
      </c>
      <c r="C136" s="146" t="s">
        <v>25</v>
      </c>
      <c r="D136" s="147" t="n">
        <v>104</v>
      </c>
      <c r="E136" s="148" t="n">
        <v>951.47</v>
      </c>
      <c r="F136" s="50"/>
      <c r="G136" s="47"/>
      <c r="H136" s="53"/>
      <c r="I136" s="72" t="n">
        <f aca="false">D136*H136</f>
        <v>0</v>
      </c>
      <c r="J136" s="72"/>
      <c r="K136" s="72"/>
      <c r="L136" s="72" t="n">
        <f aca="false">D136*K136</f>
        <v>0</v>
      </c>
      <c r="M136" s="72"/>
      <c r="N136" s="72"/>
      <c r="O136" s="72" t="n">
        <f aca="false">D136*N136</f>
        <v>0</v>
      </c>
      <c r="P136" s="54" t="e">
        <f aca="false">AVERAGE(H136,K136,N136)</f>
        <v>#DIV/0!</v>
      </c>
      <c r="Q136" s="55" t="e">
        <f aca="false">F136*100/P136-100</f>
        <v>#DIV/0!</v>
      </c>
      <c r="R136" s="54" t="n">
        <f aca="false">D136*F136</f>
        <v>0</v>
      </c>
      <c r="S136" s="47"/>
      <c r="U136" s="57" t="e">
        <f aca="false">ROUND(H136*100/P136-100,0)</f>
        <v>#DIV/0!</v>
      </c>
      <c r="V136" s="57" t="e">
        <f aca="false">ROUND(K136*100/P136-100,0)</f>
        <v>#DIV/0!</v>
      </c>
      <c r="W136" s="57" t="e">
        <f aca="false">ROUND(N136*100/P136-100,0)</f>
        <v>#DIV/0!</v>
      </c>
    </row>
    <row r="137" s="43" customFormat="true" ht="73.5" hidden="false" customHeight="true" outlineLevel="0" collapsed="false">
      <c r="A137" s="45" t="n">
        <v>126</v>
      </c>
      <c r="B137" s="145" t="s">
        <v>214</v>
      </c>
      <c r="C137" s="146" t="s">
        <v>25</v>
      </c>
      <c r="D137" s="147" t="n">
        <v>424</v>
      </c>
      <c r="E137" s="148" t="n">
        <v>1254.32</v>
      </c>
      <c r="F137" s="50"/>
      <c r="G137" s="149"/>
      <c r="H137" s="53"/>
      <c r="I137" s="53" t="n">
        <f aca="false">D137*H137</f>
        <v>0</v>
      </c>
      <c r="J137" s="47"/>
      <c r="K137" s="53"/>
      <c r="L137" s="53" t="n">
        <f aca="false">D137*K137</f>
        <v>0</v>
      </c>
      <c r="M137" s="47"/>
      <c r="N137" s="53"/>
      <c r="O137" s="150" t="n">
        <f aca="false">D137*N137</f>
        <v>0</v>
      </c>
      <c r="P137" s="54" t="e">
        <f aca="false">AVERAGE(H137,K137,N137)</f>
        <v>#DIV/0!</v>
      </c>
      <c r="Q137" s="151" t="e">
        <f aca="false">F137*100/P137-100</f>
        <v>#DIV/0!</v>
      </c>
      <c r="R137" s="54" t="n">
        <f aca="false">D137*F137</f>
        <v>0</v>
      </c>
      <c r="S137" s="47"/>
      <c r="U137" s="57" t="e">
        <f aca="false">ROUND(H137*100/P137-100,0)</f>
        <v>#DIV/0!</v>
      </c>
      <c r="V137" s="57" t="e">
        <f aca="false">ROUND(K137*100/P137-100,0)</f>
        <v>#DIV/0!</v>
      </c>
      <c r="W137" s="57" t="e">
        <f aca="false">ROUND(N137*100/P137-100,0)</f>
        <v>#DIV/0!</v>
      </c>
    </row>
    <row r="138" s="43" customFormat="true" ht="73.5" hidden="false" customHeight="true" outlineLevel="0" collapsed="false">
      <c r="A138" s="45" t="n">
        <v>127</v>
      </c>
      <c r="B138" s="145" t="s">
        <v>215</v>
      </c>
      <c r="C138" s="146" t="s">
        <v>25</v>
      </c>
      <c r="D138" s="147" t="n">
        <v>25</v>
      </c>
      <c r="E138" s="148" t="n">
        <v>1529.66</v>
      </c>
      <c r="F138" s="50"/>
      <c r="G138" s="149"/>
      <c r="H138" s="53"/>
      <c r="I138" s="72" t="n">
        <f aca="false">D138*H138</f>
        <v>0</v>
      </c>
      <c r="J138" s="47"/>
      <c r="K138" s="72"/>
      <c r="L138" s="72" t="n">
        <f aca="false">D138*K138</f>
        <v>0</v>
      </c>
      <c r="M138" s="47"/>
      <c r="N138" s="72"/>
      <c r="O138" s="150" t="n">
        <f aca="false">D138*N138</f>
        <v>0</v>
      </c>
      <c r="P138" s="54" t="e">
        <f aca="false">AVERAGE(H138,K138,N138)</f>
        <v>#DIV/0!</v>
      </c>
      <c r="Q138" s="151" t="e">
        <f aca="false">F138*100/P138-100</f>
        <v>#DIV/0!</v>
      </c>
      <c r="R138" s="54" t="n">
        <f aca="false">D138*F138</f>
        <v>0</v>
      </c>
      <c r="S138" s="47"/>
      <c r="U138" s="57" t="e">
        <f aca="false">ROUND(H138*100/P138-100,0)</f>
        <v>#DIV/0!</v>
      </c>
      <c r="V138" s="57" t="e">
        <f aca="false">ROUND(K138*100/P138-100,0)</f>
        <v>#DIV/0!</v>
      </c>
      <c r="W138" s="57" t="e">
        <f aca="false">ROUND(N138*100/P138-100,0)</f>
        <v>#DIV/0!</v>
      </c>
    </row>
    <row r="139" s="43" customFormat="true" ht="73.5" hidden="false" customHeight="true" outlineLevel="0" collapsed="false">
      <c r="A139" s="45" t="n">
        <v>128</v>
      </c>
      <c r="B139" s="145" t="s">
        <v>216</v>
      </c>
      <c r="C139" s="146" t="s">
        <v>25</v>
      </c>
      <c r="D139" s="147" t="n">
        <v>250</v>
      </c>
      <c r="E139" s="148" t="n">
        <v>469.64</v>
      </c>
      <c r="F139" s="50"/>
      <c r="G139" s="47"/>
      <c r="H139" s="53"/>
      <c r="I139" s="72" t="n">
        <f aca="false">D139*H139</f>
        <v>0</v>
      </c>
      <c r="J139" s="72"/>
      <c r="K139" s="72"/>
      <c r="L139" s="72" t="n">
        <f aca="false">D139*K139</f>
        <v>0</v>
      </c>
      <c r="M139" s="72"/>
      <c r="N139" s="72"/>
      <c r="O139" s="72" t="n">
        <f aca="false">D139*N139</f>
        <v>0</v>
      </c>
      <c r="P139" s="54" t="e">
        <f aca="false">AVERAGE(H139,K139,N139)</f>
        <v>#DIV/0!</v>
      </c>
      <c r="Q139" s="55" t="e">
        <f aca="false">F139*100/P139-100</f>
        <v>#DIV/0!</v>
      </c>
      <c r="R139" s="54" t="n">
        <f aca="false">D139*F139</f>
        <v>0</v>
      </c>
      <c r="S139" s="47"/>
      <c r="U139" s="57" t="e">
        <f aca="false">ROUND(H139*100/P139-100,0)</f>
        <v>#DIV/0!</v>
      </c>
      <c r="V139" s="57" t="e">
        <f aca="false">ROUND(K139*100/P139-100,0)</f>
        <v>#DIV/0!</v>
      </c>
      <c r="W139" s="57" t="e">
        <f aca="false">ROUND(N139*100/P139-100,0)</f>
        <v>#DIV/0!</v>
      </c>
    </row>
    <row r="140" s="43" customFormat="true" ht="82.5" hidden="false" customHeight="true" outlineLevel="0" collapsed="false">
      <c r="A140" s="45" t="n">
        <v>129</v>
      </c>
      <c r="B140" s="145" t="s">
        <v>219</v>
      </c>
      <c r="C140" s="146" t="s">
        <v>25</v>
      </c>
      <c r="D140" s="147" t="n">
        <v>1018</v>
      </c>
      <c r="E140" s="148" t="n">
        <v>275.68</v>
      </c>
      <c r="F140" s="50"/>
      <c r="G140" s="47"/>
      <c r="H140" s="53"/>
      <c r="I140" s="72" t="n">
        <f aca="false">D140*H140</f>
        <v>0</v>
      </c>
      <c r="J140" s="72"/>
      <c r="K140" s="72"/>
      <c r="L140" s="72" t="n">
        <f aca="false">D140*K140</f>
        <v>0</v>
      </c>
      <c r="M140" s="72"/>
      <c r="N140" s="72"/>
      <c r="O140" s="72" t="n">
        <f aca="false">D140*N140</f>
        <v>0</v>
      </c>
      <c r="P140" s="54" t="e">
        <f aca="false">AVERAGE(H140,K140,N140)</f>
        <v>#DIV/0!</v>
      </c>
      <c r="Q140" s="55" t="e">
        <f aca="false">F140*100/P140-100</f>
        <v>#DIV/0!</v>
      </c>
      <c r="R140" s="54" t="n">
        <f aca="false">D140*F140</f>
        <v>0</v>
      </c>
      <c r="S140" s="47"/>
      <c r="U140" s="57" t="e">
        <f aca="false">ROUND(H140*100/P140-100,0)</f>
        <v>#DIV/0!</v>
      </c>
      <c r="V140" s="57" t="e">
        <f aca="false">ROUND(K140*100/P140-100,0)</f>
        <v>#DIV/0!</v>
      </c>
      <c r="W140" s="57" t="e">
        <f aca="false">ROUND(N140*100/P140-100,0)</f>
        <v>#DIV/0!</v>
      </c>
    </row>
    <row r="141" s="43" customFormat="true" ht="72" hidden="false" customHeight="true" outlineLevel="0" collapsed="false">
      <c r="A141" s="45" t="n">
        <v>130</v>
      </c>
      <c r="B141" s="145" t="s">
        <v>229</v>
      </c>
      <c r="C141" s="146" t="s">
        <v>45</v>
      </c>
      <c r="D141" s="147" t="n">
        <v>50</v>
      </c>
      <c r="E141" s="148" t="n">
        <v>8050.5</v>
      </c>
      <c r="F141" s="50"/>
      <c r="G141" s="47"/>
      <c r="H141" s="53"/>
      <c r="I141" s="72" t="n">
        <f aca="false">D141*H141</f>
        <v>0</v>
      </c>
      <c r="J141" s="72"/>
      <c r="K141" s="72"/>
      <c r="L141" s="72" t="n">
        <f aca="false">D141*K141</f>
        <v>0</v>
      </c>
      <c r="M141" s="72"/>
      <c r="N141" s="72"/>
      <c r="O141" s="72" t="n">
        <f aca="false">D141*N141</f>
        <v>0</v>
      </c>
      <c r="P141" s="54" t="e">
        <f aca="false">AVERAGE(H141,K141,N141)</f>
        <v>#DIV/0!</v>
      </c>
      <c r="Q141" s="55" t="e">
        <f aca="false">F141*100/P141-100</f>
        <v>#DIV/0!</v>
      </c>
      <c r="R141" s="54" t="n">
        <f aca="false">D141*F141</f>
        <v>0</v>
      </c>
      <c r="S141" s="47"/>
      <c r="U141" s="57" t="e">
        <f aca="false">ROUND(H141*100/P141-100,0)</f>
        <v>#DIV/0!</v>
      </c>
      <c r="V141" s="57" t="e">
        <f aca="false">ROUND(K141*100/P141-100,0)</f>
        <v>#DIV/0!</v>
      </c>
      <c r="W141" s="57" t="e">
        <f aca="false">ROUND(N141*100/P141-100,0)</f>
        <v>#DIV/0!</v>
      </c>
    </row>
    <row r="142" s="43" customFormat="true" ht="73.5" hidden="false" customHeight="true" outlineLevel="0" collapsed="false">
      <c r="A142" s="45" t="n">
        <v>131</v>
      </c>
      <c r="B142" s="145" t="s">
        <v>232</v>
      </c>
      <c r="C142" s="146" t="s">
        <v>25</v>
      </c>
      <c r="D142" s="147" t="n">
        <v>136</v>
      </c>
      <c r="E142" s="148" t="n">
        <v>164.05</v>
      </c>
      <c r="F142" s="50"/>
      <c r="G142" s="47"/>
      <c r="H142" s="53"/>
      <c r="I142" s="72" t="n">
        <f aca="false">D142*H142</f>
        <v>0</v>
      </c>
      <c r="J142" s="72"/>
      <c r="K142" s="72"/>
      <c r="L142" s="72" t="n">
        <f aca="false">D142*K142</f>
        <v>0</v>
      </c>
      <c r="M142" s="72"/>
      <c r="N142" s="72"/>
      <c r="O142" s="72" t="n">
        <f aca="false">D142*N142</f>
        <v>0</v>
      </c>
      <c r="P142" s="54" t="e">
        <f aca="false">AVERAGE(H142,K142,N142)</f>
        <v>#DIV/0!</v>
      </c>
      <c r="Q142" s="55" t="e">
        <f aca="false">F142*100/P142-100</f>
        <v>#DIV/0!</v>
      </c>
      <c r="R142" s="54" t="n">
        <f aca="false">D142*F142</f>
        <v>0</v>
      </c>
      <c r="S142" s="47"/>
      <c r="U142" s="57" t="e">
        <f aca="false">ROUND(H142*100/P142-100,0)</f>
        <v>#DIV/0!</v>
      </c>
      <c r="V142" s="57" t="e">
        <f aca="false">ROUND(K142*100/P142-100,0)</f>
        <v>#DIV/0!</v>
      </c>
      <c r="W142" s="57" t="e">
        <f aca="false">ROUND(N142*100/P142-100,0)</f>
        <v>#DIV/0!</v>
      </c>
    </row>
    <row r="143" s="43" customFormat="true" ht="73.5" hidden="false" customHeight="true" outlineLevel="0" collapsed="false">
      <c r="A143" s="45" t="n">
        <v>132</v>
      </c>
      <c r="B143" s="145" t="s">
        <v>234</v>
      </c>
      <c r="C143" s="146" t="s">
        <v>45</v>
      </c>
      <c r="D143" s="147" t="n">
        <v>18.35</v>
      </c>
      <c r="E143" s="148" t="n">
        <v>6388.4</v>
      </c>
      <c r="F143" s="50"/>
      <c r="G143" s="149"/>
      <c r="H143" s="53"/>
      <c r="I143" s="53" t="n">
        <f aca="false">D143*H143</f>
        <v>0</v>
      </c>
      <c r="J143" s="47"/>
      <c r="K143" s="53"/>
      <c r="L143" s="53" t="n">
        <f aca="false">D143*K143</f>
        <v>0</v>
      </c>
      <c r="M143" s="47"/>
      <c r="N143" s="53"/>
      <c r="O143" s="150" t="n">
        <f aca="false">D143*N143</f>
        <v>0</v>
      </c>
      <c r="P143" s="54" t="e">
        <f aca="false">AVERAGE(H143,K143,N143)</f>
        <v>#DIV/0!</v>
      </c>
      <c r="Q143" s="151" t="e">
        <f aca="false">F143*100/P143-100</f>
        <v>#DIV/0!</v>
      </c>
      <c r="R143" s="54" t="n">
        <f aca="false">D143*F143</f>
        <v>0</v>
      </c>
      <c r="S143" s="47"/>
      <c r="U143" s="57" t="e">
        <f aca="false">ROUND(H143*100/P143-100,0)</f>
        <v>#DIV/0!</v>
      </c>
      <c r="V143" s="57" t="e">
        <f aca="false">ROUND(K143*100/P143-100,0)</f>
        <v>#DIV/0!</v>
      </c>
      <c r="W143" s="57" t="e">
        <f aca="false">ROUND(N143*100/P143-100,0)</f>
        <v>#DIV/0!</v>
      </c>
    </row>
    <row r="144" s="43" customFormat="true" ht="73.5" hidden="false" customHeight="true" outlineLevel="0" collapsed="false">
      <c r="A144" s="45" t="n">
        <v>133</v>
      </c>
      <c r="B144" s="145" t="s">
        <v>237</v>
      </c>
      <c r="C144" s="146" t="s">
        <v>147</v>
      </c>
      <c r="D144" s="147" t="n">
        <v>2400</v>
      </c>
      <c r="E144" s="148" t="n">
        <v>14.72</v>
      </c>
      <c r="F144" s="50"/>
      <c r="G144" s="149"/>
      <c r="H144" s="53"/>
      <c r="I144" s="53" t="n">
        <f aca="false">D144*H144</f>
        <v>0</v>
      </c>
      <c r="J144" s="47"/>
      <c r="K144" s="53"/>
      <c r="L144" s="53" t="n">
        <f aca="false">D144*K144</f>
        <v>0</v>
      </c>
      <c r="M144" s="47"/>
      <c r="N144" s="53"/>
      <c r="O144" s="150" t="n">
        <f aca="false">D144*N144</f>
        <v>0</v>
      </c>
      <c r="P144" s="54" t="e">
        <f aca="false">AVERAGE(H144,K144,N144)</f>
        <v>#DIV/0!</v>
      </c>
      <c r="Q144" s="151" t="e">
        <f aca="false">F144*100/P144-100</f>
        <v>#DIV/0!</v>
      </c>
      <c r="R144" s="54" t="n">
        <f aca="false">D144*F144</f>
        <v>0</v>
      </c>
      <c r="S144" s="47"/>
      <c r="U144" s="57" t="e">
        <f aca="false">ROUND(H144*100/P144-100,0)</f>
        <v>#DIV/0!</v>
      </c>
      <c r="V144" s="57" t="e">
        <f aca="false">ROUND(K144*100/P144-100,0)</f>
        <v>#DIV/0!</v>
      </c>
      <c r="W144" s="57" t="e">
        <f aca="false">ROUND(N144*100/P144-100,0)</f>
        <v>#DIV/0!</v>
      </c>
    </row>
    <row r="145" s="43" customFormat="true" ht="73.5" hidden="false" customHeight="true" outlineLevel="0" collapsed="false">
      <c r="A145" s="45" t="n">
        <v>134</v>
      </c>
      <c r="B145" s="145" t="s">
        <v>239</v>
      </c>
      <c r="C145" s="146" t="s">
        <v>147</v>
      </c>
      <c r="D145" s="147" t="n">
        <v>65</v>
      </c>
      <c r="E145" s="148" t="n">
        <v>6</v>
      </c>
      <c r="F145" s="50"/>
      <c r="G145" s="47"/>
      <c r="H145" s="53"/>
      <c r="I145" s="72" t="n">
        <f aca="false">D145*H145</f>
        <v>0</v>
      </c>
      <c r="J145" s="72"/>
      <c r="K145" s="72"/>
      <c r="L145" s="72" t="n">
        <f aca="false">D145*K145</f>
        <v>0</v>
      </c>
      <c r="M145" s="72"/>
      <c r="N145" s="72"/>
      <c r="O145" s="72" t="n">
        <f aca="false">D145*N145</f>
        <v>0</v>
      </c>
      <c r="P145" s="54" t="e">
        <f aca="false">AVERAGE(H145,K145,N145)</f>
        <v>#DIV/0!</v>
      </c>
      <c r="Q145" s="55" t="e">
        <f aca="false">F145*100/P145-100</f>
        <v>#DIV/0!</v>
      </c>
      <c r="R145" s="54" t="n">
        <f aca="false">D145*F145</f>
        <v>0</v>
      </c>
      <c r="S145" s="47"/>
      <c r="U145" s="57" t="e">
        <f aca="false">ROUND(H145*100/P145-100,0)</f>
        <v>#DIV/0!</v>
      </c>
      <c r="V145" s="57" t="e">
        <f aca="false">ROUND(K145*100/P145-100,0)</f>
        <v>#DIV/0!</v>
      </c>
      <c r="W145" s="57" t="e">
        <f aca="false">ROUND(N145*100/P145-100,0)</f>
        <v>#DIV/0!</v>
      </c>
    </row>
    <row r="146" s="43" customFormat="true" ht="73.5" hidden="false" customHeight="true" outlineLevel="0" collapsed="false">
      <c r="A146" s="45" t="n">
        <v>135</v>
      </c>
      <c r="B146" s="145" t="s">
        <v>240</v>
      </c>
      <c r="C146" s="146" t="s">
        <v>147</v>
      </c>
      <c r="D146" s="147" t="n">
        <v>400</v>
      </c>
      <c r="E146" s="148" t="n">
        <v>7.6</v>
      </c>
      <c r="F146" s="50"/>
      <c r="G146" s="149"/>
      <c r="H146" s="53"/>
      <c r="I146" s="53" t="n">
        <f aca="false">D146*H146</f>
        <v>0</v>
      </c>
      <c r="J146" s="47"/>
      <c r="K146" s="53"/>
      <c r="L146" s="53" t="n">
        <f aca="false">D146*K146</f>
        <v>0</v>
      </c>
      <c r="M146" s="47"/>
      <c r="N146" s="53"/>
      <c r="O146" s="150" t="n">
        <f aca="false">D146*N146</f>
        <v>0</v>
      </c>
      <c r="P146" s="54" t="e">
        <f aca="false">AVERAGE(H146,K146,N146)</f>
        <v>#DIV/0!</v>
      </c>
      <c r="Q146" s="151" t="e">
        <f aca="false">F146*100/P146-100</f>
        <v>#DIV/0!</v>
      </c>
      <c r="R146" s="54" t="n">
        <f aca="false">D146*F146</f>
        <v>0</v>
      </c>
      <c r="S146" s="47"/>
      <c r="U146" s="57" t="e">
        <f aca="false">ROUND(H146*100/P146-100,0)</f>
        <v>#DIV/0!</v>
      </c>
      <c r="V146" s="57" t="e">
        <f aca="false">ROUND(K146*100/P146-100,0)</f>
        <v>#DIV/0!</v>
      </c>
      <c r="W146" s="57" t="e">
        <f aca="false">ROUND(N146*100/P146-100,0)</f>
        <v>#DIV/0!</v>
      </c>
    </row>
    <row r="147" s="43" customFormat="true" ht="73.5" hidden="false" customHeight="true" outlineLevel="0" collapsed="false">
      <c r="A147" s="45" t="n">
        <v>136</v>
      </c>
      <c r="B147" s="145" t="s">
        <v>242</v>
      </c>
      <c r="C147" s="146" t="s">
        <v>147</v>
      </c>
      <c r="D147" s="147" t="n">
        <v>20</v>
      </c>
      <c r="E147" s="148" t="n">
        <v>9.52</v>
      </c>
      <c r="F147" s="50"/>
      <c r="G147" s="149"/>
      <c r="H147" s="53"/>
      <c r="I147" s="53" t="n">
        <f aca="false">D147*H147</f>
        <v>0</v>
      </c>
      <c r="J147" s="47"/>
      <c r="K147" s="53"/>
      <c r="L147" s="53" t="n">
        <f aca="false">D147*K147</f>
        <v>0</v>
      </c>
      <c r="M147" s="47"/>
      <c r="N147" s="53"/>
      <c r="O147" s="150" t="n">
        <f aca="false">D147*N147</f>
        <v>0</v>
      </c>
      <c r="P147" s="54" t="e">
        <f aca="false">AVERAGE(H147,K147,N147)</f>
        <v>#DIV/0!</v>
      </c>
      <c r="Q147" s="151" t="e">
        <f aca="false">F147*100/P147-100</f>
        <v>#DIV/0!</v>
      </c>
      <c r="R147" s="54" t="n">
        <f aca="false">D147*F147</f>
        <v>0</v>
      </c>
      <c r="S147" s="47"/>
      <c r="U147" s="57" t="e">
        <f aca="false">ROUND(H147*100/P147-100,0)</f>
        <v>#DIV/0!</v>
      </c>
      <c r="V147" s="57" t="e">
        <f aca="false">ROUND(K147*100/P147-100,0)</f>
        <v>#DIV/0!</v>
      </c>
      <c r="W147" s="57" t="e">
        <f aca="false">ROUND(N147*100/P147-100,0)</f>
        <v>#DIV/0!</v>
      </c>
    </row>
    <row r="148" s="43" customFormat="true" ht="73.5" hidden="false" customHeight="true" outlineLevel="0" collapsed="false">
      <c r="A148" s="45" t="n">
        <v>137</v>
      </c>
      <c r="B148" s="145" t="s">
        <v>244</v>
      </c>
      <c r="C148" s="146" t="s">
        <v>147</v>
      </c>
      <c r="D148" s="147" t="n">
        <v>400</v>
      </c>
      <c r="E148" s="148" t="n">
        <v>6.79</v>
      </c>
      <c r="F148" s="50"/>
      <c r="G148" s="47"/>
      <c r="H148" s="53"/>
      <c r="I148" s="72" t="n">
        <f aca="false">D148*H148</f>
        <v>0</v>
      </c>
      <c r="J148" s="72"/>
      <c r="K148" s="72"/>
      <c r="L148" s="72" t="n">
        <f aca="false">D148*K148</f>
        <v>0</v>
      </c>
      <c r="M148" s="72"/>
      <c r="N148" s="72"/>
      <c r="O148" s="72" t="n">
        <f aca="false">D148*N148</f>
        <v>0</v>
      </c>
      <c r="P148" s="54" t="e">
        <f aca="false">AVERAGE(H148,K148,N148)</f>
        <v>#DIV/0!</v>
      </c>
      <c r="Q148" s="55" t="e">
        <f aca="false">F148*100/P148-100</f>
        <v>#DIV/0!</v>
      </c>
      <c r="R148" s="54" t="n">
        <f aca="false">D148*F148</f>
        <v>0</v>
      </c>
      <c r="S148" s="47"/>
      <c r="U148" s="57" t="e">
        <f aca="false">ROUND(H148*100/P148-100,0)</f>
        <v>#DIV/0!</v>
      </c>
      <c r="V148" s="57" t="e">
        <f aca="false">ROUND(K148*100/P148-100,0)</f>
        <v>#DIV/0!</v>
      </c>
      <c r="W148" s="57" t="e">
        <f aca="false">ROUND(N148*100/P148-100,0)</f>
        <v>#DIV/0!</v>
      </c>
    </row>
    <row r="149" s="43" customFormat="true" ht="73.5" hidden="false" customHeight="true" outlineLevel="0" collapsed="false">
      <c r="A149" s="45" t="n">
        <v>138</v>
      </c>
      <c r="B149" s="145" t="s">
        <v>252</v>
      </c>
      <c r="C149" s="146" t="s">
        <v>45</v>
      </c>
      <c r="D149" s="147" t="n">
        <v>190</v>
      </c>
      <c r="E149" s="148" t="n">
        <v>383.82</v>
      </c>
      <c r="F149" s="50"/>
      <c r="G149" s="47"/>
      <c r="H149" s="53"/>
      <c r="I149" s="72" t="n">
        <f aca="false">D149*H149</f>
        <v>0</v>
      </c>
      <c r="J149" s="72"/>
      <c r="K149" s="72"/>
      <c r="L149" s="72" t="n">
        <f aca="false">D149*K149</f>
        <v>0</v>
      </c>
      <c r="M149" s="72"/>
      <c r="N149" s="72"/>
      <c r="O149" s="72" t="n">
        <f aca="false">D149*N149</f>
        <v>0</v>
      </c>
      <c r="P149" s="54" t="e">
        <f aca="false">AVERAGE(H149,K149,N149)</f>
        <v>#DIV/0!</v>
      </c>
      <c r="Q149" s="55" t="e">
        <f aca="false">F149*100/P149-100</f>
        <v>#DIV/0!</v>
      </c>
      <c r="R149" s="54" t="n">
        <f aca="false">D149*F149</f>
        <v>0</v>
      </c>
      <c r="S149" s="47"/>
      <c r="U149" s="57" t="e">
        <f aca="false">ROUND(H149*100/P149-100,0)</f>
        <v>#DIV/0!</v>
      </c>
      <c r="V149" s="57" t="e">
        <f aca="false">ROUND(K149*100/P149-100,0)</f>
        <v>#DIV/0!</v>
      </c>
      <c r="W149" s="57" t="e">
        <f aca="false">ROUND(N149*100/P149-100,0)</f>
        <v>#DIV/0!</v>
      </c>
    </row>
    <row r="150" s="43" customFormat="true" ht="73.5" hidden="false" customHeight="true" outlineLevel="0" collapsed="false">
      <c r="A150" s="45" t="n">
        <v>139</v>
      </c>
      <c r="B150" s="145" t="s">
        <v>548</v>
      </c>
      <c r="C150" s="146" t="s">
        <v>45</v>
      </c>
      <c r="D150" s="147" t="n">
        <v>1194</v>
      </c>
      <c r="E150" s="148" t="s">
        <v>504</v>
      </c>
      <c r="F150" s="50"/>
      <c r="G150" s="47"/>
      <c r="H150" s="53"/>
      <c r="I150" s="72" t="n">
        <f aca="false">D150*H150</f>
        <v>0</v>
      </c>
      <c r="J150" s="72"/>
      <c r="K150" s="72"/>
      <c r="L150" s="72" t="n">
        <f aca="false">D150*K150</f>
        <v>0</v>
      </c>
      <c r="M150" s="72"/>
      <c r="N150" s="72"/>
      <c r="O150" s="72" t="n">
        <f aca="false">D150*N150</f>
        <v>0</v>
      </c>
      <c r="P150" s="54" t="e">
        <f aca="false">AVERAGE(H150,K150,N150)</f>
        <v>#DIV/0!</v>
      </c>
      <c r="Q150" s="55" t="e">
        <f aca="false">F150*100/P150-100</f>
        <v>#DIV/0!</v>
      </c>
      <c r="R150" s="54" t="n">
        <f aca="false">D150*F150</f>
        <v>0</v>
      </c>
      <c r="S150" s="47"/>
      <c r="U150" s="57" t="e">
        <f aca="false">ROUND(H150*100/P150-100,0)</f>
        <v>#DIV/0!</v>
      </c>
      <c r="V150" s="57" t="e">
        <f aca="false">ROUND(K150*100/P150-100,0)</f>
        <v>#DIV/0!</v>
      </c>
      <c r="W150" s="57" t="e">
        <f aca="false">ROUND(N150*100/P150-100,0)</f>
        <v>#DIV/0!</v>
      </c>
    </row>
    <row r="151" s="43" customFormat="true" ht="73.5" hidden="false" customHeight="true" outlineLevel="0" collapsed="false">
      <c r="A151" s="45" t="n">
        <v>140</v>
      </c>
      <c r="B151" s="145" t="s">
        <v>549</v>
      </c>
      <c r="C151" s="146" t="s">
        <v>147</v>
      </c>
      <c r="D151" s="147" t="n">
        <v>50</v>
      </c>
      <c r="E151" s="148" t="s">
        <v>504</v>
      </c>
      <c r="F151" s="50"/>
      <c r="G151" s="47"/>
      <c r="H151" s="53"/>
      <c r="I151" s="72" t="n">
        <f aca="false">D151*H151</f>
        <v>0</v>
      </c>
      <c r="J151" s="72"/>
      <c r="K151" s="72"/>
      <c r="L151" s="72" t="n">
        <f aca="false">D151*K151</f>
        <v>0</v>
      </c>
      <c r="M151" s="72"/>
      <c r="N151" s="72"/>
      <c r="O151" s="72" t="n">
        <f aca="false">D151*N151</f>
        <v>0</v>
      </c>
      <c r="P151" s="54" t="e">
        <f aca="false">AVERAGE(H151,K151,N151)</f>
        <v>#DIV/0!</v>
      </c>
      <c r="Q151" s="55" t="e">
        <f aca="false">F151*100/P151-100</f>
        <v>#DIV/0!</v>
      </c>
      <c r="R151" s="54" t="n">
        <f aca="false">D151*F151</f>
        <v>0</v>
      </c>
      <c r="S151" s="47"/>
      <c r="U151" s="57" t="e">
        <f aca="false">ROUND(H151*100/P151-100,0)</f>
        <v>#DIV/0!</v>
      </c>
      <c r="V151" s="57" t="e">
        <f aca="false">ROUND(K151*100/P151-100,0)</f>
        <v>#DIV/0!</v>
      </c>
      <c r="W151" s="57" t="e">
        <f aca="false">ROUND(N151*100/P151-100,0)</f>
        <v>#DIV/0!</v>
      </c>
    </row>
    <row r="152" s="43" customFormat="true" ht="73.5" hidden="false" customHeight="true" outlineLevel="0" collapsed="false">
      <c r="A152" s="45" t="n">
        <v>141</v>
      </c>
      <c r="B152" s="145" t="s">
        <v>256</v>
      </c>
      <c r="C152" s="146" t="s">
        <v>25</v>
      </c>
      <c r="D152" s="147" t="n">
        <v>1500</v>
      </c>
      <c r="E152" s="148" t="n">
        <v>254.67</v>
      </c>
      <c r="F152" s="50"/>
      <c r="G152" s="47"/>
      <c r="H152" s="53"/>
      <c r="I152" s="53" t="n">
        <f aca="false">D152*H152</f>
        <v>0</v>
      </c>
      <c r="J152" s="47"/>
      <c r="K152" s="53"/>
      <c r="L152" s="53" t="n">
        <f aca="false">D152*K152</f>
        <v>0</v>
      </c>
      <c r="M152" s="53"/>
      <c r="N152" s="53"/>
      <c r="O152" s="53" t="n">
        <f aca="false">D152*N152</f>
        <v>0</v>
      </c>
      <c r="P152" s="54" t="e">
        <f aca="false">AVERAGE(H152,K152,N152)</f>
        <v>#DIV/0!</v>
      </c>
      <c r="Q152" s="55" t="e">
        <f aca="false">F152*100/P152-100</f>
        <v>#DIV/0!</v>
      </c>
      <c r="R152" s="54" t="n">
        <f aca="false">D152*F152</f>
        <v>0</v>
      </c>
      <c r="S152" s="47"/>
      <c r="U152" s="57" t="e">
        <f aca="false">ROUND(H152*100/P152-100,0)</f>
        <v>#DIV/0!</v>
      </c>
      <c r="V152" s="57" t="e">
        <f aca="false">ROUND(K152*100/P152-100,0)</f>
        <v>#DIV/0!</v>
      </c>
      <c r="W152" s="57" t="e">
        <f aca="false">ROUND(N152*100/P152-100,0)</f>
        <v>#DIV/0!</v>
      </c>
    </row>
    <row r="153" s="43" customFormat="true" ht="73.5" hidden="false" customHeight="true" outlineLevel="0" collapsed="false">
      <c r="A153" s="45" t="n">
        <v>142</v>
      </c>
      <c r="B153" s="145" t="s">
        <v>257</v>
      </c>
      <c r="C153" s="146" t="s">
        <v>45</v>
      </c>
      <c r="D153" s="147" t="n">
        <v>13</v>
      </c>
      <c r="E153" s="148" t="n">
        <v>98.56</v>
      </c>
      <c r="F153" s="50"/>
      <c r="G153" s="47"/>
      <c r="H153" s="53"/>
      <c r="I153" s="53" t="n">
        <f aca="false">D153*H153</f>
        <v>0</v>
      </c>
      <c r="J153" s="47"/>
      <c r="K153" s="53"/>
      <c r="L153" s="53" t="n">
        <f aca="false">D153*K153</f>
        <v>0</v>
      </c>
      <c r="M153" s="53"/>
      <c r="N153" s="53"/>
      <c r="O153" s="53" t="n">
        <f aca="false">D153*N153</f>
        <v>0</v>
      </c>
      <c r="P153" s="54" t="e">
        <f aca="false">AVERAGE(H153,K153,N153)</f>
        <v>#DIV/0!</v>
      </c>
      <c r="Q153" s="55" t="e">
        <f aca="false">F153*100/P153-100</f>
        <v>#DIV/0!</v>
      </c>
      <c r="R153" s="54" t="n">
        <f aca="false">D153*F153</f>
        <v>0</v>
      </c>
      <c r="S153" s="47"/>
      <c r="U153" s="57" t="e">
        <f aca="false">ROUND(H153*100/P153-100,0)</f>
        <v>#DIV/0!</v>
      </c>
      <c r="V153" s="57" t="e">
        <f aca="false">ROUND(K153*100/P153-100,0)</f>
        <v>#DIV/0!</v>
      </c>
      <c r="W153" s="57" t="e">
        <f aca="false">ROUND(N153*100/P153-100,0)</f>
        <v>#DIV/0!</v>
      </c>
    </row>
    <row r="154" s="43" customFormat="true" ht="73.5" hidden="false" customHeight="true" outlineLevel="0" collapsed="false">
      <c r="A154" s="45" t="n">
        <v>143</v>
      </c>
      <c r="B154" s="145" t="s">
        <v>260</v>
      </c>
      <c r="C154" s="146" t="s">
        <v>45</v>
      </c>
      <c r="D154" s="147" t="n">
        <v>3</v>
      </c>
      <c r="E154" s="148" t="n">
        <v>395.42</v>
      </c>
      <c r="F154" s="50"/>
      <c r="G154" s="47"/>
      <c r="H154" s="53"/>
      <c r="I154" s="53" t="n">
        <f aca="false">D154*H154</f>
        <v>0</v>
      </c>
      <c r="J154" s="47"/>
      <c r="K154" s="53"/>
      <c r="L154" s="53" t="n">
        <f aca="false">D154*K154</f>
        <v>0</v>
      </c>
      <c r="M154" s="53"/>
      <c r="N154" s="53"/>
      <c r="O154" s="53" t="n">
        <f aca="false">D154*N154</f>
        <v>0</v>
      </c>
      <c r="P154" s="54" t="e">
        <f aca="false">AVERAGE(H154,K154,N154)</f>
        <v>#DIV/0!</v>
      </c>
      <c r="Q154" s="55" t="e">
        <f aca="false">F154*100/P154-100</f>
        <v>#DIV/0!</v>
      </c>
      <c r="R154" s="54" t="n">
        <f aca="false">D154*F154</f>
        <v>0</v>
      </c>
      <c r="S154" s="47"/>
      <c r="U154" s="57" t="e">
        <f aca="false">ROUND(H154*100/P154-100,0)</f>
        <v>#DIV/0!</v>
      </c>
      <c r="V154" s="57" t="e">
        <f aca="false">ROUND(K154*100/P154-100,0)</f>
        <v>#DIV/0!</v>
      </c>
      <c r="W154" s="57" t="e">
        <f aca="false">ROUND(N154*100/P154-100,0)</f>
        <v>#DIV/0!</v>
      </c>
    </row>
    <row r="155" s="43" customFormat="true" ht="73.5" hidden="false" customHeight="true" outlineLevel="0" collapsed="false">
      <c r="A155" s="45" t="n">
        <v>144</v>
      </c>
      <c r="B155" s="145" t="s">
        <v>262</v>
      </c>
      <c r="C155" s="146" t="s">
        <v>45</v>
      </c>
      <c r="D155" s="147" t="n">
        <v>4.8</v>
      </c>
      <c r="E155" s="148" t="n">
        <v>12311.49</v>
      </c>
      <c r="F155" s="50"/>
      <c r="G155" s="47"/>
      <c r="H155" s="53"/>
      <c r="I155" s="53" t="n">
        <f aca="false">D155*H155</f>
        <v>0</v>
      </c>
      <c r="J155" s="47"/>
      <c r="K155" s="53"/>
      <c r="L155" s="53" t="n">
        <f aca="false">D155*K155</f>
        <v>0</v>
      </c>
      <c r="M155" s="53"/>
      <c r="N155" s="53"/>
      <c r="O155" s="53" t="n">
        <f aca="false">D155*N155</f>
        <v>0</v>
      </c>
      <c r="P155" s="54" t="e">
        <f aca="false">AVERAGE(H155,K155,N155)</f>
        <v>#DIV/0!</v>
      </c>
      <c r="Q155" s="55" t="e">
        <f aca="false">F155*100/P155-100</f>
        <v>#DIV/0!</v>
      </c>
      <c r="R155" s="54" t="n">
        <f aca="false">D155*F155</f>
        <v>0</v>
      </c>
      <c r="S155" s="47"/>
      <c r="U155" s="57" t="e">
        <f aca="false">ROUND(H155*100/P155-100,0)</f>
        <v>#DIV/0!</v>
      </c>
      <c r="V155" s="57" t="e">
        <f aca="false">ROUND(K155*100/P155-100,0)</f>
        <v>#DIV/0!</v>
      </c>
      <c r="W155" s="57" t="e">
        <f aca="false">ROUND(N155*100/P155-100,0)</f>
        <v>#DIV/0!</v>
      </c>
    </row>
    <row r="156" s="43" customFormat="true" ht="73.5" hidden="false" customHeight="true" outlineLevel="0" collapsed="false">
      <c r="A156" s="45" t="n">
        <v>145</v>
      </c>
      <c r="B156" s="145" t="s">
        <v>263</v>
      </c>
      <c r="C156" s="146" t="s">
        <v>25</v>
      </c>
      <c r="D156" s="147" t="n">
        <v>69</v>
      </c>
      <c r="E156" s="148" t="n">
        <v>1431.87</v>
      </c>
      <c r="F156" s="50"/>
      <c r="G156" s="47"/>
      <c r="H156" s="53"/>
      <c r="I156" s="53" t="n">
        <f aca="false">D156*H156</f>
        <v>0</v>
      </c>
      <c r="J156" s="47"/>
      <c r="K156" s="53"/>
      <c r="L156" s="53" t="n">
        <f aca="false">D156*K156</f>
        <v>0</v>
      </c>
      <c r="M156" s="53"/>
      <c r="N156" s="53"/>
      <c r="O156" s="53" t="n">
        <f aca="false">D156*N156</f>
        <v>0</v>
      </c>
      <c r="P156" s="54" t="e">
        <f aca="false">AVERAGE(H156,K156,N156)</f>
        <v>#DIV/0!</v>
      </c>
      <c r="Q156" s="55" t="e">
        <f aca="false">F156*100/P156-100</f>
        <v>#DIV/0!</v>
      </c>
      <c r="R156" s="54" t="n">
        <f aca="false">D156*F156</f>
        <v>0</v>
      </c>
      <c r="S156" s="47"/>
      <c r="U156" s="57" t="e">
        <f aca="false">ROUND(H156*100/P156-100,0)</f>
        <v>#DIV/0!</v>
      </c>
      <c r="V156" s="57" t="e">
        <f aca="false">ROUND(K156*100/P156-100,0)</f>
        <v>#DIV/0!</v>
      </c>
      <c r="W156" s="57" t="e">
        <f aca="false">ROUND(N156*100/P156-100,0)</f>
        <v>#DIV/0!</v>
      </c>
    </row>
    <row r="157" s="43" customFormat="true" ht="73.5" hidden="false" customHeight="true" outlineLevel="0" collapsed="false">
      <c r="A157" s="45" t="n">
        <v>146</v>
      </c>
      <c r="B157" s="145" t="s">
        <v>266</v>
      </c>
      <c r="C157" s="146" t="s">
        <v>25</v>
      </c>
      <c r="D157" s="147" t="n">
        <v>100</v>
      </c>
      <c r="E157" s="148" t="n">
        <v>1.28</v>
      </c>
      <c r="F157" s="50"/>
      <c r="G157" s="47"/>
      <c r="H157" s="53"/>
      <c r="I157" s="53" t="n">
        <f aca="false">D157*H157</f>
        <v>0</v>
      </c>
      <c r="J157" s="47"/>
      <c r="K157" s="53"/>
      <c r="L157" s="53" t="n">
        <f aca="false">D157*K157</f>
        <v>0</v>
      </c>
      <c r="M157" s="53"/>
      <c r="N157" s="53"/>
      <c r="O157" s="53" t="n">
        <f aca="false">D157*N157</f>
        <v>0</v>
      </c>
      <c r="P157" s="54" t="e">
        <f aca="false">AVERAGE(H157,K157,N157)</f>
        <v>#DIV/0!</v>
      </c>
      <c r="Q157" s="55" t="e">
        <f aca="false">F157*100/P157-100</f>
        <v>#DIV/0!</v>
      </c>
      <c r="R157" s="54" t="n">
        <f aca="false">D157*F157</f>
        <v>0</v>
      </c>
      <c r="S157" s="47"/>
      <c r="U157" s="57" t="e">
        <f aca="false">ROUND(H157*100/P157-100,0)</f>
        <v>#DIV/0!</v>
      </c>
      <c r="V157" s="57" t="e">
        <f aca="false">ROUND(K157*100/P157-100,0)</f>
        <v>#DIV/0!</v>
      </c>
      <c r="W157" s="57" t="e">
        <f aca="false">ROUND(N157*100/P157-100,0)</f>
        <v>#DIV/0!</v>
      </c>
    </row>
    <row r="158" s="43" customFormat="true" ht="73.5" hidden="false" customHeight="true" outlineLevel="0" collapsed="false">
      <c r="A158" s="45" t="n">
        <v>147</v>
      </c>
      <c r="B158" s="145" t="s">
        <v>267</v>
      </c>
      <c r="C158" s="146" t="s">
        <v>25</v>
      </c>
      <c r="D158" s="147" t="n">
        <v>76</v>
      </c>
      <c r="E158" s="148" t="n">
        <v>22.15</v>
      </c>
      <c r="F158" s="50"/>
      <c r="G158" s="47"/>
      <c r="H158" s="53"/>
      <c r="I158" s="72" t="n">
        <f aca="false">D158*H158</f>
        <v>0</v>
      </c>
      <c r="J158" s="72"/>
      <c r="K158" s="72"/>
      <c r="L158" s="72" t="n">
        <f aca="false">D158*K158</f>
        <v>0</v>
      </c>
      <c r="M158" s="47"/>
      <c r="N158" s="72"/>
      <c r="O158" s="72" t="n">
        <f aca="false">D158*N158</f>
        <v>0</v>
      </c>
      <c r="P158" s="54" t="e">
        <f aca="false">AVERAGE(H158,K158,N158)</f>
        <v>#DIV/0!</v>
      </c>
      <c r="Q158" s="55" t="e">
        <f aca="false">F158*100/P158-100</f>
        <v>#DIV/0!</v>
      </c>
      <c r="R158" s="54" t="n">
        <f aca="false">D158*F158</f>
        <v>0</v>
      </c>
      <c r="S158" s="47"/>
      <c r="U158" s="57" t="e">
        <f aca="false">ROUND(H158*100/P158-100,0)</f>
        <v>#DIV/0!</v>
      </c>
      <c r="V158" s="57" t="e">
        <f aca="false">ROUND(K158*100/P158-100,0)</f>
        <v>#DIV/0!</v>
      </c>
      <c r="W158" s="57" t="e">
        <f aca="false">ROUND(N158*100/P158-100,0)</f>
        <v>#DIV/0!</v>
      </c>
    </row>
    <row r="159" s="43" customFormat="true" ht="73.5" hidden="false" customHeight="true" outlineLevel="0" collapsed="false">
      <c r="A159" s="45" t="n">
        <v>148</v>
      </c>
      <c r="B159" s="145" t="s">
        <v>268</v>
      </c>
      <c r="C159" s="146" t="s">
        <v>25</v>
      </c>
      <c r="D159" s="147" t="n">
        <v>8</v>
      </c>
      <c r="E159" s="148" t="n">
        <v>569.91</v>
      </c>
      <c r="F159" s="50"/>
      <c r="G159" s="47"/>
      <c r="H159" s="53"/>
      <c r="I159" s="72" t="n">
        <f aca="false">D159*H159</f>
        <v>0</v>
      </c>
      <c r="J159" s="72"/>
      <c r="K159" s="72"/>
      <c r="L159" s="72" t="n">
        <f aca="false">D159*K159</f>
        <v>0</v>
      </c>
      <c r="M159" s="47"/>
      <c r="N159" s="72"/>
      <c r="O159" s="72" t="n">
        <f aca="false">D159*N159</f>
        <v>0</v>
      </c>
      <c r="P159" s="54" t="e">
        <f aca="false">AVERAGE(H159,K159,N159)</f>
        <v>#DIV/0!</v>
      </c>
      <c r="Q159" s="55" t="e">
        <f aca="false">F159*100/P159-100</f>
        <v>#DIV/0!</v>
      </c>
      <c r="R159" s="54" t="n">
        <f aca="false">D159*F159</f>
        <v>0</v>
      </c>
      <c r="S159" s="47"/>
      <c r="U159" s="57" t="e">
        <f aca="false">ROUND(H159*100/P159-100,0)</f>
        <v>#DIV/0!</v>
      </c>
      <c r="V159" s="57" t="e">
        <f aca="false">ROUND(K159*100/P159-100,0)</f>
        <v>#DIV/0!</v>
      </c>
      <c r="W159" s="57" t="e">
        <f aca="false">ROUND(N159*100/P159-100,0)</f>
        <v>#DIV/0!</v>
      </c>
    </row>
    <row r="160" s="43" customFormat="true" ht="73.5" hidden="false" customHeight="true" outlineLevel="0" collapsed="false">
      <c r="A160" s="45" t="n">
        <v>149</v>
      </c>
      <c r="B160" s="145" t="s">
        <v>269</v>
      </c>
      <c r="C160" s="146" t="s">
        <v>45</v>
      </c>
      <c r="D160" s="147" t="n">
        <v>78</v>
      </c>
      <c r="E160" s="148" t="n">
        <v>4556.94</v>
      </c>
      <c r="F160" s="50"/>
      <c r="G160" s="47"/>
      <c r="H160" s="53"/>
      <c r="I160" s="72" t="n">
        <f aca="false">D160*H160</f>
        <v>0</v>
      </c>
      <c r="J160" s="72"/>
      <c r="K160" s="72"/>
      <c r="L160" s="72" t="n">
        <f aca="false">D160*K160</f>
        <v>0</v>
      </c>
      <c r="M160" s="47"/>
      <c r="N160" s="72"/>
      <c r="O160" s="72" t="n">
        <f aca="false">D160*N160</f>
        <v>0</v>
      </c>
      <c r="P160" s="54" t="e">
        <f aca="false">AVERAGE(H160,K160,N160)</f>
        <v>#DIV/0!</v>
      </c>
      <c r="Q160" s="55" t="e">
        <f aca="false">F160*100/P160-100</f>
        <v>#DIV/0!</v>
      </c>
      <c r="R160" s="54" t="n">
        <f aca="false">D160*F160</f>
        <v>0</v>
      </c>
      <c r="S160" s="47"/>
      <c r="U160" s="57" t="e">
        <f aca="false">ROUND(H160*100/P160-100,0)</f>
        <v>#DIV/0!</v>
      </c>
      <c r="V160" s="57" t="e">
        <f aca="false">ROUND(K160*100/P160-100,0)</f>
        <v>#DIV/0!</v>
      </c>
      <c r="W160" s="57" t="e">
        <f aca="false">ROUND(N160*100/P160-100,0)</f>
        <v>#DIV/0!</v>
      </c>
    </row>
    <row r="161" s="43" customFormat="true" ht="73.5" hidden="false" customHeight="true" outlineLevel="0" collapsed="false">
      <c r="A161" s="45" t="n">
        <v>150</v>
      </c>
      <c r="B161" s="145" t="s">
        <v>273</v>
      </c>
      <c r="C161" s="146" t="s">
        <v>45</v>
      </c>
      <c r="D161" s="147" t="n">
        <v>16</v>
      </c>
      <c r="E161" s="148" t="n">
        <v>1229.54</v>
      </c>
      <c r="F161" s="50"/>
      <c r="G161" s="47"/>
      <c r="H161" s="53"/>
      <c r="I161" s="53" t="n">
        <f aca="false">D161*H161</f>
        <v>0</v>
      </c>
      <c r="J161" s="47"/>
      <c r="K161" s="53"/>
      <c r="L161" s="53" t="n">
        <f aca="false">D161*K161</f>
        <v>0</v>
      </c>
      <c r="M161" s="53"/>
      <c r="N161" s="53"/>
      <c r="O161" s="53" t="n">
        <f aca="false">D161*N161</f>
        <v>0</v>
      </c>
      <c r="P161" s="54" t="e">
        <f aca="false">AVERAGE(H161,K161,N161)</f>
        <v>#DIV/0!</v>
      </c>
      <c r="Q161" s="55" t="e">
        <f aca="false">F161*100/P161-100</f>
        <v>#DIV/0!</v>
      </c>
      <c r="R161" s="54" t="n">
        <f aca="false">D161*F161</f>
        <v>0</v>
      </c>
      <c r="S161" s="72"/>
      <c r="U161" s="57" t="e">
        <f aca="false">ROUND(H161*100/P161-100,0)</f>
        <v>#DIV/0!</v>
      </c>
      <c r="V161" s="57" t="e">
        <f aca="false">ROUND(K161*100/P161-100,0)</f>
        <v>#DIV/0!</v>
      </c>
      <c r="W161" s="57" t="e">
        <f aca="false">ROUND(N161*100/P161-100,0)</f>
        <v>#DIV/0!</v>
      </c>
    </row>
    <row r="162" s="43" customFormat="true" ht="73.5" hidden="false" customHeight="true" outlineLevel="0" collapsed="false">
      <c r="A162" s="45" t="n">
        <v>151</v>
      </c>
      <c r="B162" s="145" t="s">
        <v>276</v>
      </c>
      <c r="C162" s="146" t="s">
        <v>53</v>
      </c>
      <c r="D162" s="147" t="n">
        <v>550</v>
      </c>
      <c r="E162" s="148" t="n">
        <v>482.37</v>
      </c>
      <c r="F162" s="50"/>
      <c r="G162" s="47"/>
      <c r="H162" s="53"/>
      <c r="I162" s="72" t="n">
        <f aca="false">D162*H162</f>
        <v>0</v>
      </c>
      <c r="J162" s="72"/>
      <c r="K162" s="72"/>
      <c r="L162" s="72" t="n">
        <f aca="false">D162*K162</f>
        <v>0</v>
      </c>
      <c r="M162" s="47"/>
      <c r="N162" s="72"/>
      <c r="O162" s="72" t="n">
        <f aca="false">D162*N162</f>
        <v>0</v>
      </c>
      <c r="P162" s="54" t="e">
        <f aca="false">AVERAGE(H162,K162,N162)</f>
        <v>#DIV/0!</v>
      </c>
      <c r="Q162" s="55" t="e">
        <f aca="false">F162*100/P162-100</f>
        <v>#DIV/0!</v>
      </c>
      <c r="R162" s="54" t="n">
        <f aca="false">D162*F162</f>
        <v>0</v>
      </c>
      <c r="S162" s="47"/>
      <c r="U162" s="57" t="e">
        <f aca="false">ROUND(H162*100/P162-100,0)</f>
        <v>#DIV/0!</v>
      </c>
      <c r="V162" s="57" t="e">
        <f aca="false">ROUND(K162*100/P162-100,0)</f>
        <v>#DIV/0!</v>
      </c>
      <c r="W162" s="57" t="e">
        <f aca="false">ROUND(N162*100/P162-100,0)</f>
        <v>#DIV/0!</v>
      </c>
    </row>
    <row r="163" s="43" customFormat="true" ht="73.5" hidden="false" customHeight="true" outlineLevel="0" collapsed="false">
      <c r="A163" s="45" t="n">
        <v>152</v>
      </c>
      <c r="B163" s="145" t="s">
        <v>279</v>
      </c>
      <c r="C163" s="146" t="s">
        <v>45</v>
      </c>
      <c r="D163" s="147" t="n">
        <v>0.4</v>
      </c>
      <c r="E163" s="148" t="n">
        <v>28855.3</v>
      </c>
      <c r="F163" s="50"/>
      <c r="G163" s="47"/>
      <c r="H163" s="53"/>
      <c r="I163" s="72" t="n">
        <f aca="false">D163*H163</f>
        <v>0</v>
      </c>
      <c r="J163" s="72"/>
      <c r="K163" s="72"/>
      <c r="L163" s="72" t="n">
        <f aca="false">D163*K163</f>
        <v>0</v>
      </c>
      <c r="M163" s="47"/>
      <c r="N163" s="72"/>
      <c r="O163" s="72" t="n">
        <f aca="false">D163*N163</f>
        <v>0</v>
      </c>
      <c r="P163" s="54" t="e">
        <f aca="false">AVERAGE(H163,K163,N163)</f>
        <v>#DIV/0!</v>
      </c>
      <c r="Q163" s="55" t="e">
        <f aca="false">F163*100/P163-100</f>
        <v>#DIV/0!</v>
      </c>
      <c r="R163" s="54" t="n">
        <f aca="false">D163*F163</f>
        <v>0</v>
      </c>
      <c r="S163" s="47"/>
      <c r="U163" s="57" t="e">
        <f aca="false">ROUND(H163*100/P163-100,0)</f>
        <v>#DIV/0!</v>
      </c>
      <c r="V163" s="57" t="e">
        <f aca="false">ROUND(K163*100/P163-100,0)</f>
        <v>#DIV/0!</v>
      </c>
      <c r="W163" s="57" t="e">
        <f aca="false">ROUND(N163*100/P163-100,0)</f>
        <v>#DIV/0!</v>
      </c>
    </row>
    <row r="164" s="43" customFormat="true" ht="73.5" hidden="false" customHeight="true" outlineLevel="0" collapsed="false">
      <c r="A164" s="45" t="n">
        <v>153</v>
      </c>
      <c r="B164" s="145" t="s">
        <v>282</v>
      </c>
      <c r="C164" s="146" t="s">
        <v>25</v>
      </c>
      <c r="D164" s="147" t="n">
        <v>10</v>
      </c>
      <c r="E164" s="148" t="n">
        <v>154.38</v>
      </c>
      <c r="F164" s="50"/>
      <c r="G164" s="47"/>
      <c r="H164" s="53"/>
      <c r="I164" s="72" t="n">
        <f aca="false">D164*H164</f>
        <v>0</v>
      </c>
      <c r="J164" s="72"/>
      <c r="K164" s="72"/>
      <c r="L164" s="72" t="n">
        <f aca="false">D164*K164</f>
        <v>0</v>
      </c>
      <c r="M164" s="72"/>
      <c r="N164" s="72"/>
      <c r="O164" s="72" t="n">
        <f aca="false">D164*N164</f>
        <v>0</v>
      </c>
      <c r="P164" s="54" t="e">
        <f aca="false">AVERAGE(H164,K164,N164)</f>
        <v>#DIV/0!</v>
      </c>
      <c r="Q164" s="55" t="e">
        <f aca="false">F164*100/P164-100</f>
        <v>#DIV/0!</v>
      </c>
      <c r="R164" s="54" t="n">
        <f aca="false">D164*F164</f>
        <v>0</v>
      </c>
      <c r="S164" s="47"/>
      <c r="U164" s="57" t="e">
        <f aca="false">ROUND(H164*100/P164-100,0)</f>
        <v>#DIV/0!</v>
      </c>
      <c r="V164" s="57" t="e">
        <f aca="false">ROUND(K164*100/P164-100,0)</f>
        <v>#DIV/0!</v>
      </c>
      <c r="W164" s="57" t="e">
        <f aca="false">ROUND(N164*100/P164-100,0)</f>
        <v>#DIV/0!</v>
      </c>
    </row>
    <row r="165" s="43" customFormat="true" ht="73.5" hidden="false" customHeight="true" outlineLevel="0" collapsed="false">
      <c r="A165" s="45" t="n">
        <v>154</v>
      </c>
      <c r="B165" s="145" t="s">
        <v>284</v>
      </c>
      <c r="C165" s="146" t="s">
        <v>25</v>
      </c>
      <c r="D165" s="147" t="n">
        <v>30</v>
      </c>
      <c r="E165" s="148" t="n">
        <v>37.02</v>
      </c>
      <c r="F165" s="50"/>
      <c r="G165" s="47"/>
      <c r="H165" s="53"/>
      <c r="I165" s="72" t="n">
        <f aca="false">D165*H165</f>
        <v>0</v>
      </c>
      <c r="J165" s="72"/>
      <c r="K165" s="72"/>
      <c r="L165" s="72" t="n">
        <f aca="false">D165*K165</f>
        <v>0</v>
      </c>
      <c r="M165" s="72"/>
      <c r="N165" s="72"/>
      <c r="O165" s="72" t="n">
        <f aca="false">D165*N165</f>
        <v>0</v>
      </c>
      <c r="P165" s="54" t="e">
        <f aca="false">AVERAGE(H165,K165,N165)</f>
        <v>#DIV/0!</v>
      </c>
      <c r="Q165" s="55" t="e">
        <f aca="false">F165*100/P165-100</f>
        <v>#DIV/0!</v>
      </c>
      <c r="R165" s="54" t="n">
        <f aca="false">D165*F165</f>
        <v>0</v>
      </c>
      <c r="S165" s="47"/>
      <c r="U165" s="57" t="e">
        <f aca="false">ROUND(H165*100/P165-100,0)</f>
        <v>#DIV/0!</v>
      </c>
      <c r="V165" s="57" t="e">
        <f aca="false">ROUND(K165*100/P165-100,0)</f>
        <v>#DIV/0!</v>
      </c>
      <c r="W165" s="57" t="e">
        <f aca="false">ROUND(N165*100/P165-100,0)</f>
        <v>#DIV/0!</v>
      </c>
    </row>
    <row r="166" s="43" customFormat="true" ht="73.5" hidden="false" customHeight="true" outlineLevel="0" collapsed="false">
      <c r="A166" s="45" t="n">
        <v>155</v>
      </c>
      <c r="B166" s="145" t="s">
        <v>285</v>
      </c>
      <c r="C166" s="146" t="s">
        <v>25</v>
      </c>
      <c r="D166" s="147" t="n">
        <v>37</v>
      </c>
      <c r="E166" s="148" t="n">
        <v>128.98</v>
      </c>
      <c r="F166" s="50"/>
      <c r="G166" s="47"/>
      <c r="H166" s="53"/>
      <c r="I166" s="53" t="n">
        <f aca="false">D166*H166</f>
        <v>0</v>
      </c>
      <c r="J166" s="47"/>
      <c r="K166" s="53"/>
      <c r="L166" s="53" t="n">
        <f aca="false">D166*K166</f>
        <v>0</v>
      </c>
      <c r="M166" s="47"/>
      <c r="N166" s="53"/>
      <c r="O166" s="53" t="n">
        <f aca="false">D166*N166</f>
        <v>0</v>
      </c>
      <c r="P166" s="54" t="e">
        <f aca="false">AVERAGE(H166,K166,N166)</f>
        <v>#DIV/0!</v>
      </c>
      <c r="Q166" s="55" t="e">
        <f aca="false">F166*100/P166-100</f>
        <v>#DIV/0!</v>
      </c>
      <c r="R166" s="54" t="n">
        <f aca="false">D166*F166</f>
        <v>0</v>
      </c>
      <c r="S166" s="47"/>
      <c r="U166" s="57" t="e">
        <f aca="false">ROUND(H166*100/P166-100,0)</f>
        <v>#DIV/0!</v>
      </c>
      <c r="V166" s="57" t="e">
        <f aca="false">ROUND(K166*100/P166-100,0)</f>
        <v>#DIV/0!</v>
      </c>
      <c r="W166" s="57" t="e">
        <f aca="false">ROUND(N166*100/P166-100,0)</f>
        <v>#DIV/0!</v>
      </c>
    </row>
    <row r="167" s="43" customFormat="true" ht="73.5" hidden="false" customHeight="true" outlineLevel="0" collapsed="false">
      <c r="A167" s="45" t="n">
        <v>156</v>
      </c>
      <c r="B167" s="145" t="s">
        <v>287</v>
      </c>
      <c r="C167" s="146" t="s">
        <v>25</v>
      </c>
      <c r="D167" s="147" t="n">
        <v>1</v>
      </c>
      <c r="E167" s="148" t="n">
        <v>1705.34</v>
      </c>
      <c r="F167" s="50"/>
      <c r="G167" s="149"/>
      <c r="H167" s="53"/>
      <c r="I167" s="53" t="n">
        <f aca="false">D167*H167</f>
        <v>0</v>
      </c>
      <c r="J167" s="47"/>
      <c r="K167" s="53"/>
      <c r="L167" s="53" t="n">
        <f aca="false">D167*K167</f>
        <v>0</v>
      </c>
      <c r="M167" s="47"/>
      <c r="N167" s="53"/>
      <c r="O167" s="150" t="n">
        <f aca="false">D167*N167</f>
        <v>0</v>
      </c>
      <c r="P167" s="54" t="e">
        <f aca="false">AVERAGE(H167,K167,N167)</f>
        <v>#DIV/0!</v>
      </c>
      <c r="Q167" s="151" t="e">
        <f aca="false">F167*100/P167-100</f>
        <v>#DIV/0!</v>
      </c>
      <c r="R167" s="54" t="n">
        <f aca="false">D167*F167</f>
        <v>0</v>
      </c>
      <c r="S167" s="47"/>
      <c r="U167" s="57" t="e">
        <f aca="false">ROUND(H167*100/P167-100,0)</f>
        <v>#DIV/0!</v>
      </c>
      <c r="V167" s="57" t="e">
        <f aca="false">ROUND(K167*100/P167-100,0)</f>
        <v>#DIV/0!</v>
      </c>
      <c r="W167" s="57" t="e">
        <f aca="false">ROUND(N167*100/P167-100,0)</f>
        <v>#DIV/0!</v>
      </c>
    </row>
    <row r="168" s="43" customFormat="true" ht="73.5" hidden="false" customHeight="true" outlineLevel="0" collapsed="false">
      <c r="A168" s="45" t="n">
        <v>157</v>
      </c>
      <c r="B168" s="145" t="s">
        <v>550</v>
      </c>
      <c r="C168" s="146" t="s">
        <v>25</v>
      </c>
      <c r="D168" s="147" t="n">
        <v>75</v>
      </c>
      <c r="E168" s="148" t="s">
        <v>504</v>
      </c>
      <c r="F168" s="50"/>
      <c r="G168" s="47"/>
      <c r="H168" s="53"/>
      <c r="I168" s="53" t="n">
        <f aca="false">D168*H168</f>
        <v>0</v>
      </c>
      <c r="J168" s="47"/>
      <c r="K168" s="53"/>
      <c r="L168" s="53" t="n">
        <f aca="false">D168*K168</f>
        <v>0</v>
      </c>
      <c r="M168" s="47"/>
      <c r="N168" s="53"/>
      <c r="O168" s="53" t="n">
        <f aca="false">D168*N168</f>
        <v>0</v>
      </c>
      <c r="P168" s="54" t="e">
        <f aca="false">AVERAGE(H168,K168,N168)</f>
        <v>#DIV/0!</v>
      </c>
      <c r="Q168" s="55" t="e">
        <f aca="false">F168*100/P168-100</f>
        <v>#DIV/0!</v>
      </c>
      <c r="R168" s="54" t="n">
        <f aca="false">D168*F168</f>
        <v>0</v>
      </c>
      <c r="S168" s="72"/>
      <c r="U168" s="57" t="e">
        <f aca="false">ROUND(H168*100/P168-100,0)</f>
        <v>#DIV/0!</v>
      </c>
      <c r="V168" s="57" t="e">
        <f aca="false">ROUND(K168*100/P168-100,0)</f>
        <v>#DIV/0!</v>
      </c>
      <c r="W168" s="57" t="e">
        <f aca="false">ROUND(N168*100/P168-100,0)</f>
        <v>#DIV/0!</v>
      </c>
    </row>
    <row r="169" s="43" customFormat="true" ht="82.5" hidden="false" customHeight="true" outlineLevel="0" collapsed="false">
      <c r="A169" s="45" t="n">
        <v>158</v>
      </c>
      <c r="B169" s="145" t="s">
        <v>289</v>
      </c>
      <c r="C169" s="146" t="s">
        <v>25</v>
      </c>
      <c r="D169" s="147" t="n">
        <v>36</v>
      </c>
      <c r="E169" s="148" t="n">
        <v>39.04</v>
      </c>
      <c r="F169" s="50"/>
      <c r="G169" s="149"/>
      <c r="H169" s="53"/>
      <c r="I169" s="53" t="n">
        <f aca="false">D169*H169</f>
        <v>0</v>
      </c>
      <c r="J169" s="47"/>
      <c r="K169" s="53"/>
      <c r="L169" s="53" t="n">
        <f aca="false">D169*K169</f>
        <v>0</v>
      </c>
      <c r="M169" s="47"/>
      <c r="N169" s="53"/>
      <c r="O169" s="150" t="n">
        <f aca="false">D169*N169</f>
        <v>0</v>
      </c>
      <c r="P169" s="54" t="e">
        <f aca="false">AVERAGE(H169,K169,N169)</f>
        <v>#DIV/0!</v>
      </c>
      <c r="Q169" s="151" t="e">
        <f aca="false">F169*100/P169-100</f>
        <v>#DIV/0!</v>
      </c>
      <c r="R169" s="54" t="n">
        <f aca="false">D169*F169</f>
        <v>0</v>
      </c>
      <c r="S169" s="47"/>
      <c r="U169" s="57" t="e">
        <f aca="false">ROUND(H169*100/P169-100,0)</f>
        <v>#DIV/0!</v>
      </c>
      <c r="V169" s="57" t="e">
        <f aca="false">ROUND(K169*100/P169-100,0)</f>
        <v>#DIV/0!</v>
      </c>
      <c r="W169" s="57" t="e">
        <f aca="false">ROUND(N169*100/P169-100,0)</f>
        <v>#DIV/0!</v>
      </c>
    </row>
    <row r="170" s="43" customFormat="true" ht="87" hidden="false" customHeight="true" outlineLevel="0" collapsed="false">
      <c r="A170" s="45" t="n">
        <v>159</v>
      </c>
      <c r="B170" s="145" t="s">
        <v>290</v>
      </c>
      <c r="C170" s="146" t="s">
        <v>45</v>
      </c>
      <c r="D170" s="147" t="n">
        <v>8</v>
      </c>
      <c r="E170" s="148" t="n">
        <v>592.47</v>
      </c>
      <c r="F170" s="50"/>
      <c r="G170" s="149"/>
      <c r="H170" s="53"/>
      <c r="I170" s="53" t="n">
        <f aca="false">D170*H170</f>
        <v>0</v>
      </c>
      <c r="J170" s="47"/>
      <c r="K170" s="53"/>
      <c r="L170" s="53" t="n">
        <f aca="false">D170*K170</f>
        <v>0</v>
      </c>
      <c r="M170" s="47"/>
      <c r="N170" s="53"/>
      <c r="O170" s="150" t="n">
        <f aca="false">D170*N170</f>
        <v>0</v>
      </c>
      <c r="P170" s="54" t="e">
        <f aca="false">AVERAGE(H170,K170,N170)</f>
        <v>#DIV/0!</v>
      </c>
      <c r="Q170" s="151" t="e">
        <f aca="false">F170*100/P170-100</f>
        <v>#DIV/0!</v>
      </c>
      <c r="R170" s="54" t="n">
        <f aca="false">D170*F170</f>
        <v>0</v>
      </c>
      <c r="S170" s="47"/>
      <c r="U170" s="57" t="e">
        <f aca="false">ROUND(H170*100/P170-100,0)</f>
        <v>#DIV/0!</v>
      </c>
      <c r="V170" s="57" t="e">
        <f aca="false">ROUND(K170*100/P170-100,0)</f>
        <v>#DIV/0!</v>
      </c>
      <c r="W170" s="57" t="e">
        <f aca="false">ROUND(N170*100/P170-100,0)</f>
        <v>#DIV/0!</v>
      </c>
    </row>
    <row r="171" s="43" customFormat="true" ht="73.5" hidden="false" customHeight="true" outlineLevel="0" collapsed="false">
      <c r="A171" s="45" t="n">
        <v>160</v>
      </c>
      <c r="B171" s="145" t="s">
        <v>291</v>
      </c>
      <c r="C171" s="146" t="s">
        <v>292</v>
      </c>
      <c r="D171" s="147" t="n">
        <v>532</v>
      </c>
      <c r="E171" s="148" t="n">
        <v>53.08</v>
      </c>
      <c r="F171" s="50"/>
      <c r="G171" s="149"/>
      <c r="H171" s="53"/>
      <c r="I171" s="53" t="n">
        <f aca="false">D171*H171</f>
        <v>0</v>
      </c>
      <c r="J171" s="47"/>
      <c r="K171" s="53"/>
      <c r="L171" s="53" t="n">
        <f aca="false">D171*K171</f>
        <v>0</v>
      </c>
      <c r="M171" s="47"/>
      <c r="N171" s="53"/>
      <c r="O171" s="150" t="n">
        <f aca="false">D171*N171</f>
        <v>0</v>
      </c>
      <c r="P171" s="54" t="e">
        <f aca="false">AVERAGE(H171,K171,N171)</f>
        <v>#DIV/0!</v>
      </c>
      <c r="Q171" s="151" t="e">
        <f aca="false">F171*100/P171-100</f>
        <v>#DIV/0!</v>
      </c>
      <c r="R171" s="54" t="n">
        <f aca="false">D171*F171</f>
        <v>0</v>
      </c>
      <c r="S171" s="47"/>
      <c r="U171" s="57" t="e">
        <f aca="false">ROUND(H171*100/P171-100,0)</f>
        <v>#DIV/0!</v>
      </c>
      <c r="V171" s="57" t="e">
        <f aca="false">ROUND(K171*100/P171-100,0)</f>
        <v>#DIV/0!</v>
      </c>
      <c r="W171" s="57" t="e">
        <f aca="false">ROUND(N171*100/P171-100,0)</f>
        <v>#DIV/0!</v>
      </c>
    </row>
    <row r="172" s="43" customFormat="true" ht="73.5" hidden="false" customHeight="true" outlineLevel="0" collapsed="false">
      <c r="A172" s="45" t="n">
        <v>161</v>
      </c>
      <c r="B172" s="145" t="s">
        <v>296</v>
      </c>
      <c r="C172" s="146" t="s">
        <v>25</v>
      </c>
      <c r="D172" s="147" t="n">
        <v>14</v>
      </c>
      <c r="E172" s="148" t="n">
        <v>402.64</v>
      </c>
      <c r="F172" s="50"/>
      <c r="G172" s="149"/>
      <c r="H172" s="53"/>
      <c r="I172" s="53" t="n">
        <f aca="false">D172*H172</f>
        <v>0</v>
      </c>
      <c r="J172" s="47"/>
      <c r="K172" s="53"/>
      <c r="L172" s="53" t="n">
        <f aca="false">D172*K172</f>
        <v>0</v>
      </c>
      <c r="M172" s="47"/>
      <c r="N172" s="53"/>
      <c r="O172" s="150" t="n">
        <f aca="false">D172*N172</f>
        <v>0</v>
      </c>
      <c r="P172" s="54" t="e">
        <f aca="false">AVERAGE(H172,K172,N172)</f>
        <v>#DIV/0!</v>
      </c>
      <c r="Q172" s="151" t="e">
        <f aca="false">F172*100/P172-100</f>
        <v>#DIV/0!</v>
      </c>
      <c r="R172" s="54" t="n">
        <f aca="false">D172*F172</f>
        <v>0</v>
      </c>
      <c r="S172" s="47"/>
      <c r="U172" s="57" t="e">
        <f aca="false">ROUND(H172*100/P172-100,0)</f>
        <v>#DIV/0!</v>
      </c>
      <c r="V172" s="57" t="e">
        <f aca="false">ROUND(K172*100/P172-100,0)</f>
        <v>#DIV/0!</v>
      </c>
      <c r="W172" s="57" t="e">
        <f aca="false">ROUND(N172*100/P172-100,0)</f>
        <v>#DIV/0!</v>
      </c>
    </row>
    <row r="173" s="43" customFormat="true" ht="64.5" hidden="false" customHeight="true" outlineLevel="0" collapsed="false">
      <c r="A173" s="45" t="n">
        <v>162</v>
      </c>
      <c r="B173" s="145" t="s">
        <v>301</v>
      </c>
      <c r="C173" s="146" t="s">
        <v>25</v>
      </c>
      <c r="D173" s="147" t="n">
        <v>10</v>
      </c>
      <c r="E173" s="148" t="n">
        <v>1017.48</v>
      </c>
      <c r="F173" s="50"/>
      <c r="G173" s="47"/>
      <c r="H173" s="53"/>
      <c r="I173" s="53" t="n">
        <f aca="false">D173*H173</f>
        <v>0</v>
      </c>
      <c r="J173" s="53"/>
      <c r="K173" s="53"/>
      <c r="L173" s="53" t="n">
        <f aca="false">D173*K173</f>
        <v>0</v>
      </c>
      <c r="M173" s="47"/>
      <c r="N173" s="53"/>
      <c r="O173" s="53" t="n">
        <f aca="false">D173*N173</f>
        <v>0</v>
      </c>
      <c r="P173" s="54" t="e">
        <f aca="false">AVERAGE(H173,K173,N173)</f>
        <v>#DIV/0!</v>
      </c>
      <c r="Q173" s="55" t="e">
        <f aca="false">F173*100/P173-100</f>
        <v>#DIV/0!</v>
      </c>
      <c r="R173" s="54" t="n">
        <f aca="false">D173*F173</f>
        <v>0</v>
      </c>
      <c r="S173" s="47"/>
      <c r="U173" s="57" t="e">
        <f aca="false">ROUND(H173*100/P173-100,0)</f>
        <v>#DIV/0!</v>
      </c>
      <c r="V173" s="57" t="e">
        <f aca="false">ROUND(K173*100/P173-100,0)</f>
        <v>#DIV/0!</v>
      </c>
      <c r="W173" s="57" t="e">
        <f aca="false">ROUND(N173*100/P173-100,0)</f>
        <v>#DIV/0!</v>
      </c>
    </row>
    <row r="174" s="43" customFormat="true" ht="73.5" hidden="false" customHeight="true" outlineLevel="0" collapsed="false">
      <c r="A174" s="45" t="n">
        <v>163</v>
      </c>
      <c r="B174" s="145" t="s">
        <v>306</v>
      </c>
      <c r="C174" s="146" t="s">
        <v>25</v>
      </c>
      <c r="D174" s="147" t="n">
        <v>12</v>
      </c>
      <c r="E174" s="148" t="n">
        <v>19950.74</v>
      </c>
      <c r="F174" s="50"/>
      <c r="G174" s="53"/>
      <c r="H174" s="53"/>
      <c r="I174" s="53" t="n">
        <f aca="false">D174*H174</f>
        <v>0</v>
      </c>
      <c r="J174" s="47"/>
      <c r="K174" s="53"/>
      <c r="L174" s="53" t="n">
        <f aca="false">D174*K174</f>
        <v>0</v>
      </c>
      <c r="M174" s="47"/>
      <c r="N174" s="53"/>
      <c r="O174" s="53" t="n">
        <f aca="false">D174*N174</f>
        <v>0</v>
      </c>
      <c r="P174" s="54" t="e">
        <f aca="false">AVERAGE(H174,K174,N174)</f>
        <v>#DIV/0!</v>
      </c>
      <c r="Q174" s="55" t="e">
        <f aca="false">F174*100/P174-100</f>
        <v>#DIV/0!</v>
      </c>
      <c r="R174" s="54" t="n">
        <f aca="false">D174*F174</f>
        <v>0</v>
      </c>
      <c r="S174" s="47"/>
      <c r="U174" s="57" t="e">
        <f aca="false">ROUND(H174*100/P174-100,0)</f>
        <v>#DIV/0!</v>
      </c>
      <c r="V174" s="57" t="e">
        <f aca="false">ROUND(K174*100/P174-100,0)</f>
        <v>#DIV/0!</v>
      </c>
      <c r="W174" s="57" t="e">
        <f aca="false">ROUND(N174*100/P174-100,0)</f>
        <v>#DIV/0!</v>
      </c>
    </row>
    <row r="175" s="43" customFormat="true" ht="73.5" hidden="false" customHeight="true" outlineLevel="0" collapsed="false">
      <c r="A175" s="45" t="n">
        <v>164</v>
      </c>
      <c r="B175" s="145" t="s">
        <v>551</v>
      </c>
      <c r="C175" s="146" t="s">
        <v>25</v>
      </c>
      <c r="D175" s="147" t="n">
        <v>4</v>
      </c>
      <c r="E175" s="148" t="s">
        <v>504</v>
      </c>
      <c r="F175" s="50"/>
      <c r="G175" s="47"/>
      <c r="H175" s="53"/>
      <c r="I175" s="53" t="n">
        <f aca="false">D175*H175</f>
        <v>0</v>
      </c>
      <c r="J175" s="53"/>
      <c r="K175" s="53"/>
      <c r="L175" s="53" t="n">
        <f aca="false">D175*K175</f>
        <v>0</v>
      </c>
      <c r="M175" s="47"/>
      <c r="N175" s="53"/>
      <c r="O175" s="53" t="n">
        <f aca="false">D175*N175</f>
        <v>0</v>
      </c>
      <c r="P175" s="54" t="e">
        <f aca="false">AVERAGE(H175,K175,N175)</f>
        <v>#DIV/0!</v>
      </c>
      <c r="Q175" s="55" t="e">
        <f aca="false">F175*100/P175-100</f>
        <v>#DIV/0!</v>
      </c>
      <c r="R175" s="54" t="n">
        <f aca="false">D175*F175</f>
        <v>0</v>
      </c>
      <c r="S175" s="47"/>
      <c r="U175" s="57" t="e">
        <f aca="false">ROUND(H175*100/P175-100,0)</f>
        <v>#DIV/0!</v>
      </c>
      <c r="V175" s="57" t="e">
        <f aca="false">ROUND(K175*100/P175-100,0)</f>
        <v>#DIV/0!</v>
      </c>
      <c r="W175" s="57" t="e">
        <f aca="false">ROUND(N175*100/P175-100,0)</f>
        <v>#DIV/0!</v>
      </c>
    </row>
    <row r="176" s="43" customFormat="true" ht="73.5" hidden="false" customHeight="true" outlineLevel="0" collapsed="false">
      <c r="A176" s="45" t="n">
        <v>165</v>
      </c>
      <c r="B176" s="145" t="s">
        <v>310</v>
      </c>
      <c r="C176" s="146" t="s">
        <v>81</v>
      </c>
      <c r="D176" s="147" t="n">
        <v>4864</v>
      </c>
      <c r="E176" s="148" t="n">
        <v>83.4</v>
      </c>
      <c r="F176" s="50"/>
      <c r="G176" s="47"/>
      <c r="H176" s="53"/>
      <c r="I176" s="53" t="n">
        <f aca="false">D176*H176</f>
        <v>0</v>
      </c>
      <c r="J176" s="53"/>
      <c r="K176" s="53"/>
      <c r="L176" s="53" t="n">
        <f aca="false">D176*K176</f>
        <v>0</v>
      </c>
      <c r="M176" s="47"/>
      <c r="N176" s="53"/>
      <c r="O176" s="53" t="n">
        <f aca="false">D176*N176</f>
        <v>0</v>
      </c>
      <c r="P176" s="54" t="e">
        <f aca="false">AVERAGE(H176,K176,N176)</f>
        <v>#DIV/0!</v>
      </c>
      <c r="Q176" s="55" t="e">
        <f aca="false">F176*100/P176-100</f>
        <v>#DIV/0!</v>
      </c>
      <c r="R176" s="54" t="n">
        <f aca="false">D176*F176</f>
        <v>0</v>
      </c>
      <c r="S176" s="47"/>
      <c r="U176" s="57" t="e">
        <f aca="false">ROUND(H176*100/P176-100,0)</f>
        <v>#DIV/0!</v>
      </c>
      <c r="V176" s="57" t="e">
        <f aca="false">ROUND(K176*100/P176-100,0)</f>
        <v>#DIV/0!</v>
      </c>
      <c r="W176" s="57" t="e">
        <f aca="false">ROUND(N176*100/P176-100,0)</f>
        <v>#DIV/0!</v>
      </c>
    </row>
    <row r="177" s="43" customFormat="true" ht="73.5" hidden="false" customHeight="true" outlineLevel="0" collapsed="false">
      <c r="A177" s="45" t="n">
        <v>166</v>
      </c>
      <c r="B177" s="145" t="s">
        <v>313</v>
      </c>
      <c r="C177" s="146" t="s">
        <v>25</v>
      </c>
      <c r="D177" s="147" t="n">
        <v>3</v>
      </c>
      <c r="E177" s="148" t="n">
        <v>3621.37</v>
      </c>
      <c r="F177" s="50"/>
      <c r="G177" s="47"/>
      <c r="H177" s="53"/>
      <c r="I177" s="53" t="n">
        <f aca="false">D177*H177</f>
        <v>0</v>
      </c>
      <c r="J177" s="53"/>
      <c r="K177" s="53"/>
      <c r="L177" s="53" t="n">
        <f aca="false">D177*K177</f>
        <v>0</v>
      </c>
      <c r="M177" s="47"/>
      <c r="N177" s="53"/>
      <c r="O177" s="53" t="n">
        <f aca="false">D177*N177</f>
        <v>0</v>
      </c>
      <c r="P177" s="54" t="e">
        <f aca="false">AVERAGE(H177,K177,N177)</f>
        <v>#DIV/0!</v>
      </c>
      <c r="Q177" s="55" t="e">
        <f aca="false">F177*100/P177-100</f>
        <v>#DIV/0!</v>
      </c>
      <c r="R177" s="54" t="n">
        <f aca="false">D177*F177</f>
        <v>0</v>
      </c>
      <c r="S177" s="47"/>
      <c r="U177" s="57" t="e">
        <f aca="false">ROUND(H177*100/P177-100,0)</f>
        <v>#DIV/0!</v>
      </c>
      <c r="V177" s="57" t="e">
        <f aca="false">ROUND(K177*100/P177-100,0)</f>
        <v>#DIV/0!</v>
      </c>
      <c r="W177" s="57" t="e">
        <f aca="false">ROUND(N177*100/P177-100,0)</f>
        <v>#DIV/0!</v>
      </c>
    </row>
    <row r="178" s="43" customFormat="true" ht="73.5" hidden="false" customHeight="true" outlineLevel="0" collapsed="false">
      <c r="A178" s="45" t="n">
        <v>167</v>
      </c>
      <c r="B178" s="145" t="s">
        <v>314</v>
      </c>
      <c r="C178" s="146" t="s">
        <v>25</v>
      </c>
      <c r="D178" s="147" t="n">
        <v>4</v>
      </c>
      <c r="E178" s="148" t="n">
        <v>5811.74</v>
      </c>
      <c r="F178" s="50"/>
      <c r="G178" s="47"/>
      <c r="H178" s="53"/>
      <c r="I178" s="53" t="n">
        <f aca="false">D178*H178</f>
        <v>0</v>
      </c>
      <c r="J178" s="53"/>
      <c r="K178" s="53"/>
      <c r="L178" s="53" t="n">
        <f aca="false">D178*K178</f>
        <v>0</v>
      </c>
      <c r="M178" s="47"/>
      <c r="N178" s="53"/>
      <c r="O178" s="53" t="n">
        <f aca="false">D178*N178</f>
        <v>0</v>
      </c>
      <c r="P178" s="54" t="e">
        <f aca="false">AVERAGE(H178,K178,N178)</f>
        <v>#DIV/0!</v>
      </c>
      <c r="Q178" s="55" t="e">
        <f aca="false">F178*100/P178-100</f>
        <v>#DIV/0!</v>
      </c>
      <c r="R178" s="54" t="n">
        <f aca="false">D178*F178</f>
        <v>0</v>
      </c>
      <c r="S178" s="47"/>
      <c r="U178" s="57" t="e">
        <f aca="false">ROUND(H178*100/P178-100,0)</f>
        <v>#DIV/0!</v>
      </c>
      <c r="V178" s="57" t="e">
        <f aca="false">ROUND(K178*100/P178-100,0)</f>
        <v>#DIV/0!</v>
      </c>
      <c r="W178" s="57" t="e">
        <f aca="false">ROUND(N178*100/P178-100,0)</f>
        <v>#DIV/0!</v>
      </c>
    </row>
    <row r="179" s="43" customFormat="true" ht="73.5" hidden="false" customHeight="true" outlineLevel="0" collapsed="false">
      <c r="A179" s="45" t="n">
        <v>168</v>
      </c>
      <c r="B179" s="145" t="s">
        <v>315</v>
      </c>
      <c r="C179" s="146" t="s">
        <v>25</v>
      </c>
      <c r="D179" s="147" t="n">
        <v>4</v>
      </c>
      <c r="E179" s="148" t="n">
        <v>292.47</v>
      </c>
      <c r="F179" s="50"/>
      <c r="G179" s="47"/>
      <c r="H179" s="53"/>
      <c r="I179" s="53" t="n">
        <f aca="false">D179*H179</f>
        <v>0</v>
      </c>
      <c r="J179" s="53"/>
      <c r="K179" s="53"/>
      <c r="L179" s="53" t="n">
        <f aca="false">D179*K179</f>
        <v>0</v>
      </c>
      <c r="M179" s="47"/>
      <c r="N179" s="53"/>
      <c r="O179" s="53" t="n">
        <f aca="false">D179*N179</f>
        <v>0</v>
      </c>
      <c r="P179" s="54" t="e">
        <f aca="false">AVERAGE(H179,K179,N179)</f>
        <v>#DIV/0!</v>
      </c>
      <c r="Q179" s="55" t="e">
        <f aca="false">F179*100/P179-100</f>
        <v>#DIV/0!</v>
      </c>
      <c r="R179" s="54" t="n">
        <f aca="false">D179*F179</f>
        <v>0</v>
      </c>
      <c r="S179" s="47"/>
      <c r="U179" s="57" t="e">
        <f aca="false">ROUND(H179*100/P179-100,0)</f>
        <v>#DIV/0!</v>
      </c>
      <c r="V179" s="57" t="e">
        <f aca="false">ROUND(K179*100/P179-100,0)</f>
        <v>#DIV/0!</v>
      </c>
      <c r="W179" s="57" t="e">
        <f aca="false">ROUND(N179*100/P179-100,0)</f>
        <v>#DIV/0!</v>
      </c>
    </row>
    <row r="180" s="43" customFormat="true" ht="73.5" hidden="false" customHeight="true" outlineLevel="0" collapsed="false">
      <c r="A180" s="45" t="n">
        <v>169</v>
      </c>
      <c r="B180" s="145" t="s">
        <v>316</v>
      </c>
      <c r="C180" s="146" t="s">
        <v>25</v>
      </c>
      <c r="D180" s="147" t="n">
        <v>5</v>
      </c>
      <c r="E180" s="148" t="n">
        <v>563.94</v>
      </c>
      <c r="F180" s="50"/>
      <c r="G180" s="47"/>
      <c r="H180" s="53"/>
      <c r="I180" s="53" t="n">
        <f aca="false">D180*H180</f>
        <v>0</v>
      </c>
      <c r="J180" s="53"/>
      <c r="K180" s="53"/>
      <c r="L180" s="53" t="n">
        <f aca="false">D180*K180</f>
        <v>0</v>
      </c>
      <c r="M180" s="47"/>
      <c r="N180" s="53"/>
      <c r="O180" s="53" t="n">
        <f aca="false">D180*N180</f>
        <v>0</v>
      </c>
      <c r="P180" s="54" t="e">
        <f aca="false">AVERAGE(H180,K180,N180)</f>
        <v>#DIV/0!</v>
      </c>
      <c r="Q180" s="55" t="e">
        <f aca="false">F180*100/P180-100</f>
        <v>#DIV/0!</v>
      </c>
      <c r="R180" s="54" t="n">
        <f aca="false">D180*F180</f>
        <v>0</v>
      </c>
      <c r="S180" s="47"/>
      <c r="U180" s="57" t="e">
        <f aca="false">ROUND(H180*100/P180-100,0)</f>
        <v>#DIV/0!</v>
      </c>
      <c r="V180" s="57" t="e">
        <f aca="false">ROUND(K180*100/P180-100,0)</f>
        <v>#DIV/0!</v>
      </c>
      <c r="W180" s="57" t="e">
        <f aca="false">ROUND(N180*100/P180-100,0)</f>
        <v>#DIV/0!</v>
      </c>
    </row>
    <row r="181" s="43" customFormat="true" ht="73.5" hidden="false" customHeight="true" outlineLevel="0" collapsed="false">
      <c r="A181" s="45" t="n">
        <v>170</v>
      </c>
      <c r="B181" s="145" t="s">
        <v>317</v>
      </c>
      <c r="C181" s="146" t="s">
        <v>25</v>
      </c>
      <c r="D181" s="147" t="n">
        <v>11</v>
      </c>
      <c r="E181" s="148" t="n">
        <v>1331.15</v>
      </c>
      <c r="F181" s="50"/>
      <c r="G181" s="47"/>
      <c r="H181" s="53"/>
      <c r="I181" s="72" t="n">
        <f aca="false">D181*H181</f>
        <v>0</v>
      </c>
      <c r="J181" s="72"/>
      <c r="K181" s="72"/>
      <c r="L181" s="72" t="n">
        <f aca="false">D181*K181</f>
        <v>0</v>
      </c>
      <c r="M181" s="72"/>
      <c r="N181" s="72"/>
      <c r="O181" s="72" t="n">
        <f aca="false">D181*N181</f>
        <v>0</v>
      </c>
      <c r="P181" s="54" t="e">
        <f aca="false">AVERAGE(H181,K181,N181)</f>
        <v>#DIV/0!</v>
      </c>
      <c r="Q181" s="55" t="e">
        <f aca="false">F181*100/P181-100</f>
        <v>#DIV/0!</v>
      </c>
      <c r="R181" s="54" t="n">
        <f aca="false">D181*F181</f>
        <v>0</v>
      </c>
      <c r="S181" s="47"/>
      <c r="U181" s="57" t="e">
        <f aca="false">ROUND(H181*100/P181-100,0)</f>
        <v>#DIV/0!</v>
      </c>
      <c r="V181" s="57" t="e">
        <f aca="false">ROUND(K181*100/P181-100,0)</f>
        <v>#DIV/0!</v>
      </c>
      <c r="W181" s="57" t="e">
        <f aca="false">ROUND(N181*100/P181-100,0)</f>
        <v>#DIV/0!</v>
      </c>
    </row>
    <row r="182" s="43" customFormat="true" ht="73.5" hidden="false" customHeight="true" outlineLevel="0" collapsed="false">
      <c r="A182" s="45" t="n">
        <v>171</v>
      </c>
      <c r="B182" s="145" t="s">
        <v>318</v>
      </c>
      <c r="C182" s="146" t="s">
        <v>147</v>
      </c>
      <c r="D182" s="147" t="n">
        <v>80</v>
      </c>
      <c r="E182" s="148" t="n">
        <v>104.48</v>
      </c>
      <c r="F182" s="50"/>
      <c r="G182" s="149"/>
      <c r="H182" s="53"/>
      <c r="I182" s="53" t="n">
        <f aca="false">D182*H182</f>
        <v>0</v>
      </c>
      <c r="J182" s="47"/>
      <c r="K182" s="53"/>
      <c r="L182" s="53" t="n">
        <f aca="false">D182*K182</f>
        <v>0</v>
      </c>
      <c r="M182" s="47"/>
      <c r="N182" s="53"/>
      <c r="O182" s="150" t="n">
        <f aca="false">D182*N182</f>
        <v>0</v>
      </c>
      <c r="P182" s="54" t="e">
        <f aca="false">AVERAGE(H182,K182,N182)</f>
        <v>#DIV/0!</v>
      </c>
      <c r="Q182" s="151" t="e">
        <f aca="false">F182*100/P182-100</f>
        <v>#DIV/0!</v>
      </c>
      <c r="R182" s="54" t="n">
        <f aca="false">D182*F182</f>
        <v>0</v>
      </c>
      <c r="S182" s="47"/>
      <c r="U182" s="57" t="e">
        <f aca="false">ROUND(H182*100/P182-100,0)</f>
        <v>#DIV/0!</v>
      </c>
      <c r="V182" s="57" t="e">
        <f aca="false">ROUND(K182*100/P182-100,0)</f>
        <v>#DIV/0!</v>
      </c>
      <c r="W182" s="57" t="e">
        <f aca="false">ROUND(N182*100/P182-100,0)</f>
        <v>#DIV/0!</v>
      </c>
    </row>
    <row r="183" s="43" customFormat="true" ht="73.5" hidden="false" customHeight="true" outlineLevel="0" collapsed="false">
      <c r="A183" s="45" t="n">
        <v>172</v>
      </c>
      <c r="B183" s="145" t="s">
        <v>552</v>
      </c>
      <c r="C183" s="146" t="s">
        <v>147</v>
      </c>
      <c r="D183" s="147" t="n">
        <v>30</v>
      </c>
      <c r="E183" s="148" t="s">
        <v>504</v>
      </c>
      <c r="F183" s="50"/>
      <c r="G183" s="149"/>
      <c r="H183" s="53"/>
      <c r="I183" s="53" t="n">
        <f aca="false">D183*H183</f>
        <v>0</v>
      </c>
      <c r="J183" s="47"/>
      <c r="K183" s="53"/>
      <c r="L183" s="53" t="n">
        <f aca="false">D183*K183</f>
        <v>0</v>
      </c>
      <c r="M183" s="47"/>
      <c r="N183" s="53"/>
      <c r="O183" s="150" t="n">
        <f aca="false">D183*N183</f>
        <v>0</v>
      </c>
      <c r="P183" s="54" t="e">
        <f aca="false">AVERAGE(H183,K183,N183)</f>
        <v>#DIV/0!</v>
      </c>
      <c r="Q183" s="151" t="e">
        <f aca="false">F183*100/P183-100</f>
        <v>#DIV/0!</v>
      </c>
      <c r="R183" s="54" t="n">
        <f aca="false">D183*F183</f>
        <v>0</v>
      </c>
      <c r="S183" s="47"/>
      <c r="U183" s="57" t="e">
        <f aca="false">ROUND(H183*100/P183-100,0)</f>
        <v>#DIV/0!</v>
      </c>
      <c r="V183" s="57" t="e">
        <f aca="false">ROUND(K183*100/P183-100,0)</f>
        <v>#DIV/0!</v>
      </c>
      <c r="W183" s="57" t="e">
        <f aca="false">ROUND(N183*100/P183-100,0)</f>
        <v>#DIV/0!</v>
      </c>
    </row>
    <row r="184" s="43" customFormat="true" ht="73.5" hidden="false" customHeight="true" outlineLevel="0" collapsed="false">
      <c r="A184" s="45" t="n">
        <v>173</v>
      </c>
      <c r="B184" s="145" t="s">
        <v>553</v>
      </c>
      <c r="C184" s="146" t="s">
        <v>147</v>
      </c>
      <c r="D184" s="147" t="n">
        <v>14</v>
      </c>
      <c r="E184" s="148" t="s">
        <v>504</v>
      </c>
      <c r="F184" s="50"/>
      <c r="G184" s="149"/>
      <c r="H184" s="53"/>
      <c r="I184" s="53" t="n">
        <f aca="false">D184*H184</f>
        <v>0</v>
      </c>
      <c r="J184" s="47"/>
      <c r="K184" s="53"/>
      <c r="L184" s="53" t="n">
        <f aca="false">D184*K184</f>
        <v>0</v>
      </c>
      <c r="M184" s="47"/>
      <c r="N184" s="53"/>
      <c r="O184" s="150" t="n">
        <f aca="false">D184*N184</f>
        <v>0</v>
      </c>
      <c r="P184" s="54" t="e">
        <f aca="false">AVERAGE(H184,K184,N184)</f>
        <v>#DIV/0!</v>
      </c>
      <c r="Q184" s="151" t="e">
        <f aca="false">F184*100/P184-100</f>
        <v>#DIV/0!</v>
      </c>
      <c r="R184" s="54" t="n">
        <f aca="false">D184*F184</f>
        <v>0</v>
      </c>
      <c r="S184" s="47"/>
      <c r="U184" s="57" t="e">
        <f aca="false">ROUND(H184*100/P184-100,0)</f>
        <v>#DIV/0!</v>
      </c>
      <c r="V184" s="57" t="e">
        <f aca="false">ROUND(K184*100/P184-100,0)</f>
        <v>#DIV/0!</v>
      </c>
      <c r="W184" s="57" t="e">
        <f aca="false">ROUND(N184*100/P184-100,0)</f>
        <v>#DIV/0!</v>
      </c>
    </row>
    <row r="185" s="43" customFormat="true" ht="73.5" hidden="false" customHeight="true" outlineLevel="0" collapsed="false">
      <c r="A185" s="45" t="n">
        <v>174</v>
      </c>
      <c r="B185" s="145" t="s">
        <v>320</v>
      </c>
      <c r="C185" s="146" t="s">
        <v>25</v>
      </c>
      <c r="D185" s="147" t="n">
        <v>30</v>
      </c>
      <c r="E185" s="148" t="n">
        <v>796.51</v>
      </c>
      <c r="F185" s="50"/>
      <c r="G185" s="149"/>
      <c r="H185" s="53"/>
      <c r="I185" s="53" t="n">
        <f aca="false">D185*H185</f>
        <v>0</v>
      </c>
      <c r="J185" s="47"/>
      <c r="K185" s="53"/>
      <c r="L185" s="53" t="n">
        <f aca="false">D185*K185</f>
        <v>0</v>
      </c>
      <c r="M185" s="47"/>
      <c r="N185" s="53"/>
      <c r="O185" s="150" t="n">
        <f aca="false">D185*N185</f>
        <v>0</v>
      </c>
      <c r="P185" s="54" t="e">
        <f aca="false">AVERAGE(H185,K185,N185)</f>
        <v>#DIV/0!</v>
      </c>
      <c r="Q185" s="151" t="e">
        <f aca="false">F185*100/P185-100</f>
        <v>#DIV/0!</v>
      </c>
      <c r="R185" s="54" t="n">
        <f aca="false">D185*F185</f>
        <v>0</v>
      </c>
      <c r="S185" s="47"/>
      <c r="U185" s="57" t="e">
        <f aca="false">ROUND(H185*100/P185-100,0)</f>
        <v>#DIV/0!</v>
      </c>
      <c r="V185" s="57" t="e">
        <f aca="false">ROUND(K185*100/P185-100,0)</f>
        <v>#DIV/0!</v>
      </c>
      <c r="W185" s="57" t="e">
        <f aca="false">ROUND(N185*100/P185-100,0)</f>
        <v>#DIV/0!</v>
      </c>
    </row>
    <row r="186" s="43" customFormat="true" ht="73.5" hidden="false" customHeight="true" outlineLevel="0" collapsed="false">
      <c r="A186" s="45" t="n">
        <v>175</v>
      </c>
      <c r="B186" s="145" t="s">
        <v>554</v>
      </c>
      <c r="C186" s="146" t="s">
        <v>25</v>
      </c>
      <c r="D186" s="147" t="n">
        <v>16</v>
      </c>
      <c r="E186" s="148" t="s">
        <v>504</v>
      </c>
      <c r="F186" s="50"/>
      <c r="G186" s="149"/>
      <c r="H186" s="53"/>
      <c r="I186" s="53" t="n">
        <f aca="false">D186*H186</f>
        <v>0</v>
      </c>
      <c r="J186" s="47"/>
      <c r="K186" s="53"/>
      <c r="L186" s="53" t="n">
        <f aca="false">D186*K186</f>
        <v>0</v>
      </c>
      <c r="M186" s="47"/>
      <c r="N186" s="53"/>
      <c r="O186" s="150" t="n">
        <f aca="false">D186*N186</f>
        <v>0</v>
      </c>
      <c r="P186" s="54" t="e">
        <f aca="false">AVERAGE(H186,K186,N186)</f>
        <v>#DIV/0!</v>
      </c>
      <c r="Q186" s="151" t="e">
        <f aca="false">F186*100/P186-100</f>
        <v>#DIV/0!</v>
      </c>
      <c r="R186" s="54" t="n">
        <f aca="false">D186*F186</f>
        <v>0</v>
      </c>
      <c r="S186" s="47"/>
      <c r="U186" s="57" t="e">
        <f aca="false">ROUND(H186*100/P186-100,0)</f>
        <v>#DIV/0!</v>
      </c>
      <c r="V186" s="57" t="e">
        <f aca="false">ROUND(K186*100/P186-100,0)</f>
        <v>#DIV/0!</v>
      </c>
      <c r="W186" s="57" t="e">
        <f aca="false">ROUND(N186*100/P186-100,0)</f>
        <v>#DIV/0!</v>
      </c>
    </row>
    <row r="187" s="43" customFormat="true" ht="73.5" hidden="false" customHeight="true" outlineLevel="0" collapsed="false">
      <c r="A187" s="45" t="n">
        <v>176</v>
      </c>
      <c r="B187" s="145" t="s">
        <v>321</v>
      </c>
      <c r="C187" s="146" t="s">
        <v>25</v>
      </c>
      <c r="D187" s="147" t="n">
        <v>3</v>
      </c>
      <c r="E187" s="148" t="n">
        <v>5485.34</v>
      </c>
      <c r="F187" s="50"/>
      <c r="G187" s="149"/>
      <c r="H187" s="53"/>
      <c r="I187" s="53" t="n">
        <f aca="false">D187*H187</f>
        <v>0</v>
      </c>
      <c r="J187" s="47"/>
      <c r="K187" s="53"/>
      <c r="L187" s="53" t="n">
        <f aca="false">D187*K187</f>
        <v>0</v>
      </c>
      <c r="M187" s="47"/>
      <c r="N187" s="53"/>
      <c r="O187" s="150" t="n">
        <f aca="false">D187*N187</f>
        <v>0</v>
      </c>
      <c r="P187" s="54" t="e">
        <f aca="false">AVERAGE(H187,K187,N187)</f>
        <v>#DIV/0!</v>
      </c>
      <c r="Q187" s="151" t="e">
        <f aca="false">F187*100/P187-100</f>
        <v>#DIV/0!</v>
      </c>
      <c r="R187" s="54" t="n">
        <f aca="false">D187*F187</f>
        <v>0</v>
      </c>
      <c r="S187" s="47"/>
      <c r="U187" s="57" t="e">
        <f aca="false">ROUND(H187*100/P187-100,0)</f>
        <v>#DIV/0!</v>
      </c>
      <c r="V187" s="57" t="e">
        <f aca="false">ROUND(K187*100/P187-100,0)</f>
        <v>#DIV/0!</v>
      </c>
      <c r="W187" s="57" t="e">
        <f aca="false">ROUND(N187*100/P187-100,0)</f>
        <v>#DIV/0!</v>
      </c>
    </row>
    <row r="188" s="43" customFormat="true" ht="73.5" hidden="false" customHeight="true" outlineLevel="0" collapsed="false">
      <c r="A188" s="45" t="n">
        <v>177</v>
      </c>
      <c r="B188" s="145" t="s">
        <v>555</v>
      </c>
      <c r="C188" s="146" t="s">
        <v>25</v>
      </c>
      <c r="D188" s="147" t="n">
        <v>5</v>
      </c>
      <c r="E188" s="148" t="s">
        <v>504</v>
      </c>
      <c r="F188" s="50"/>
      <c r="G188" s="47"/>
      <c r="H188" s="53"/>
      <c r="I188" s="72" t="n">
        <f aca="false">D188*H188</f>
        <v>0</v>
      </c>
      <c r="J188" s="47"/>
      <c r="K188" s="72"/>
      <c r="L188" s="72" t="n">
        <f aca="false">D188*K188</f>
        <v>0</v>
      </c>
      <c r="M188" s="72"/>
      <c r="N188" s="72"/>
      <c r="O188" s="72" t="n">
        <f aca="false">D188*N188</f>
        <v>0</v>
      </c>
      <c r="P188" s="54" t="e">
        <f aca="false">AVERAGE(H188,K188,N188)</f>
        <v>#DIV/0!</v>
      </c>
      <c r="Q188" s="55" t="e">
        <f aca="false">F188*100/P188-100</f>
        <v>#DIV/0!</v>
      </c>
      <c r="R188" s="54" t="n">
        <f aca="false">D188*F188</f>
        <v>0</v>
      </c>
      <c r="S188" s="47"/>
      <c r="U188" s="57" t="e">
        <f aca="false">ROUND(H188*100/P188-100,0)</f>
        <v>#DIV/0!</v>
      </c>
      <c r="V188" s="57" t="e">
        <f aca="false">ROUND(K188*100/P188-100,0)</f>
        <v>#DIV/0!</v>
      </c>
      <c r="W188" s="57" t="e">
        <f aca="false">ROUND(N188*100/P188-100,0)</f>
        <v>#DIV/0!</v>
      </c>
    </row>
    <row r="189" s="43" customFormat="true" ht="73.5" hidden="false" customHeight="true" outlineLevel="0" collapsed="false">
      <c r="A189" s="45" t="n">
        <v>178</v>
      </c>
      <c r="B189" s="145" t="s">
        <v>328</v>
      </c>
      <c r="C189" s="146" t="s">
        <v>25</v>
      </c>
      <c r="D189" s="147" t="n">
        <v>1</v>
      </c>
      <c r="E189" s="148" t="n">
        <v>1842.92</v>
      </c>
      <c r="F189" s="50"/>
      <c r="G189" s="47"/>
      <c r="H189" s="53"/>
      <c r="I189" s="72" t="n">
        <f aca="false">D189*H189</f>
        <v>0</v>
      </c>
      <c r="J189" s="47"/>
      <c r="K189" s="72"/>
      <c r="L189" s="72" t="n">
        <f aca="false">D189*K189</f>
        <v>0</v>
      </c>
      <c r="M189" s="72"/>
      <c r="N189" s="72"/>
      <c r="O189" s="72" t="n">
        <f aca="false">D189*N189</f>
        <v>0</v>
      </c>
      <c r="P189" s="54" t="e">
        <f aca="false">AVERAGE(H189,K189,N189)</f>
        <v>#DIV/0!</v>
      </c>
      <c r="Q189" s="55" t="e">
        <f aca="false">F189*100/P189-100</f>
        <v>#DIV/0!</v>
      </c>
      <c r="R189" s="54" t="n">
        <f aca="false">D189*F189</f>
        <v>0</v>
      </c>
      <c r="S189" s="47"/>
      <c r="U189" s="57" t="e">
        <f aca="false">ROUND(H189*100/P189-100,0)</f>
        <v>#DIV/0!</v>
      </c>
      <c r="V189" s="57" t="e">
        <f aca="false">ROUND(K189*100/P189-100,0)</f>
        <v>#DIV/0!</v>
      </c>
      <c r="W189" s="57" t="e">
        <f aca="false">ROUND(N189*100/P189-100,0)</f>
        <v>#DIV/0!</v>
      </c>
    </row>
    <row r="190" s="43" customFormat="true" ht="73.5" hidden="false" customHeight="true" outlineLevel="0" collapsed="false">
      <c r="A190" s="45" t="n">
        <v>179</v>
      </c>
      <c r="B190" s="145" t="s">
        <v>556</v>
      </c>
      <c r="C190" s="146" t="s">
        <v>25</v>
      </c>
      <c r="D190" s="147" t="n">
        <v>25</v>
      </c>
      <c r="E190" s="148" t="s">
        <v>504</v>
      </c>
      <c r="F190" s="50"/>
      <c r="G190" s="47"/>
      <c r="H190" s="53"/>
      <c r="I190" s="72" t="n">
        <f aca="false">D190*H190</f>
        <v>0</v>
      </c>
      <c r="J190" s="47"/>
      <c r="K190" s="72"/>
      <c r="L190" s="72" t="n">
        <f aca="false">D190*K190</f>
        <v>0</v>
      </c>
      <c r="M190" s="72"/>
      <c r="N190" s="72"/>
      <c r="O190" s="72" t="n">
        <f aca="false">D190*N190</f>
        <v>0</v>
      </c>
      <c r="P190" s="54" t="e">
        <f aca="false">AVERAGE(H190,K190,N190)</f>
        <v>#DIV/0!</v>
      </c>
      <c r="Q190" s="55" t="e">
        <f aca="false">F190*100/P190-100</f>
        <v>#DIV/0!</v>
      </c>
      <c r="R190" s="54" t="n">
        <f aca="false">D190*F190</f>
        <v>0</v>
      </c>
      <c r="S190" s="47"/>
      <c r="U190" s="57" t="e">
        <f aca="false">ROUND(H190*100/P190-100,0)</f>
        <v>#DIV/0!</v>
      </c>
      <c r="V190" s="57" t="e">
        <f aca="false">ROUND(K190*100/P190-100,0)</f>
        <v>#DIV/0!</v>
      </c>
      <c r="W190" s="57" t="e">
        <f aca="false">ROUND(N190*100/P190-100,0)</f>
        <v>#DIV/0!</v>
      </c>
    </row>
    <row r="191" s="43" customFormat="true" ht="73.5" hidden="false" customHeight="true" outlineLevel="0" collapsed="false">
      <c r="A191" s="45" t="n">
        <v>180</v>
      </c>
      <c r="B191" s="145" t="s">
        <v>331</v>
      </c>
      <c r="C191" s="146" t="s">
        <v>25</v>
      </c>
      <c r="D191" s="147" t="n">
        <v>30</v>
      </c>
      <c r="E191" s="148" t="n">
        <v>233.82</v>
      </c>
      <c r="F191" s="50"/>
      <c r="G191" s="47"/>
      <c r="H191" s="53"/>
      <c r="I191" s="72" t="n">
        <f aca="false">D191*H191</f>
        <v>0</v>
      </c>
      <c r="J191" s="47"/>
      <c r="K191" s="72"/>
      <c r="L191" s="72" t="n">
        <f aca="false">D191*K191</f>
        <v>0</v>
      </c>
      <c r="M191" s="72"/>
      <c r="N191" s="72"/>
      <c r="O191" s="72" t="n">
        <f aca="false">D191*N191</f>
        <v>0</v>
      </c>
      <c r="P191" s="54" t="e">
        <f aca="false">AVERAGE(H191,K191,N191)</f>
        <v>#DIV/0!</v>
      </c>
      <c r="Q191" s="55" t="e">
        <f aca="false">F191*100/P191-100</f>
        <v>#DIV/0!</v>
      </c>
      <c r="R191" s="54" t="n">
        <f aca="false">D191*F191</f>
        <v>0</v>
      </c>
      <c r="S191" s="47"/>
      <c r="U191" s="57" t="e">
        <f aca="false">ROUND(H191*100/P191-100,0)</f>
        <v>#DIV/0!</v>
      </c>
      <c r="V191" s="57" t="e">
        <f aca="false">ROUND(K191*100/P191-100,0)</f>
        <v>#DIV/0!</v>
      </c>
      <c r="W191" s="57" t="e">
        <f aca="false">ROUND(N191*100/P191-100,0)</f>
        <v>#DIV/0!</v>
      </c>
    </row>
    <row r="192" s="43" customFormat="true" ht="96.75" hidden="false" customHeight="true" outlineLevel="0" collapsed="false">
      <c r="A192" s="45" t="n">
        <v>181</v>
      </c>
      <c r="B192" s="145" t="s">
        <v>332</v>
      </c>
      <c r="C192" s="146" t="s">
        <v>25</v>
      </c>
      <c r="D192" s="147" t="n">
        <v>56</v>
      </c>
      <c r="E192" s="148" t="n">
        <v>178.37</v>
      </c>
      <c r="F192" s="50"/>
      <c r="G192" s="47"/>
      <c r="H192" s="53"/>
      <c r="I192" s="72" t="n">
        <f aca="false">D192*H192</f>
        <v>0</v>
      </c>
      <c r="J192" s="47"/>
      <c r="K192" s="72"/>
      <c r="L192" s="72" t="n">
        <f aca="false">D192*K192</f>
        <v>0</v>
      </c>
      <c r="M192" s="72"/>
      <c r="N192" s="72"/>
      <c r="O192" s="72" t="n">
        <f aca="false">D192*N192</f>
        <v>0</v>
      </c>
      <c r="P192" s="54" t="e">
        <f aca="false">AVERAGE(H192,K192,N192)</f>
        <v>#DIV/0!</v>
      </c>
      <c r="Q192" s="55" t="e">
        <f aca="false">F192*100/P192-100</f>
        <v>#DIV/0!</v>
      </c>
      <c r="R192" s="54" t="n">
        <f aca="false">D192*F192</f>
        <v>0</v>
      </c>
      <c r="S192" s="47"/>
      <c r="U192" s="57" t="e">
        <f aca="false">ROUND(H192*100/P192-100,0)</f>
        <v>#DIV/0!</v>
      </c>
      <c r="V192" s="57" t="e">
        <f aca="false">ROUND(K192*100/P192-100,0)</f>
        <v>#DIV/0!</v>
      </c>
      <c r="W192" s="57" t="e">
        <f aca="false">ROUND(N192*100/P192-100,0)</f>
        <v>#DIV/0!</v>
      </c>
    </row>
    <row r="193" s="43" customFormat="true" ht="73.5" hidden="false" customHeight="true" outlineLevel="0" collapsed="false">
      <c r="A193" s="45" t="n">
        <v>182</v>
      </c>
      <c r="B193" s="145" t="s">
        <v>557</v>
      </c>
      <c r="C193" s="146" t="s">
        <v>25</v>
      </c>
      <c r="D193" s="147" t="n">
        <v>5</v>
      </c>
      <c r="E193" s="148" t="s">
        <v>504</v>
      </c>
      <c r="F193" s="50"/>
      <c r="G193" s="47"/>
      <c r="H193" s="53"/>
      <c r="I193" s="72" t="n">
        <f aca="false">D193*H193</f>
        <v>0</v>
      </c>
      <c r="J193" s="47"/>
      <c r="K193" s="72"/>
      <c r="L193" s="72" t="n">
        <f aca="false">D193*K193</f>
        <v>0</v>
      </c>
      <c r="M193" s="72"/>
      <c r="N193" s="72"/>
      <c r="O193" s="72" t="n">
        <f aca="false">D193*N193</f>
        <v>0</v>
      </c>
      <c r="P193" s="54" t="e">
        <f aca="false">AVERAGE(H193,K193,N193)</f>
        <v>#DIV/0!</v>
      </c>
      <c r="Q193" s="55" t="e">
        <f aca="false">F193*100/P193-100</f>
        <v>#DIV/0!</v>
      </c>
      <c r="R193" s="54" t="n">
        <f aca="false">D193*F193</f>
        <v>0</v>
      </c>
      <c r="S193" s="47"/>
      <c r="U193" s="57" t="e">
        <f aca="false">ROUND(H193*100/P193-100,0)</f>
        <v>#DIV/0!</v>
      </c>
      <c r="V193" s="57" t="e">
        <f aca="false">ROUND(K193*100/P193-100,0)</f>
        <v>#DIV/0!</v>
      </c>
      <c r="W193" s="57" t="e">
        <f aca="false">ROUND(N193*100/P193-100,0)</f>
        <v>#DIV/0!</v>
      </c>
    </row>
    <row r="194" s="43" customFormat="true" ht="73.5" hidden="false" customHeight="true" outlineLevel="0" collapsed="false">
      <c r="A194" s="45" t="n">
        <v>183</v>
      </c>
      <c r="B194" s="145" t="s">
        <v>334</v>
      </c>
      <c r="C194" s="146" t="s">
        <v>25</v>
      </c>
      <c r="D194" s="147" t="n">
        <v>2</v>
      </c>
      <c r="E194" s="148" t="n">
        <v>191.64</v>
      </c>
      <c r="F194" s="50"/>
      <c r="G194" s="47"/>
      <c r="H194" s="53"/>
      <c r="I194" s="53" t="n">
        <f aca="false">D194*H194</f>
        <v>0</v>
      </c>
      <c r="J194" s="53"/>
      <c r="K194" s="53"/>
      <c r="L194" s="53" t="n">
        <f aca="false">D194*K194</f>
        <v>0</v>
      </c>
      <c r="M194" s="47"/>
      <c r="N194" s="53"/>
      <c r="O194" s="53" t="n">
        <f aca="false">D194*N194</f>
        <v>0</v>
      </c>
      <c r="P194" s="54" t="e">
        <f aca="false">AVERAGE(H194,K194,N194)</f>
        <v>#DIV/0!</v>
      </c>
      <c r="Q194" s="55" t="e">
        <f aca="false">F194*100/P194-100</f>
        <v>#DIV/0!</v>
      </c>
      <c r="R194" s="54" t="n">
        <f aca="false">D194*F194</f>
        <v>0</v>
      </c>
      <c r="S194" s="47"/>
      <c r="U194" s="57" t="e">
        <f aca="false">ROUND(H194*100/P194-100,0)</f>
        <v>#DIV/0!</v>
      </c>
      <c r="V194" s="57" t="e">
        <f aca="false">ROUND(K194*100/P194-100,0)</f>
        <v>#DIV/0!</v>
      </c>
      <c r="W194" s="57" t="e">
        <f aca="false">ROUND(N194*100/P194-100,0)</f>
        <v>#DIV/0!</v>
      </c>
    </row>
    <row r="195" s="43" customFormat="true" ht="73.5" hidden="false" customHeight="true" outlineLevel="0" collapsed="false">
      <c r="A195" s="45" t="n">
        <v>184</v>
      </c>
      <c r="B195" s="145" t="s">
        <v>558</v>
      </c>
      <c r="C195" s="146" t="s">
        <v>25</v>
      </c>
      <c r="D195" s="147" t="n">
        <v>25</v>
      </c>
      <c r="E195" s="148" t="s">
        <v>504</v>
      </c>
      <c r="F195" s="50"/>
      <c r="G195" s="47"/>
      <c r="H195" s="53"/>
      <c r="I195" s="53" t="n">
        <f aca="false">D195*H195</f>
        <v>0</v>
      </c>
      <c r="J195" s="47"/>
      <c r="K195" s="53"/>
      <c r="L195" s="53" t="n">
        <f aca="false">D195*K195</f>
        <v>0</v>
      </c>
      <c r="M195" s="53"/>
      <c r="N195" s="53"/>
      <c r="O195" s="53" t="n">
        <f aca="false">D195*N195</f>
        <v>0</v>
      </c>
      <c r="P195" s="54" t="e">
        <f aca="false">AVERAGE(H195,K195,N195)</f>
        <v>#DIV/0!</v>
      </c>
      <c r="Q195" s="55" t="e">
        <f aca="false">F195*100/P195-100</f>
        <v>#DIV/0!</v>
      </c>
      <c r="R195" s="54" t="n">
        <f aca="false">D195*F195</f>
        <v>0</v>
      </c>
      <c r="S195" s="47"/>
      <c r="U195" s="57" t="e">
        <f aca="false">ROUND(H195*100/P195-100,0)</f>
        <v>#DIV/0!</v>
      </c>
      <c r="V195" s="57" t="e">
        <f aca="false">ROUND(K195*100/P195-100,0)</f>
        <v>#DIV/0!</v>
      </c>
      <c r="W195" s="57" t="e">
        <f aca="false">ROUND(N195*100/P195-100,0)</f>
        <v>#DIV/0!</v>
      </c>
    </row>
    <row r="196" s="43" customFormat="true" ht="73.5" hidden="false" customHeight="true" outlineLevel="0" collapsed="false">
      <c r="A196" s="45" t="n">
        <v>185</v>
      </c>
      <c r="B196" s="145" t="s">
        <v>337</v>
      </c>
      <c r="C196" s="146" t="s">
        <v>45</v>
      </c>
      <c r="D196" s="147" t="n">
        <v>40</v>
      </c>
      <c r="E196" s="148" t="n">
        <v>3124.7</v>
      </c>
      <c r="F196" s="50"/>
      <c r="G196" s="47"/>
      <c r="H196" s="53"/>
      <c r="I196" s="53" t="n">
        <f aca="false">D196*H196</f>
        <v>0</v>
      </c>
      <c r="J196" s="53"/>
      <c r="K196" s="53"/>
      <c r="L196" s="53" t="n">
        <f aca="false">D196*K196</f>
        <v>0</v>
      </c>
      <c r="M196" s="47"/>
      <c r="N196" s="53"/>
      <c r="O196" s="53" t="n">
        <f aca="false">D196*N196</f>
        <v>0</v>
      </c>
      <c r="P196" s="54" t="e">
        <f aca="false">AVERAGE(H196,K196,N196)</f>
        <v>#DIV/0!</v>
      </c>
      <c r="Q196" s="55" t="e">
        <f aca="false">F196*100/P196-100</f>
        <v>#DIV/0!</v>
      </c>
      <c r="R196" s="54" t="n">
        <f aca="false">D196*F196</f>
        <v>0</v>
      </c>
      <c r="S196" s="47"/>
      <c r="U196" s="57" t="e">
        <f aca="false">ROUND(H196*100/P196-100,0)</f>
        <v>#DIV/0!</v>
      </c>
      <c r="V196" s="57" t="e">
        <f aca="false">ROUND(K196*100/P196-100,0)</f>
        <v>#DIV/0!</v>
      </c>
      <c r="W196" s="57" t="e">
        <f aca="false">ROUND(N196*100/P196-100,0)</f>
        <v>#DIV/0!</v>
      </c>
    </row>
    <row r="197" s="43" customFormat="true" ht="73.5" hidden="false" customHeight="true" outlineLevel="0" collapsed="false">
      <c r="A197" s="45" t="n">
        <v>186</v>
      </c>
      <c r="B197" s="145" t="s">
        <v>559</v>
      </c>
      <c r="C197" s="146" t="s">
        <v>25</v>
      </c>
      <c r="D197" s="147" t="n">
        <v>25</v>
      </c>
      <c r="E197" s="148" t="s">
        <v>504</v>
      </c>
      <c r="F197" s="50"/>
      <c r="G197" s="47"/>
      <c r="H197" s="53"/>
      <c r="I197" s="53" t="n">
        <f aca="false">D197*H197</f>
        <v>0</v>
      </c>
      <c r="J197" s="47"/>
      <c r="K197" s="53"/>
      <c r="L197" s="53" t="n">
        <f aca="false">D197*K197</f>
        <v>0</v>
      </c>
      <c r="M197" s="47"/>
      <c r="N197" s="53"/>
      <c r="O197" s="53" t="n">
        <f aca="false">D197*N197</f>
        <v>0</v>
      </c>
      <c r="P197" s="54" t="e">
        <f aca="false">AVERAGE(H197,K197,N197)</f>
        <v>#DIV/0!</v>
      </c>
      <c r="Q197" s="55" t="e">
        <f aca="false">F197*100/P197-100</f>
        <v>#DIV/0!</v>
      </c>
      <c r="R197" s="54" t="n">
        <f aca="false">D197*F197</f>
        <v>0</v>
      </c>
      <c r="S197" s="72"/>
      <c r="U197" s="57" t="e">
        <f aca="false">ROUND(H197*100/P197-100,0)</f>
        <v>#DIV/0!</v>
      </c>
      <c r="V197" s="57" t="e">
        <f aca="false">ROUND(K197*100/P197-100,0)</f>
        <v>#DIV/0!</v>
      </c>
      <c r="W197" s="57" t="e">
        <f aca="false">ROUND(N197*100/P197-100,0)</f>
        <v>#DIV/0!</v>
      </c>
    </row>
    <row r="198" s="43" customFormat="true" ht="73.5" hidden="false" customHeight="true" outlineLevel="0" collapsed="false">
      <c r="A198" s="45" t="n">
        <v>187</v>
      </c>
      <c r="B198" s="145" t="s">
        <v>560</v>
      </c>
      <c r="C198" s="146" t="s">
        <v>25</v>
      </c>
      <c r="D198" s="147" t="n">
        <v>50</v>
      </c>
      <c r="E198" s="148" t="s">
        <v>504</v>
      </c>
      <c r="F198" s="50"/>
      <c r="G198" s="47"/>
      <c r="H198" s="53"/>
      <c r="I198" s="53" t="n">
        <f aca="false">D198*H198</f>
        <v>0</v>
      </c>
      <c r="J198" s="53"/>
      <c r="K198" s="53"/>
      <c r="L198" s="53" t="n">
        <f aca="false">D198*K198</f>
        <v>0</v>
      </c>
      <c r="M198" s="47"/>
      <c r="N198" s="53"/>
      <c r="O198" s="53" t="n">
        <f aca="false">D198*N198</f>
        <v>0</v>
      </c>
      <c r="P198" s="54" t="e">
        <f aca="false">AVERAGE(H198,K198,N198)</f>
        <v>#DIV/0!</v>
      </c>
      <c r="Q198" s="55" t="e">
        <f aca="false">F198*100/P198-100</f>
        <v>#DIV/0!</v>
      </c>
      <c r="R198" s="54" t="n">
        <f aca="false">D198*F198</f>
        <v>0</v>
      </c>
      <c r="S198" s="47"/>
      <c r="U198" s="57" t="e">
        <f aca="false">ROUND(H198*100/P198-100,0)</f>
        <v>#DIV/0!</v>
      </c>
      <c r="V198" s="57" t="e">
        <f aca="false">ROUND(K198*100/P198-100,0)</f>
        <v>#DIV/0!</v>
      </c>
      <c r="W198" s="57" t="e">
        <f aca="false">ROUND(N198*100/P198-100,0)</f>
        <v>#DIV/0!</v>
      </c>
    </row>
    <row r="199" s="43" customFormat="true" ht="73.5" hidden="false" customHeight="true" outlineLevel="0" collapsed="false">
      <c r="A199" s="45" t="n">
        <v>188</v>
      </c>
      <c r="B199" s="145" t="s">
        <v>561</v>
      </c>
      <c r="C199" s="146" t="s">
        <v>25</v>
      </c>
      <c r="D199" s="147" t="n">
        <v>25</v>
      </c>
      <c r="E199" s="148" t="s">
        <v>504</v>
      </c>
      <c r="F199" s="50"/>
      <c r="G199" s="47"/>
      <c r="H199" s="53"/>
      <c r="I199" s="53" t="n">
        <f aca="false">D199*H199</f>
        <v>0</v>
      </c>
      <c r="J199" s="53"/>
      <c r="K199" s="53"/>
      <c r="L199" s="53" t="n">
        <f aca="false">D199*K199</f>
        <v>0</v>
      </c>
      <c r="M199" s="47"/>
      <c r="N199" s="53"/>
      <c r="O199" s="53" t="n">
        <f aca="false">D199*N199</f>
        <v>0</v>
      </c>
      <c r="P199" s="54" t="e">
        <f aca="false">AVERAGE(H199,K199,N199)</f>
        <v>#DIV/0!</v>
      </c>
      <c r="Q199" s="55" t="e">
        <f aca="false">F199*100/P199-100</f>
        <v>#DIV/0!</v>
      </c>
      <c r="R199" s="54" t="n">
        <f aca="false">D199*F199</f>
        <v>0</v>
      </c>
      <c r="S199" s="47"/>
      <c r="U199" s="57" t="e">
        <f aca="false">ROUND(H199*100/P199-100,0)</f>
        <v>#DIV/0!</v>
      </c>
      <c r="V199" s="57" t="e">
        <f aca="false">ROUND(K199*100/P199-100,0)</f>
        <v>#DIV/0!</v>
      </c>
      <c r="W199" s="57" t="e">
        <f aca="false">ROUND(N199*100/P199-100,0)</f>
        <v>#DIV/0!</v>
      </c>
    </row>
    <row r="200" s="43" customFormat="true" ht="73.5" hidden="false" customHeight="true" outlineLevel="0" collapsed="false">
      <c r="A200" s="45" t="n">
        <v>189</v>
      </c>
      <c r="B200" s="145" t="s">
        <v>562</v>
      </c>
      <c r="C200" s="146" t="s">
        <v>25</v>
      </c>
      <c r="D200" s="147" t="n">
        <v>500</v>
      </c>
      <c r="E200" s="148" t="s">
        <v>504</v>
      </c>
      <c r="F200" s="50"/>
      <c r="G200" s="47"/>
      <c r="H200" s="53"/>
      <c r="I200" s="53" t="n">
        <f aca="false">D200*H200</f>
        <v>0</v>
      </c>
      <c r="J200" s="53"/>
      <c r="K200" s="53"/>
      <c r="L200" s="53" t="n">
        <f aca="false">D200*K200</f>
        <v>0</v>
      </c>
      <c r="M200" s="47"/>
      <c r="N200" s="53"/>
      <c r="O200" s="53" t="n">
        <f aca="false">D200*N200</f>
        <v>0</v>
      </c>
      <c r="P200" s="54" t="e">
        <f aca="false">AVERAGE(H200,K200,N200)</f>
        <v>#DIV/0!</v>
      </c>
      <c r="Q200" s="55" t="e">
        <f aca="false">F200*100/P200-100</f>
        <v>#DIV/0!</v>
      </c>
      <c r="R200" s="54" t="n">
        <f aca="false">D200*F200</f>
        <v>0</v>
      </c>
      <c r="S200" s="47"/>
      <c r="U200" s="57" t="e">
        <f aca="false">ROUND(H200*100/P200-100,0)</f>
        <v>#DIV/0!</v>
      </c>
      <c r="V200" s="57" t="e">
        <f aca="false">ROUND(K200*100/P200-100,0)</f>
        <v>#DIV/0!</v>
      </c>
      <c r="W200" s="57" t="e">
        <f aca="false">ROUND(N200*100/P200-100,0)</f>
        <v>#DIV/0!</v>
      </c>
    </row>
    <row r="201" s="43" customFormat="true" ht="73.5" hidden="false" customHeight="true" outlineLevel="0" collapsed="false">
      <c r="A201" s="45" t="n">
        <v>190</v>
      </c>
      <c r="B201" s="145" t="s">
        <v>340</v>
      </c>
      <c r="C201" s="146" t="s">
        <v>25</v>
      </c>
      <c r="D201" s="147" t="n">
        <v>10</v>
      </c>
      <c r="E201" s="148" t="n">
        <v>2334.68</v>
      </c>
      <c r="F201" s="50"/>
      <c r="G201" s="47"/>
      <c r="H201" s="53"/>
      <c r="I201" s="53" t="n">
        <f aca="false">D201*H201</f>
        <v>0</v>
      </c>
      <c r="J201" s="53"/>
      <c r="K201" s="53"/>
      <c r="L201" s="53" t="n">
        <f aca="false">D201*K201</f>
        <v>0</v>
      </c>
      <c r="M201" s="47"/>
      <c r="N201" s="53"/>
      <c r="O201" s="53" t="n">
        <f aca="false">D201*N201</f>
        <v>0</v>
      </c>
      <c r="P201" s="54" t="e">
        <f aca="false">AVERAGE(H201,K201,N201)</f>
        <v>#DIV/0!</v>
      </c>
      <c r="Q201" s="55" t="e">
        <f aca="false">F201*100/P201-100</f>
        <v>#DIV/0!</v>
      </c>
      <c r="R201" s="54" t="n">
        <f aca="false">D201*F201</f>
        <v>0</v>
      </c>
      <c r="S201" s="47"/>
      <c r="U201" s="57" t="e">
        <f aca="false">ROUND(H201*100/P201-100,0)</f>
        <v>#DIV/0!</v>
      </c>
      <c r="V201" s="57" t="e">
        <f aca="false">ROUND(K201*100/P201-100,0)</f>
        <v>#DIV/0!</v>
      </c>
      <c r="W201" s="57" t="e">
        <f aca="false">ROUND(N201*100/P201-100,0)</f>
        <v>#DIV/0!</v>
      </c>
    </row>
    <row r="202" s="43" customFormat="true" ht="73.5" hidden="false" customHeight="true" outlineLevel="0" collapsed="false">
      <c r="A202" s="45" t="n">
        <v>191</v>
      </c>
      <c r="B202" s="145" t="s">
        <v>343</v>
      </c>
      <c r="C202" s="146" t="s">
        <v>25</v>
      </c>
      <c r="D202" s="147" t="n">
        <v>5</v>
      </c>
      <c r="E202" s="148" t="n">
        <v>1394.8</v>
      </c>
      <c r="F202" s="50"/>
      <c r="G202" s="47"/>
      <c r="H202" s="53"/>
      <c r="I202" s="53" t="n">
        <f aca="false">D202*H202</f>
        <v>0</v>
      </c>
      <c r="J202" s="53"/>
      <c r="K202" s="53"/>
      <c r="L202" s="53" t="n">
        <f aca="false">D202*K202</f>
        <v>0</v>
      </c>
      <c r="M202" s="47"/>
      <c r="N202" s="53"/>
      <c r="O202" s="53" t="n">
        <f aca="false">D202*N202</f>
        <v>0</v>
      </c>
      <c r="P202" s="54" t="e">
        <f aca="false">AVERAGE(H202,K202,N202)</f>
        <v>#DIV/0!</v>
      </c>
      <c r="Q202" s="55" t="e">
        <f aca="false">F202*100/P202-100</f>
        <v>#DIV/0!</v>
      </c>
      <c r="R202" s="54" t="n">
        <f aca="false">D202*F202</f>
        <v>0</v>
      </c>
      <c r="S202" s="47"/>
      <c r="U202" s="57" t="e">
        <f aca="false">ROUND(H202*100/P202-100,0)</f>
        <v>#DIV/0!</v>
      </c>
      <c r="V202" s="57" t="e">
        <f aca="false">ROUND(K202*100/P202-100,0)</f>
        <v>#DIV/0!</v>
      </c>
      <c r="W202" s="57" t="e">
        <f aca="false">ROUND(N202*100/P202-100,0)</f>
        <v>#DIV/0!</v>
      </c>
    </row>
    <row r="203" s="43" customFormat="true" ht="73.5" hidden="false" customHeight="true" outlineLevel="0" collapsed="false">
      <c r="A203" s="45" t="n">
        <v>192</v>
      </c>
      <c r="B203" s="145" t="s">
        <v>563</v>
      </c>
      <c r="C203" s="146" t="s">
        <v>25</v>
      </c>
      <c r="D203" s="147" t="n">
        <v>20</v>
      </c>
      <c r="E203" s="148" t="s">
        <v>504</v>
      </c>
      <c r="F203" s="50"/>
      <c r="G203" s="47"/>
      <c r="H203" s="53"/>
      <c r="I203" s="53" t="n">
        <f aca="false">D203*H203</f>
        <v>0</v>
      </c>
      <c r="J203" s="53"/>
      <c r="K203" s="53"/>
      <c r="L203" s="53" t="n">
        <f aca="false">D203*K203</f>
        <v>0</v>
      </c>
      <c r="M203" s="47"/>
      <c r="N203" s="53"/>
      <c r="O203" s="53" t="n">
        <f aca="false">D203*N203</f>
        <v>0</v>
      </c>
      <c r="P203" s="54" t="e">
        <f aca="false">AVERAGE(H203,K203,N203)</f>
        <v>#DIV/0!</v>
      </c>
      <c r="Q203" s="55" t="e">
        <f aca="false">F203*100/P203-100</f>
        <v>#DIV/0!</v>
      </c>
      <c r="R203" s="54" t="n">
        <f aca="false">D203*F203</f>
        <v>0</v>
      </c>
      <c r="S203" s="47"/>
      <c r="U203" s="57" t="e">
        <f aca="false">ROUND(H203*100/P203-100,0)</f>
        <v>#DIV/0!</v>
      </c>
      <c r="V203" s="57" t="e">
        <f aca="false">ROUND(K203*100/P203-100,0)</f>
        <v>#DIV/0!</v>
      </c>
      <c r="W203" s="57" t="e">
        <f aca="false">ROUND(N203*100/P203-100,0)</f>
        <v>#DIV/0!</v>
      </c>
    </row>
    <row r="204" s="43" customFormat="true" ht="73.5" hidden="false" customHeight="true" outlineLevel="0" collapsed="false">
      <c r="A204" s="45" t="n">
        <v>193</v>
      </c>
      <c r="B204" s="145" t="s">
        <v>350</v>
      </c>
      <c r="C204" s="146" t="s">
        <v>25</v>
      </c>
      <c r="D204" s="147" t="n">
        <v>30</v>
      </c>
      <c r="E204" s="148" t="n">
        <v>1243.98</v>
      </c>
      <c r="F204" s="50"/>
      <c r="G204" s="47"/>
      <c r="H204" s="53"/>
      <c r="I204" s="53" t="n">
        <f aca="false">D204*H204</f>
        <v>0</v>
      </c>
      <c r="J204" s="53"/>
      <c r="K204" s="53"/>
      <c r="L204" s="53" t="n">
        <f aca="false">D204*K204</f>
        <v>0</v>
      </c>
      <c r="M204" s="47"/>
      <c r="N204" s="53"/>
      <c r="O204" s="53" t="n">
        <f aca="false">D204*N204</f>
        <v>0</v>
      </c>
      <c r="P204" s="54" t="e">
        <f aca="false">AVERAGE(H204,K204,N204)</f>
        <v>#DIV/0!</v>
      </c>
      <c r="Q204" s="55" t="e">
        <f aca="false">F204*100/P204-100</f>
        <v>#DIV/0!</v>
      </c>
      <c r="R204" s="54" t="n">
        <f aca="false">D204*F204</f>
        <v>0</v>
      </c>
      <c r="S204" s="47"/>
      <c r="U204" s="57" t="e">
        <f aca="false">ROUND(H204*100/P204-100,0)</f>
        <v>#DIV/0!</v>
      </c>
      <c r="V204" s="57" t="e">
        <f aca="false">ROUND(K204*100/P204-100,0)</f>
        <v>#DIV/0!</v>
      </c>
      <c r="W204" s="57" t="e">
        <f aca="false">ROUND(N204*100/P204-100,0)</f>
        <v>#DIV/0!</v>
      </c>
    </row>
    <row r="205" s="43" customFormat="true" ht="73.5" hidden="false" customHeight="true" outlineLevel="0" collapsed="false">
      <c r="A205" s="45" t="n">
        <v>194</v>
      </c>
      <c r="B205" s="145" t="s">
        <v>354</v>
      </c>
      <c r="C205" s="146" t="s">
        <v>25</v>
      </c>
      <c r="D205" s="147" t="n">
        <v>9</v>
      </c>
      <c r="E205" s="148" t="n">
        <v>6620.5</v>
      </c>
      <c r="F205" s="50"/>
      <c r="G205" s="47"/>
      <c r="H205" s="53"/>
      <c r="I205" s="53" t="n">
        <f aca="false">D205*H205</f>
        <v>0</v>
      </c>
      <c r="J205" s="53"/>
      <c r="K205" s="53"/>
      <c r="L205" s="53" t="n">
        <f aca="false">D205*K205</f>
        <v>0</v>
      </c>
      <c r="M205" s="47"/>
      <c r="N205" s="53"/>
      <c r="O205" s="53" t="n">
        <f aca="false">D205*N205</f>
        <v>0</v>
      </c>
      <c r="P205" s="54" t="e">
        <f aca="false">AVERAGE(H205,K205,N205)</f>
        <v>#DIV/0!</v>
      </c>
      <c r="Q205" s="55" t="e">
        <f aca="false">F205*100/P205-100</f>
        <v>#DIV/0!</v>
      </c>
      <c r="R205" s="54" t="n">
        <f aca="false">D205*F205</f>
        <v>0</v>
      </c>
      <c r="S205" s="47"/>
      <c r="U205" s="57" t="e">
        <f aca="false">ROUND(H205*100/P205-100,0)</f>
        <v>#DIV/0!</v>
      </c>
      <c r="V205" s="57" t="e">
        <f aca="false">ROUND(K205*100/P205-100,0)</f>
        <v>#DIV/0!</v>
      </c>
      <c r="W205" s="57" t="e">
        <f aca="false">ROUND(N205*100/P205-100,0)</f>
        <v>#DIV/0!</v>
      </c>
    </row>
    <row r="206" s="43" customFormat="true" ht="73.5" hidden="false" customHeight="true" outlineLevel="0" collapsed="false">
      <c r="A206" s="45" t="n">
        <v>195</v>
      </c>
      <c r="B206" s="145" t="s">
        <v>357</v>
      </c>
      <c r="C206" s="146" t="s">
        <v>25</v>
      </c>
      <c r="D206" s="147" t="n">
        <v>80</v>
      </c>
      <c r="E206" s="148" t="n">
        <v>6160.34</v>
      </c>
      <c r="F206" s="50"/>
      <c r="G206" s="47"/>
      <c r="H206" s="53"/>
      <c r="I206" s="53" t="n">
        <f aca="false">D206*H206</f>
        <v>0</v>
      </c>
      <c r="J206" s="53"/>
      <c r="K206" s="53"/>
      <c r="L206" s="53" t="n">
        <f aca="false">D206*K206</f>
        <v>0</v>
      </c>
      <c r="M206" s="47"/>
      <c r="N206" s="53"/>
      <c r="O206" s="53" t="n">
        <f aca="false">D206*N206</f>
        <v>0</v>
      </c>
      <c r="P206" s="54" t="e">
        <f aca="false">AVERAGE(H206,K206,N206)</f>
        <v>#DIV/0!</v>
      </c>
      <c r="Q206" s="55" t="e">
        <f aca="false">F206*100/P206-100</f>
        <v>#DIV/0!</v>
      </c>
      <c r="R206" s="54" t="n">
        <f aca="false">D206*F206</f>
        <v>0</v>
      </c>
      <c r="S206" s="47"/>
      <c r="U206" s="57" t="e">
        <f aca="false">ROUND(H206*100/P206-100,0)</f>
        <v>#DIV/0!</v>
      </c>
      <c r="V206" s="57" t="e">
        <f aca="false">ROUND(K206*100/P206-100,0)</f>
        <v>#DIV/0!</v>
      </c>
      <c r="W206" s="57" t="e">
        <f aca="false">ROUND(N206*100/P206-100,0)</f>
        <v>#DIV/0!</v>
      </c>
    </row>
    <row r="207" s="43" customFormat="true" ht="73.5" hidden="false" customHeight="true" outlineLevel="0" collapsed="false">
      <c r="A207" s="45" t="n">
        <v>196</v>
      </c>
      <c r="B207" s="145" t="s">
        <v>564</v>
      </c>
      <c r="C207" s="146" t="s">
        <v>25</v>
      </c>
      <c r="D207" s="147" t="n">
        <v>3</v>
      </c>
      <c r="E207" s="148" t="s">
        <v>504</v>
      </c>
      <c r="F207" s="50"/>
      <c r="G207" s="47"/>
      <c r="H207" s="53"/>
      <c r="I207" s="53" t="n">
        <f aca="false">D207*H207</f>
        <v>0</v>
      </c>
      <c r="J207" s="53"/>
      <c r="K207" s="53"/>
      <c r="L207" s="53" t="n">
        <f aca="false">D207*K207</f>
        <v>0</v>
      </c>
      <c r="M207" s="47"/>
      <c r="N207" s="53"/>
      <c r="O207" s="53" t="n">
        <f aca="false">D207*N207</f>
        <v>0</v>
      </c>
      <c r="P207" s="54" t="e">
        <f aca="false">AVERAGE(H207,K207,N207)</f>
        <v>#DIV/0!</v>
      </c>
      <c r="Q207" s="55" t="e">
        <f aca="false">F207*100/P207-100</f>
        <v>#DIV/0!</v>
      </c>
      <c r="R207" s="54" t="n">
        <f aca="false">D207*F207</f>
        <v>0</v>
      </c>
      <c r="S207" s="47"/>
      <c r="U207" s="57" t="e">
        <f aca="false">ROUND(H207*100/P207-100,0)</f>
        <v>#DIV/0!</v>
      </c>
      <c r="V207" s="57" t="e">
        <f aca="false">ROUND(K207*100/P207-100,0)</f>
        <v>#DIV/0!</v>
      </c>
      <c r="W207" s="57" t="e">
        <f aca="false">ROUND(N207*100/P207-100,0)</f>
        <v>#DIV/0!</v>
      </c>
    </row>
    <row r="208" s="43" customFormat="true" ht="73.5" hidden="false" customHeight="true" outlineLevel="0" collapsed="false">
      <c r="A208" s="45" t="n">
        <v>197</v>
      </c>
      <c r="B208" s="145" t="s">
        <v>359</v>
      </c>
      <c r="C208" s="146" t="s">
        <v>25</v>
      </c>
      <c r="D208" s="147" t="n">
        <v>5</v>
      </c>
      <c r="E208" s="148" t="n">
        <v>6504.74</v>
      </c>
      <c r="F208" s="50"/>
      <c r="G208" s="47"/>
      <c r="H208" s="53"/>
      <c r="I208" s="53" t="n">
        <f aca="false">H208*D208</f>
        <v>0</v>
      </c>
      <c r="J208" s="47"/>
      <c r="K208" s="53"/>
      <c r="L208" s="53" t="n">
        <f aca="false">D208*K208</f>
        <v>0</v>
      </c>
      <c r="M208" s="47"/>
      <c r="N208" s="53"/>
      <c r="O208" s="53" t="n">
        <f aca="false">D208*N208</f>
        <v>0</v>
      </c>
      <c r="P208" s="54" t="e">
        <f aca="false">AVERAGE(H208,K208,N208)</f>
        <v>#DIV/0!</v>
      </c>
      <c r="Q208" s="55" t="e">
        <f aca="false">F208*100/P208-100</f>
        <v>#DIV/0!</v>
      </c>
      <c r="R208" s="54" t="n">
        <f aca="false">D208*F208</f>
        <v>0</v>
      </c>
      <c r="S208" s="47"/>
      <c r="U208" s="57" t="e">
        <f aca="false">ROUND(H208*100/P208-100,0)</f>
        <v>#DIV/0!</v>
      </c>
      <c r="V208" s="57" t="e">
        <f aca="false">ROUND(K208*100/P208-100,0)</f>
        <v>#DIV/0!</v>
      </c>
      <c r="W208" s="57" t="e">
        <f aca="false">ROUND(N208*100/P208-100,0)</f>
        <v>#DIV/0!</v>
      </c>
    </row>
    <row r="209" s="43" customFormat="true" ht="73.5" hidden="false" customHeight="true" outlineLevel="0" collapsed="false">
      <c r="A209" s="45" t="n">
        <v>198</v>
      </c>
      <c r="B209" s="153" t="s">
        <v>565</v>
      </c>
      <c r="C209" s="146" t="s">
        <v>25</v>
      </c>
      <c r="D209" s="147" t="n">
        <v>1</v>
      </c>
      <c r="E209" s="148"/>
      <c r="F209" s="50"/>
      <c r="G209" s="109" t="s">
        <v>566</v>
      </c>
      <c r="H209" s="53"/>
      <c r="I209" s="53" t="n">
        <f aca="false">H209*D209</f>
        <v>0</v>
      </c>
      <c r="J209" s="47"/>
      <c r="K209" s="53"/>
      <c r="L209" s="53" t="n">
        <f aca="false">D209*K209</f>
        <v>0</v>
      </c>
      <c r="M209" s="47"/>
      <c r="N209" s="53"/>
      <c r="O209" s="53" t="n">
        <f aca="false">D209*N209</f>
        <v>0</v>
      </c>
      <c r="P209" s="54" t="e">
        <f aca="false">AVERAGE(H209,K209,N209)</f>
        <v>#DIV/0!</v>
      </c>
      <c r="Q209" s="55" t="e">
        <f aca="false">F209*100/P209-100</f>
        <v>#DIV/0!</v>
      </c>
      <c r="R209" s="54" t="n">
        <f aca="false">D209*F209</f>
        <v>0</v>
      </c>
      <c r="S209" s="47"/>
      <c r="U209" s="57" t="e">
        <f aca="false">ROUND(H209*100/P209-100,0)</f>
        <v>#DIV/0!</v>
      </c>
      <c r="V209" s="57" t="e">
        <f aca="false">ROUND(K209*100/P209-100,0)</f>
        <v>#DIV/0!</v>
      </c>
      <c r="W209" s="57" t="e">
        <f aca="false">ROUND(N209*100/P209-100,0)</f>
        <v>#DIV/0!</v>
      </c>
    </row>
    <row r="210" s="43" customFormat="true" ht="73.5" hidden="false" customHeight="true" outlineLevel="0" collapsed="false">
      <c r="A210" s="45" t="n">
        <v>199</v>
      </c>
      <c r="B210" s="153" t="s">
        <v>362</v>
      </c>
      <c r="C210" s="146" t="s">
        <v>25</v>
      </c>
      <c r="D210" s="147" t="n">
        <v>6</v>
      </c>
      <c r="E210" s="148" t="n">
        <v>9723.4</v>
      </c>
      <c r="F210" s="50"/>
      <c r="G210" s="109"/>
      <c r="H210" s="53"/>
      <c r="I210" s="53" t="n">
        <f aca="false">H210*D210</f>
        <v>0</v>
      </c>
      <c r="J210" s="47"/>
      <c r="K210" s="53"/>
      <c r="L210" s="53" t="n">
        <f aca="false">D210*K210</f>
        <v>0</v>
      </c>
      <c r="M210" s="47"/>
      <c r="N210" s="53"/>
      <c r="O210" s="53" t="n">
        <f aca="false">D210*N210</f>
        <v>0</v>
      </c>
      <c r="P210" s="54" t="e">
        <f aca="false">AVERAGE(H210,K210,N210)</f>
        <v>#DIV/0!</v>
      </c>
      <c r="Q210" s="55" t="e">
        <f aca="false">F210*100/P210-100</f>
        <v>#DIV/0!</v>
      </c>
      <c r="R210" s="54" t="n">
        <f aca="false">D210*F210</f>
        <v>0</v>
      </c>
      <c r="S210" s="47"/>
      <c r="U210" s="57" t="e">
        <f aca="false">ROUND(H210*100/P210-100,0)</f>
        <v>#DIV/0!</v>
      </c>
      <c r="V210" s="57" t="e">
        <f aca="false">ROUND(K210*100/P210-100,0)</f>
        <v>#DIV/0!</v>
      </c>
      <c r="W210" s="57" t="e">
        <f aca="false">ROUND(N210*100/P210-100,0)</f>
        <v>#DIV/0!</v>
      </c>
    </row>
    <row r="211" s="43" customFormat="true" ht="73.5" hidden="false" customHeight="true" outlineLevel="0" collapsed="false">
      <c r="A211" s="45" t="n">
        <v>200</v>
      </c>
      <c r="B211" s="145" t="s">
        <v>364</v>
      </c>
      <c r="C211" s="146" t="s">
        <v>25</v>
      </c>
      <c r="D211" s="147" t="n">
        <v>43</v>
      </c>
      <c r="E211" s="148" t="n">
        <v>14297.31</v>
      </c>
      <c r="F211" s="50"/>
      <c r="G211" s="47"/>
      <c r="H211" s="53"/>
      <c r="I211" s="53" t="n">
        <f aca="false">H211*D211</f>
        <v>0</v>
      </c>
      <c r="J211" s="47"/>
      <c r="K211" s="53"/>
      <c r="L211" s="53" t="n">
        <f aca="false">D211*K211</f>
        <v>0</v>
      </c>
      <c r="M211" s="47"/>
      <c r="N211" s="53"/>
      <c r="O211" s="53" t="n">
        <f aca="false">D211*N211</f>
        <v>0</v>
      </c>
      <c r="P211" s="54" t="e">
        <f aca="false">AVERAGE(H211,K211,N211)</f>
        <v>#DIV/0!</v>
      </c>
      <c r="Q211" s="55" t="e">
        <f aca="false">F211*100/P211-100</f>
        <v>#DIV/0!</v>
      </c>
      <c r="R211" s="54" t="n">
        <f aca="false">D211*F211</f>
        <v>0</v>
      </c>
      <c r="S211" s="47"/>
      <c r="U211" s="57" t="e">
        <f aca="false">ROUND(H211*100/P211-100,0)</f>
        <v>#DIV/0!</v>
      </c>
      <c r="V211" s="57" t="e">
        <f aca="false">ROUND(K211*100/P211-100,0)</f>
        <v>#DIV/0!</v>
      </c>
      <c r="W211" s="57" t="e">
        <f aca="false">ROUND(N211*100/P211-100,0)</f>
        <v>#DIV/0!</v>
      </c>
    </row>
    <row r="212" s="43" customFormat="true" ht="80.25" hidden="false" customHeight="true" outlineLevel="0" collapsed="false">
      <c r="A212" s="45" t="n">
        <v>201</v>
      </c>
      <c r="B212" s="145" t="s">
        <v>366</v>
      </c>
      <c r="C212" s="146" t="s">
        <v>25</v>
      </c>
      <c r="D212" s="147" t="n">
        <v>2</v>
      </c>
      <c r="E212" s="148" t="n">
        <v>18180.7</v>
      </c>
      <c r="F212" s="50"/>
      <c r="G212" s="47"/>
      <c r="H212" s="53"/>
      <c r="I212" s="53" t="n">
        <f aca="false">H212*D212</f>
        <v>0</v>
      </c>
      <c r="J212" s="47"/>
      <c r="K212" s="53"/>
      <c r="L212" s="53" t="n">
        <f aca="false">D212*K212</f>
        <v>0</v>
      </c>
      <c r="M212" s="47"/>
      <c r="N212" s="53"/>
      <c r="O212" s="53" t="n">
        <f aca="false">D212*N212</f>
        <v>0</v>
      </c>
      <c r="P212" s="54" t="e">
        <f aca="false">AVERAGE(H212,K212,N212)</f>
        <v>#DIV/0!</v>
      </c>
      <c r="Q212" s="55" t="e">
        <f aca="false">F212*100/P212-100</f>
        <v>#DIV/0!</v>
      </c>
      <c r="R212" s="54" t="n">
        <f aca="false">D212*F212</f>
        <v>0</v>
      </c>
      <c r="S212" s="47"/>
      <c r="U212" s="57" t="e">
        <f aca="false">ROUND(H212*100/P212-100,0)</f>
        <v>#DIV/0!</v>
      </c>
      <c r="V212" s="57" t="e">
        <f aca="false">ROUND(K212*100/P212-100,0)</f>
        <v>#DIV/0!</v>
      </c>
      <c r="W212" s="57" t="e">
        <f aca="false">ROUND(N212*100/P212-100,0)</f>
        <v>#DIV/0!</v>
      </c>
    </row>
    <row r="213" s="43" customFormat="true" ht="73.5" hidden="false" customHeight="true" outlineLevel="0" collapsed="false">
      <c r="A213" s="45" t="n">
        <v>202</v>
      </c>
      <c r="B213" s="145" t="s">
        <v>367</v>
      </c>
      <c r="C213" s="146" t="s">
        <v>25</v>
      </c>
      <c r="D213" s="147" t="n">
        <v>2</v>
      </c>
      <c r="E213" s="148" t="n">
        <v>15497.6</v>
      </c>
      <c r="F213" s="50"/>
      <c r="G213" s="47"/>
      <c r="H213" s="53"/>
      <c r="I213" s="53" t="n">
        <f aca="false">D213*H213</f>
        <v>0</v>
      </c>
      <c r="J213" s="53"/>
      <c r="K213" s="53"/>
      <c r="L213" s="53" t="n">
        <f aca="false">D213*K213</f>
        <v>0</v>
      </c>
      <c r="M213" s="47"/>
      <c r="N213" s="53"/>
      <c r="O213" s="53" t="n">
        <f aca="false">D213*N213</f>
        <v>0</v>
      </c>
      <c r="P213" s="54" t="e">
        <f aca="false">AVERAGE(H213,K213,N213)</f>
        <v>#DIV/0!</v>
      </c>
      <c r="Q213" s="55" t="e">
        <f aca="false">F213*100/P213-100</f>
        <v>#DIV/0!</v>
      </c>
      <c r="R213" s="54" t="n">
        <f aca="false">D213*F213</f>
        <v>0</v>
      </c>
      <c r="S213" s="47"/>
      <c r="U213" s="57" t="e">
        <f aca="false">ROUND(H213*100/P213-100,0)</f>
        <v>#DIV/0!</v>
      </c>
      <c r="V213" s="57" t="e">
        <f aca="false">ROUND(K213*100/P213-100,0)</f>
        <v>#DIV/0!</v>
      </c>
      <c r="W213" s="57" t="e">
        <f aca="false">ROUND(N213*100/P213-100,0)</f>
        <v>#DIV/0!</v>
      </c>
    </row>
    <row r="214" s="43" customFormat="true" ht="73.5" hidden="false" customHeight="true" outlineLevel="0" collapsed="false">
      <c r="A214" s="45" t="n">
        <v>203</v>
      </c>
      <c r="B214" s="145" t="s">
        <v>368</v>
      </c>
      <c r="C214" s="146" t="s">
        <v>25</v>
      </c>
      <c r="D214" s="147" t="n">
        <v>2</v>
      </c>
      <c r="E214" s="148" t="n">
        <v>16602.1</v>
      </c>
      <c r="F214" s="50"/>
      <c r="G214" s="47"/>
      <c r="H214" s="53"/>
      <c r="I214" s="53" t="n">
        <f aca="false">D214*H214</f>
        <v>0</v>
      </c>
      <c r="J214" s="47"/>
      <c r="K214" s="53"/>
      <c r="L214" s="53" t="n">
        <f aca="false">D214*K214</f>
        <v>0</v>
      </c>
      <c r="M214" s="47"/>
      <c r="N214" s="53"/>
      <c r="O214" s="53" t="n">
        <f aca="false">D214*N214</f>
        <v>0</v>
      </c>
      <c r="P214" s="54" t="e">
        <f aca="false">AVERAGE(H214,K214,N214)</f>
        <v>#DIV/0!</v>
      </c>
      <c r="Q214" s="55" t="e">
        <f aca="false">F214*100/P214-100</f>
        <v>#DIV/0!</v>
      </c>
      <c r="R214" s="54" t="n">
        <f aca="false">D214*F214</f>
        <v>0</v>
      </c>
      <c r="S214" s="47"/>
      <c r="U214" s="57" t="e">
        <f aca="false">ROUND(H214*100/P214-100,0)</f>
        <v>#DIV/0!</v>
      </c>
      <c r="V214" s="57" t="e">
        <f aca="false">ROUND(K214*100/P214-100,0)</f>
        <v>#DIV/0!</v>
      </c>
      <c r="W214" s="57" t="e">
        <f aca="false">ROUND(N214*100/P214-100,0)</f>
        <v>#DIV/0!</v>
      </c>
    </row>
    <row r="215" s="43" customFormat="true" ht="73.5" hidden="false" customHeight="true" outlineLevel="0" collapsed="false">
      <c r="A215" s="45" t="n">
        <v>204</v>
      </c>
      <c r="B215" s="145" t="s">
        <v>567</v>
      </c>
      <c r="C215" s="146" t="s">
        <v>25</v>
      </c>
      <c r="D215" s="147" t="n">
        <v>149</v>
      </c>
      <c r="E215" s="148" t="n">
        <v>10970.42</v>
      </c>
      <c r="F215" s="50"/>
      <c r="G215" s="149"/>
      <c r="H215" s="53"/>
      <c r="I215" s="53" t="n">
        <f aca="false">D215*H215</f>
        <v>0</v>
      </c>
      <c r="J215" s="47"/>
      <c r="K215" s="53"/>
      <c r="L215" s="53" t="n">
        <f aca="false">D215*K215</f>
        <v>0</v>
      </c>
      <c r="M215" s="47"/>
      <c r="N215" s="53"/>
      <c r="O215" s="150" t="n">
        <f aca="false">D215*N215</f>
        <v>0</v>
      </c>
      <c r="P215" s="54" t="e">
        <f aca="false">AVERAGE(H215,K215,N215)</f>
        <v>#DIV/0!</v>
      </c>
      <c r="Q215" s="151" t="e">
        <f aca="false">F215*100/P215-100</f>
        <v>#DIV/0!</v>
      </c>
      <c r="R215" s="54" t="n">
        <f aca="false">D215*F215</f>
        <v>0</v>
      </c>
      <c r="S215" s="47"/>
      <c r="U215" s="57" t="e">
        <f aca="false">ROUND(H215*100/P215-100,0)</f>
        <v>#DIV/0!</v>
      </c>
      <c r="V215" s="57" t="e">
        <f aca="false">ROUND(K215*100/P215-100,0)</f>
        <v>#DIV/0!</v>
      </c>
      <c r="W215" s="57" t="e">
        <f aca="false">ROUND(N215*100/P215-100,0)</f>
        <v>#DIV/0!</v>
      </c>
    </row>
    <row r="216" s="43" customFormat="true" ht="73.5" hidden="false" customHeight="true" outlineLevel="0" collapsed="false">
      <c r="A216" s="45" t="n">
        <v>205</v>
      </c>
      <c r="B216" s="145" t="s">
        <v>568</v>
      </c>
      <c r="C216" s="146" t="s">
        <v>25</v>
      </c>
      <c r="D216" s="147" t="n">
        <v>1</v>
      </c>
      <c r="E216" s="148" t="s">
        <v>504</v>
      </c>
      <c r="F216" s="50"/>
      <c r="G216" s="47"/>
      <c r="H216" s="53"/>
      <c r="I216" s="72" t="n">
        <f aca="false">D216*H216</f>
        <v>0</v>
      </c>
      <c r="J216" s="47"/>
      <c r="K216" s="72"/>
      <c r="L216" s="72" t="n">
        <f aca="false">D216*K216</f>
        <v>0</v>
      </c>
      <c r="M216" s="72"/>
      <c r="N216" s="72"/>
      <c r="O216" s="72" t="n">
        <f aca="false">D216*N216</f>
        <v>0</v>
      </c>
      <c r="P216" s="54" t="e">
        <f aca="false">AVERAGE(H216,K216,N216)</f>
        <v>#DIV/0!</v>
      </c>
      <c r="Q216" s="55" t="e">
        <f aca="false">F216*100/P216-100</f>
        <v>#DIV/0!</v>
      </c>
      <c r="R216" s="54" t="n">
        <f aca="false">D216*F216</f>
        <v>0</v>
      </c>
      <c r="S216" s="47"/>
      <c r="U216" s="57" t="e">
        <f aca="false">ROUND(H216*100/P216-100,0)</f>
        <v>#DIV/0!</v>
      </c>
      <c r="V216" s="57" t="e">
        <f aca="false">ROUND(K216*100/P216-100,0)</f>
        <v>#DIV/0!</v>
      </c>
      <c r="W216" s="57" t="e">
        <f aca="false">ROUND(N216*100/P216-100,0)</f>
        <v>#DIV/0!</v>
      </c>
    </row>
    <row r="217" s="43" customFormat="true" ht="73.5" hidden="false" customHeight="true" outlineLevel="0" collapsed="false">
      <c r="A217" s="45" t="n">
        <v>206</v>
      </c>
      <c r="B217" s="145" t="s">
        <v>569</v>
      </c>
      <c r="C217" s="146" t="s">
        <v>45</v>
      </c>
      <c r="D217" s="147" t="n">
        <v>0.3</v>
      </c>
      <c r="E217" s="148" t="s">
        <v>504</v>
      </c>
      <c r="F217" s="50"/>
      <c r="G217" s="47"/>
      <c r="H217" s="53"/>
      <c r="I217" s="72" t="n">
        <f aca="false">D217*H217</f>
        <v>0</v>
      </c>
      <c r="J217" s="72"/>
      <c r="K217" s="72"/>
      <c r="L217" s="72" t="n">
        <f aca="false">D217*K217</f>
        <v>0</v>
      </c>
      <c r="M217" s="47"/>
      <c r="N217" s="72"/>
      <c r="O217" s="72" t="n">
        <f aca="false">D217*N217</f>
        <v>0</v>
      </c>
      <c r="P217" s="54" t="e">
        <f aca="false">AVERAGE(H217,K217,N217)</f>
        <v>#DIV/0!</v>
      </c>
      <c r="Q217" s="55" t="e">
        <f aca="false">F217*100/P217-100</f>
        <v>#DIV/0!</v>
      </c>
      <c r="R217" s="54" t="n">
        <f aca="false">D217*F217</f>
        <v>0</v>
      </c>
      <c r="S217" s="47"/>
      <c r="U217" s="57" t="e">
        <f aca="false">ROUND(H217*100/P217-100,0)</f>
        <v>#DIV/0!</v>
      </c>
      <c r="V217" s="57" t="e">
        <f aca="false">ROUND(K217*100/P217-100,0)</f>
        <v>#DIV/0!</v>
      </c>
      <c r="W217" s="57" t="e">
        <f aca="false">ROUND(N217*100/P217-100,0)</f>
        <v>#DIV/0!</v>
      </c>
    </row>
    <row r="218" s="43" customFormat="true" ht="73.5" hidden="false" customHeight="true" outlineLevel="0" collapsed="false">
      <c r="A218" s="45" t="n">
        <v>207</v>
      </c>
      <c r="B218" s="145" t="s">
        <v>379</v>
      </c>
      <c r="C218" s="146" t="s">
        <v>25</v>
      </c>
      <c r="D218" s="147" t="n">
        <v>20</v>
      </c>
      <c r="E218" s="148" t="n">
        <v>28.03</v>
      </c>
      <c r="F218" s="50"/>
      <c r="G218" s="47"/>
      <c r="H218" s="53"/>
      <c r="I218" s="72" t="n">
        <f aca="false">D218*H218</f>
        <v>0</v>
      </c>
      <c r="J218" s="72"/>
      <c r="K218" s="72"/>
      <c r="L218" s="72" t="n">
        <f aca="false">D218*K218</f>
        <v>0</v>
      </c>
      <c r="M218" s="47"/>
      <c r="N218" s="72"/>
      <c r="O218" s="72" t="n">
        <f aca="false">D218*N218</f>
        <v>0</v>
      </c>
      <c r="P218" s="54" t="e">
        <f aca="false">AVERAGE(H218,K218,N218)</f>
        <v>#DIV/0!</v>
      </c>
      <c r="Q218" s="55" t="e">
        <f aca="false">F218*100/P218-100</f>
        <v>#DIV/0!</v>
      </c>
      <c r="R218" s="54" t="n">
        <f aca="false">D218*F218</f>
        <v>0</v>
      </c>
      <c r="S218" s="47"/>
      <c r="U218" s="57" t="e">
        <f aca="false">ROUND(H218*100/P218-100,0)</f>
        <v>#DIV/0!</v>
      </c>
      <c r="V218" s="57" t="e">
        <f aca="false">ROUND(K218*100/P218-100,0)</f>
        <v>#DIV/0!</v>
      </c>
      <c r="W218" s="57" t="e">
        <f aca="false">ROUND(N218*100/P218-100,0)</f>
        <v>#DIV/0!</v>
      </c>
    </row>
    <row r="219" s="43" customFormat="true" ht="73.5" hidden="false" customHeight="true" outlineLevel="0" collapsed="false">
      <c r="A219" s="45" t="n">
        <v>208</v>
      </c>
      <c r="B219" s="145" t="s">
        <v>380</v>
      </c>
      <c r="C219" s="146" t="s">
        <v>381</v>
      </c>
      <c r="D219" s="147" t="n">
        <v>2</v>
      </c>
      <c r="E219" s="148" t="n">
        <v>41590.2</v>
      </c>
      <c r="F219" s="50"/>
      <c r="G219" s="47"/>
      <c r="H219" s="53"/>
      <c r="I219" s="72" t="n">
        <f aca="false">D219*H219</f>
        <v>0</v>
      </c>
      <c r="J219" s="47"/>
      <c r="K219" s="72"/>
      <c r="L219" s="72" t="n">
        <f aca="false">D219*K219</f>
        <v>0</v>
      </c>
      <c r="M219" s="72"/>
      <c r="N219" s="72"/>
      <c r="O219" s="72" t="n">
        <f aca="false">D219*N219</f>
        <v>0</v>
      </c>
      <c r="P219" s="54" t="e">
        <f aca="false">AVERAGE(H219,K219,N219)</f>
        <v>#DIV/0!</v>
      </c>
      <c r="Q219" s="55" t="e">
        <f aca="false">F219*100/P219-100</f>
        <v>#DIV/0!</v>
      </c>
      <c r="R219" s="54" t="n">
        <f aca="false">D219*F219</f>
        <v>0</v>
      </c>
      <c r="S219" s="47"/>
      <c r="U219" s="57" t="e">
        <f aca="false">ROUND(H219*100/P219-100,0)</f>
        <v>#DIV/0!</v>
      </c>
      <c r="V219" s="57" t="e">
        <f aca="false">ROUND(K219*100/P219-100,0)</f>
        <v>#DIV/0!</v>
      </c>
      <c r="W219" s="57" t="e">
        <f aca="false">ROUND(N219*100/P219-100,0)</f>
        <v>#DIV/0!</v>
      </c>
    </row>
    <row r="220" s="43" customFormat="true" ht="78" hidden="false" customHeight="true" outlineLevel="0" collapsed="false">
      <c r="A220" s="45" t="n">
        <v>209</v>
      </c>
      <c r="B220" s="145" t="s">
        <v>384</v>
      </c>
      <c r="C220" s="146" t="s">
        <v>323</v>
      </c>
      <c r="D220" s="147" t="n">
        <v>18</v>
      </c>
      <c r="E220" s="148" t="n">
        <v>181054.64</v>
      </c>
      <c r="F220" s="50"/>
      <c r="G220" s="47"/>
      <c r="H220" s="53"/>
      <c r="I220" s="72" t="n">
        <f aca="false">D220*H220</f>
        <v>0</v>
      </c>
      <c r="J220" s="72"/>
      <c r="K220" s="72"/>
      <c r="L220" s="72" t="n">
        <f aca="false">D220*K220</f>
        <v>0</v>
      </c>
      <c r="M220" s="47"/>
      <c r="N220" s="72"/>
      <c r="O220" s="72" t="n">
        <f aca="false">D220*N220</f>
        <v>0</v>
      </c>
      <c r="P220" s="54" t="e">
        <f aca="false">AVERAGE(H220,K220,N220)</f>
        <v>#DIV/0!</v>
      </c>
      <c r="Q220" s="55" t="e">
        <f aca="false">F220*100/P220-100</f>
        <v>#DIV/0!</v>
      </c>
      <c r="R220" s="54" t="n">
        <f aca="false">D220*F220</f>
        <v>0</v>
      </c>
      <c r="S220" s="47"/>
      <c r="U220" s="57" t="e">
        <f aca="false">ROUND(H220*100/P220-100,0)</f>
        <v>#DIV/0!</v>
      </c>
      <c r="V220" s="57" t="e">
        <f aca="false">ROUND(K220*100/P220-100,0)</f>
        <v>#DIV/0!</v>
      </c>
      <c r="W220" s="57" t="e">
        <f aca="false">ROUND(N220*100/P220-100,0)</f>
        <v>#DIV/0!</v>
      </c>
    </row>
    <row r="221" s="43" customFormat="true" ht="73.5" hidden="false" customHeight="true" outlineLevel="0" collapsed="false">
      <c r="A221" s="45" t="n">
        <v>210</v>
      </c>
      <c r="B221" s="145" t="s">
        <v>387</v>
      </c>
      <c r="C221" s="146" t="s">
        <v>25</v>
      </c>
      <c r="D221" s="147" t="n">
        <v>48</v>
      </c>
      <c r="E221" s="148" t="n">
        <v>902.6</v>
      </c>
      <c r="F221" s="50"/>
      <c r="G221" s="47"/>
      <c r="H221" s="53"/>
      <c r="I221" s="72" t="n">
        <f aca="false">D221*H221</f>
        <v>0</v>
      </c>
      <c r="J221" s="72"/>
      <c r="K221" s="72"/>
      <c r="L221" s="72" t="n">
        <f aca="false">D221*K221</f>
        <v>0</v>
      </c>
      <c r="M221" s="72"/>
      <c r="N221" s="72"/>
      <c r="O221" s="72" t="n">
        <f aca="false">D221*N221</f>
        <v>0</v>
      </c>
      <c r="P221" s="54" t="e">
        <f aca="false">AVERAGE(H221,K221,N221)</f>
        <v>#DIV/0!</v>
      </c>
      <c r="Q221" s="55" t="e">
        <f aca="false">F221*100/P221-100</f>
        <v>#DIV/0!</v>
      </c>
      <c r="R221" s="54" t="n">
        <f aca="false">D221*F221</f>
        <v>0</v>
      </c>
      <c r="S221" s="47"/>
      <c r="U221" s="57" t="e">
        <f aca="false">ROUND(H221*100/P221-100,0)</f>
        <v>#DIV/0!</v>
      </c>
      <c r="V221" s="57" t="e">
        <f aca="false">ROUND(K221*100/P221-100,0)</f>
        <v>#DIV/0!</v>
      </c>
      <c r="W221" s="57" t="e">
        <f aca="false">ROUND(N221*100/P221-100,0)</f>
        <v>#DIV/0!</v>
      </c>
    </row>
    <row r="222" s="43" customFormat="true" ht="73.5" hidden="false" customHeight="true" outlineLevel="0" collapsed="false">
      <c r="A222" s="45" t="n">
        <v>211</v>
      </c>
      <c r="B222" s="145" t="s">
        <v>570</v>
      </c>
      <c r="C222" s="146" t="s">
        <v>25</v>
      </c>
      <c r="D222" s="147" t="n">
        <v>40</v>
      </c>
      <c r="E222" s="148" t="n">
        <v>835.7</v>
      </c>
      <c r="F222" s="50"/>
      <c r="G222" s="47"/>
      <c r="H222" s="53"/>
      <c r="I222" s="53" t="n">
        <f aca="false">D222*H222</f>
        <v>0</v>
      </c>
      <c r="J222" s="72"/>
      <c r="K222" s="53"/>
      <c r="L222" s="53" t="n">
        <f aca="false">D222*K222</f>
        <v>0</v>
      </c>
      <c r="M222" s="47"/>
      <c r="N222" s="53"/>
      <c r="O222" s="53" t="n">
        <f aca="false">D222*N222</f>
        <v>0</v>
      </c>
      <c r="P222" s="54" t="e">
        <f aca="false">AVERAGE(H222,K222,N222)</f>
        <v>#DIV/0!</v>
      </c>
      <c r="Q222" s="55" t="e">
        <f aca="false">F222*100/P222-100</f>
        <v>#DIV/0!</v>
      </c>
      <c r="R222" s="54" t="n">
        <f aca="false">D222*F222</f>
        <v>0</v>
      </c>
      <c r="S222" s="47"/>
      <c r="U222" s="57" t="e">
        <f aca="false">ROUND(H222*100/P222-100,0)</f>
        <v>#DIV/0!</v>
      </c>
      <c r="V222" s="57" t="e">
        <f aca="false">ROUND(K222*100/P222-100,0)</f>
        <v>#DIV/0!</v>
      </c>
      <c r="W222" s="57" t="e">
        <f aca="false">ROUND(N222*100/P222-100,0)</f>
        <v>#DIV/0!</v>
      </c>
    </row>
    <row r="223" s="43" customFormat="true" ht="73.5" hidden="false" customHeight="true" outlineLevel="0" collapsed="false">
      <c r="A223" s="45" t="n">
        <v>212</v>
      </c>
      <c r="B223" s="145" t="s">
        <v>389</v>
      </c>
      <c r="C223" s="146" t="s">
        <v>390</v>
      </c>
      <c r="D223" s="147" t="n">
        <v>21</v>
      </c>
      <c r="E223" s="148" t="n">
        <v>856.33</v>
      </c>
      <c r="F223" s="50"/>
      <c r="G223" s="47"/>
      <c r="H223" s="53"/>
      <c r="I223" s="72" t="n">
        <f aca="false">D223*H223</f>
        <v>0</v>
      </c>
      <c r="J223" s="72"/>
      <c r="K223" s="72"/>
      <c r="L223" s="72" t="n">
        <f aca="false">D223*K223</f>
        <v>0</v>
      </c>
      <c r="M223" s="47"/>
      <c r="N223" s="72"/>
      <c r="O223" s="72" t="n">
        <f aca="false">D223*N223</f>
        <v>0</v>
      </c>
      <c r="P223" s="54" t="e">
        <f aca="false">AVERAGE(H223,K223,N223)</f>
        <v>#DIV/0!</v>
      </c>
      <c r="Q223" s="55" t="e">
        <f aca="false">F223*100/P223-100</f>
        <v>#DIV/0!</v>
      </c>
      <c r="R223" s="54" t="n">
        <f aca="false">D223*F223</f>
        <v>0</v>
      </c>
      <c r="S223" s="47"/>
      <c r="U223" s="57" t="e">
        <f aca="false">ROUND(H223*100/P223-100,0)</f>
        <v>#DIV/0!</v>
      </c>
      <c r="V223" s="57" t="e">
        <f aca="false">ROUND(K223*100/P223-100,0)</f>
        <v>#DIV/0!</v>
      </c>
      <c r="W223" s="57" t="e">
        <f aca="false">ROUND(N223*100/P223-100,0)</f>
        <v>#DIV/0!</v>
      </c>
    </row>
    <row r="224" s="43" customFormat="true" ht="249.75" hidden="false" customHeight="true" outlineLevel="0" collapsed="false">
      <c r="A224" s="45" t="n">
        <v>213</v>
      </c>
      <c r="B224" s="145" t="s">
        <v>571</v>
      </c>
      <c r="C224" s="146" t="s">
        <v>65</v>
      </c>
      <c r="D224" s="147" t="n">
        <v>9</v>
      </c>
      <c r="E224" s="155" t="n">
        <v>13200.5</v>
      </c>
      <c r="F224" s="70"/>
      <c r="G224" s="47"/>
      <c r="H224" s="53"/>
      <c r="I224" s="72" t="n">
        <f aca="false">D224*H224</f>
        <v>0</v>
      </c>
      <c r="J224" s="72"/>
      <c r="K224" s="72"/>
      <c r="L224" s="72" t="n">
        <f aca="false">D224*K224</f>
        <v>0</v>
      </c>
      <c r="M224" s="47"/>
      <c r="N224" s="72"/>
      <c r="O224" s="72" t="n">
        <f aca="false">D224*N224</f>
        <v>0</v>
      </c>
      <c r="P224" s="54" t="e">
        <f aca="false">AVERAGE(H224,K224,N224)</f>
        <v>#DIV/0!</v>
      </c>
      <c r="Q224" s="55" t="e">
        <f aca="false">F224*100/P224-100</f>
        <v>#DIV/0!</v>
      </c>
      <c r="R224" s="54" t="n">
        <f aca="false">D224*F224</f>
        <v>0</v>
      </c>
      <c r="S224" s="47"/>
      <c r="U224" s="57" t="e">
        <f aca="false">ROUND(H224*100/P224-100,0)</f>
        <v>#DIV/0!</v>
      </c>
      <c r="V224" s="57" t="e">
        <f aca="false">ROUND(K224*100/P224-100,0)</f>
        <v>#DIV/0!</v>
      </c>
      <c r="W224" s="57" t="e">
        <f aca="false">ROUND(N224*100/P224-100,0)</f>
        <v>#DIV/0!</v>
      </c>
    </row>
    <row r="225" s="43" customFormat="true" ht="249" hidden="false" customHeight="true" outlineLevel="0" collapsed="false">
      <c r="A225" s="45" t="n">
        <v>214</v>
      </c>
      <c r="B225" s="145" t="s">
        <v>572</v>
      </c>
      <c r="C225" s="146" t="s">
        <v>65</v>
      </c>
      <c r="D225" s="147" t="n">
        <v>6</v>
      </c>
      <c r="E225" s="155" t="n">
        <v>13054.66</v>
      </c>
      <c r="F225" s="70"/>
      <c r="G225" s="47"/>
      <c r="H225" s="53"/>
      <c r="I225" s="72" t="n">
        <f aca="false">D225*H225</f>
        <v>0</v>
      </c>
      <c r="J225" s="72"/>
      <c r="K225" s="72"/>
      <c r="L225" s="72" t="n">
        <f aca="false">D225*K225</f>
        <v>0</v>
      </c>
      <c r="M225" s="47"/>
      <c r="N225" s="72"/>
      <c r="O225" s="72" t="n">
        <f aca="false">D225*N225</f>
        <v>0</v>
      </c>
      <c r="P225" s="54" t="e">
        <f aca="false">AVERAGE(H225,K225,N225)</f>
        <v>#DIV/0!</v>
      </c>
      <c r="Q225" s="55" t="e">
        <f aca="false">F225*100/P225-100</f>
        <v>#DIV/0!</v>
      </c>
      <c r="R225" s="54" t="n">
        <f aca="false">D225*F225</f>
        <v>0</v>
      </c>
      <c r="S225" s="47"/>
      <c r="U225" s="57" t="e">
        <f aca="false">ROUND(H225*100/P225-100,0)</f>
        <v>#DIV/0!</v>
      </c>
      <c r="V225" s="57" t="e">
        <f aca="false">ROUND(K225*100/P225-100,0)</f>
        <v>#DIV/0!</v>
      </c>
      <c r="W225" s="57" t="e">
        <f aca="false">ROUND(N225*100/P225-100,0)</f>
        <v>#DIV/0!</v>
      </c>
    </row>
    <row r="226" s="43" customFormat="true" ht="73.5" hidden="false" customHeight="true" outlineLevel="0" collapsed="false">
      <c r="A226" s="45" t="n">
        <v>215</v>
      </c>
      <c r="B226" s="145" t="s">
        <v>396</v>
      </c>
      <c r="C226" s="146" t="s">
        <v>25</v>
      </c>
      <c r="D226" s="147" t="n">
        <v>1</v>
      </c>
      <c r="E226" s="148" t="n">
        <v>16735.5</v>
      </c>
      <c r="F226" s="50"/>
      <c r="G226" s="47"/>
      <c r="H226" s="53"/>
      <c r="I226" s="72" t="n">
        <f aca="false">D226*H226</f>
        <v>0</v>
      </c>
      <c r="J226" s="72"/>
      <c r="K226" s="72"/>
      <c r="L226" s="72" t="n">
        <f aca="false">D226*K226</f>
        <v>0</v>
      </c>
      <c r="M226" s="47"/>
      <c r="N226" s="72"/>
      <c r="O226" s="72" t="n">
        <f aca="false">D226*N226</f>
        <v>0</v>
      </c>
      <c r="P226" s="54" t="e">
        <f aca="false">AVERAGE(H226,K226,N226)</f>
        <v>#DIV/0!</v>
      </c>
      <c r="Q226" s="55" t="e">
        <f aca="false">F226*100/P226-100</f>
        <v>#DIV/0!</v>
      </c>
      <c r="R226" s="54" t="n">
        <f aca="false">D226*F226</f>
        <v>0</v>
      </c>
      <c r="S226" s="47"/>
      <c r="U226" s="57" t="e">
        <f aca="false">ROUND(H226*100/P226-100,0)</f>
        <v>#DIV/0!</v>
      </c>
      <c r="V226" s="57" t="e">
        <f aca="false">ROUND(K226*100/P226-100,0)</f>
        <v>#DIV/0!</v>
      </c>
      <c r="W226" s="57" t="e">
        <f aca="false">ROUND(N226*100/P226-100,0)</f>
        <v>#DIV/0!</v>
      </c>
    </row>
    <row r="227" s="43" customFormat="true" ht="73.5" hidden="false" customHeight="true" outlineLevel="0" collapsed="false">
      <c r="A227" s="45" t="n">
        <v>216</v>
      </c>
      <c r="B227" s="145" t="s">
        <v>397</v>
      </c>
      <c r="C227" s="146" t="s">
        <v>25</v>
      </c>
      <c r="D227" s="147" t="n">
        <v>1</v>
      </c>
      <c r="E227" s="148" t="n">
        <v>2330.77</v>
      </c>
      <c r="F227" s="50"/>
      <c r="G227" s="47"/>
      <c r="H227" s="53"/>
      <c r="I227" s="72" t="n">
        <f aca="false">D227*H227</f>
        <v>0</v>
      </c>
      <c r="J227" s="72"/>
      <c r="K227" s="72"/>
      <c r="L227" s="72" t="n">
        <f aca="false">D227*K227</f>
        <v>0</v>
      </c>
      <c r="M227" s="47"/>
      <c r="N227" s="72"/>
      <c r="O227" s="72" t="n">
        <f aca="false">D227*N227</f>
        <v>0</v>
      </c>
      <c r="P227" s="54" t="e">
        <f aca="false">AVERAGE(H227,K227,N227)</f>
        <v>#DIV/0!</v>
      </c>
      <c r="Q227" s="55" t="e">
        <f aca="false">F227*100/P227-100</f>
        <v>#DIV/0!</v>
      </c>
      <c r="R227" s="54" t="n">
        <f aca="false">D227*F227</f>
        <v>0</v>
      </c>
      <c r="S227" s="47"/>
      <c r="U227" s="57" t="e">
        <f aca="false">ROUND(H227*100/P227-100,0)</f>
        <v>#DIV/0!</v>
      </c>
      <c r="V227" s="57" t="e">
        <f aca="false">ROUND(K227*100/P227-100,0)</f>
        <v>#DIV/0!</v>
      </c>
      <c r="W227" s="57" t="e">
        <f aca="false">ROUND(N227*100/P227-100,0)</f>
        <v>#DIV/0!</v>
      </c>
    </row>
    <row r="228" s="43" customFormat="true" ht="73.5" hidden="false" customHeight="true" outlineLevel="0" collapsed="false">
      <c r="A228" s="45" t="n">
        <v>217</v>
      </c>
      <c r="B228" s="145" t="s">
        <v>398</v>
      </c>
      <c r="C228" s="146" t="s">
        <v>25</v>
      </c>
      <c r="D228" s="147" t="n">
        <v>2</v>
      </c>
      <c r="E228" s="148" t="n">
        <v>3600</v>
      </c>
      <c r="F228" s="50"/>
      <c r="G228" s="47"/>
      <c r="H228" s="53"/>
      <c r="I228" s="53" t="n">
        <f aca="false">D228*H228</f>
        <v>0</v>
      </c>
      <c r="J228" s="53"/>
      <c r="K228" s="53"/>
      <c r="L228" s="53" t="n">
        <f aca="false">D228*K228</f>
        <v>0</v>
      </c>
      <c r="M228" s="47"/>
      <c r="N228" s="53"/>
      <c r="O228" s="53" t="n">
        <f aca="false">D228*N228</f>
        <v>0</v>
      </c>
      <c r="P228" s="54" t="e">
        <f aca="false">AVERAGE(H228,K228,N228)</f>
        <v>#DIV/0!</v>
      </c>
      <c r="Q228" s="55" t="e">
        <f aca="false">F228*100/P228-100</f>
        <v>#DIV/0!</v>
      </c>
      <c r="R228" s="54" t="n">
        <f aca="false">D228*F228</f>
        <v>0</v>
      </c>
      <c r="S228" s="47"/>
      <c r="U228" s="57" t="e">
        <f aca="false">ROUND(H228*100/P228-100,0)</f>
        <v>#DIV/0!</v>
      </c>
      <c r="V228" s="57" t="e">
        <f aca="false">ROUND(K228*100/P228-100,0)</f>
        <v>#DIV/0!</v>
      </c>
      <c r="W228" s="57" t="e">
        <f aca="false">ROUND(N228*100/P228-100,0)</f>
        <v>#DIV/0!</v>
      </c>
    </row>
    <row r="229" s="43" customFormat="true" ht="73.5" hidden="false" customHeight="true" outlineLevel="0" collapsed="false">
      <c r="A229" s="45" t="n">
        <v>218</v>
      </c>
      <c r="B229" s="145" t="s">
        <v>400</v>
      </c>
      <c r="C229" s="146" t="s">
        <v>25</v>
      </c>
      <c r="D229" s="147" t="n">
        <v>3</v>
      </c>
      <c r="E229" s="148" t="n">
        <v>27700.56</v>
      </c>
      <c r="F229" s="50"/>
      <c r="G229" s="47"/>
      <c r="H229" s="53"/>
      <c r="I229" s="53" t="n">
        <f aca="false">D229*H229</f>
        <v>0</v>
      </c>
      <c r="J229" s="53"/>
      <c r="K229" s="53"/>
      <c r="L229" s="53" t="n">
        <f aca="false">D229*K229</f>
        <v>0</v>
      </c>
      <c r="M229" s="47"/>
      <c r="N229" s="53"/>
      <c r="O229" s="53" t="n">
        <f aca="false">D229*N229</f>
        <v>0</v>
      </c>
      <c r="P229" s="54" t="e">
        <f aca="false">AVERAGE(H229,K229,N229)</f>
        <v>#DIV/0!</v>
      </c>
      <c r="Q229" s="55" t="e">
        <f aca="false">F229*100/P229-100</f>
        <v>#DIV/0!</v>
      </c>
      <c r="R229" s="54" t="n">
        <f aca="false">D229*F229</f>
        <v>0</v>
      </c>
      <c r="S229" s="47"/>
      <c r="U229" s="57" t="e">
        <f aca="false">ROUND(H229*100/P229-100,0)</f>
        <v>#DIV/0!</v>
      </c>
      <c r="V229" s="57" t="e">
        <f aca="false">ROUND(K229*100/P229-100,0)</f>
        <v>#DIV/0!</v>
      </c>
      <c r="W229" s="57" t="e">
        <f aca="false">ROUND(N229*100/P229-100,0)</f>
        <v>#DIV/0!</v>
      </c>
    </row>
    <row r="230" s="43" customFormat="true" ht="73.5" hidden="false" customHeight="true" outlineLevel="0" collapsed="false">
      <c r="A230" s="45" t="n">
        <v>219</v>
      </c>
      <c r="B230" s="145" t="s">
        <v>408</v>
      </c>
      <c r="C230" s="146" t="s">
        <v>25</v>
      </c>
      <c r="D230" s="147" t="n">
        <v>10</v>
      </c>
      <c r="E230" s="148" t="n">
        <v>1865.8</v>
      </c>
      <c r="F230" s="50"/>
      <c r="G230" s="47"/>
      <c r="H230" s="53"/>
      <c r="I230" s="53" t="n">
        <f aca="false">D230*H230</f>
        <v>0</v>
      </c>
      <c r="J230" s="53"/>
      <c r="K230" s="53"/>
      <c r="L230" s="53" t="n">
        <f aca="false">D230*K230</f>
        <v>0</v>
      </c>
      <c r="M230" s="47"/>
      <c r="N230" s="53"/>
      <c r="O230" s="53" t="n">
        <f aca="false">D230*N230</f>
        <v>0</v>
      </c>
      <c r="P230" s="54" t="e">
        <f aca="false">AVERAGE(H230,K230,N230)</f>
        <v>#DIV/0!</v>
      </c>
      <c r="Q230" s="55" t="e">
        <f aca="false">F230*100/P230-100</f>
        <v>#DIV/0!</v>
      </c>
      <c r="R230" s="54" t="n">
        <f aca="false">D230*F230</f>
        <v>0</v>
      </c>
      <c r="S230" s="47"/>
      <c r="U230" s="57" t="e">
        <f aca="false">ROUND(H230*100/P230-100,0)</f>
        <v>#DIV/0!</v>
      </c>
      <c r="V230" s="57" t="e">
        <f aca="false">ROUND(K230*100/P230-100,0)</f>
        <v>#DIV/0!</v>
      </c>
      <c r="W230" s="57" t="e">
        <f aca="false">ROUND(N230*100/P230-100,0)</f>
        <v>#DIV/0!</v>
      </c>
    </row>
    <row r="231" s="43" customFormat="true" ht="73.5" hidden="false" customHeight="true" outlineLevel="0" collapsed="false">
      <c r="A231" s="45" t="n">
        <v>220</v>
      </c>
      <c r="B231" s="145" t="s">
        <v>573</v>
      </c>
      <c r="C231" s="146" t="s">
        <v>25</v>
      </c>
      <c r="D231" s="147" t="n">
        <v>3</v>
      </c>
      <c r="E231" s="148" t="s">
        <v>504</v>
      </c>
      <c r="F231" s="50"/>
      <c r="G231" s="47"/>
      <c r="H231" s="53"/>
      <c r="I231" s="53" t="n">
        <f aca="false">D231*H231</f>
        <v>0</v>
      </c>
      <c r="J231" s="53"/>
      <c r="K231" s="53"/>
      <c r="L231" s="53" t="n">
        <f aca="false">D231*K231</f>
        <v>0</v>
      </c>
      <c r="M231" s="47"/>
      <c r="N231" s="53"/>
      <c r="O231" s="53" t="n">
        <f aca="false">D231*N231</f>
        <v>0</v>
      </c>
      <c r="P231" s="54" t="e">
        <f aca="false">AVERAGE(H231,K231,N231)</f>
        <v>#DIV/0!</v>
      </c>
      <c r="Q231" s="55" t="e">
        <f aca="false">F231*100/P231-100</f>
        <v>#DIV/0!</v>
      </c>
      <c r="R231" s="54" t="n">
        <f aca="false">D231*F231</f>
        <v>0</v>
      </c>
      <c r="S231" s="47"/>
      <c r="U231" s="57" t="e">
        <f aca="false">ROUND(H231*100/P231-100,0)</f>
        <v>#DIV/0!</v>
      </c>
      <c r="V231" s="57" t="e">
        <f aca="false">ROUND(K231*100/P231-100,0)</f>
        <v>#DIV/0!</v>
      </c>
      <c r="W231" s="57" t="e">
        <f aca="false">ROUND(N231*100/P231-100,0)</f>
        <v>#DIV/0!</v>
      </c>
    </row>
    <row r="232" s="43" customFormat="true" ht="73.5" hidden="false" customHeight="true" outlineLevel="0" collapsed="false">
      <c r="A232" s="45" t="n">
        <v>221</v>
      </c>
      <c r="B232" s="145" t="s">
        <v>574</v>
      </c>
      <c r="C232" s="146" t="s">
        <v>25</v>
      </c>
      <c r="D232" s="147" t="n">
        <v>3</v>
      </c>
      <c r="E232" s="148" t="s">
        <v>504</v>
      </c>
      <c r="F232" s="50"/>
      <c r="G232" s="149"/>
      <c r="H232" s="53"/>
      <c r="I232" s="53" t="n">
        <f aca="false">D232*H232</f>
        <v>0</v>
      </c>
      <c r="J232" s="47"/>
      <c r="K232" s="53"/>
      <c r="L232" s="53" t="n">
        <f aca="false">D232*K232</f>
        <v>0</v>
      </c>
      <c r="M232" s="47"/>
      <c r="N232" s="53"/>
      <c r="O232" s="150" t="n">
        <f aca="false">D232*N232</f>
        <v>0</v>
      </c>
      <c r="P232" s="54" t="e">
        <f aca="false">AVERAGE(H232,K232,N232)</f>
        <v>#DIV/0!</v>
      </c>
      <c r="Q232" s="151" t="e">
        <f aca="false">F232*100/P232-100</f>
        <v>#DIV/0!</v>
      </c>
      <c r="R232" s="54" t="n">
        <f aca="false">D232*F232</f>
        <v>0</v>
      </c>
      <c r="S232" s="47"/>
      <c r="U232" s="57" t="e">
        <f aca="false">ROUND(H232*100/P232-100,0)</f>
        <v>#DIV/0!</v>
      </c>
      <c r="V232" s="57" t="e">
        <f aca="false">ROUND(K232*100/P232-100,0)</f>
        <v>#DIV/0!</v>
      </c>
      <c r="W232" s="57" t="e">
        <f aca="false">ROUND(N232*100/P232-100,0)</f>
        <v>#DIV/0!</v>
      </c>
    </row>
    <row r="233" s="43" customFormat="true" ht="73.5" hidden="false" customHeight="true" outlineLevel="0" collapsed="false">
      <c r="A233" s="45" t="n">
        <v>222</v>
      </c>
      <c r="B233" s="145" t="s">
        <v>411</v>
      </c>
      <c r="C233" s="146" t="s">
        <v>25</v>
      </c>
      <c r="D233" s="147" t="n">
        <v>1</v>
      </c>
      <c r="E233" s="148" t="n">
        <v>2664.2</v>
      </c>
      <c r="F233" s="50"/>
      <c r="G233" s="47"/>
      <c r="H233" s="53"/>
      <c r="I233" s="53" t="n">
        <f aca="false">D233*H233</f>
        <v>0</v>
      </c>
      <c r="J233" s="53"/>
      <c r="K233" s="53"/>
      <c r="L233" s="53" t="n">
        <f aca="false">D233*K233</f>
        <v>0</v>
      </c>
      <c r="M233" s="47"/>
      <c r="N233" s="53"/>
      <c r="O233" s="53" t="n">
        <f aca="false">D233*N233</f>
        <v>0</v>
      </c>
      <c r="P233" s="54" t="e">
        <f aca="false">AVERAGE(H233,K233,N233)</f>
        <v>#DIV/0!</v>
      </c>
      <c r="Q233" s="55" t="e">
        <f aca="false">F233*100/P233-100</f>
        <v>#DIV/0!</v>
      </c>
      <c r="R233" s="54" t="n">
        <f aca="false">D233*F233</f>
        <v>0</v>
      </c>
      <c r="S233" s="47"/>
      <c r="U233" s="57" t="e">
        <f aca="false">ROUND(H233*100/P233-100,0)</f>
        <v>#DIV/0!</v>
      </c>
      <c r="V233" s="57" t="e">
        <f aca="false">ROUND(K233*100/P233-100,0)</f>
        <v>#DIV/0!</v>
      </c>
      <c r="W233" s="57" t="e">
        <f aca="false">ROUND(N233*100/P233-100,0)</f>
        <v>#DIV/0!</v>
      </c>
    </row>
    <row r="234" s="43" customFormat="true" ht="73.5" hidden="false" customHeight="true" outlineLevel="0" collapsed="false">
      <c r="A234" s="45" t="n">
        <v>223</v>
      </c>
      <c r="B234" s="145" t="s">
        <v>412</v>
      </c>
      <c r="C234" s="146" t="s">
        <v>25</v>
      </c>
      <c r="D234" s="147" t="n">
        <v>1250</v>
      </c>
      <c r="E234" s="148" t="n">
        <v>1.37</v>
      </c>
      <c r="F234" s="50"/>
      <c r="G234" s="47"/>
      <c r="H234" s="53"/>
      <c r="I234" s="53" t="n">
        <f aca="false">D234*H234</f>
        <v>0</v>
      </c>
      <c r="J234" s="47"/>
      <c r="K234" s="53"/>
      <c r="L234" s="53" t="n">
        <f aca="false">D234*K234</f>
        <v>0</v>
      </c>
      <c r="M234" s="47"/>
      <c r="N234" s="53"/>
      <c r="O234" s="53" t="n">
        <f aca="false">D234*N234</f>
        <v>0</v>
      </c>
      <c r="P234" s="54" t="e">
        <f aca="false">AVERAGE(H234,K234,N234)</f>
        <v>#DIV/0!</v>
      </c>
      <c r="Q234" s="55" t="e">
        <f aca="false">F234*100/P234-100</f>
        <v>#DIV/0!</v>
      </c>
      <c r="R234" s="54" t="n">
        <f aca="false">D234*F234</f>
        <v>0</v>
      </c>
      <c r="S234" s="47"/>
      <c r="U234" s="57" t="e">
        <f aca="false">ROUND(H234*100/P234-100,0)</f>
        <v>#DIV/0!</v>
      </c>
      <c r="V234" s="57" t="e">
        <f aca="false">ROUND(K234*100/P234-100,0)</f>
        <v>#DIV/0!</v>
      </c>
      <c r="W234" s="57" t="e">
        <f aca="false">ROUND(N234*100/P234-100,0)</f>
        <v>#DIV/0!</v>
      </c>
    </row>
    <row r="235" s="43" customFormat="true" ht="73.5" hidden="false" customHeight="true" outlineLevel="0" collapsed="false">
      <c r="A235" s="45" t="n">
        <v>224</v>
      </c>
      <c r="B235" s="145" t="s">
        <v>575</v>
      </c>
      <c r="C235" s="146" t="s">
        <v>25</v>
      </c>
      <c r="D235" s="147" t="n">
        <v>200</v>
      </c>
      <c r="E235" s="148" t="s">
        <v>504</v>
      </c>
      <c r="F235" s="50"/>
      <c r="G235" s="47"/>
      <c r="H235" s="53"/>
      <c r="I235" s="53" t="n">
        <f aca="false">D235*H235</f>
        <v>0</v>
      </c>
      <c r="J235" s="53"/>
      <c r="K235" s="53"/>
      <c r="L235" s="53" t="n">
        <f aca="false">D235*K235</f>
        <v>0</v>
      </c>
      <c r="M235" s="47"/>
      <c r="N235" s="53"/>
      <c r="O235" s="53" t="n">
        <f aca="false">D235*N235</f>
        <v>0</v>
      </c>
      <c r="P235" s="54" t="e">
        <f aca="false">AVERAGE(H235,K235,N235)</f>
        <v>#DIV/0!</v>
      </c>
      <c r="Q235" s="55" t="e">
        <f aca="false">F235*100/P235-100</f>
        <v>#DIV/0!</v>
      </c>
      <c r="R235" s="54" t="n">
        <f aca="false">D235*F235</f>
        <v>0</v>
      </c>
      <c r="S235" s="47"/>
      <c r="U235" s="57" t="e">
        <f aca="false">ROUND(H235*100/P235-100,0)</f>
        <v>#DIV/0!</v>
      </c>
      <c r="V235" s="57" t="e">
        <f aca="false">ROUND(K235*100/P235-100,0)</f>
        <v>#DIV/0!</v>
      </c>
      <c r="W235" s="57" t="e">
        <f aca="false">ROUND(N235*100/P235-100,0)</f>
        <v>#DIV/0!</v>
      </c>
    </row>
    <row r="236" s="43" customFormat="true" ht="73.5" hidden="false" customHeight="true" outlineLevel="0" collapsed="false">
      <c r="A236" s="45" t="n">
        <v>225</v>
      </c>
      <c r="B236" s="145" t="s">
        <v>576</v>
      </c>
      <c r="C236" s="146" t="s">
        <v>25</v>
      </c>
      <c r="D236" s="147" t="n">
        <v>1833</v>
      </c>
      <c r="E236" s="148" t="s">
        <v>504</v>
      </c>
      <c r="F236" s="50"/>
      <c r="G236" s="47"/>
      <c r="H236" s="53"/>
      <c r="I236" s="53" t="n">
        <f aca="false">D236*H236</f>
        <v>0</v>
      </c>
      <c r="J236" s="53"/>
      <c r="K236" s="53"/>
      <c r="L236" s="53" t="n">
        <f aca="false">D236*K236</f>
        <v>0</v>
      </c>
      <c r="M236" s="47"/>
      <c r="N236" s="53"/>
      <c r="O236" s="53" t="n">
        <f aca="false">D236*N236</f>
        <v>0</v>
      </c>
      <c r="P236" s="54" t="e">
        <f aca="false">AVERAGE(H236,K236,N236)</f>
        <v>#DIV/0!</v>
      </c>
      <c r="Q236" s="55" t="e">
        <f aca="false">F236*100/P236-100</f>
        <v>#DIV/0!</v>
      </c>
      <c r="R236" s="54" t="n">
        <f aca="false">D236*F236</f>
        <v>0</v>
      </c>
      <c r="S236" s="47"/>
      <c r="U236" s="57" t="e">
        <f aca="false">ROUND(H236*100/P236-100,0)</f>
        <v>#DIV/0!</v>
      </c>
      <c r="V236" s="57" t="e">
        <f aca="false">ROUND(K236*100/P236-100,0)</f>
        <v>#DIV/0!</v>
      </c>
      <c r="W236" s="57" t="e">
        <f aca="false">ROUND(N236*100/P236-100,0)</f>
        <v>#DIV/0!</v>
      </c>
    </row>
    <row r="237" s="43" customFormat="true" ht="73.5" hidden="false" customHeight="true" outlineLevel="0" collapsed="false">
      <c r="A237" s="45" t="n">
        <v>226</v>
      </c>
      <c r="B237" s="145" t="s">
        <v>413</v>
      </c>
      <c r="C237" s="146" t="s">
        <v>25</v>
      </c>
      <c r="D237" s="147" t="n">
        <v>80</v>
      </c>
      <c r="E237" s="148" t="n">
        <v>1.18</v>
      </c>
      <c r="F237" s="50"/>
      <c r="G237" s="47"/>
      <c r="H237" s="53"/>
      <c r="I237" s="53" t="n">
        <f aca="false">D237*H237</f>
        <v>0</v>
      </c>
      <c r="J237" s="53"/>
      <c r="K237" s="53"/>
      <c r="L237" s="53" t="n">
        <f aca="false">D237*K237</f>
        <v>0</v>
      </c>
      <c r="M237" s="47"/>
      <c r="N237" s="53"/>
      <c r="O237" s="53" t="n">
        <f aca="false">D237*N237</f>
        <v>0</v>
      </c>
      <c r="P237" s="54" t="e">
        <f aca="false">AVERAGE(H237,K237,N237)</f>
        <v>#DIV/0!</v>
      </c>
      <c r="Q237" s="55" t="e">
        <f aca="false">F237*100/P237-100</f>
        <v>#DIV/0!</v>
      </c>
      <c r="R237" s="54" t="n">
        <f aca="false">D237*F237</f>
        <v>0</v>
      </c>
      <c r="S237" s="47"/>
      <c r="U237" s="57" t="e">
        <f aca="false">ROUND(H237*100/P237-100,0)</f>
        <v>#DIV/0!</v>
      </c>
      <c r="V237" s="57" t="e">
        <f aca="false">ROUND(K237*100/P237-100,0)</f>
        <v>#DIV/0!</v>
      </c>
      <c r="W237" s="57" t="e">
        <f aca="false">ROUND(N237*100/P237-100,0)</f>
        <v>#DIV/0!</v>
      </c>
    </row>
    <row r="238" s="43" customFormat="true" ht="73.5" hidden="false" customHeight="true" outlineLevel="0" collapsed="false">
      <c r="A238" s="45" t="n">
        <v>227</v>
      </c>
      <c r="B238" s="145" t="s">
        <v>414</v>
      </c>
      <c r="C238" s="146" t="s">
        <v>25</v>
      </c>
      <c r="D238" s="147" t="n">
        <v>40</v>
      </c>
      <c r="E238" s="148" t="n">
        <v>3.91</v>
      </c>
      <c r="F238" s="50"/>
      <c r="G238" s="47"/>
      <c r="H238" s="53"/>
      <c r="I238" s="72" t="n">
        <f aca="false">D238*H238</f>
        <v>0</v>
      </c>
      <c r="J238" s="72"/>
      <c r="K238" s="72"/>
      <c r="L238" s="72" t="n">
        <f aca="false">D238*K238</f>
        <v>0</v>
      </c>
      <c r="M238" s="47"/>
      <c r="N238" s="72"/>
      <c r="O238" s="72" t="n">
        <f aca="false">D238*N238</f>
        <v>0</v>
      </c>
      <c r="P238" s="54" t="e">
        <f aca="false">AVERAGE(H238,K238,N238)</f>
        <v>#DIV/0!</v>
      </c>
      <c r="Q238" s="55" t="e">
        <f aca="false">F238*100/P238-100</f>
        <v>#DIV/0!</v>
      </c>
      <c r="R238" s="54" t="n">
        <f aca="false">D238*F238</f>
        <v>0</v>
      </c>
      <c r="S238" s="47"/>
      <c r="U238" s="57" t="e">
        <f aca="false">ROUND(H238*100/P238-100,0)</f>
        <v>#DIV/0!</v>
      </c>
      <c r="V238" s="57" t="e">
        <f aca="false">ROUND(K238*100/P238-100,0)</f>
        <v>#DIV/0!</v>
      </c>
      <c r="W238" s="57" t="e">
        <f aca="false">ROUND(N238*100/P238-100,0)</f>
        <v>#DIV/0!</v>
      </c>
    </row>
    <row r="239" s="43" customFormat="true" ht="73.5" hidden="false" customHeight="true" outlineLevel="0" collapsed="false">
      <c r="A239" s="45" t="n">
        <v>228</v>
      </c>
      <c r="B239" s="145" t="s">
        <v>415</v>
      </c>
      <c r="C239" s="146" t="s">
        <v>25</v>
      </c>
      <c r="D239" s="147" t="n">
        <v>960</v>
      </c>
      <c r="E239" s="148" t="n">
        <v>2.4</v>
      </c>
      <c r="F239" s="50"/>
      <c r="G239" s="47"/>
      <c r="H239" s="53"/>
      <c r="I239" s="72" t="n">
        <f aca="false">D239*H239</f>
        <v>0</v>
      </c>
      <c r="J239" s="72"/>
      <c r="K239" s="72"/>
      <c r="L239" s="72" t="n">
        <f aca="false">D239*K239</f>
        <v>0</v>
      </c>
      <c r="M239" s="47"/>
      <c r="N239" s="72"/>
      <c r="O239" s="72" t="n">
        <f aca="false">D239*N239</f>
        <v>0</v>
      </c>
      <c r="P239" s="54" t="e">
        <f aca="false">AVERAGE(H239,K239,N239)</f>
        <v>#DIV/0!</v>
      </c>
      <c r="Q239" s="55" t="e">
        <f aca="false">F239*100/P239-100</f>
        <v>#DIV/0!</v>
      </c>
      <c r="R239" s="54" t="n">
        <f aca="false">D239*F239</f>
        <v>0</v>
      </c>
      <c r="S239" s="47"/>
      <c r="U239" s="57" t="e">
        <f aca="false">ROUND(H239*100/P239-100,0)</f>
        <v>#DIV/0!</v>
      </c>
      <c r="V239" s="57" t="e">
        <f aca="false">ROUND(K239*100/P239-100,0)</f>
        <v>#DIV/0!</v>
      </c>
      <c r="W239" s="57" t="e">
        <f aca="false">ROUND(N239*100/P239-100,0)</f>
        <v>#DIV/0!</v>
      </c>
    </row>
    <row r="240" s="43" customFormat="true" ht="73.5" hidden="false" customHeight="true" outlineLevel="0" collapsed="false">
      <c r="A240" s="45" t="n">
        <v>229</v>
      </c>
      <c r="B240" s="145" t="s">
        <v>417</v>
      </c>
      <c r="C240" s="146" t="s">
        <v>25</v>
      </c>
      <c r="D240" s="147" t="n">
        <v>80</v>
      </c>
      <c r="E240" s="148" t="n">
        <v>1.17</v>
      </c>
      <c r="F240" s="50"/>
      <c r="G240" s="47"/>
      <c r="H240" s="53"/>
      <c r="I240" s="72" t="n">
        <f aca="false">D240*H240</f>
        <v>0</v>
      </c>
      <c r="J240" s="72"/>
      <c r="K240" s="72"/>
      <c r="L240" s="72" t="n">
        <f aca="false">D240*K240</f>
        <v>0</v>
      </c>
      <c r="M240" s="72"/>
      <c r="N240" s="72"/>
      <c r="O240" s="72" t="n">
        <f aca="false">D240*N240</f>
        <v>0</v>
      </c>
      <c r="P240" s="54" t="e">
        <f aca="false">AVERAGE(H240,K240,N240)</f>
        <v>#DIV/0!</v>
      </c>
      <c r="Q240" s="55" t="e">
        <f aca="false">F240*100/P240-100</f>
        <v>#DIV/0!</v>
      </c>
      <c r="R240" s="54" t="n">
        <f aca="false">D240*F240</f>
        <v>0</v>
      </c>
      <c r="S240" s="47"/>
      <c r="U240" s="57" t="e">
        <f aca="false">ROUND(H240*100/P240-100,0)</f>
        <v>#DIV/0!</v>
      </c>
      <c r="V240" s="57" t="e">
        <f aca="false">ROUND(K240*100/P240-100,0)</f>
        <v>#DIV/0!</v>
      </c>
      <c r="W240" s="57" t="e">
        <f aca="false">ROUND(N240*100/P240-100,0)</f>
        <v>#DIV/0!</v>
      </c>
    </row>
    <row r="241" s="43" customFormat="true" ht="73.5" hidden="false" customHeight="true" outlineLevel="0" collapsed="false">
      <c r="A241" s="45" t="n">
        <v>230</v>
      </c>
      <c r="B241" s="145" t="s">
        <v>418</v>
      </c>
      <c r="C241" s="146" t="s">
        <v>25</v>
      </c>
      <c r="D241" s="147" t="n">
        <v>60</v>
      </c>
      <c r="E241" s="148" t="n">
        <v>0.51</v>
      </c>
      <c r="F241" s="50"/>
      <c r="G241" s="47"/>
      <c r="H241" s="53"/>
      <c r="I241" s="72" t="n">
        <f aca="false">D241*H241</f>
        <v>0</v>
      </c>
      <c r="J241" s="72"/>
      <c r="K241" s="72"/>
      <c r="L241" s="72" t="n">
        <f aca="false">D241*K241</f>
        <v>0</v>
      </c>
      <c r="M241" s="72"/>
      <c r="N241" s="72"/>
      <c r="O241" s="72" t="n">
        <f aca="false">D241*N241</f>
        <v>0</v>
      </c>
      <c r="P241" s="54" t="e">
        <f aca="false">AVERAGE(H241,K241,N241)</f>
        <v>#DIV/0!</v>
      </c>
      <c r="Q241" s="55" t="e">
        <f aca="false">F241*100/P241-100</f>
        <v>#DIV/0!</v>
      </c>
      <c r="R241" s="54" t="n">
        <f aca="false">D241*F241</f>
        <v>0</v>
      </c>
      <c r="S241" s="47"/>
      <c r="U241" s="57" t="e">
        <f aca="false">ROUND(H241*100/P241-100,0)</f>
        <v>#DIV/0!</v>
      </c>
      <c r="V241" s="57" t="e">
        <f aca="false">ROUND(K241*100/P241-100,0)</f>
        <v>#DIV/0!</v>
      </c>
      <c r="W241" s="57" t="e">
        <f aca="false">ROUND(N241*100/P241-100,0)</f>
        <v>#DIV/0!</v>
      </c>
    </row>
    <row r="242" s="43" customFormat="true" ht="73.5" hidden="false" customHeight="true" outlineLevel="0" collapsed="false">
      <c r="A242" s="45" t="n">
        <v>231</v>
      </c>
      <c r="B242" s="145" t="s">
        <v>419</v>
      </c>
      <c r="C242" s="146" t="s">
        <v>25</v>
      </c>
      <c r="D242" s="147" t="n">
        <v>40</v>
      </c>
      <c r="E242" s="148" t="n">
        <v>2.35</v>
      </c>
      <c r="F242" s="50"/>
      <c r="G242" s="47"/>
      <c r="H242" s="53"/>
      <c r="I242" s="72" t="n">
        <f aca="false">D242*H242</f>
        <v>0</v>
      </c>
      <c r="J242" s="72"/>
      <c r="K242" s="72"/>
      <c r="L242" s="72" t="n">
        <f aca="false">D242*K242</f>
        <v>0</v>
      </c>
      <c r="M242" s="72"/>
      <c r="N242" s="72"/>
      <c r="O242" s="72" t="n">
        <f aca="false">D242*N242</f>
        <v>0</v>
      </c>
      <c r="P242" s="54" t="e">
        <f aca="false">AVERAGE(H242,K242,N242)</f>
        <v>#DIV/0!</v>
      </c>
      <c r="Q242" s="55" t="e">
        <f aca="false">F242*100/P242-100</f>
        <v>#DIV/0!</v>
      </c>
      <c r="R242" s="54" t="n">
        <f aca="false">D242*F242</f>
        <v>0</v>
      </c>
      <c r="S242" s="47"/>
      <c r="U242" s="57" t="e">
        <f aca="false">ROUND(H242*100/P242-100,0)</f>
        <v>#DIV/0!</v>
      </c>
      <c r="V242" s="57" t="e">
        <f aca="false">ROUND(K242*100/P242-100,0)</f>
        <v>#DIV/0!</v>
      </c>
      <c r="W242" s="57" t="e">
        <f aca="false">ROUND(N242*100/P242-100,0)</f>
        <v>#DIV/0!</v>
      </c>
    </row>
    <row r="243" s="43" customFormat="true" ht="73.5" hidden="false" customHeight="true" outlineLevel="0" collapsed="false">
      <c r="A243" s="45" t="n">
        <v>232</v>
      </c>
      <c r="B243" s="145" t="s">
        <v>577</v>
      </c>
      <c r="C243" s="146" t="s">
        <v>25</v>
      </c>
      <c r="D243" s="147" t="n">
        <v>1620</v>
      </c>
      <c r="E243" s="148" t="n">
        <v>2.71</v>
      </c>
      <c r="F243" s="50"/>
      <c r="G243" s="47"/>
      <c r="H243" s="53"/>
      <c r="I243" s="72" t="n">
        <f aca="false">D243*H243</f>
        <v>0</v>
      </c>
      <c r="J243" s="72"/>
      <c r="K243" s="72"/>
      <c r="L243" s="72" t="n">
        <f aca="false">D243*K243</f>
        <v>0</v>
      </c>
      <c r="M243" s="72"/>
      <c r="N243" s="72"/>
      <c r="O243" s="72" t="n">
        <f aca="false">D243*N243</f>
        <v>0</v>
      </c>
      <c r="P243" s="54" t="e">
        <f aca="false">AVERAGE(H243,K243,N243)</f>
        <v>#DIV/0!</v>
      </c>
      <c r="Q243" s="55" t="e">
        <f aca="false">F243*100/P243-100</f>
        <v>#DIV/0!</v>
      </c>
      <c r="R243" s="54" t="n">
        <f aca="false">D243*F243</f>
        <v>0</v>
      </c>
      <c r="S243" s="47"/>
      <c r="U243" s="57" t="e">
        <f aca="false">ROUND(H243*100/P243-100,0)</f>
        <v>#DIV/0!</v>
      </c>
      <c r="V243" s="57" t="e">
        <f aca="false">ROUND(K243*100/P243-100,0)</f>
        <v>#DIV/0!</v>
      </c>
      <c r="W243" s="57" t="e">
        <f aca="false">ROUND(N243*100/P243-100,0)</f>
        <v>#DIV/0!</v>
      </c>
    </row>
    <row r="244" s="43" customFormat="true" ht="73.5" hidden="false" customHeight="true" outlineLevel="0" collapsed="false">
      <c r="A244" s="45" t="n">
        <v>233</v>
      </c>
      <c r="B244" s="145" t="s">
        <v>422</v>
      </c>
      <c r="C244" s="146" t="s">
        <v>25</v>
      </c>
      <c r="D244" s="147" t="n">
        <v>480</v>
      </c>
      <c r="E244" s="148" t="n">
        <v>5.82</v>
      </c>
      <c r="F244" s="50"/>
      <c r="G244" s="47"/>
      <c r="H244" s="53"/>
      <c r="I244" s="72" t="n">
        <f aca="false">D244*H244</f>
        <v>0</v>
      </c>
      <c r="J244" s="72"/>
      <c r="K244" s="72"/>
      <c r="L244" s="72" t="n">
        <f aca="false">D244*K244</f>
        <v>0</v>
      </c>
      <c r="M244" s="72"/>
      <c r="N244" s="72"/>
      <c r="O244" s="72" t="n">
        <f aca="false">D244*N244</f>
        <v>0</v>
      </c>
      <c r="P244" s="54" t="e">
        <f aca="false">AVERAGE(H244,K244,N244)</f>
        <v>#DIV/0!</v>
      </c>
      <c r="Q244" s="55" t="e">
        <f aca="false">F244*100/P244-100</f>
        <v>#DIV/0!</v>
      </c>
      <c r="R244" s="54" t="n">
        <f aca="false">D244*F244</f>
        <v>0</v>
      </c>
      <c r="S244" s="47"/>
      <c r="U244" s="57" t="e">
        <f aca="false">ROUND(H244*100/P244-100,0)</f>
        <v>#DIV/0!</v>
      </c>
      <c r="V244" s="57" t="e">
        <f aca="false">ROUND(K244*100/P244-100,0)</f>
        <v>#DIV/0!</v>
      </c>
      <c r="W244" s="57" t="e">
        <f aca="false">ROUND(N244*100/P244-100,0)</f>
        <v>#DIV/0!</v>
      </c>
    </row>
    <row r="245" s="43" customFormat="true" ht="73.5" hidden="false" customHeight="true" outlineLevel="0" collapsed="false">
      <c r="A245" s="45" t="n">
        <v>234</v>
      </c>
      <c r="B245" s="145" t="s">
        <v>423</v>
      </c>
      <c r="C245" s="146" t="s">
        <v>25</v>
      </c>
      <c r="D245" s="147" t="n">
        <v>40</v>
      </c>
      <c r="E245" s="148" t="n">
        <v>0.39</v>
      </c>
      <c r="F245" s="50"/>
      <c r="G245" s="47"/>
      <c r="H245" s="53"/>
      <c r="I245" s="72" t="n">
        <f aca="false">D245*H245</f>
        <v>0</v>
      </c>
      <c r="J245" s="72"/>
      <c r="K245" s="72"/>
      <c r="L245" s="72" t="n">
        <f aca="false">D245*K245</f>
        <v>0</v>
      </c>
      <c r="M245" s="72"/>
      <c r="N245" s="72"/>
      <c r="O245" s="72" t="n">
        <f aca="false">D245*N245</f>
        <v>0</v>
      </c>
      <c r="P245" s="54" t="e">
        <f aca="false">AVERAGE(H245,K245,N245)</f>
        <v>#DIV/0!</v>
      </c>
      <c r="Q245" s="55" t="e">
        <f aca="false">F245*100/P245-100</f>
        <v>#DIV/0!</v>
      </c>
      <c r="R245" s="54" t="n">
        <f aca="false">D245*F245</f>
        <v>0</v>
      </c>
      <c r="S245" s="47"/>
      <c r="U245" s="57" t="e">
        <f aca="false">ROUND(H245*100/P245-100,0)</f>
        <v>#DIV/0!</v>
      </c>
      <c r="V245" s="57" t="e">
        <f aca="false">ROUND(K245*100/P245-100,0)</f>
        <v>#DIV/0!</v>
      </c>
      <c r="W245" s="57" t="e">
        <f aca="false">ROUND(N245*100/P245-100,0)</f>
        <v>#DIV/0!</v>
      </c>
    </row>
    <row r="246" s="43" customFormat="true" ht="73.5" hidden="false" customHeight="true" outlineLevel="0" collapsed="false">
      <c r="A246" s="45" t="n">
        <v>235</v>
      </c>
      <c r="B246" s="145" t="s">
        <v>424</v>
      </c>
      <c r="C246" s="146" t="s">
        <v>25</v>
      </c>
      <c r="D246" s="147" t="n">
        <v>30</v>
      </c>
      <c r="E246" s="148" t="n">
        <v>1.44</v>
      </c>
      <c r="F246" s="50"/>
      <c r="G246" s="47"/>
      <c r="H246" s="53"/>
      <c r="I246" s="72" t="n">
        <f aca="false">D246*H246</f>
        <v>0</v>
      </c>
      <c r="J246" s="72"/>
      <c r="K246" s="72"/>
      <c r="L246" s="72" t="n">
        <f aca="false">D246*K246</f>
        <v>0</v>
      </c>
      <c r="M246" s="72"/>
      <c r="N246" s="72"/>
      <c r="O246" s="72" t="n">
        <f aca="false">D246*N246</f>
        <v>0</v>
      </c>
      <c r="P246" s="54" t="e">
        <f aca="false">AVERAGE(H246,K246,N246)</f>
        <v>#DIV/0!</v>
      </c>
      <c r="Q246" s="55" t="e">
        <f aca="false">F246*100/P246-100</f>
        <v>#DIV/0!</v>
      </c>
      <c r="R246" s="54" t="n">
        <f aca="false">D246*F246</f>
        <v>0</v>
      </c>
      <c r="S246" s="47"/>
      <c r="U246" s="57" t="e">
        <f aca="false">ROUND(H246*100/P246-100,0)</f>
        <v>#DIV/0!</v>
      </c>
      <c r="V246" s="57" t="e">
        <f aca="false">ROUND(K246*100/P246-100,0)</f>
        <v>#DIV/0!</v>
      </c>
      <c r="W246" s="57" t="e">
        <f aca="false">ROUND(N246*100/P246-100,0)</f>
        <v>#DIV/0!</v>
      </c>
    </row>
    <row r="247" s="43" customFormat="true" ht="73.5" hidden="false" customHeight="true" outlineLevel="0" collapsed="false">
      <c r="A247" s="45" t="n">
        <v>236</v>
      </c>
      <c r="B247" s="145" t="s">
        <v>578</v>
      </c>
      <c r="C247" s="146" t="s">
        <v>25</v>
      </c>
      <c r="D247" s="147" t="n">
        <v>138</v>
      </c>
      <c r="E247" s="148" t="s">
        <v>504</v>
      </c>
      <c r="F247" s="50"/>
      <c r="G247" s="47"/>
      <c r="H247" s="53"/>
      <c r="I247" s="72" t="n">
        <f aca="false">D247*H247</f>
        <v>0</v>
      </c>
      <c r="J247" s="72"/>
      <c r="K247" s="72"/>
      <c r="L247" s="72" t="n">
        <f aca="false">D247*K247</f>
        <v>0</v>
      </c>
      <c r="M247" s="72"/>
      <c r="N247" s="72"/>
      <c r="O247" s="72" t="n">
        <f aca="false">D247*N247</f>
        <v>0</v>
      </c>
      <c r="P247" s="54" t="e">
        <f aca="false">AVERAGE(H247,K247,N247)</f>
        <v>#DIV/0!</v>
      </c>
      <c r="Q247" s="55" t="e">
        <f aca="false">F247*100/P247-100</f>
        <v>#DIV/0!</v>
      </c>
      <c r="R247" s="54" t="n">
        <f aca="false">D247*F247</f>
        <v>0</v>
      </c>
      <c r="S247" s="47"/>
      <c r="U247" s="57" t="e">
        <f aca="false">ROUND(H247*100/P247-100,0)</f>
        <v>#DIV/0!</v>
      </c>
      <c r="V247" s="57" t="e">
        <f aca="false">ROUND(K247*100/P247-100,0)</f>
        <v>#DIV/0!</v>
      </c>
      <c r="W247" s="57" t="e">
        <f aca="false">ROUND(N247*100/P247-100,0)</f>
        <v>#DIV/0!</v>
      </c>
    </row>
    <row r="248" s="43" customFormat="true" ht="73.5" hidden="false" customHeight="true" outlineLevel="0" collapsed="false">
      <c r="A248" s="45" t="n">
        <v>237</v>
      </c>
      <c r="B248" s="145" t="s">
        <v>579</v>
      </c>
      <c r="C248" s="146" t="s">
        <v>25</v>
      </c>
      <c r="D248" s="147" t="n">
        <v>300</v>
      </c>
      <c r="E248" s="148" t="s">
        <v>504</v>
      </c>
      <c r="F248" s="50"/>
      <c r="G248" s="47"/>
      <c r="H248" s="53"/>
      <c r="I248" s="72" t="n">
        <f aca="false">D248*H248</f>
        <v>0</v>
      </c>
      <c r="J248" s="72"/>
      <c r="K248" s="72"/>
      <c r="L248" s="72" t="n">
        <f aca="false">D248*K248</f>
        <v>0</v>
      </c>
      <c r="M248" s="72"/>
      <c r="N248" s="72"/>
      <c r="O248" s="72" t="n">
        <f aca="false">D248*N248</f>
        <v>0</v>
      </c>
      <c r="P248" s="54" t="e">
        <f aca="false">AVERAGE(H248,K248,N248)</f>
        <v>#DIV/0!</v>
      </c>
      <c r="Q248" s="55" t="e">
        <f aca="false">F248*100/P248-100</f>
        <v>#DIV/0!</v>
      </c>
      <c r="R248" s="54" t="n">
        <f aca="false">D248*F248</f>
        <v>0</v>
      </c>
      <c r="S248" s="47"/>
      <c r="U248" s="57" t="e">
        <f aca="false">ROUND(H248*100/P248-100,0)</f>
        <v>#DIV/0!</v>
      </c>
      <c r="V248" s="57" t="e">
        <f aca="false">ROUND(K248*100/P248-100,0)</f>
        <v>#DIV/0!</v>
      </c>
      <c r="W248" s="57" t="e">
        <f aca="false">ROUND(N248*100/P248-100,0)</f>
        <v>#DIV/0!</v>
      </c>
    </row>
    <row r="249" s="43" customFormat="true" ht="82.5" hidden="false" customHeight="true" outlineLevel="0" collapsed="false">
      <c r="A249" s="45" t="n">
        <v>238</v>
      </c>
      <c r="B249" s="145" t="s">
        <v>580</v>
      </c>
      <c r="C249" s="146" t="s">
        <v>25</v>
      </c>
      <c r="D249" s="147" t="n">
        <v>250</v>
      </c>
      <c r="E249" s="148" t="s">
        <v>504</v>
      </c>
      <c r="F249" s="50"/>
      <c r="G249" s="47"/>
      <c r="H249" s="53"/>
      <c r="I249" s="72" t="n">
        <f aca="false">D249*H249</f>
        <v>0</v>
      </c>
      <c r="J249" s="72"/>
      <c r="K249" s="72"/>
      <c r="L249" s="72" t="n">
        <f aca="false">D249*K249</f>
        <v>0</v>
      </c>
      <c r="M249" s="72"/>
      <c r="N249" s="72"/>
      <c r="O249" s="72" t="n">
        <f aca="false">D249*N249</f>
        <v>0</v>
      </c>
      <c r="P249" s="54" t="e">
        <f aca="false">AVERAGE(H249,K249,N249)</f>
        <v>#DIV/0!</v>
      </c>
      <c r="Q249" s="55" t="e">
        <f aca="false">F249*100/P249-100</f>
        <v>#DIV/0!</v>
      </c>
      <c r="R249" s="54" t="n">
        <f aca="false">D249*F249</f>
        <v>0</v>
      </c>
      <c r="S249" s="47"/>
      <c r="U249" s="57" t="e">
        <f aca="false">ROUND(H249*100/P249-100,0)</f>
        <v>#DIV/0!</v>
      </c>
      <c r="V249" s="57" t="e">
        <f aca="false">ROUND(K249*100/P249-100,0)</f>
        <v>#DIV/0!</v>
      </c>
      <c r="W249" s="57" t="e">
        <f aca="false">ROUND(N249*100/P249-100,0)</f>
        <v>#DIV/0!</v>
      </c>
    </row>
    <row r="250" s="43" customFormat="true" ht="73.5" hidden="false" customHeight="true" outlineLevel="0" collapsed="false">
      <c r="A250" s="45" t="n">
        <v>239</v>
      </c>
      <c r="B250" s="145" t="s">
        <v>581</v>
      </c>
      <c r="C250" s="146" t="s">
        <v>25</v>
      </c>
      <c r="D250" s="147" t="n">
        <v>550</v>
      </c>
      <c r="E250" s="148" t="s">
        <v>504</v>
      </c>
      <c r="F250" s="50"/>
      <c r="G250" s="47"/>
      <c r="H250" s="53"/>
      <c r="I250" s="72" t="n">
        <f aca="false">D250*H250</f>
        <v>0</v>
      </c>
      <c r="J250" s="72"/>
      <c r="K250" s="72"/>
      <c r="L250" s="72" t="n">
        <f aca="false">D250*K250</f>
        <v>0</v>
      </c>
      <c r="M250" s="72"/>
      <c r="N250" s="72"/>
      <c r="O250" s="72" t="n">
        <f aca="false">D250*N250</f>
        <v>0</v>
      </c>
      <c r="P250" s="54" t="e">
        <f aca="false">AVERAGE(H250,K250,N250)</f>
        <v>#DIV/0!</v>
      </c>
      <c r="Q250" s="55" t="e">
        <f aca="false">F250*100/P250-100</f>
        <v>#DIV/0!</v>
      </c>
      <c r="R250" s="54" t="n">
        <f aca="false">D250*F250</f>
        <v>0</v>
      </c>
      <c r="S250" s="47"/>
      <c r="U250" s="57" t="e">
        <f aca="false">ROUND(H250*100/P250-100,0)</f>
        <v>#DIV/0!</v>
      </c>
      <c r="V250" s="57" t="e">
        <f aca="false">ROUND(K250*100/P250-100,0)</f>
        <v>#DIV/0!</v>
      </c>
      <c r="W250" s="57" t="e">
        <f aca="false">ROUND(N250*100/P250-100,0)</f>
        <v>#DIV/0!</v>
      </c>
    </row>
    <row r="251" s="43" customFormat="true" ht="77.25" hidden="false" customHeight="true" outlineLevel="0" collapsed="false">
      <c r="A251" s="45" t="n">
        <v>240</v>
      </c>
      <c r="B251" s="145" t="s">
        <v>582</v>
      </c>
      <c r="C251" s="146" t="s">
        <v>25</v>
      </c>
      <c r="D251" s="147" t="n">
        <v>7</v>
      </c>
      <c r="E251" s="148" t="s">
        <v>504</v>
      </c>
      <c r="F251" s="50"/>
      <c r="G251" s="47"/>
      <c r="H251" s="53"/>
      <c r="I251" s="72" t="n">
        <f aca="false">D251*H251</f>
        <v>0</v>
      </c>
      <c r="J251" s="72"/>
      <c r="K251" s="72"/>
      <c r="L251" s="72" t="n">
        <f aca="false">D251*K251</f>
        <v>0</v>
      </c>
      <c r="M251" s="72"/>
      <c r="N251" s="72"/>
      <c r="O251" s="72" t="n">
        <f aca="false">D251*N251</f>
        <v>0</v>
      </c>
      <c r="P251" s="54" t="e">
        <f aca="false">AVERAGE(H251,K251,N251)</f>
        <v>#DIV/0!</v>
      </c>
      <c r="Q251" s="55" t="e">
        <f aca="false">F251*100/P251-100</f>
        <v>#DIV/0!</v>
      </c>
      <c r="R251" s="54" t="n">
        <f aca="false">D251*F251</f>
        <v>0</v>
      </c>
      <c r="S251" s="47"/>
      <c r="U251" s="57" t="e">
        <f aca="false">ROUND(H251*100/P251-100,0)</f>
        <v>#DIV/0!</v>
      </c>
      <c r="V251" s="57" t="e">
        <f aca="false">ROUND(K251*100/P251-100,0)</f>
        <v>#DIV/0!</v>
      </c>
      <c r="W251" s="57" t="e">
        <f aca="false">ROUND(N251*100/P251-100,0)</f>
        <v>#DIV/0!</v>
      </c>
    </row>
    <row r="252" s="43" customFormat="true" ht="73.5" hidden="false" customHeight="true" outlineLevel="0" collapsed="false">
      <c r="A252" s="45" t="n">
        <v>241</v>
      </c>
      <c r="B252" s="145" t="s">
        <v>426</v>
      </c>
      <c r="C252" s="146" t="s">
        <v>147</v>
      </c>
      <c r="D252" s="147" t="n">
        <v>18</v>
      </c>
      <c r="E252" s="148" t="n">
        <v>17801.5</v>
      </c>
      <c r="F252" s="50"/>
      <c r="G252" s="47"/>
      <c r="H252" s="53"/>
      <c r="I252" s="72" t="n">
        <f aca="false">D252*H252</f>
        <v>0</v>
      </c>
      <c r="J252" s="72"/>
      <c r="K252" s="72"/>
      <c r="L252" s="72" t="n">
        <f aca="false">D252*K252</f>
        <v>0</v>
      </c>
      <c r="M252" s="72"/>
      <c r="N252" s="72"/>
      <c r="O252" s="72" t="n">
        <f aca="false">D252*N252</f>
        <v>0</v>
      </c>
      <c r="P252" s="54" t="e">
        <f aca="false">AVERAGE(H252,K252,N252)</f>
        <v>#DIV/0!</v>
      </c>
      <c r="Q252" s="55" t="e">
        <f aca="false">F252*100/P252-100</f>
        <v>#DIV/0!</v>
      </c>
      <c r="R252" s="54" t="n">
        <f aca="false">D252*F252</f>
        <v>0</v>
      </c>
      <c r="S252" s="47"/>
      <c r="U252" s="57" t="e">
        <f aca="false">ROUND(H252*100/P252-100,0)</f>
        <v>#DIV/0!</v>
      </c>
      <c r="V252" s="57" t="e">
        <f aca="false">ROUND(K252*100/P252-100,0)</f>
        <v>#DIV/0!</v>
      </c>
      <c r="W252" s="57" t="e">
        <f aca="false">ROUND(N252*100/P252-100,0)</f>
        <v>#DIV/0!</v>
      </c>
    </row>
    <row r="253" s="43" customFormat="true" ht="73.5" hidden="false" customHeight="true" outlineLevel="0" collapsed="false">
      <c r="A253" s="45" t="n">
        <v>242</v>
      </c>
      <c r="B253" s="145" t="s">
        <v>583</v>
      </c>
      <c r="C253" s="146" t="s">
        <v>25</v>
      </c>
      <c r="D253" s="147" t="n">
        <v>25</v>
      </c>
      <c r="E253" s="148" t="s">
        <v>504</v>
      </c>
      <c r="F253" s="50"/>
      <c r="G253" s="47"/>
      <c r="H253" s="53"/>
      <c r="I253" s="72" t="n">
        <f aca="false">D253*H253</f>
        <v>0</v>
      </c>
      <c r="J253" s="72"/>
      <c r="K253" s="72"/>
      <c r="L253" s="72" t="n">
        <f aca="false">D253*K253</f>
        <v>0</v>
      </c>
      <c r="M253" s="72"/>
      <c r="N253" s="72"/>
      <c r="O253" s="72" t="n">
        <f aca="false">D253*N253</f>
        <v>0</v>
      </c>
      <c r="P253" s="54" t="e">
        <f aca="false">AVERAGE(H253,K253,N253)</f>
        <v>#DIV/0!</v>
      </c>
      <c r="Q253" s="55" t="e">
        <f aca="false">F253*100/P253-100</f>
        <v>#DIV/0!</v>
      </c>
      <c r="R253" s="54" t="n">
        <f aca="false">D253*F253</f>
        <v>0</v>
      </c>
      <c r="S253" s="47"/>
      <c r="U253" s="57" t="e">
        <f aca="false">ROUND(H253*100/P253-100,0)</f>
        <v>#DIV/0!</v>
      </c>
      <c r="V253" s="57" t="e">
        <f aca="false">ROUND(K253*100/P253-100,0)</f>
        <v>#DIV/0!</v>
      </c>
      <c r="W253" s="57" t="e">
        <f aca="false">ROUND(N253*100/P253-100,0)</f>
        <v>#DIV/0!</v>
      </c>
    </row>
    <row r="254" s="43" customFormat="true" ht="73.5" hidden="false" customHeight="true" outlineLevel="0" collapsed="false">
      <c r="A254" s="45" t="n">
        <v>243</v>
      </c>
      <c r="B254" s="145" t="s">
        <v>429</v>
      </c>
      <c r="C254" s="146" t="s">
        <v>25</v>
      </c>
      <c r="D254" s="147" t="n">
        <v>400</v>
      </c>
      <c r="E254" s="148" t="n">
        <v>37.4</v>
      </c>
      <c r="F254" s="50"/>
      <c r="G254" s="47"/>
      <c r="H254" s="53"/>
      <c r="I254" s="72" t="n">
        <f aca="false">D254*H254</f>
        <v>0</v>
      </c>
      <c r="J254" s="72"/>
      <c r="K254" s="72"/>
      <c r="L254" s="72" t="n">
        <f aca="false">D254*K254</f>
        <v>0</v>
      </c>
      <c r="M254" s="72"/>
      <c r="N254" s="72"/>
      <c r="O254" s="72" t="n">
        <f aca="false">D254*N254</f>
        <v>0</v>
      </c>
      <c r="P254" s="54" t="e">
        <f aca="false">AVERAGE(H254,K254,N254)</f>
        <v>#DIV/0!</v>
      </c>
      <c r="Q254" s="55" t="e">
        <f aca="false">F254*100/P254-100</f>
        <v>#DIV/0!</v>
      </c>
      <c r="R254" s="54" t="n">
        <f aca="false">D254*F254</f>
        <v>0</v>
      </c>
      <c r="S254" s="47"/>
      <c r="U254" s="57" t="e">
        <f aca="false">ROUND(H254*100/P254-100,0)</f>
        <v>#DIV/0!</v>
      </c>
      <c r="V254" s="57" t="e">
        <f aca="false">ROUND(K254*100/P254-100,0)</f>
        <v>#DIV/0!</v>
      </c>
      <c r="W254" s="57" t="e">
        <f aca="false">ROUND(N254*100/P254-100,0)</f>
        <v>#DIV/0!</v>
      </c>
    </row>
    <row r="255" s="43" customFormat="true" ht="73.5" hidden="false" customHeight="true" outlineLevel="0" collapsed="false">
      <c r="A255" s="45" t="n">
        <v>244</v>
      </c>
      <c r="B255" s="145" t="s">
        <v>432</v>
      </c>
      <c r="C255" s="146" t="s">
        <v>147</v>
      </c>
      <c r="D255" s="147" t="n">
        <v>800</v>
      </c>
      <c r="E255" s="148" t="n">
        <v>11.03</v>
      </c>
      <c r="F255" s="50"/>
      <c r="G255" s="47"/>
      <c r="H255" s="53"/>
      <c r="I255" s="72" t="n">
        <f aca="false">D255*H255</f>
        <v>0</v>
      </c>
      <c r="J255" s="72"/>
      <c r="K255" s="72"/>
      <c r="L255" s="72" t="n">
        <f aca="false">D255*K255</f>
        <v>0</v>
      </c>
      <c r="M255" s="72"/>
      <c r="N255" s="72"/>
      <c r="O255" s="72" t="n">
        <f aca="false">D255*N255</f>
        <v>0</v>
      </c>
      <c r="P255" s="54" t="e">
        <f aca="false">AVERAGE(H255,K255,N255)</f>
        <v>#DIV/0!</v>
      </c>
      <c r="Q255" s="55" t="e">
        <f aca="false">F255*100/P255-100</f>
        <v>#DIV/0!</v>
      </c>
      <c r="R255" s="54" t="n">
        <f aca="false">D255*F255</f>
        <v>0</v>
      </c>
      <c r="S255" s="47"/>
      <c r="U255" s="57" t="e">
        <f aca="false">ROUND(H255*100/P255-100,0)</f>
        <v>#DIV/0!</v>
      </c>
      <c r="V255" s="57" t="e">
        <f aca="false">ROUND(K255*100/P255-100,0)</f>
        <v>#DIV/0!</v>
      </c>
      <c r="W255" s="57" t="e">
        <f aca="false">ROUND(N255*100/P255-100,0)</f>
        <v>#DIV/0!</v>
      </c>
    </row>
    <row r="256" s="43" customFormat="true" ht="73.5" hidden="false" customHeight="true" outlineLevel="0" collapsed="false">
      <c r="A256" s="45" t="n">
        <v>245</v>
      </c>
      <c r="B256" s="145" t="s">
        <v>584</v>
      </c>
      <c r="C256" s="146" t="s">
        <v>25</v>
      </c>
      <c r="D256" s="147" t="n">
        <v>1833</v>
      </c>
      <c r="E256" s="148" t="s">
        <v>504</v>
      </c>
      <c r="F256" s="50"/>
      <c r="G256" s="47"/>
      <c r="H256" s="53"/>
      <c r="I256" s="72" t="n">
        <f aca="false">D256*H256</f>
        <v>0</v>
      </c>
      <c r="J256" s="72"/>
      <c r="K256" s="72"/>
      <c r="L256" s="72" t="n">
        <f aca="false">D256*K256</f>
        <v>0</v>
      </c>
      <c r="M256" s="72"/>
      <c r="N256" s="72"/>
      <c r="O256" s="72" t="n">
        <f aca="false">D256*N256</f>
        <v>0</v>
      </c>
      <c r="P256" s="54" t="e">
        <f aca="false">AVERAGE(H256,K256,N256)</f>
        <v>#DIV/0!</v>
      </c>
      <c r="Q256" s="55" t="e">
        <f aca="false">F256*100/P256-100</f>
        <v>#DIV/0!</v>
      </c>
      <c r="R256" s="54" t="n">
        <f aca="false">D256*F256</f>
        <v>0</v>
      </c>
      <c r="S256" s="47"/>
      <c r="U256" s="57" t="e">
        <f aca="false">ROUND(H256*100/P256-100,0)</f>
        <v>#DIV/0!</v>
      </c>
      <c r="V256" s="57" t="e">
        <f aca="false">ROUND(K256*100/P256-100,0)</f>
        <v>#DIV/0!</v>
      </c>
      <c r="W256" s="57" t="e">
        <f aca="false">ROUND(N256*100/P256-100,0)</f>
        <v>#DIV/0!</v>
      </c>
    </row>
    <row r="257" s="43" customFormat="true" ht="73.5" hidden="false" customHeight="true" outlineLevel="0" collapsed="false">
      <c r="A257" s="45" t="n">
        <v>246</v>
      </c>
      <c r="B257" s="145" t="s">
        <v>434</v>
      </c>
      <c r="C257" s="146" t="s">
        <v>25</v>
      </c>
      <c r="D257" s="147" t="n">
        <v>30</v>
      </c>
      <c r="E257" s="148" t="n">
        <v>1285.66</v>
      </c>
      <c r="F257" s="50"/>
      <c r="G257" s="47"/>
      <c r="H257" s="53"/>
      <c r="I257" s="72" t="n">
        <f aca="false">D257*H257</f>
        <v>0</v>
      </c>
      <c r="J257" s="72"/>
      <c r="K257" s="72"/>
      <c r="L257" s="72" t="n">
        <f aca="false">D257*K257</f>
        <v>0</v>
      </c>
      <c r="M257" s="72"/>
      <c r="N257" s="72"/>
      <c r="O257" s="72" t="n">
        <f aca="false">D257*N257</f>
        <v>0</v>
      </c>
      <c r="P257" s="54" t="e">
        <f aca="false">AVERAGE(H257,K257,N257)</f>
        <v>#DIV/0!</v>
      </c>
      <c r="Q257" s="55" t="e">
        <f aca="false">F257*100/P257-100</f>
        <v>#DIV/0!</v>
      </c>
      <c r="R257" s="54" t="n">
        <f aca="false">D257*F257</f>
        <v>0</v>
      </c>
      <c r="S257" s="47"/>
      <c r="U257" s="57" t="e">
        <f aca="false">ROUND(H257*100/P257-100,0)</f>
        <v>#DIV/0!</v>
      </c>
      <c r="V257" s="57" t="e">
        <f aca="false">ROUND(K257*100/P257-100,0)</f>
        <v>#DIV/0!</v>
      </c>
      <c r="W257" s="57" t="e">
        <f aca="false">ROUND(N257*100/P257-100,0)</f>
        <v>#DIV/0!</v>
      </c>
    </row>
    <row r="258" s="43" customFormat="true" ht="73.5" hidden="false" customHeight="true" outlineLevel="0" collapsed="false">
      <c r="A258" s="45" t="n">
        <v>247</v>
      </c>
      <c r="B258" s="145" t="s">
        <v>585</v>
      </c>
      <c r="C258" s="146" t="s">
        <v>25</v>
      </c>
      <c r="D258" s="147" t="n">
        <v>1</v>
      </c>
      <c r="E258" s="148" t="s">
        <v>504</v>
      </c>
      <c r="F258" s="50"/>
      <c r="G258" s="47"/>
      <c r="H258" s="53"/>
      <c r="I258" s="72" t="n">
        <f aca="false">D258*H258</f>
        <v>0</v>
      </c>
      <c r="J258" s="72"/>
      <c r="K258" s="72"/>
      <c r="L258" s="72" t="n">
        <f aca="false">D258*K258</f>
        <v>0</v>
      </c>
      <c r="M258" s="72"/>
      <c r="N258" s="72"/>
      <c r="O258" s="72" t="n">
        <f aca="false">D258*N258</f>
        <v>0</v>
      </c>
      <c r="P258" s="54" t="e">
        <f aca="false">AVERAGE(H258,K258,N258)</f>
        <v>#DIV/0!</v>
      </c>
      <c r="Q258" s="55" t="e">
        <f aca="false">F258*100/P258-100</f>
        <v>#DIV/0!</v>
      </c>
      <c r="R258" s="54" t="n">
        <f aca="false">D258*F258</f>
        <v>0</v>
      </c>
      <c r="S258" s="47"/>
      <c r="U258" s="57" t="e">
        <f aca="false">ROUND(H258*100/P258-100,0)</f>
        <v>#DIV/0!</v>
      </c>
      <c r="V258" s="57" t="e">
        <f aca="false">ROUND(K258*100/P258-100,0)</f>
        <v>#DIV/0!</v>
      </c>
      <c r="W258" s="57" t="e">
        <f aca="false">ROUND(N258*100/P258-100,0)</f>
        <v>#DIV/0!</v>
      </c>
    </row>
    <row r="259" s="43" customFormat="true" ht="73.5" hidden="false" customHeight="true" outlineLevel="0" collapsed="false">
      <c r="A259" s="45" t="n">
        <v>248</v>
      </c>
      <c r="B259" s="145" t="s">
        <v>586</v>
      </c>
      <c r="C259" s="146" t="s">
        <v>25</v>
      </c>
      <c r="D259" s="147" t="n">
        <v>2</v>
      </c>
      <c r="E259" s="148" t="s">
        <v>504</v>
      </c>
      <c r="F259" s="50"/>
      <c r="G259" s="47"/>
      <c r="H259" s="53"/>
      <c r="I259" s="72" t="n">
        <f aca="false">D259*H259</f>
        <v>0</v>
      </c>
      <c r="J259" s="72"/>
      <c r="K259" s="72"/>
      <c r="L259" s="72" t="n">
        <f aca="false">D259*K259</f>
        <v>0</v>
      </c>
      <c r="M259" s="72"/>
      <c r="N259" s="72"/>
      <c r="O259" s="72" t="n">
        <f aca="false">D259*N259</f>
        <v>0</v>
      </c>
      <c r="P259" s="54" t="e">
        <f aca="false">AVERAGE(H259,K259,N259)</f>
        <v>#DIV/0!</v>
      </c>
      <c r="Q259" s="55" t="e">
        <f aca="false">F259*100/P259-100</f>
        <v>#DIV/0!</v>
      </c>
      <c r="R259" s="54" t="n">
        <f aca="false">D259*F259</f>
        <v>0</v>
      </c>
      <c r="S259" s="47"/>
      <c r="U259" s="57" t="e">
        <f aca="false">ROUND(H259*100/P259-100,0)</f>
        <v>#DIV/0!</v>
      </c>
      <c r="V259" s="57" t="e">
        <f aca="false">ROUND(K259*100/P259-100,0)</f>
        <v>#DIV/0!</v>
      </c>
      <c r="W259" s="57" t="e">
        <f aca="false">ROUND(N259*100/P259-100,0)</f>
        <v>#DIV/0!</v>
      </c>
    </row>
    <row r="260" s="43" customFormat="true" ht="73.5" hidden="false" customHeight="true" outlineLevel="0" collapsed="false">
      <c r="A260" s="45" t="n">
        <v>249</v>
      </c>
      <c r="B260" s="145" t="s">
        <v>587</v>
      </c>
      <c r="C260" s="146" t="s">
        <v>45</v>
      </c>
      <c r="D260" s="147" t="n">
        <v>126.8</v>
      </c>
      <c r="E260" s="148" t="s">
        <v>504</v>
      </c>
      <c r="F260" s="50"/>
      <c r="G260" s="47"/>
      <c r="H260" s="53"/>
      <c r="I260" s="72" t="n">
        <f aca="false">D260*H260</f>
        <v>0</v>
      </c>
      <c r="J260" s="72"/>
      <c r="K260" s="72"/>
      <c r="L260" s="72" t="n">
        <f aca="false">D260*K260</f>
        <v>0</v>
      </c>
      <c r="M260" s="72"/>
      <c r="N260" s="72"/>
      <c r="O260" s="72" t="n">
        <f aca="false">D260*N260</f>
        <v>0</v>
      </c>
      <c r="P260" s="54" t="e">
        <f aca="false">AVERAGE(H260,K260,N260)</f>
        <v>#DIV/0!</v>
      </c>
      <c r="Q260" s="55" t="e">
        <f aca="false">F260*100/P260-100</f>
        <v>#DIV/0!</v>
      </c>
      <c r="R260" s="54" t="n">
        <f aca="false">D260*F260</f>
        <v>0</v>
      </c>
      <c r="S260" s="47"/>
      <c r="U260" s="57" t="e">
        <f aca="false">ROUND(H260*100/P260-100,0)</f>
        <v>#DIV/0!</v>
      </c>
      <c r="V260" s="57" t="e">
        <f aca="false">ROUND(K260*100/P260-100,0)</f>
        <v>#DIV/0!</v>
      </c>
      <c r="W260" s="57" t="e">
        <f aca="false">ROUND(N260*100/P260-100,0)</f>
        <v>#DIV/0!</v>
      </c>
    </row>
    <row r="261" s="43" customFormat="true" ht="73.5" hidden="false" customHeight="true" outlineLevel="0" collapsed="false">
      <c r="A261" s="45" t="n">
        <v>250</v>
      </c>
      <c r="B261" s="145" t="s">
        <v>588</v>
      </c>
      <c r="C261" s="146" t="s">
        <v>45</v>
      </c>
      <c r="D261" s="147" t="n">
        <v>48</v>
      </c>
      <c r="E261" s="148" t="s">
        <v>504</v>
      </c>
      <c r="F261" s="50"/>
      <c r="G261" s="47"/>
      <c r="H261" s="53"/>
      <c r="I261" s="72" t="n">
        <f aca="false">D261*H261</f>
        <v>0</v>
      </c>
      <c r="J261" s="72"/>
      <c r="K261" s="72"/>
      <c r="L261" s="72" t="n">
        <f aca="false">D261*K261</f>
        <v>0</v>
      </c>
      <c r="M261" s="72"/>
      <c r="N261" s="72"/>
      <c r="O261" s="72" t="n">
        <f aca="false">D261*N261</f>
        <v>0</v>
      </c>
      <c r="P261" s="54" t="e">
        <f aca="false">AVERAGE(H261,K261,N261)</f>
        <v>#DIV/0!</v>
      </c>
      <c r="Q261" s="55" t="e">
        <f aca="false">F261*100/P261-100</f>
        <v>#DIV/0!</v>
      </c>
      <c r="R261" s="54" t="n">
        <f aca="false">D261*F261</f>
        <v>0</v>
      </c>
      <c r="S261" s="47"/>
      <c r="U261" s="57" t="e">
        <f aca="false">ROUND(H261*100/P261-100,0)</f>
        <v>#DIV/0!</v>
      </c>
      <c r="V261" s="57" t="e">
        <f aca="false">ROUND(K261*100/P261-100,0)</f>
        <v>#DIV/0!</v>
      </c>
      <c r="W261" s="57" t="e">
        <f aca="false">ROUND(N261*100/P261-100,0)</f>
        <v>#DIV/0!</v>
      </c>
    </row>
    <row r="262" s="43" customFormat="true" ht="73.5" hidden="false" customHeight="true" outlineLevel="0" collapsed="false">
      <c r="A262" s="45" t="n">
        <v>251</v>
      </c>
      <c r="B262" s="145" t="s">
        <v>589</v>
      </c>
      <c r="C262" s="146" t="s">
        <v>45</v>
      </c>
      <c r="D262" s="147" t="n">
        <v>24</v>
      </c>
      <c r="E262" s="148" t="s">
        <v>504</v>
      </c>
      <c r="F262" s="50"/>
      <c r="G262" s="47"/>
      <c r="H262" s="53"/>
      <c r="I262" s="72" t="n">
        <f aca="false">D262*H262</f>
        <v>0</v>
      </c>
      <c r="J262" s="72"/>
      <c r="K262" s="72"/>
      <c r="L262" s="72" t="n">
        <f aca="false">D262*K262</f>
        <v>0</v>
      </c>
      <c r="M262" s="72"/>
      <c r="N262" s="72"/>
      <c r="O262" s="72" t="n">
        <f aca="false">D262*N262</f>
        <v>0</v>
      </c>
      <c r="P262" s="54" t="e">
        <f aca="false">AVERAGE(H262,K262,N262)</f>
        <v>#DIV/0!</v>
      </c>
      <c r="Q262" s="55" t="e">
        <f aca="false">F262*100/P262-100</f>
        <v>#DIV/0!</v>
      </c>
      <c r="R262" s="54" t="n">
        <f aca="false">D262*F262</f>
        <v>0</v>
      </c>
      <c r="S262" s="47"/>
      <c r="U262" s="57" t="e">
        <f aca="false">ROUND(H262*100/P262-100,0)</f>
        <v>#DIV/0!</v>
      </c>
      <c r="V262" s="57" t="e">
        <f aca="false">ROUND(K262*100/P262-100,0)</f>
        <v>#DIV/0!</v>
      </c>
      <c r="W262" s="57" t="e">
        <f aca="false">ROUND(N262*100/P262-100,0)</f>
        <v>#DIV/0!</v>
      </c>
    </row>
    <row r="263" s="43" customFormat="true" ht="73.5" hidden="false" customHeight="true" outlineLevel="0" collapsed="false">
      <c r="A263" s="45" t="n">
        <v>252</v>
      </c>
      <c r="B263" s="145" t="s">
        <v>590</v>
      </c>
      <c r="C263" s="146" t="s">
        <v>25</v>
      </c>
      <c r="D263" s="147" t="n">
        <v>1200</v>
      </c>
      <c r="E263" s="148" t="s">
        <v>504</v>
      </c>
      <c r="F263" s="50"/>
      <c r="G263" s="47"/>
      <c r="H263" s="53"/>
      <c r="I263" s="72" t="n">
        <f aca="false">D263*H263</f>
        <v>0</v>
      </c>
      <c r="J263" s="72"/>
      <c r="K263" s="72"/>
      <c r="L263" s="72" t="n">
        <f aca="false">D263*K263</f>
        <v>0</v>
      </c>
      <c r="M263" s="72"/>
      <c r="N263" s="72"/>
      <c r="O263" s="72" t="n">
        <f aca="false">D263*N263</f>
        <v>0</v>
      </c>
      <c r="P263" s="54" t="e">
        <f aca="false">AVERAGE(H263,K263,N263)</f>
        <v>#DIV/0!</v>
      </c>
      <c r="Q263" s="55" t="e">
        <f aca="false">F263*100/P263-100</f>
        <v>#DIV/0!</v>
      </c>
      <c r="R263" s="54" t="n">
        <f aca="false">D263*F263</f>
        <v>0</v>
      </c>
      <c r="S263" s="47"/>
      <c r="U263" s="57" t="e">
        <f aca="false">ROUND(H263*100/P263-100,0)</f>
        <v>#DIV/0!</v>
      </c>
      <c r="V263" s="57" t="e">
        <f aca="false">ROUND(K263*100/P263-100,0)</f>
        <v>#DIV/0!</v>
      </c>
      <c r="W263" s="57" t="e">
        <f aca="false">ROUND(N263*100/P263-100,0)</f>
        <v>#DIV/0!</v>
      </c>
    </row>
    <row r="264" s="43" customFormat="true" ht="73.5" hidden="false" customHeight="true" outlineLevel="0" collapsed="false">
      <c r="A264" s="45" t="n">
        <v>253</v>
      </c>
      <c r="B264" s="145" t="s">
        <v>448</v>
      </c>
      <c r="C264" s="146" t="s">
        <v>25</v>
      </c>
      <c r="D264" s="147" t="n">
        <v>28</v>
      </c>
      <c r="E264" s="148" t="n">
        <v>1974.45</v>
      </c>
      <c r="F264" s="50"/>
      <c r="G264" s="47"/>
      <c r="H264" s="53"/>
      <c r="I264" s="72" t="n">
        <f aca="false">D264*H264</f>
        <v>0</v>
      </c>
      <c r="J264" s="72"/>
      <c r="K264" s="72"/>
      <c r="L264" s="72" t="n">
        <f aca="false">D264*K264</f>
        <v>0</v>
      </c>
      <c r="M264" s="72"/>
      <c r="N264" s="72"/>
      <c r="O264" s="72" t="n">
        <f aca="false">D264*N264</f>
        <v>0</v>
      </c>
      <c r="P264" s="54" t="e">
        <f aca="false">AVERAGE(H264,K264,N264)</f>
        <v>#DIV/0!</v>
      </c>
      <c r="Q264" s="55" t="e">
        <f aca="false">F264*100/P264-100</f>
        <v>#DIV/0!</v>
      </c>
      <c r="R264" s="54" t="n">
        <f aca="false">D264*F264</f>
        <v>0</v>
      </c>
      <c r="S264" s="47"/>
      <c r="U264" s="57" t="e">
        <f aca="false">ROUND(H264*100/P264-100,0)</f>
        <v>#DIV/0!</v>
      </c>
      <c r="V264" s="57" t="e">
        <f aca="false">ROUND(K264*100/P264-100,0)</f>
        <v>#DIV/0!</v>
      </c>
      <c r="W264" s="57" t="e">
        <f aca="false">ROUND(N264*100/P264-100,0)</f>
        <v>#DIV/0!</v>
      </c>
    </row>
    <row r="265" s="43" customFormat="true" ht="73.5" hidden="false" customHeight="true" outlineLevel="0" collapsed="false">
      <c r="A265" s="45" t="n">
        <v>254</v>
      </c>
      <c r="B265" s="145" t="s">
        <v>591</v>
      </c>
      <c r="C265" s="146" t="s">
        <v>25</v>
      </c>
      <c r="D265" s="147" t="n">
        <v>20</v>
      </c>
      <c r="E265" s="148" t="s">
        <v>504</v>
      </c>
      <c r="F265" s="50"/>
      <c r="G265" s="47"/>
      <c r="H265" s="53"/>
      <c r="I265" s="72" t="n">
        <f aca="false">D265*H265</f>
        <v>0</v>
      </c>
      <c r="J265" s="72"/>
      <c r="K265" s="72"/>
      <c r="L265" s="72" t="n">
        <f aca="false">D265*K265</f>
        <v>0</v>
      </c>
      <c r="M265" s="72"/>
      <c r="N265" s="72"/>
      <c r="O265" s="72" t="n">
        <f aca="false">D265*N265</f>
        <v>0</v>
      </c>
      <c r="P265" s="54" t="e">
        <f aca="false">AVERAGE(H265,K265,N265)</f>
        <v>#DIV/0!</v>
      </c>
      <c r="Q265" s="55" t="e">
        <f aca="false">F265*100/P265-100</f>
        <v>#DIV/0!</v>
      </c>
      <c r="R265" s="54" t="n">
        <f aca="false">D265*F265</f>
        <v>0</v>
      </c>
      <c r="S265" s="47"/>
      <c r="U265" s="57" t="e">
        <f aca="false">ROUND(H265*100/P265-100,0)</f>
        <v>#DIV/0!</v>
      </c>
      <c r="V265" s="57" t="e">
        <f aca="false">ROUND(K265*100/P265-100,0)</f>
        <v>#DIV/0!</v>
      </c>
      <c r="W265" s="57" t="e">
        <f aca="false">ROUND(N265*100/P265-100,0)</f>
        <v>#DIV/0!</v>
      </c>
    </row>
    <row r="266" s="43" customFormat="true" ht="73.5" hidden="false" customHeight="true" outlineLevel="0" collapsed="false">
      <c r="A266" s="45" t="n">
        <v>255</v>
      </c>
      <c r="B266" s="145" t="s">
        <v>592</v>
      </c>
      <c r="C266" s="146" t="s">
        <v>25</v>
      </c>
      <c r="D266" s="147" t="n">
        <v>266</v>
      </c>
      <c r="E266" s="148" t="n">
        <v>591.6</v>
      </c>
      <c r="F266" s="50"/>
      <c r="G266" s="47"/>
      <c r="H266" s="53"/>
      <c r="I266" s="72" t="n">
        <f aca="false">D266*H266</f>
        <v>0</v>
      </c>
      <c r="J266" s="72"/>
      <c r="K266" s="72"/>
      <c r="L266" s="72" t="n">
        <f aca="false">D266*K266</f>
        <v>0</v>
      </c>
      <c r="M266" s="72"/>
      <c r="N266" s="72"/>
      <c r="O266" s="72" t="n">
        <f aca="false">D266*N266</f>
        <v>0</v>
      </c>
      <c r="P266" s="54" t="e">
        <f aca="false">AVERAGE(H266,K266,N266)</f>
        <v>#DIV/0!</v>
      </c>
      <c r="Q266" s="55" t="e">
        <f aca="false">F266*100/P266-100</f>
        <v>#DIV/0!</v>
      </c>
      <c r="R266" s="54" t="n">
        <f aca="false">D266*F266</f>
        <v>0</v>
      </c>
      <c r="S266" s="47"/>
      <c r="U266" s="57" t="e">
        <f aca="false">ROUND(H266*100/P266-100,0)</f>
        <v>#DIV/0!</v>
      </c>
      <c r="V266" s="57" t="e">
        <f aca="false">ROUND(K266*100/P266-100,0)</f>
        <v>#DIV/0!</v>
      </c>
      <c r="W266" s="57" t="e">
        <f aca="false">ROUND(N266*100/P266-100,0)</f>
        <v>#DIV/0!</v>
      </c>
    </row>
    <row r="267" s="43" customFormat="true" ht="73.5" hidden="false" customHeight="true" outlineLevel="0" collapsed="false">
      <c r="A267" s="45" t="n">
        <v>256</v>
      </c>
      <c r="B267" s="145" t="s">
        <v>593</v>
      </c>
      <c r="C267" s="146" t="s">
        <v>25</v>
      </c>
      <c r="D267" s="147" t="n">
        <v>714</v>
      </c>
      <c r="E267" s="148" t="n">
        <v>595.8</v>
      </c>
      <c r="F267" s="50"/>
      <c r="G267" s="47"/>
      <c r="H267" s="53"/>
      <c r="I267" s="72" t="n">
        <f aca="false">D267*H267</f>
        <v>0</v>
      </c>
      <c r="J267" s="72"/>
      <c r="K267" s="72"/>
      <c r="L267" s="72" t="n">
        <f aca="false">D267*K267</f>
        <v>0</v>
      </c>
      <c r="M267" s="72"/>
      <c r="N267" s="72"/>
      <c r="O267" s="72" t="n">
        <f aca="false">D267*N267</f>
        <v>0</v>
      </c>
      <c r="P267" s="54" t="e">
        <f aca="false">AVERAGE(H267,K267,N267)</f>
        <v>#DIV/0!</v>
      </c>
      <c r="Q267" s="55" t="e">
        <f aca="false">F267*100/P267-100</f>
        <v>#DIV/0!</v>
      </c>
      <c r="R267" s="54" t="n">
        <f aca="false">D267*F267</f>
        <v>0</v>
      </c>
      <c r="S267" s="47"/>
      <c r="U267" s="57" t="e">
        <f aca="false">ROUND(H267*100/P267-100,0)</f>
        <v>#DIV/0!</v>
      </c>
      <c r="V267" s="57" t="e">
        <f aca="false">ROUND(K267*100/P267-100,0)</f>
        <v>#DIV/0!</v>
      </c>
      <c r="W267" s="57" t="e">
        <f aca="false">ROUND(N267*100/P267-100,0)</f>
        <v>#DIV/0!</v>
      </c>
    </row>
    <row r="268" s="43" customFormat="true" ht="33" hidden="false" customHeight="true" outlineLevel="0" collapsed="false">
      <c r="A268" s="156" t="s">
        <v>594</v>
      </c>
      <c r="B268" s="156"/>
      <c r="C268" s="156"/>
      <c r="D268" s="156"/>
      <c r="E268" s="156"/>
      <c r="F268" s="156"/>
      <c r="G268" s="156"/>
      <c r="H268" s="156"/>
      <c r="I268" s="156"/>
      <c r="J268" s="156"/>
      <c r="K268" s="156"/>
      <c r="L268" s="156"/>
      <c r="M268" s="156"/>
      <c r="N268" s="156"/>
      <c r="O268" s="156"/>
      <c r="P268" s="156"/>
      <c r="Q268" s="156"/>
      <c r="R268" s="156"/>
      <c r="S268" s="156"/>
      <c r="U268" s="57"/>
      <c r="V268" s="57"/>
      <c r="W268" s="57"/>
    </row>
    <row r="269" s="43" customFormat="true" ht="45" hidden="false" customHeight="true" outlineLevel="0" collapsed="false">
      <c r="A269" s="45"/>
      <c r="B269" s="46" t="s">
        <v>595</v>
      </c>
      <c r="C269" s="47" t="s">
        <v>25</v>
      </c>
      <c r="D269" s="48" t="n">
        <v>10</v>
      </c>
      <c r="E269" s="157" t="n">
        <v>2928.4</v>
      </c>
      <c r="F269" s="50"/>
      <c r="G269" s="47"/>
      <c r="H269" s="53"/>
      <c r="I269" s="53" t="n">
        <f aca="false">D269*H269</f>
        <v>0</v>
      </c>
      <c r="J269" s="53"/>
      <c r="K269" s="53"/>
      <c r="L269" s="53" t="n">
        <f aca="false">D269*K269</f>
        <v>0</v>
      </c>
      <c r="M269" s="47"/>
      <c r="N269" s="53"/>
      <c r="O269" s="53" t="n">
        <f aca="false">D269*N269</f>
        <v>0</v>
      </c>
      <c r="P269" s="54" t="e">
        <f aca="false">AVERAGE(H269,K269,N269)</f>
        <v>#DIV/0!</v>
      </c>
      <c r="Q269" s="55" t="e">
        <f aca="false">F269*100/P269-100</f>
        <v>#DIV/0!</v>
      </c>
      <c r="R269" s="54" t="n">
        <f aca="false">D269*F269</f>
        <v>0</v>
      </c>
      <c r="S269" s="47"/>
      <c r="U269" s="57" t="e">
        <f aca="false">ROUND(H269*100/P269-100,0)</f>
        <v>#DIV/0!</v>
      </c>
      <c r="V269" s="57" t="e">
        <f aca="false">ROUND(K269*100/P269-100,0)</f>
        <v>#DIV/0!</v>
      </c>
      <c r="W269" s="57" t="e">
        <f aca="false">ROUND(N269*100/P269-100,0)</f>
        <v>#DIV/0!</v>
      </c>
    </row>
    <row r="270" s="43" customFormat="true" ht="45" hidden="false" customHeight="true" outlineLevel="0" collapsed="false">
      <c r="A270" s="45"/>
      <c r="B270" s="46" t="s">
        <v>596</v>
      </c>
      <c r="C270" s="47" t="s">
        <v>25</v>
      </c>
      <c r="D270" s="47" t="n">
        <v>31</v>
      </c>
      <c r="E270" s="157" t="n">
        <v>10103.6</v>
      </c>
      <c r="F270" s="50"/>
      <c r="G270" s="47"/>
      <c r="H270" s="53"/>
      <c r="I270" s="72" t="n">
        <f aca="false">D270*H270</f>
        <v>0</v>
      </c>
      <c r="J270" s="47"/>
      <c r="K270" s="72"/>
      <c r="L270" s="72" t="n">
        <f aca="false">D270*K270</f>
        <v>0</v>
      </c>
      <c r="M270" s="72"/>
      <c r="N270" s="72"/>
      <c r="O270" s="72" t="n">
        <f aca="false">D270*N270</f>
        <v>0</v>
      </c>
      <c r="P270" s="54" t="e">
        <f aca="false">AVERAGE(H270,K270,N270)</f>
        <v>#DIV/0!</v>
      </c>
      <c r="Q270" s="55" t="e">
        <f aca="false">F270*100/P270-100</f>
        <v>#DIV/0!</v>
      </c>
      <c r="R270" s="54" t="n">
        <f aca="false">D270*F270</f>
        <v>0</v>
      </c>
      <c r="S270" s="47"/>
      <c r="U270" s="57" t="e">
        <f aca="false">ROUND(H270*100/P270-100,0)</f>
        <v>#DIV/0!</v>
      </c>
      <c r="V270" s="57" t="e">
        <f aca="false">ROUND(K270*100/P270-100,0)</f>
        <v>#DIV/0!</v>
      </c>
      <c r="W270" s="57" t="e">
        <f aca="false">ROUND(N270*100/P270-100,0)</f>
        <v>#DIV/0!</v>
      </c>
    </row>
    <row r="271" s="43" customFormat="true" ht="45" hidden="false" customHeight="true" outlineLevel="0" collapsed="false">
      <c r="A271" s="45"/>
      <c r="B271" s="46" t="s">
        <v>137</v>
      </c>
      <c r="C271" s="47" t="s">
        <v>25</v>
      </c>
      <c r="D271" s="47" t="n">
        <v>48</v>
      </c>
      <c r="E271" s="157" t="n">
        <v>1361.15</v>
      </c>
      <c r="F271" s="50"/>
      <c r="G271" s="47"/>
      <c r="H271" s="53"/>
      <c r="I271" s="72" t="n">
        <f aca="false">D271*H271</f>
        <v>0</v>
      </c>
      <c r="J271" s="47"/>
      <c r="K271" s="72"/>
      <c r="L271" s="72" t="n">
        <f aca="false">D271*K271</f>
        <v>0</v>
      </c>
      <c r="M271" s="72"/>
      <c r="N271" s="72"/>
      <c r="O271" s="72" t="n">
        <f aca="false">D271*N271</f>
        <v>0</v>
      </c>
      <c r="P271" s="54" t="e">
        <f aca="false">AVERAGE(H271,K271,N271)</f>
        <v>#DIV/0!</v>
      </c>
      <c r="Q271" s="55" t="e">
        <f aca="false">F271*100/P271-100</f>
        <v>#DIV/0!</v>
      </c>
      <c r="R271" s="54" t="n">
        <f aca="false">D271*F271</f>
        <v>0</v>
      </c>
      <c r="S271" s="47"/>
      <c r="U271" s="57" t="e">
        <f aca="false">ROUND(H271*100/P271-100,0)</f>
        <v>#DIV/0!</v>
      </c>
      <c r="V271" s="57" t="e">
        <f aca="false">ROUND(K271*100/P271-100,0)</f>
        <v>#DIV/0!</v>
      </c>
      <c r="W271" s="57" t="e">
        <f aca="false">ROUND(N271*100/P271-100,0)</f>
        <v>#DIV/0!</v>
      </c>
    </row>
    <row r="272" s="43" customFormat="true" ht="45" hidden="false" customHeight="true" outlineLevel="0" collapsed="false">
      <c r="A272" s="45"/>
      <c r="B272" s="46" t="s">
        <v>597</v>
      </c>
      <c r="C272" s="47" t="s">
        <v>25</v>
      </c>
      <c r="D272" s="47" t="n">
        <v>75</v>
      </c>
      <c r="E272" s="157" t="n">
        <v>15087.84</v>
      </c>
      <c r="F272" s="50"/>
      <c r="G272" s="47"/>
      <c r="H272" s="53"/>
      <c r="I272" s="72" t="n">
        <f aca="false">D272*H272</f>
        <v>0</v>
      </c>
      <c r="J272" s="47"/>
      <c r="K272" s="72"/>
      <c r="L272" s="72" t="n">
        <f aca="false">D272*K272</f>
        <v>0</v>
      </c>
      <c r="M272" s="72"/>
      <c r="N272" s="72"/>
      <c r="O272" s="72" t="n">
        <f aca="false">D272*N272</f>
        <v>0</v>
      </c>
      <c r="P272" s="54" t="e">
        <f aca="false">AVERAGE(H272,K272,N272)</f>
        <v>#DIV/0!</v>
      </c>
      <c r="Q272" s="55" t="e">
        <f aca="false">F272*100/P272-100</f>
        <v>#DIV/0!</v>
      </c>
      <c r="R272" s="54" t="n">
        <f aca="false">D272*F272</f>
        <v>0</v>
      </c>
      <c r="S272" s="47"/>
      <c r="U272" s="57" t="e">
        <f aca="false">ROUND(H272*100/P272-100,0)</f>
        <v>#DIV/0!</v>
      </c>
      <c r="V272" s="57" t="e">
        <f aca="false">ROUND(K272*100/P272-100,0)</f>
        <v>#DIV/0!</v>
      </c>
      <c r="W272" s="57" t="e">
        <f aca="false">ROUND(N272*100/P272-100,0)</f>
        <v>#DIV/0!</v>
      </c>
    </row>
    <row r="273" s="43" customFormat="true" ht="45" hidden="false" customHeight="true" outlineLevel="0" collapsed="false">
      <c r="A273" s="45"/>
      <c r="B273" s="46" t="s">
        <v>598</v>
      </c>
      <c r="C273" s="47" t="s">
        <v>25</v>
      </c>
      <c r="D273" s="47" t="n">
        <v>21</v>
      </c>
      <c r="E273" s="157" t="n">
        <v>1361.34</v>
      </c>
      <c r="F273" s="50"/>
      <c r="G273" s="47"/>
      <c r="H273" s="53"/>
      <c r="I273" s="72" t="n">
        <f aca="false">D273*H273</f>
        <v>0</v>
      </c>
      <c r="J273" s="47"/>
      <c r="K273" s="72"/>
      <c r="L273" s="72" t="n">
        <f aca="false">D273*K273</f>
        <v>0</v>
      </c>
      <c r="M273" s="72"/>
      <c r="N273" s="72"/>
      <c r="O273" s="72" t="n">
        <f aca="false">D273*N273</f>
        <v>0</v>
      </c>
      <c r="P273" s="54" t="e">
        <f aca="false">AVERAGE(H273,K273,N273)</f>
        <v>#DIV/0!</v>
      </c>
      <c r="Q273" s="55" t="e">
        <f aca="false">F273*100/P273-100</f>
        <v>#DIV/0!</v>
      </c>
      <c r="R273" s="54" t="n">
        <f aca="false">D273*F273</f>
        <v>0</v>
      </c>
      <c r="S273" s="47"/>
      <c r="U273" s="57" t="e">
        <f aca="false">ROUND(H273*100/P273-100,0)</f>
        <v>#DIV/0!</v>
      </c>
      <c r="V273" s="57" t="e">
        <f aca="false">ROUND(K273*100/P273-100,0)</f>
        <v>#DIV/0!</v>
      </c>
      <c r="W273" s="57" t="e">
        <f aca="false">ROUND(N273*100/P273-100,0)</f>
        <v>#DIV/0!</v>
      </c>
    </row>
    <row r="274" s="43" customFormat="true" ht="45" hidden="false" customHeight="true" outlineLevel="0" collapsed="false">
      <c r="A274" s="45"/>
      <c r="B274" s="46" t="s">
        <v>599</v>
      </c>
      <c r="C274" s="47" t="s">
        <v>25</v>
      </c>
      <c r="D274" s="47" t="n">
        <v>300</v>
      </c>
      <c r="E274" s="157" t="s">
        <v>504</v>
      </c>
      <c r="F274" s="50"/>
      <c r="G274" s="47"/>
      <c r="H274" s="53"/>
      <c r="I274" s="72" t="n">
        <f aca="false">D274*H274</f>
        <v>0</v>
      </c>
      <c r="J274" s="47"/>
      <c r="K274" s="72"/>
      <c r="L274" s="72" t="n">
        <f aca="false">D274*K274</f>
        <v>0</v>
      </c>
      <c r="M274" s="72"/>
      <c r="N274" s="72"/>
      <c r="O274" s="72" t="n">
        <f aca="false">D274*N274</f>
        <v>0</v>
      </c>
      <c r="P274" s="54" t="e">
        <f aca="false">AVERAGE(H274,K274,N274)</f>
        <v>#DIV/0!</v>
      </c>
      <c r="Q274" s="55" t="e">
        <f aca="false">F274*100/P274-100</f>
        <v>#DIV/0!</v>
      </c>
      <c r="R274" s="54" t="n">
        <f aca="false">D274*F274</f>
        <v>0</v>
      </c>
      <c r="S274" s="47"/>
      <c r="U274" s="57" t="e">
        <f aca="false">ROUND(H274*100/P274-100,0)</f>
        <v>#DIV/0!</v>
      </c>
      <c r="V274" s="57" t="e">
        <f aca="false">ROUND(K274*100/P274-100,0)</f>
        <v>#DIV/0!</v>
      </c>
      <c r="W274" s="57" t="e">
        <f aca="false">ROUND(N274*100/P274-100,0)</f>
        <v>#DIV/0!</v>
      </c>
    </row>
    <row r="275" s="43" customFormat="true" ht="73.5" hidden="false" customHeight="true" outlineLevel="0" collapsed="false">
      <c r="A275" s="45"/>
      <c r="B275" s="46" t="s">
        <v>153</v>
      </c>
      <c r="C275" s="47" t="s">
        <v>535</v>
      </c>
      <c r="D275" s="47" t="n">
        <v>1.35</v>
      </c>
      <c r="E275" s="157" t="n">
        <v>253560</v>
      </c>
      <c r="F275" s="50"/>
      <c r="G275" s="47"/>
      <c r="H275" s="53"/>
      <c r="I275" s="72" t="n">
        <f aca="false">D275*H275</f>
        <v>0</v>
      </c>
      <c r="J275" s="47"/>
      <c r="K275" s="72"/>
      <c r="L275" s="72" t="n">
        <f aca="false">D275*K275</f>
        <v>0</v>
      </c>
      <c r="M275" s="72"/>
      <c r="N275" s="72"/>
      <c r="O275" s="72" t="n">
        <f aca="false">D275*N275</f>
        <v>0</v>
      </c>
      <c r="P275" s="54" t="e">
        <f aca="false">AVERAGE(H275,K275,N275)</f>
        <v>#DIV/0!</v>
      </c>
      <c r="Q275" s="55" t="e">
        <f aca="false">F275*100/P275-100</f>
        <v>#DIV/0!</v>
      </c>
      <c r="R275" s="54" t="n">
        <f aca="false">D275*F275</f>
        <v>0</v>
      </c>
      <c r="S275" s="47"/>
      <c r="U275" s="57" t="e">
        <f aca="false">ROUND(H275*100/P275-100,0)</f>
        <v>#DIV/0!</v>
      </c>
      <c r="V275" s="57" t="e">
        <f aca="false">ROUND(K275*100/P275-100,0)</f>
        <v>#DIV/0!</v>
      </c>
      <c r="W275" s="57" t="e">
        <f aca="false">ROUND(N275*100/P275-100,0)</f>
        <v>#DIV/0!</v>
      </c>
    </row>
    <row r="276" s="43" customFormat="true" ht="84" hidden="false" customHeight="true" outlineLevel="0" collapsed="false">
      <c r="A276" s="45"/>
      <c r="B276" s="46" t="s">
        <v>600</v>
      </c>
      <c r="C276" s="47" t="s">
        <v>392</v>
      </c>
      <c r="D276" s="47" t="n">
        <v>360</v>
      </c>
      <c r="E276" s="157" t="s">
        <v>504</v>
      </c>
      <c r="F276" s="50"/>
      <c r="G276" s="47"/>
      <c r="H276" s="53"/>
      <c r="I276" s="72" t="n">
        <f aca="false">D276*H276</f>
        <v>0</v>
      </c>
      <c r="J276" s="47"/>
      <c r="K276" s="72"/>
      <c r="L276" s="72" t="n">
        <f aca="false">D276*K276</f>
        <v>0</v>
      </c>
      <c r="M276" s="72"/>
      <c r="N276" s="72"/>
      <c r="O276" s="72" t="n">
        <f aca="false">D276*N276</f>
        <v>0</v>
      </c>
      <c r="P276" s="54" t="e">
        <f aca="false">AVERAGE(H276,K276,N276)</f>
        <v>#DIV/0!</v>
      </c>
      <c r="Q276" s="55" t="e">
        <f aca="false">F276*100/P276-100</f>
        <v>#DIV/0!</v>
      </c>
      <c r="R276" s="54" t="n">
        <f aca="false">D276*F276</f>
        <v>0</v>
      </c>
      <c r="S276" s="47"/>
      <c r="U276" s="57" t="e">
        <f aca="false">ROUND(H276*100/P276-100,0)</f>
        <v>#DIV/0!</v>
      </c>
      <c r="V276" s="57" t="e">
        <f aca="false">ROUND(K276*100/P276-100,0)</f>
        <v>#DIV/0!</v>
      </c>
      <c r="W276" s="57" t="e">
        <f aca="false">ROUND(N276*100/P276-100,0)</f>
        <v>#DIV/0!</v>
      </c>
    </row>
    <row r="277" s="43" customFormat="true" ht="50.25" hidden="false" customHeight="true" outlineLevel="0" collapsed="false">
      <c r="A277" s="45"/>
      <c r="B277" s="46" t="s">
        <v>601</v>
      </c>
      <c r="C277" s="47" t="s">
        <v>602</v>
      </c>
      <c r="D277" s="47" t="n">
        <v>81</v>
      </c>
      <c r="E277" s="157" t="s">
        <v>504</v>
      </c>
      <c r="F277" s="50"/>
      <c r="G277" s="47"/>
      <c r="H277" s="53"/>
      <c r="I277" s="72" t="n">
        <f aca="false">D277*H277</f>
        <v>0</v>
      </c>
      <c r="J277" s="47"/>
      <c r="K277" s="72"/>
      <c r="L277" s="72" t="n">
        <f aca="false">D277*K277</f>
        <v>0</v>
      </c>
      <c r="M277" s="72"/>
      <c r="N277" s="72"/>
      <c r="O277" s="72" t="n">
        <f aca="false">D277*N277</f>
        <v>0</v>
      </c>
      <c r="P277" s="54" t="e">
        <f aca="false">AVERAGE(H277,K277,N277)</f>
        <v>#DIV/0!</v>
      </c>
      <c r="Q277" s="55" t="e">
        <f aca="false">F277*100/P277-100</f>
        <v>#DIV/0!</v>
      </c>
      <c r="R277" s="54" t="n">
        <f aca="false">D277*F277</f>
        <v>0</v>
      </c>
      <c r="S277" s="47"/>
      <c r="U277" s="57" t="e">
        <f aca="false">ROUND(H277*100/P277-100,0)</f>
        <v>#DIV/0!</v>
      </c>
      <c r="V277" s="57" t="e">
        <f aca="false">ROUND(K277*100/P277-100,0)</f>
        <v>#DIV/0!</v>
      </c>
      <c r="W277" s="57" t="e">
        <f aca="false">ROUND(N277*100/P277-100,0)</f>
        <v>#DIV/0!</v>
      </c>
    </row>
    <row r="278" s="43" customFormat="true" ht="50.25" hidden="false" customHeight="true" outlineLevel="0" collapsed="false">
      <c r="A278" s="45"/>
      <c r="B278" s="46" t="s">
        <v>296</v>
      </c>
      <c r="C278" s="47" t="s">
        <v>25</v>
      </c>
      <c r="D278" s="47" t="n">
        <v>40</v>
      </c>
      <c r="E278" s="157" t="n">
        <v>402.64</v>
      </c>
      <c r="F278" s="50"/>
      <c r="G278" s="47"/>
      <c r="H278" s="53"/>
      <c r="I278" s="72" t="n">
        <f aca="false">D278*H278</f>
        <v>0</v>
      </c>
      <c r="J278" s="47"/>
      <c r="K278" s="72"/>
      <c r="L278" s="72" t="n">
        <f aca="false">D278*K278</f>
        <v>0</v>
      </c>
      <c r="M278" s="72"/>
      <c r="N278" s="72"/>
      <c r="O278" s="72" t="n">
        <f aca="false">D278*N278</f>
        <v>0</v>
      </c>
      <c r="P278" s="54" t="e">
        <f aca="false">AVERAGE(H278,K278,N278)</f>
        <v>#DIV/0!</v>
      </c>
      <c r="Q278" s="55" t="e">
        <f aca="false">F278*100/P278-100</f>
        <v>#DIV/0!</v>
      </c>
      <c r="R278" s="54" t="n">
        <f aca="false">D278*F278</f>
        <v>0</v>
      </c>
      <c r="S278" s="47"/>
      <c r="U278" s="57" t="e">
        <f aca="false">ROUND(H278*100/P278-100,0)</f>
        <v>#DIV/0!</v>
      </c>
      <c r="V278" s="57" t="e">
        <f aca="false">ROUND(K278*100/P278-100,0)</f>
        <v>#DIV/0!</v>
      </c>
      <c r="W278" s="57" t="e">
        <f aca="false">ROUND(N278*100/P278-100,0)</f>
        <v>#DIV/0!</v>
      </c>
    </row>
    <row r="279" s="43" customFormat="true" ht="50.25" hidden="false" customHeight="true" outlineLevel="0" collapsed="false">
      <c r="A279" s="45"/>
      <c r="B279" s="46" t="s">
        <v>301</v>
      </c>
      <c r="C279" s="47" t="s">
        <v>25</v>
      </c>
      <c r="D279" s="47" t="n">
        <v>30</v>
      </c>
      <c r="E279" s="157" t="n">
        <v>1017.48</v>
      </c>
      <c r="F279" s="50"/>
      <c r="G279" s="47"/>
      <c r="H279" s="53"/>
      <c r="I279" s="72" t="n">
        <f aca="false">D279*H279</f>
        <v>0</v>
      </c>
      <c r="J279" s="47"/>
      <c r="K279" s="72"/>
      <c r="L279" s="72" t="n">
        <f aca="false">D279*K279</f>
        <v>0</v>
      </c>
      <c r="M279" s="72"/>
      <c r="N279" s="72"/>
      <c r="O279" s="72" t="n">
        <f aca="false">D279*N279</f>
        <v>0</v>
      </c>
      <c r="P279" s="54" t="e">
        <f aca="false">AVERAGE(H279,K279,N279)</f>
        <v>#DIV/0!</v>
      </c>
      <c r="Q279" s="55" t="e">
        <f aca="false">F279*100/P279-100</f>
        <v>#DIV/0!</v>
      </c>
      <c r="R279" s="54" t="n">
        <f aca="false">D279*F279</f>
        <v>0</v>
      </c>
      <c r="S279" s="47"/>
      <c r="U279" s="57" t="e">
        <f aca="false">ROUND(H279*100/P279-100,0)</f>
        <v>#DIV/0!</v>
      </c>
      <c r="V279" s="57" t="e">
        <f aca="false">ROUND(K279*100/P279-100,0)</f>
        <v>#DIV/0!</v>
      </c>
      <c r="W279" s="57" t="e">
        <f aca="false">ROUND(N279*100/P279-100,0)</f>
        <v>#DIV/0!</v>
      </c>
    </row>
    <row r="280" s="43" customFormat="true" ht="50.25" hidden="false" customHeight="true" outlineLevel="0" collapsed="false">
      <c r="A280" s="45"/>
      <c r="B280" s="46" t="s">
        <v>306</v>
      </c>
      <c r="C280" s="47" t="s">
        <v>25</v>
      </c>
      <c r="D280" s="47" t="n">
        <v>36</v>
      </c>
      <c r="E280" s="157" t="n">
        <v>19950.74</v>
      </c>
      <c r="F280" s="50"/>
      <c r="G280" s="47"/>
      <c r="H280" s="53"/>
      <c r="I280" s="72" t="n">
        <f aca="false">D280*H280</f>
        <v>0</v>
      </c>
      <c r="J280" s="47"/>
      <c r="K280" s="72"/>
      <c r="L280" s="72" t="n">
        <f aca="false">D280*K280</f>
        <v>0</v>
      </c>
      <c r="M280" s="72"/>
      <c r="N280" s="72"/>
      <c r="O280" s="72" t="n">
        <f aca="false">D280*N280</f>
        <v>0</v>
      </c>
      <c r="P280" s="54" t="e">
        <f aca="false">AVERAGE(H280,K280,N280)</f>
        <v>#DIV/0!</v>
      </c>
      <c r="Q280" s="55" t="e">
        <f aca="false">F280*100/P280-100</f>
        <v>#DIV/0!</v>
      </c>
      <c r="R280" s="54" t="n">
        <f aca="false">D280*F280</f>
        <v>0</v>
      </c>
      <c r="S280" s="47"/>
      <c r="U280" s="57" t="e">
        <f aca="false">ROUND(H280*100/P280-100,0)</f>
        <v>#DIV/0!</v>
      </c>
      <c r="V280" s="57" t="e">
        <f aca="false">ROUND(K280*100/P280-100,0)</f>
        <v>#DIV/0!</v>
      </c>
      <c r="W280" s="57" t="e">
        <f aca="false">ROUND(N280*100/P280-100,0)</f>
        <v>#DIV/0!</v>
      </c>
    </row>
    <row r="281" s="43" customFormat="true" ht="50.25" hidden="false" customHeight="true" outlineLevel="0" collapsed="false">
      <c r="A281" s="45"/>
      <c r="B281" s="46" t="s">
        <v>309</v>
      </c>
      <c r="C281" s="47" t="s">
        <v>25</v>
      </c>
      <c r="D281" s="47" t="n">
        <v>2</v>
      </c>
      <c r="E281" s="157" t="n">
        <v>21351</v>
      </c>
      <c r="F281" s="50"/>
      <c r="G281" s="47"/>
      <c r="H281" s="53"/>
      <c r="I281" s="72" t="n">
        <f aca="false">D281*H281</f>
        <v>0</v>
      </c>
      <c r="J281" s="47"/>
      <c r="K281" s="72"/>
      <c r="L281" s="72" t="n">
        <f aca="false">D281*K281</f>
        <v>0</v>
      </c>
      <c r="M281" s="72"/>
      <c r="N281" s="72"/>
      <c r="O281" s="72" t="n">
        <f aca="false">D281*N281</f>
        <v>0</v>
      </c>
      <c r="P281" s="54" t="e">
        <f aca="false">AVERAGE(H281,K281,N281)</f>
        <v>#DIV/0!</v>
      </c>
      <c r="Q281" s="55" t="e">
        <f aca="false">F281*100/P281-100</f>
        <v>#DIV/0!</v>
      </c>
      <c r="R281" s="54" t="n">
        <f aca="false">D281*F281</f>
        <v>0</v>
      </c>
      <c r="S281" s="47"/>
      <c r="U281" s="57" t="e">
        <f aca="false">ROUND(H281*100/P281-100,0)</f>
        <v>#DIV/0!</v>
      </c>
      <c r="V281" s="57" t="e">
        <f aca="false">ROUND(K281*100/P281-100,0)</f>
        <v>#DIV/0!</v>
      </c>
      <c r="W281" s="57" t="e">
        <f aca="false">ROUND(N281*100/P281-100,0)</f>
        <v>#DIV/0!</v>
      </c>
    </row>
    <row r="282" s="43" customFormat="true" ht="50.25" hidden="false" customHeight="true" outlineLevel="0" collapsed="false">
      <c r="A282" s="45"/>
      <c r="B282" s="46" t="s">
        <v>312</v>
      </c>
      <c r="C282" s="47" t="s">
        <v>25</v>
      </c>
      <c r="D282" s="47" t="n">
        <v>6</v>
      </c>
      <c r="E282" s="157" t="n">
        <v>144835.7</v>
      </c>
      <c r="F282" s="50"/>
      <c r="G282" s="47"/>
      <c r="H282" s="53"/>
      <c r="I282" s="72" t="n">
        <f aca="false">D282*H282</f>
        <v>0</v>
      </c>
      <c r="J282" s="47"/>
      <c r="K282" s="72"/>
      <c r="L282" s="72" t="n">
        <f aca="false">D282*K282</f>
        <v>0</v>
      </c>
      <c r="M282" s="72"/>
      <c r="N282" s="72"/>
      <c r="O282" s="72" t="n">
        <f aca="false">D282*N282</f>
        <v>0</v>
      </c>
      <c r="P282" s="54" t="e">
        <f aca="false">AVERAGE(H282,K282,N282)</f>
        <v>#DIV/0!</v>
      </c>
      <c r="Q282" s="55" t="e">
        <f aca="false">F282*100/P282-100</f>
        <v>#DIV/0!</v>
      </c>
      <c r="R282" s="54" t="n">
        <f aca="false">D282*F282</f>
        <v>0</v>
      </c>
      <c r="S282" s="47"/>
      <c r="U282" s="57" t="e">
        <f aca="false">ROUND(H282*100/P282-100,0)</f>
        <v>#DIV/0!</v>
      </c>
      <c r="V282" s="57" t="e">
        <f aca="false">ROUND(K282*100/P282-100,0)</f>
        <v>#DIV/0!</v>
      </c>
      <c r="W282" s="57" t="e">
        <f aca="false">ROUND(N282*100/P282-100,0)</f>
        <v>#DIV/0!</v>
      </c>
    </row>
    <row r="283" s="43" customFormat="true" ht="50.25" hidden="false" customHeight="true" outlineLevel="0" collapsed="false">
      <c r="A283" s="45"/>
      <c r="B283" s="46" t="s">
        <v>603</v>
      </c>
      <c r="C283" s="47" t="s">
        <v>45</v>
      </c>
      <c r="D283" s="47" t="n">
        <v>6</v>
      </c>
      <c r="E283" s="157" t="s">
        <v>504</v>
      </c>
      <c r="F283" s="50"/>
      <c r="G283" s="47"/>
      <c r="H283" s="53"/>
      <c r="I283" s="72" t="n">
        <f aca="false">D283*H283</f>
        <v>0</v>
      </c>
      <c r="J283" s="47"/>
      <c r="K283" s="72"/>
      <c r="L283" s="72" t="n">
        <f aca="false">D283*K283</f>
        <v>0</v>
      </c>
      <c r="M283" s="72"/>
      <c r="N283" s="72"/>
      <c r="O283" s="72" t="n">
        <f aca="false">D283*N283</f>
        <v>0</v>
      </c>
      <c r="P283" s="54" t="e">
        <f aca="false">AVERAGE(H283,K283,N283)</f>
        <v>#DIV/0!</v>
      </c>
      <c r="Q283" s="55" t="e">
        <f aca="false">F283*100/P283-100</f>
        <v>#DIV/0!</v>
      </c>
      <c r="R283" s="54" t="n">
        <f aca="false">D283*F283</f>
        <v>0</v>
      </c>
      <c r="S283" s="47"/>
      <c r="U283" s="57" t="e">
        <f aca="false">ROUND(H283*100/P283-100,0)</f>
        <v>#DIV/0!</v>
      </c>
      <c r="V283" s="57" t="e">
        <f aca="false">ROUND(K283*100/P283-100,0)</f>
        <v>#DIV/0!</v>
      </c>
      <c r="W283" s="57" t="e">
        <f aca="false">ROUND(N283*100/P283-100,0)</f>
        <v>#DIV/0!</v>
      </c>
    </row>
    <row r="284" s="43" customFormat="true" ht="49.5" hidden="false" customHeight="true" outlineLevel="0" collapsed="false">
      <c r="A284" s="45"/>
      <c r="B284" s="46" t="s">
        <v>604</v>
      </c>
      <c r="C284" s="47" t="s">
        <v>25</v>
      </c>
      <c r="D284" s="47" t="n">
        <v>20</v>
      </c>
      <c r="E284" s="157" t="s">
        <v>504</v>
      </c>
      <c r="F284" s="50"/>
      <c r="G284" s="47"/>
      <c r="H284" s="53"/>
      <c r="I284" s="72" t="n">
        <f aca="false">D284*H284</f>
        <v>0</v>
      </c>
      <c r="J284" s="47"/>
      <c r="K284" s="72"/>
      <c r="L284" s="72" t="n">
        <f aca="false">D284*K284</f>
        <v>0</v>
      </c>
      <c r="M284" s="72"/>
      <c r="N284" s="72"/>
      <c r="O284" s="72" t="n">
        <f aca="false">D284*N284</f>
        <v>0</v>
      </c>
      <c r="P284" s="54" t="e">
        <f aca="false">AVERAGE(H284,K284,N284)</f>
        <v>#DIV/0!</v>
      </c>
      <c r="Q284" s="55" t="e">
        <f aca="false">F284*100/P284-100</f>
        <v>#DIV/0!</v>
      </c>
      <c r="R284" s="54" t="n">
        <f aca="false">D284*F284</f>
        <v>0</v>
      </c>
      <c r="S284" s="47"/>
      <c r="U284" s="57" t="e">
        <f aca="false">ROUND(H284*100/P284-100,0)</f>
        <v>#DIV/0!</v>
      </c>
      <c r="V284" s="57" t="e">
        <f aca="false">ROUND(K284*100/P284-100,0)</f>
        <v>#DIV/0!</v>
      </c>
      <c r="W284" s="57" t="e">
        <f aca="false">ROUND(N284*100/P284-100,0)</f>
        <v>#DIV/0!</v>
      </c>
    </row>
    <row r="285" s="43" customFormat="true" ht="49.5" hidden="false" customHeight="true" outlineLevel="0" collapsed="false">
      <c r="A285" s="45"/>
      <c r="B285" s="46" t="s">
        <v>605</v>
      </c>
      <c r="C285" s="47" t="s">
        <v>25</v>
      </c>
      <c r="D285" s="47" t="n">
        <v>16</v>
      </c>
      <c r="E285" s="157" t="s">
        <v>504</v>
      </c>
      <c r="F285" s="50"/>
      <c r="G285" s="47"/>
      <c r="H285" s="53"/>
      <c r="I285" s="72" t="n">
        <f aca="false">D285*H285</f>
        <v>0</v>
      </c>
      <c r="J285" s="47"/>
      <c r="K285" s="72"/>
      <c r="L285" s="72" t="n">
        <f aca="false">D285*K285</f>
        <v>0</v>
      </c>
      <c r="M285" s="72"/>
      <c r="N285" s="72"/>
      <c r="O285" s="72" t="n">
        <f aca="false">D285*N285</f>
        <v>0</v>
      </c>
      <c r="P285" s="54" t="e">
        <f aca="false">AVERAGE(H285,K285,N285)</f>
        <v>#DIV/0!</v>
      </c>
      <c r="Q285" s="55" t="e">
        <f aca="false">F285*100/P285-100</f>
        <v>#DIV/0!</v>
      </c>
      <c r="R285" s="54" t="n">
        <f aca="false">D285*F285</f>
        <v>0</v>
      </c>
      <c r="S285" s="47"/>
      <c r="U285" s="57" t="e">
        <f aca="false">ROUND(H285*100/P285-100,0)</f>
        <v>#DIV/0!</v>
      </c>
      <c r="V285" s="57" t="e">
        <f aca="false">ROUND(K285*100/P285-100,0)</f>
        <v>#DIV/0!</v>
      </c>
      <c r="W285" s="57" t="e">
        <f aca="false">ROUND(N285*100/P285-100,0)</f>
        <v>#DIV/0!</v>
      </c>
    </row>
    <row r="286" s="43" customFormat="true" ht="92.25" hidden="false" customHeight="true" outlineLevel="0" collapsed="false">
      <c r="A286" s="45"/>
      <c r="B286" s="46" t="s">
        <v>355</v>
      </c>
      <c r="C286" s="47" t="s">
        <v>25</v>
      </c>
      <c r="D286" s="47" t="n">
        <v>76</v>
      </c>
      <c r="E286" s="157" t="n">
        <v>17795.68</v>
      </c>
      <c r="F286" s="50"/>
      <c r="G286" s="47"/>
      <c r="H286" s="53"/>
      <c r="I286" s="72" t="n">
        <f aca="false">D286*H286</f>
        <v>0</v>
      </c>
      <c r="J286" s="47"/>
      <c r="K286" s="72"/>
      <c r="L286" s="72" t="n">
        <f aca="false">D286*K286</f>
        <v>0</v>
      </c>
      <c r="M286" s="72"/>
      <c r="N286" s="72"/>
      <c r="O286" s="72" t="n">
        <f aca="false">D286*N286</f>
        <v>0</v>
      </c>
      <c r="P286" s="54" t="e">
        <f aca="false">AVERAGE(H286,K286,N286)</f>
        <v>#DIV/0!</v>
      </c>
      <c r="Q286" s="55" t="e">
        <f aca="false">F286*100/P286-100</f>
        <v>#DIV/0!</v>
      </c>
      <c r="R286" s="54" t="n">
        <f aca="false">D286*F286</f>
        <v>0</v>
      </c>
      <c r="S286" s="47"/>
      <c r="U286" s="57" t="e">
        <f aca="false">ROUND(H286*100/P286-100,0)</f>
        <v>#DIV/0!</v>
      </c>
      <c r="V286" s="57" t="e">
        <f aca="false">ROUND(K286*100/P286-100,0)</f>
        <v>#DIV/0!</v>
      </c>
      <c r="W286" s="57" t="e">
        <f aca="false">ROUND(N286*100/P286-100,0)</f>
        <v>#DIV/0!</v>
      </c>
    </row>
    <row r="287" s="43" customFormat="true" ht="48" hidden="false" customHeight="true" outlineLevel="0" collapsed="false">
      <c r="A287" s="45"/>
      <c r="B287" s="46" t="s">
        <v>357</v>
      </c>
      <c r="C287" s="47" t="s">
        <v>25</v>
      </c>
      <c r="D287" s="47" t="n">
        <v>71</v>
      </c>
      <c r="E287" s="157" t="n">
        <v>6160.34</v>
      </c>
      <c r="F287" s="50"/>
      <c r="G287" s="47"/>
      <c r="H287" s="53"/>
      <c r="I287" s="72" t="n">
        <f aca="false">D287*H287</f>
        <v>0</v>
      </c>
      <c r="J287" s="47"/>
      <c r="K287" s="72"/>
      <c r="L287" s="72" t="n">
        <f aca="false">D287*K287</f>
        <v>0</v>
      </c>
      <c r="M287" s="72"/>
      <c r="N287" s="72"/>
      <c r="O287" s="72" t="n">
        <f aca="false">D287*N287</f>
        <v>0</v>
      </c>
      <c r="P287" s="54" t="e">
        <f aca="false">AVERAGE(H287,K287,N287)</f>
        <v>#DIV/0!</v>
      </c>
      <c r="Q287" s="55" t="e">
        <f aca="false">F287*100/P287-100</f>
        <v>#DIV/0!</v>
      </c>
      <c r="R287" s="54" t="n">
        <f aca="false">D287*F287</f>
        <v>0</v>
      </c>
      <c r="S287" s="47"/>
      <c r="U287" s="57" t="e">
        <f aca="false">ROUND(H287*100/P287-100,0)</f>
        <v>#DIV/0!</v>
      </c>
      <c r="V287" s="57" t="e">
        <f aca="false">ROUND(K287*100/P287-100,0)</f>
        <v>#DIV/0!</v>
      </c>
      <c r="W287" s="57" t="e">
        <f aca="false">ROUND(N287*100/P287-100,0)</f>
        <v>#DIV/0!</v>
      </c>
    </row>
    <row r="288" s="43" customFormat="true" ht="48" hidden="false" customHeight="true" outlineLevel="0" collapsed="false">
      <c r="A288" s="45"/>
      <c r="B288" s="46" t="s">
        <v>360</v>
      </c>
      <c r="C288" s="47" t="s">
        <v>25</v>
      </c>
      <c r="D288" s="47" t="n">
        <v>10</v>
      </c>
      <c r="E288" s="157" t="n">
        <v>11227.31</v>
      </c>
      <c r="F288" s="50"/>
      <c r="G288" s="47"/>
      <c r="H288" s="53"/>
      <c r="I288" s="72" t="n">
        <f aca="false">D288*H288</f>
        <v>0</v>
      </c>
      <c r="J288" s="47"/>
      <c r="K288" s="72"/>
      <c r="L288" s="72" t="n">
        <f aca="false">D288*K288</f>
        <v>0</v>
      </c>
      <c r="M288" s="72"/>
      <c r="N288" s="72"/>
      <c r="O288" s="72" t="n">
        <f aca="false">D288*N288</f>
        <v>0</v>
      </c>
      <c r="P288" s="54" t="e">
        <f aca="false">AVERAGE(H288,K288,N288)</f>
        <v>#DIV/0!</v>
      </c>
      <c r="Q288" s="55" t="e">
        <f aca="false">F288*100/P288-100</f>
        <v>#DIV/0!</v>
      </c>
      <c r="R288" s="54" t="n">
        <f aca="false">D288*F288</f>
        <v>0</v>
      </c>
      <c r="S288" s="47"/>
      <c r="U288" s="57" t="e">
        <f aca="false">ROUND(H288*100/P288-100,0)</f>
        <v>#DIV/0!</v>
      </c>
      <c r="V288" s="57" t="e">
        <f aca="false">ROUND(K288*100/P288-100,0)</f>
        <v>#DIV/0!</v>
      </c>
      <c r="W288" s="57" t="e">
        <f aca="false">ROUND(N288*100/P288-100,0)</f>
        <v>#DIV/0!</v>
      </c>
    </row>
    <row r="289" s="43" customFormat="true" ht="48" hidden="false" customHeight="true" outlineLevel="0" collapsed="false">
      <c r="A289" s="45"/>
      <c r="B289" s="46" t="s">
        <v>363</v>
      </c>
      <c r="C289" s="47" t="s">
        <v>25</v>
      </c>
      <c r="D289" s="47" t="n">
        <v>14</v>
      </c>
      <c r="E289" s="157" t="n">
        <v>37685.88</v>
      </c>
      <c r="F289" s="50"/>
      <c r="G289" s="47"/>
      <c r="H289" s="53"/>
      <c r="I289" s="72" t="n">
        <f aca="false">D289*H289</f>
        <v>0</v>
      </c>
      <c r="J289" s="47"/>
      <c r="K289" s="72"/>
      <c r="L289" s="72" t="n">
        <f aca="false">D289*K289</f>
        <v>0</v>
      </c>
      <c r="M289" s="72"/>
      <c r="N289" s="72"/>
      <c r="O289" s="72" t="n">
        <f aca="false">D289*N289</f>
        <v>0</v>
      </c>
      <c r="P289" s="54" t="e">
        <f aca="false">AVERAGE(H289,K289,N289)</f>
        <v>#DIV/0!</v>
      </c>
      <c r="Q289" s="55" t="e">
        <f aca="false">F289*100/P289-100</f>
        <v>#DIV/0!</v>
      </c>
      <c r="R289" s="54" t="n">
        <f aca="false">D289*F289</f>
        <v>0</v>
      </c>
      <c r="S289" s="47"/>
      <c r="U289" s="57" t="e">
        <f aca="false">ROUND(H289*100/P289-100,0)</f>
        <v>#DIV/0!</v>
      </c>
      <c r="V289" s="57" t="e">
        <f aca="false">ROUND(K289*100/P289-100,0)</f>
        <v>#DIV/0!</v>
      </c>
      <c r="W289" s="57" t="e">
        <f aca="false">ROUND(N289*100/P289-100,0)</f>
        <v>#DIV/0!</v>
      </c>
    </row>
    <row r="290" s="43" customFormat="true" ht="48" hidden="false" customHeight="true" outlineLevel="0" collapsed="false">
      <c r="A290" s="45"/>
      <c r="B290" s="46" t="s">
        <v>364</v>
      </c>
      <c r="C290" s="47" t="s">
        <v>25</v>
      </c>
      <c r="D290" s="47" t="n">
        <v>180</v>
      </c>
      <c r="E290" s="157" t="n">
        <v>14297.31</v>
      </c>
      <c r="F290" s="50"/>
      <c r="G290" s="47"/>
      <c r="H290" s="53"/>
      <c r="I290" s="72" t="n">
        <f aca="false">D290*H290</f>
        <v>0</v>
      </c>
      <c r="J290" s="47"/>
      <c r="K290" s="72"/>
      <c r="L290" s="72" t="n">
        <f aca="false">D290*K290</f>
        <v>0</v>
      </c>
      <c r="M290" s="72"/>
      <c r="N290" s="72"/>
      <c r="O290" s="72" t="n">
        <f aca="false">D290*N290</f>
        <v>0</v>
      </c>
      <c r="P290" s="54" t="e">
        <f aca="false">AVERAGE(H290,K290,N290)</f>
        <v>#DIV/0!</v>
      </c>
      <c r="Q290" s="55" t="e">
        <f aca="false">F290*100/P290-100</f>
        <v>#DIV/0!</v>
      </c>
      <c r="R290" s="54" t="n">
        <f aca="false">D290*F290</f>
        <v>0</v>
      </c>
      <c r="S290" s="47"/>
      <c r="U290" s="57" t="e">
        <f aca="false">ROUND(H290*100/P290-100,0)</f>
        <v>#DIV/0!</v>
      </c>
      <c r="V290" s="57" t="e">
        <f aca="false">ROUND(K290*100/P290-100,0)</f>
        <v>#DIV/0!</v>
      </c>
      <c r="W290" s="57" t="e">
        <f aca="false">ROUND(N290*100/P290-100,0)</f>
        <v>#DIV/0!</v>
      </c>
    </row>
    <row r="291" s="43" customFormat="true" ht="51.75" hidden="false" customHeight="true" outlineLevel="0" collapsed="false">
      <c r="A291" s="45"/>
      <c r="B291" s="46" t="s">
        <v>606</v>
      </c>
      <c r="C291" s="47" t="s">
        <v>25</v>
      </c>
      <c r="D291" s="47" t="n">
        <v>10</v>
      </c>
      <c r="E291" s="157" t="n">
        <v>10989.9</v>
      </c>
      <c r="F291" s="50"/>
      <c r="G291" s="47"/>
      <c r="H291" s="53"/>
      <c r="I291" s="72" t="n">
        <f aca="false">D291*H291</f>
        <v>0</v>
      </c>
      <c r="J291" s="47"/>
      <c r="K291" s="72"/>
      <c r="L291" s="72" t="n">
        <f aca="false">D291*K291</f>
        <v>0</v>
      </c>
      <c r="M291" s="72"/>
      <c r="N291" s="72"/>
      <c r="O291" s="72" t="n">
        <f aca="false">D291*N291</f>
        <v>0</v>
      </c>
      <c r="P291" s="54" t="e">
        <f aca="false">AVERAGE(H291,K291,N291)</f>
        <v>#DIV/0!</v>
      </c>
      <c r="Q291" s="55" t="e">
        <f aca="false">F291*100/P291-100</f>
        <v>#DIV/0!</v>
      </c>
      <c r="R291" s="54" t="n">
        <f aca="false">D291*F291</f>
        <v>0</v>
      </c>
      <c r="S291" s="47"/>
      <c r="U291" s="57" t="e">
        <f aca="false">ROUND(H291*100/P291-100,0)</f>
        <v>#DIV/0!</v>
      </c>
      <c r="V291" s="57" t="e">
        <f aca="false">ROUND(K291*100/P291-100,0)</f>
        <v>#DIV/0!</v>
      </c>
      <c r="W291" s="57" t="e">
        <f aca="false">ROUND(N291*100/P291-100,0)</f>
        <v>#DIV/0!</v>
      </c>
    </row>
    <row r="292" s="43" customFormat="true" ht="51.75" hidden="false" customHeight="true" outlineLevel="0" collapsed="false">
      <c r="A292" s="45"/>
      <c r="B292" s="46" t="s">
        <v>369</v>
      </c>
      <c r="C292" s="47" t="s">
        <v>25</v>
      </c>
      <c r="D292" s="47" t="n">
        <v>6</v>
      </c>
      <c r="E292" s="157" t="n">
        <v>16354.78</v>
      </c>
      <c r="F292" s="50"/>
      <c r="G292" s="47"/>
      <c r="H292" s="53"/>
      <c r="I292" s="72" t="n">
        <f aca="false">D292*H292</f>
        <v>0</v>
      </c>
      <c r="J292" s="47"/>
      <c r="K292" s="72"/>
      <c r="L292" s="72" t="n">
        <f aca="false">D292*K292</f>
        <v>0</v>
      </c>
      <c r="M292" s="72"/>
      <c r="N292" s="72"/>
      <c r="O292" s="72" t="n">
        <f aca="false">D292*N292</f>
        <v>0</v>
      </c>
      <c r="P292" s="54" t="e">
        <f aca="false">AVERAGE(H292,K292,N292)</f>
        <v>#DIV/0!</v>
      </c>
      <c r="Q292" s="55" t="e">
        <f aca="false">F292*100/P292-100</f>
        <v>#DIV/0!</v>
      </c>
      <c r="R292" s="54" t="n">
        <f aca="false">D292*F292</f>
        <v>0</v>
      </c>
      <c r="S292" s="47"/>
      <c r="U292" s="57" t="e">
        <f aca="false">ROUND(H292*100/P292-100,0)</f>
        <v>#DIV/0!</v>
      </c>
      <c r="V292" s="57" t="e">
        <f aca="false">ROUND(K292*100/P292-100,0)</f>
        <v>#DIV/0!</v>
      </c>
      <c r="W292" s="57" t="e">
        <f aca="false">ROUND(N292*100/P292-100,0)</f>
        <v>#DIV/0!</v>
      </c>
    </row>
    <row r="293" s="43" customFormat="true" ht="51.75" hidden="false" customHeight="true" outlineLevel="0" collapsed="false">
      <c r="A293" s="45"/>
      <c r="B293" s="46" t="s">
        <v>567</v>
      </c>
      <c r="C293" s="47" t="s">
        <v>25</v>
      </c>
      <c r="D293" s="47" t="n">
        <v>95</v>
      </c>
      <c r="E293" s="157" t="n">
        <v>10970.42</v>
      </c>
      <c r="F293" s="50"/>
      <c r="G293" s="47"/>
      <c r="H293" s="53"/>
      <c r="I293" s="72" t="n">
        <f aca="false">D293*H293</f>
        <v>0</v>
      </c>
      <c r="J293" s="47"/>
      <c r="K293" s="72"/>
      <c r="L293" s="72" t="n">
        <f aca="false">D293*K293</f>
        <v>0</v>
      </c>
      <c r="M293" s="72"/>
      <c r="N293" s="72"/>
      <c r="O293" s="72" t="n">
        <f aca="false">D293*N293</f>
        <v>0</v>
      </c>
      <c r="P293" s="54" t="e">
        <f aca="false">AVERAGE(H293,K293,N293)</f>
        <v>#DIV/0!</v>
      </c>
      <c r="Q293" s="55" t="e">
        <f aca="false">F293*100/P293-100</f>
        <v>#DIV/0!</v>
      </c>
      <c r="R293" s="54" t="n">
        <f aca="false">D293*F293</f>
        <v>0</v>
      </c>
      <c r="S293" s="47"/>
      <c r="U293" s="57" t="e">
        <f aca="false">ROUND(H293*100/P293-100,0)</f>
        <v>#DIV/0!</v>
      </c>
      <c r="V293" s="57" t="e">
        <f aca="false">ROUND(K293*100/P293-100,0)</f>
        <v>#DIV/0!</v>
      </c>
      <c r="W293" s="57" t="e">
        <f aca="false">ROUND(N293*100/P293-100,0)</f>
        <v>#DIV/0!</v>
      </c>
    </row>
    <row r="294" s="43" customFormat="true" ht="51.75" hidden="false" customHeight="true" outlineLevel="0" collapsed="false">
      <c r="A294" s="45"/>
      <c r="B294" s="46" t="s">
        <v>607</v>
      </c>
      <c r="C294" s="47" t="s">
        <v>25</v>
      </c>
      <c r="D294" s="47" t="n">
        <v>26</v>
      </c>
      <c r="E294" s="157" t="n">
        <v>85001.4</v>
      </c>
      <c r="F294" s="50"/>
      <c r="G294" s="47"/>
      <c r="H294" s="53"/>
      <c r="I294" s="72" t="n">
        <f aca="false">D294*H294</f>
        <v>0</v>
      </c>
      <c r="J294" s="47"/>
      <c r="K294" s="72"/>
      <c r="L294" s="72" t="n">
        <f aca="false">D294*K294</f>
        <v>0</v>
      </c>
      <c r="M294" s="72"/>
      <c r="N294" s="72"/>
      <c r="O294" s="72" t="n">
        <f aca="false">D294*N294</f>
        <v>0</v>
      </c>
      <c r="P294" s="54" t="e">
        <f aca="false">AVERAGE(H294,K294,N294)</f>
        <v>#DIV/0!</v>
      </c>
      <c r="Q294" s="55" t="e">
        <f aca="false">F294*100/P294-100</f>
        <v>#DIV/0!</v>
      </c>
      <c r="R294" s="54" t="n">
        <f aca="false">D294*F294</f>
        <v>0</v>
      </c>
      <c r="S294" s="47"/>
      <c r="U294" s="57" t="e">
        <f aca="false">ROUND(H294*100/P294-100,0)</f>
        <v>#DIV/0!</v>
      </c>
      <c r="V294" s="57" t="e">
        <f aca="false">ROUND(K294*100/P294-100,0)</f>
        <v>#DIV/0!</v>
      </c>
      <c r="W294" s="57" t="e">
        <f aca="false">ROUND(N294*100/P294-100,0)</f>
        <v>#DIV/0!</v>
      </c>
    </row>
    <row r="295" s="43" customFormat="true" ht="51.75" hidden="false" customHeight="true" outlineLevel="0" collapsed="false">
      <c r="A295" s="45"/>
      <c r="B295" s="46" t="s">
        <v>456</v>
      </c>
      <c r="C295" s="47" t="s">
        <v>25</v>
      </c>
      <c r="D295" s="47" t="n">
        <v>6</v>
      </c>
      <c r="E295" s="157" t="s">
        <v>504</v>
      </c>
      <c r="F295" s="50"/>
      <c r="G295" s="47"/>
      <c r="H295" s="53"/>
      <c r="I295" s="72" t="n">
        <f aca="false">D295*H295</f>
        <v>0</v>
      </c>
      <c r="J295" s="47"/>
      <c r="K295" s="72"/>
      <c r="L295" s="72" t="n">
        <f aca="false">D295*K295</f>
        <v>0</v>
      </c>
      <c r="M295" s="72"/>
      <c r="N295" s="72"/>
      <c r="O295" s="72" t="n">
        <f aca="false">D295*N295</f>
        <v>0</v>
      </c>
      <c r="P295" s="54" t="e">
        <f aca="false">AVERAGE(H295,K295,N295)</f>
        <v>#DIV/0!</v>
      </c>
      <c r="Q295" s="55" t="e">
        <f aca="false">F295*100/P295-100</f>
        <v>#DIV/0!</v>
      </c>
      <c r="R295" s="54" t="n">
        <f aca="false">D295*F295</f>
        <v>0</v>
      </c>
      <c r="S295" s="47"/>
      <c r="U295" s="57" t="e">
        <f aca="false">ROUND(H295*100/P295-100,0)</f>
        <v>#DIV/0!</v>
      </c>
      <c r="V295" s="57" t="e">
        <f aca="false">ROUND(K295*100/P295-100,0)</f>
        <v>#DIV/0!</v>
      </c>
      <c r="W295" s="57" t="e">
        <f aca="false">ROUND(N295*100/P295-100,0)</f>
        <v>#DIV/0!</v>
      </c>
    </row>
    <row r="296" s="43" customFormat="true" ht="36.75" hidden="false" customHeight="true" outlineLevel="0" collapsed="false">
      <c r="A296" s="158"/>
      <c r="B296" s="159"/>
      <c r="C296" s="159"/>
      <c r="D296" s="159"/>
      <c r="E296" s="160"/>
      <c r="F296" s="159"/>
      <c r="G296" s="161" t="n">
        <v>1.031</v>
      </c>
      <c r="H296" s="161" t="n">
        <v>8.98</v>
      </c>
      <c r="I296" s="162" t="s">
        <v>608</v>
      </c>
      <c r="J296" s="162"/>
      <c r="K296" s="162"/>
      <c r="L296" s="162"/>
      <c r="M296" s="159"/>
      <c r="N296" s="159"/>
      <c r="O296" s="159"/>
      <c r="P296" s="159"/>
      <c r="Q296" s="159"/>
      <c r="R296" s="159"/>
      <c r="S296" s="163"/>
      <c r="U296" s="57" t="e">
        <f aca="false">ROUND(H296*100/P296-100,0)</f>
        <v>#DIV/0!</v>
      </c>
      <c r="V296" s="57" t="e">
        <f aca="false">ROUND(K296*100/P296-100,0)</f>
        <v>#DIV/0!</v>
      </c>
      <c r="W296" s="57" t="e">
        <f aca="false">ROUND(N296*100/P296-100,0)</f>
        <v>#DIV/0!</v>
      </c>
    </row>
    <row r="297" s="43" customFormat="true" ht="51.75" hidden="false" customHeight="true" outlineLevel="0" collapsed="false">
      <c r="A297" s="164"/>
      <c r="B297" s="165" t="s">
        <v>609</v>
      </c>
      <c r="C297" s="165" t="s">
        <v>610</v>
      </c>
      <c r="D297" s="165" t="s">
        <v>611</v>
      </c>
      <c r="E297" s="166"/>
      <c r="F297" s="165" t="s">
        <v>612</v>
      </c>
      <c r="G297" s="167" t="s">
        <v>613</v>
      </c>
      <c r="H297" s="167" t="s">
        <v>614</v>
      </c>
      <c r="I297" s="165"/>
      <c r="J297" s="164"/>
      <c r="K297" s="164"/>
      <c r="L297" s="164"/>
      <c r="M297" s="164"/>
      <c r="N297" s="164"/>
      <c r="O297" s="164"/>
      <c r="P297" s="164"/>
      <c r="Q297" s="164"/>
      <c r="R297" s="164"/>
      <c r="S297" s="164"/>
      <c r="U297" s="57"/>
      <c r="V297" s="57"/>
      <c r="W297" s="57"/>
    </row>
    <row r="298" s="43" customFormat="true" ht="28.5" hidden="false" customHeight="false" outlineLevel="0" collapsed="false">
      <c r="A298" s="45"/>
      <c r="B298" s="168" t="s">
        <v>615</v>
      </c>
      <c r="C298" s="169" t="s">
        <v>616</v>
      </c>
      <c r="D298" s="170" t="n">
        <v>120</v>
      </c>
      <c r="E298" s="171"/>
      <c r="F298" s="172" t="n">
        <v>58.59</v>
      </c>
      <c r="G298" s="173" t="n">
        <f aca="false">F298*$G$296*$H$296</f>
        <v>542.4484842</v>
      </c>
      <c r="H298" s="173" t="n">
        <f aca="false">G298*D298</f>
        <v>65093.818104</v>
      </c>
      <c r="I298" s="72"/>
      <c r="J298" s="47"/>
      <c r="K298" s="72"/>
      <c r="L298" s="72"/>
      <c r="M298" s="72"/>
      <c r="N298" s="72"/>
      <c r="O298" s="72"/>
      <c r="P298" s="174"/>
      <c r="Q298" s="55"/>
      <c r="R298" s="174"/>
      <c r="S298" s="47"/>
      <c r="U298" s="57"/>
      <c r="V298" s="57"/>
      <c r="W298" s="57"/>
    </row>
    <row r="299" s="43" customFormat="true" ht="28.5" hidden="false" customHeight="false" outlineLevel="0" collapsed="false">
      <c r="A299" s="45"/>
      <c r="B299" s="168" t="s">
        <v>617</v>
      </c>
      <c r="C299" s="169" t="s">
        <v>618</v>
      </c>
      <c r="D299" s="170" t="n">
        <v>12</v>
      </c>
      <c r="E299" s="171"/>
      <c r="F299" s="172" t="n">
        <v>51.66</v>
      </c>
      <c r="G299" s="173" t="n">
        <f aca="false">F299*$G$296*$H$296</f>
        <v>478.2879108</v>
      </c>
      <c r="H299" s="173" t="n">
        <f aca="false">G299*D299</f>
        <v>5739.4549296</v>
      </c>
      <c r="I299" s="72"/>
      <c r="J299" s="47"/>
      <c r="K299" s="72"/>
      <c r="L299" s="72"/>
      <c r="M299" s="72"/>
      <c r="N299" s="72"/>
      <c r="O299" s="72"/>
      <c r="P299" s="174"/>
      <c r="Q299" s="55"/>
      <c r="R299" s="174"/>
      <c r="S299" s="47"/>
      <c r="U299" s="57"/>
      <c r="V299" s="57"/>
      <c r="W299" s="57"/>
    </row>
    <row r="300" s="43" customFormat="true" ht="15" hidden="false" customHeight="false" outlineLevel="0" collapsed="false">
      <c r="A300" s="45"/>
      <c r="B300" s="168" t="s">
        <v>619</v>
      </c>
      <c r="C300" s="169" t="s">
        <v>620</v>
      </c>
      <c r="D300" s="175" t="n">
        <v>0.79133</v>
      </c>
      <c r="E300" s="171"/>
      <c r="F300" s="176" t="n">
        <v>5816.5</v>
      </c>
      <c r="G300" s="173" t="n">
        <f aca="false">F300*$G$296*$H$296</f>
        <v>53851.36727</v>
      </c>
      <c r="H300" s="173" t="n">
        <f aca="false">G300*D300</f>
        <v>42614.2024617691</v>
      </c>
      <c r="I300" s="72"/>
      <c r="J300" s="47"/>
      <c r="K300" s="72"/>
      <c r="L300" s="72"/>
      <c r="M300" s="72"/>
      <c r="N300" s="72"/>
      <c r="O300" s="72"/>
      <c r="P300" s="174"/>
      <c r="Q300" s="55"/>
      <c r="R300" s="174"/>
      <c r="S300" s="47"/>
      <c r="U300" s="57"/>
      <c r="V300" s="57"/>
      <c r="W300" s="57"/>
    </row>
    <row r="301" s="43" customFormat="true" ht="15" hidden="false" customHeight="false" outlineLevel="0" collapsed="false">
      <c r="A301" s="45"/>
      <c r="B301" s="168" t="s">
        <v>621</v>
      </c>
      <c r="C301" s="169" t="s">
        <v>616</v>
      </c>
      <c r="D301" s="177" t="n">
        <v>11.2</v>
      </c>
      <c r="E301" s="171"/>
      <c r="F301" s="172" t="n">
        <v>15.6</v>
      </c>
      <c r="G301" s="173" t="n">
        <f aca="false">F301*$G$296*$H$296</f>
        <v>144.430728</v>
      </c>
      <c r="H301" s="173" t="n">
        <f aca="false">G301*D301</f>
        <v>1617.6241536</v>
      </c>
      <c r="I301" s="72"/>
      <c r="J301" s="47"/>
      <c r="K301" s="72"/>
      <c r="L301" s="72"/>
      <c r="M301" s="72"/>
      <c r="N301" s="72"/>
      <c r="O301" s="72"/>
      <c r="P301" s="174"/>
      <c r="Q301" s="55"/>
      <c r="R301" s="174"/>
      <c r="S301" s="47"/>
      <c r="U301" s="57"/>
      <c r="V301" s="57"/>
      <c r="W301" s="57"/>
    </row>
    <row r="302" s="43" customFormat="true" ht="15" hidden="false" customHeight="false" outlineLevel="0" collapsed="false">
      <c r="A302" s="45"/>
      <c r="B302" s="168" t="s">
        <v>622</v>
      </c>
      <c r="C302" s="169" t="s">
        <v>616</v>
      </c>
      <c r="D302" s="170" t="n">
        <v>17</v>
      </c>
      <c r="E302" s="171"/>
      <c r="F302" s="172" t="n">
        <v>159.93</v>
      </c>
      <c r="G302" s="173" t="n">
        <f aca="false">F302*$G$296*$H$296</f>
        <v>1480.6927134</v>
      </c>
      <c r="H302" s="173" t="n">
        <f aca="false">G302*D302</f>
        <v>25171.7761278</v>
      </c>
      <c r="I302" s="72"/>
      <c r="J302" s="47"/>
      <c r="K302" s="72"/>
      <c r="L302" s="72"/>
      <c r="M302" s="72"/>
      <c r="N302" s="72"/>
      <c r="O302" s="72"/>
      <c r="P302" s="174"/>
      <c r="Q302" s="55"/>
      <c r="R302" s="174"/>
      <c r="S302" s="47"/>
      <c r="U302" s="57"/>
      <c r="V302" s="57"/>
      <c r="W302" s="57"/>
    </row>
    <row r="303" s="43" customFormat="true" ht="28.5" hidden="false" customHeight="false" outlineLevel="0" collapsed="false">
      <c r="A303" s="45"/>
      <c r="B303" s="168" t="s">
        <v>623</v>
      </c>
      <c r="C303" s="169" t="s">
        <v>616</v>
      </c>
      <c r="D303" s="177" t="n">
        <v>101.9</v>
      </c>
      <c r="E303" s="171"/>
      <c r="F303" s="172" t="n">
        <v>38.89</v>
      </c>
      <c r="G303" s="173" t="n">
        <f aca="false">F303*$G$296*$H$296</f>
        <v>360.0583982</v>
      </c>
      <c r="H303" s="173" t="n">
        <f aca="false">G303*D303</f>
        <v>36689.95077658</v>
      </c>
      <c r="I303" s="72"/>
      <c r="J303" s="47"/>
      <c r="K303" s="72"/>
      <c r="L303" s="72"/>
      <c r="M303" s="72"/>
      <c r="N303" s="72"/>
      <c r="O303" s="72"/>
      <c r="P303" s="174"/>
      <c r="Q303" s="55"/>
      <c r="R303" s="174"/>
      <c r="S303" s="47"/>
      <c r="U303" s="57"/>
      <c r="V303" s="57"/>
      <c r="W303" s="57"/>
    </row>
    <row r="304" s="43" customFormat="true" ht="15" hidden="false" customHeight="false" outlineLevel="0" collapsed="false">
      <c r="A304" s="45"/>
      <c r="B304" s="168" t="s">
        <v>624</v>
      </c>
      <c r="C304" s="169" t="s">
        <v>620</v>
      </c>
      <c r="D304" s="178" t="n">
        <v>0.54</v>
      </c>
      <c r="E304" s="171"/>
      <c r="F304" s="176" t="n">
        <v>6250</v>
      </c>
      <c r="G304" s="173" t="n">
        <f aca="false">F304*$G$296*$H$296</f>
        <v>57864.875</v>
      </c>
      <c r="H304" s="173" t="n">
        <f aca="false">G304*D304</f>
        <v>31247.0325</v>
      </c>
      <c r="I304" s="72"/>
      <c r="J304" s="47"/>
      <c r="K304" s="72"/>
      <c r="L304" s="72"/>
      <c r="M304" s="72"/>
      <c r="N304" s="72"/>
      <c r="O304" s="72"/>
      <c r="P304" s="174"/>
      <c r="Q304" s="55"/>
      <c r="R304" s="174"/>
      <c r="S304" s="47"/>
      <c r="U304" s="57"/>
      <c r="V304" s="57"/>
      <c r="W304" s="57"/>
    </row>
    <row r="305" s="43" customFormat="true" ht="15" hidden="false" customHeight="false" outlineLevel="0" collapsed="false">
      <c r="A305" s="45"/>
      <c r="B305" s="168" t="s">
        <v>625</v>
      </c>
      <c r="C305" s="169" t="s">
        <v>626</v>
      </c>
      <c r="D305" s="177" t="n">
        <v>75.6</v>
      </c>
      <c r="E305" s="171"/>
      <c r="F305" s="172" t="n">
        <v>6.22</v>
      </c>
      <c r="G305" s="173" t="n">
        <f aca="false">F305*$G$296*$H$296</f>
        <v>57.5871236</v>
      </c>
      <c r="H305" s="173" t="n">
        <f aca="false">G305*D305</f>
        <v>4353.58654416</v>
      </c>
      <c r="I305" s="72"/>
      <c r="J305" s="47"/>
      <c r="K305" s="72"/>
      <c r="L305" s="72"/>
      <c r="M305" s="72"/>
      <c r="N305" s="72"/>
      <c r="O305" s="72"/>
      <c r="P305" s="174"/>
      <c r="Q305" s="55"/>
      <c r="R305" s="174"/>
      <c r="S305" s="47"/>
      <c r="U305" s="57"/>
      <c r="V305" s="57"/>
      <c r="W305" s="57"/>
    </row>
    <row r="306" s="43" customFormat="true" ht="15" hidden="false" customHeight="false" outlineLevel="0" collapsed="false">
      <c r="A306" s="45"/>
      <c r="B306" s="168" t="s">
        <v>627</v>
      </c>
      <c r="C306" s="169" t="s">
        <v>616</v>
      </c>
      <c r="D306" s="177" t="n">
        <v>84.8</v>
      </c>
      <c r="E306" s="171"/>
      <c r="F306" s="172" t="n">
        <v>6.09</v>
      </c>
      <c r="G306" s="173" t="n">
        <f aca="false">F306*$G$296*$H$296</f>
        <v>56.3835342</v>
      </c>
      <c r="H306" s="173" t="n">
        <f aca="false">G306*D306</f>
        <v>4781.32370016</v>
      </c>
      <c r="I306" s="72"/>
      <c r="J306" s="47"/>
      <c r="K306" s="72"/>
      <c r="L306" s="72"/>
      <c r="M306" s="72"/>
      <c r="N306" s="72"/>
      <c r="O306" s="72"/>
      <c r="P306" s="174"/>
      <c r="Q306" s="55"/>
      <c r="R306" s="174"/>
      <c r="S306" s="47"/>
      <c r="U306" s="57"/>
      <c r="V306" s="57"/>
      <c r="W306" s="57"/>
    </row>
    <row r="307" s="43" customFormat="true" ht="15" hidden="false" customHeight="false" outlineLevel="0" collapsed="false">
      <c r="A307" s="45"/>
      <c r="B307" s="168" t="s">
        <v>628</v>
      </c>
      <c r="C307" s="169" t="s">
        <v>616</v>
      </c>
      <c r="D307" s="170" t="n">
        <v>4</v>
      </c>
      <c r="E307" s="171"/>
      <c r="F307" s="172" t="n">
        <v>11.12</v>
      </c>
      <c r="G307" s="173" t="n">
        <f aca="false">F307*$G$296*$H$296</f>
        <v>102.9531856</v>
      </c>
      <c r="H307" s="173" t="n">
        <f aca="false">G307*D307</f>
        <v>411.8127424</v>
      </c>
      <c r="I307" s="72"/>
      <c r="J307" s="47"/>
      <c r="K307" s="72"/>
      <c r="L307" s="72"/>
      <c r="M307" s="72"/>
      <c r="N307" s="72"/>
      <c r="O307" s="72"/>
      <c r="P307" s="174"/>
      <c r="Q307" s="55"/>
      <c r="R307" s="174"/>
      <c r="S307" s="47"/>
      <c r="U307" s="57"/>
      <c r="V307" s="57"/>
      <c r="W307" s="57"/>
    </row>
    <row r="308" s="43" customFormat="true" ht="15" hidden="false" customHeight="false" outlineLevel="0" collapsed="false">
      <c r="A308" s="45"/>
      <c r="B308" s="168" t="s">
        <v>629</v>
      </c>
      <c r="C308" s="169" t="s">
        <v>616</v>
      </c>
      <c r="D308" s="170" t="n">
        <v>21</v>
      </c>
      <c r="E308" s="171"/>
      <c r="F308" s="172" t="n">
        <v>76.16</v>
      </c>
      <c r="G308" s="173" t="n">
        <f aca="false">F308*$G$296*$H$296</f>
        <v>705.1182208</v>
      </c>
      <c r="H308" s="173" t="n">
        <f aca="false">G308*D308</f>
        <v>14807.4826368</v>
      </c>
      <c r="I308" s="72"/>
      <c r="J308" s="47"/>
      <c r="K308" s="72"/>
      <c r="L308" s="72"/>
      <c r="M308" s="72"/>
      <c r="N308" s="72"/>
      <c r="O308" s="72"/>
      <c r="P308" s="174"/>
      <c r="Q308" s="55"/>
      <c r="R308" s="174"/>
      <c r="S308" s="47"/>
      <c r="U308" s="57"/>
      <c r="V308" s="57"/>
      <c r="W308" s="57"/>
    </row>
    <row r="309" s="43" customFormat="true" ht="28.5" hidden="false" customHeight="false" outlineLevel="0" collapsed="false">
      <c r="A309" s="45"/>
      <c r="B309" s="168" t="s">
        <v>630</v>
      </c>
      <c r="C309" s="169" t="s">
        <v>620</v>
      </c>
      <c r="D309" s="179" t="n">
        <v>0.048</v>
      </c>
      <c r="E309" s="171"/>
      <c r="F309" s="176" t="n">
        <v>1865</v>
      </c>
      <c r="G309" s="173" t="n">
        <f aca="false">F309*$G$296*$H$296</f>
        <v>17266.8787</v>
      </c>
      <c r="H309" s="173" t="n">
        <f aca="false">G309*D309</f>
        <v>828.8101776</v>
      </c>
      <c r="I309" s="72"/>
      <c r="J309" s="47"/>
      <c r="K309" s="72"/>
      <c r="L309" s="72"/>
      <c r="M309" s="72"/>
      <c r="N309" s="72"/>
      <c r="O309" s="72"/>
      <c r="P309" s="174"/>
      <c r="Q309" s="55"/>
      <c r="R309" s="174"/>
      <c r="S309" s="47"/>
      <c r="U309" s="57"/>
      <c r="V309" s="57"/>
      <c r="W309" s="57"/>
    </row>
    <row r="310" s="43" customFormat="true" ht="28.5" hidden="false" customHeight="false" outlineLevel="0" collapsed="false">
      <c r="A310" s="45"/>
      <c r="B310" s="168" t="s">
        <v>631</v>
      </c>
      <c r="C310" s="169" t="s">
        <v>620</v>
      </c>
      <c r="D310" s="180" t="n">
        <v>0.0064</v>
      </c>
      <c r="E310" s="171"/>
      <c r="F310" s="176" t="n">
        <v>19610</v>
      </c>
      <c r="G310" s="173" t="n">
        <f aca="false">F310*$G$296*$H$296</f>
        <v>181556.8318</v>
      </c>
      <c r="H310" s="173" t="n">
        <f aca="false">G310*D310</f>
        <v>1161.96372352</v>
      </c>
      <c r="I310" s="72"/>
      <c r="J310" s="47"/>
      <c r="K310" s="72"/>
      <c r="L310" s="72"/>
      <c r="M310" s="72"/>
      <c r="N310" s="72"/>
      <c r="O310" s="72"/>
      <c r="P310" s="174"/>
      <c r="Q310" s="55"/>
      <c r="R310" s="174"/>
      <c r="S310" s="47"/>
      <c r="U310" s="57"/>
      <c r="V310" s="57"/>
      <c r="W310" s="57"/>
    </row>
    <row r="311" s="43" customFormat="true" ht="15" hidden="false" customHeight="false" outlineLevel="0" collapsed="false">
      <c r="A311" s="45"/>
      <c r="B311" s="168" t="s">
        <v>632</v>
      </c>
      <c r="C311" s="169" t="s">
        <v>620</v>
      </c>
      <c r="D311" s="178" t="n">
        <v>0.02</v>
      </c>
      <c r="E311" s="171"/>
      <c r="F311" s="176" t="n">
        <v>1943</v>
      </c>
      <c r="G311" s="173" t="n">
        <f aca="false">F311*$G$296*$H$296</f>
        <v>17989.03234</v>
      </c>
      <c r="H311" s="173" t="n">
        <f aca="false">G311*D311</f>
        <v>359.7806468</v>
      </c>
      <c r="I311" s="72"/>
      <c r="J311" s="47"/>
      <c r="K311" s="72"/>
      <c r="L311" s="72"/>
      <c r="M311" s="72"/>
      <c r="N311" s="72"/>
      <c r="O311" s="72"/>
      <c r="P311" s="174"/>
      <c r="Q311" s="55"/>
      <c r="R311" s="174"/>
      <c r="S311" s="47"/>
      <c r="U311" s="57"/>
      <c r="V311" s="57"/>
      <c r="W311" s="57"/>
    </row>
    <row r="312" s="43" customFormat="true" ht="71.25" hidden="false" customHeight="false" outlineLevel="0" collapsed="false">
      <c r="A312" s="45"/>
      <c r="B312" s="168" t="s">
        <v>633</v>
      </c>
      <c r="C312" s="169" t="s">
        <v>634</v>
      </c>
      <c r="D312" s="170" t="n">
        <v>4</v>
      </c>
      <c r="E312" s="171"/>
      <c r="F312" s="172" t="n">
        <v>392.42</v>
      </c>
      <c r="G312" s="173" t="n">
        <f aca="false">F312*$G$296*$H$296</f>
        <v>3633.1734796</v>
      </c>
      <c r="H312" s="173" t="n">
        <f aca="false">G312*D312</f>
        <v>14532.6939184</v>
      </c>
      <c r="I312" s="72"/>
      <c r="J312" s="47"/>
      <c r="K312" s="72"/>
      <c r="L312" s="72"/>
      <c r="M312" s="72"/>
      <c r="N312" s="72"/>
      <c r="O312" s="72"/>
      <c r="P312" s="174"/>
      <c r="Q312" s="55"/>
      <c r="R312" s="174"/>
      <c r="S312" s="47"/>
      <c r="U312" s="57"/>
      <c r="V312" s="57"/>
      <c r="W312" s="57"/>
    </row>
    <row r="313" s="43" customFormat="true" ht="42.75" hidden="false" customHeight="false" outlineLevel="0" collapsed="false">
      <c r="A313" s="45"/>
      <c r="B313" s="168" t="s">
        <v>635</v>
      </c>
      <c r="C313" s="169" t="s">
        <v>616</v>
      </c>
      <c r="D313" s="177" t="n">
        <v>2.5</v>
      </c>
      <c r="E313" s="171"/>
      <c r="F313" s="172" t="n">
        <v>90.21</v>
      </c>
      <c r="G313" s="173" t="n">
        <f aca="false">F313*$G$296*$H$296</f>
        <v>835.1984598</v>
      </c>
      <c r="H313" s="173" t="n">
        <f aca="false">G313*D313</f>
        <v>2087.9961495</v>
      </c>
      <c r="I313" s="72"/>
      <c r="J313" s="47"/>
      <c r="K313" s="72"/>
      <c r="L313" s="72"/>
      <c r="M313" s="72"/>
      <c r="N313" s="72"/>
      <c r="O313" s="72"/>
      <c r="P313" s="174"/>
      <c r="Q313" s="55"/>
      <c r="R313" s="174"/>
      <c r="S313" s="47"/>
      <c r="U313" s="57"/>
      <c r="V313" s="57"/>
      <c r="W313" s="57"/>
    </row>
    <row r="314" s="43" customFormat="true" ht="15" hidden="false" customHeight="false" outlineLevel="0" collapsed="false">
      <c r="A314" s="45"/>
      <c r="B314" s="168" t="s">
        <v>636</v>
      </c>
      <c r="C314" s="169" t="s">
        <v>618</v>
      </c>
      <c r="D314" s="170" t="n">
        <v>300</v>
      </c>
      <c r="E314" s="171"/>
      <c r="F314" s="172" t="n">
        <v>12.19</v>
      </c>
      <c r="G314" s="173" t="n">
        <f aca="false">F314*$G$296*$H$296</f>
        <v>112.8596522</v>
      </c>
      <c r="H314" s="173" t="n">
        <f aca="false">G314*D314</f>
        <v>33857.89566</v>
      </c>
      <c r="I314" s="72"/>
      <c r="J314" s="47"/>
      <c r="K314" s="72"/>
      <c r="L314" s="72"/>
      <c r="M314" s="72"/>
      <c r="N314" s="72"/>
      <c r="O314" s="72"/>
      <c r="P314" s="174"/>
      <c r="Q314" s="55"/>
      <c r="R314" s="174"/>
      <c r="S314" s="47"/>
      <c r="U314" s="57"/>
      <c r="V314" s="57"/>
      <c r="W314" s="57"/>
    </row>
    <row r="315" s="43" customFormat="true" ht="42.75" hidden="false" customHeight="false" outlineLevel="0" collapsed="false">
      <c r="A315" s="45"/>
      <c r="B315" s="168" t="s">
        <v>637</v>
      </c>
      <c r="C315" s="169" t="s">
        <v>616</v>
      </c>
      <c r="D315" s="177" t="n">
        <v>0.6</v>
      </c>
      <c r="E315" s="171"/>
      <c r="F315" s="172" t="n">
        <v>1.37</v>
      </c>
      <c r="G315" s="173" t="n">
        <f aca="false">F315*$G$296*$H$296</f>
        <v>12.6839806</v>
      </c>
      <c r="H315" s="173" t="n">
        <f aca="false">G315*D315</f>
        <v>7.61038836</v>
      </c>
      <c r="I315" s="72"/>
      <c r="J315" s="47"/>
      <c r="K315" s="72"/>
      <c r="L315" s="72"/>
      <c r="M315" s="72"/>
      <c r="N315" s="72"/>
      <c r="O315" s="72"/>
      <c r="P315" s="174"/>
      <c r="Q315" s="55"/>
      <c r="R315" s="174"/>
      <c r="S315" s="47"/>
      <c r="U315" s="57"/>
      <c r="V315" s="57"/>
      <c r="W315" s="57"/>
    </row>
    <row r="316" s="43" customFormat="true" ht="15" hidden="false" customHeight="false" outlineLevel="0" collapsed="false">
      <c r="A316" s="45"/>
      <c r="B316" s="168" t="s">
        <v>638</v>
      </c>
      <c r="C316" s="169" t="s">
        <v>616</v>
      </c>
      <c r="D316" s="177" t="n">
        <v>3.2</v>
      </c>
      <c r="E316" s="171"/>
      <c r="F316" s="172" t="n">
        <v>322.7</v>
      </c>
      <c r="G316" s="173" t="n">
        <f aca="false">F316*$G$296*$H$296</f>
        <v>2987.679226</v>
      </c>
      <c r="H316" s="173" t="n">
        <f aca="false">G316*D316</f>
        <v>9560.5735232</v>
      </c>
      <c r="I316" s="72"/>
      <c r="J316" s="47"/>
      <c r="K316" s="72"/>
      <c r="L316" s="72"/>
      <c r="M316" s="72"/>
      <c r="N316" s="72"/>
      <c r="O316" s="72"/>
      <c r="P316" s="174"/>
      <c r="Q316" s="55"/>
      <c r="R316" s="174"/>
      <c r="S316" s="47"/>
      <c r="U316" s="57"/>
      <c r="V316" s="57"/>
      <c r="W316" s="57"/>
    </row>
    <row r="317" s="43" customFormat="true" ht="28.5" hidden="false" customHeight="false" outlineLevel="0" collapsed="false">
      <c r="A317" s="45"/>
      <c r="B317" s="168" t="s">
        <v>639</v>
      </c>
      <c r="C317" s="169" t="s">
        <v>620</v>
      </c>
      <c r="D317" s="178" t="n">
        <v>0.48</v>
      </c>
      <c r="E317" s="171"/>
      <c r="F317" s="176" t="n">
        <v>7262.93</v>
      </c>
      <c r="G317" s="173" t="n">
        <f aca="false">F317*$G$296*$H$296</f>
        <v>67242.9658534</v>
      </c>
      <c r="H317" s="173" t="n">
        <f aca="false">G317*D317</f>
        <v>32276.623609632</v>
      </c>
      <c r="I317" s="72"/>
      <c r="J317" s="47"/>
      <c r="K317" s="72"/>
      <c r="L317" s="72"/>
      <c r="M317" s="72"/>
      <c r="N317" s="72"/>
      <c r="O317" s="72"/>
      <c r="P317" s="174"/>
      <c r="Q317" s="55"/>
      <c r="R317" s="174"/>
      <c r="S317" s="47"/>
      <c r="U317" s="57"/>
      <c r="V317" s="57"/>
      <c r="W317" s="57"/>
    </row>
    <row r="318" s="43" customFormat="true" ht="28.5" hidden="false" customHeight="false" outlineLevel="0" collapsed="false">
      <c r="A318" s="45"/>
      <c r="B318" s="168" t="s">
        <v>640</v>
      </c>
      <c r="C318" s="169" t="s">
        <v>641</v>
      </c>
      <c r="D318" s="178" t="n">
        <v>0.37</v>
      </c>
      <c r="E318" s="171"/>
      <c r="F318" s="172" t="n">
        <v>70</v>
      </c>
      <c r="G318" s="173" t="n">
        <f aca="false">F318*$G$296*$H$296</f>
        <v>648.0866</v>
      </c>
      <c r="H318" s="173" t="n">
        <f aca="false">G318*D318</f>
        <v>239.792042</v>
      </c>
      <c r="I318" s="72"/>
      <c r="J318" s="47"/>
      <c r="K318" s="72"/>
      <c r="L318" s="72"/>
      <c r="M318" s="72"/>
      <c r="N318" s="72"/>
      <c r="O318" s="72"/>
      <c r="P318" s="174"/>
      <c r="Q318" s="55"/>
      <c r="R318" s="174"/>
      <c r="S318" s="47"/>
      <c r="U318" s="57"/>
      <c r="V318" s="57"/>
      <c r="W318" s="57"/>
    </row>
    <row r="319" s="43" customFormat="true" ht="57.75" hidden="false" customHeight="false" outlineLevel="0" collapsed="false">
      <c r="A319" s="45"/>
      <c r="B319" s="181" t="s">
        <v>642</v>
      </c>
      <c r="C319" s="169" t="s">
        <v>618</v>
      </c>
      <c r="D319" s="179" t="n">
        <v>63.648</v>
      </c>
      <c r="E319" s="171"/>
      <c r="F319" s="172" t="n">
        <v>115.69</v>
      </c>
      <c r="G319" s="173" t="n">
        <f aca="false">F319*$G$296*$H$296</f>
        <v>1071.1019822</v>
      </c>
      <c r="H319" s="173" t="n">
        <f aca="false">G319*D319</f>
        <v>68173.4989630656</v>
      </c>
      <c r="I319" s="72"/>
      <c r="J319" s="47"/>
      <c r="K319" s="72"/>
      <c r="L319" s="72"/>
      <c r="M319" s="72"/>
      <c r="N319" s="72"/>
      <c r="O319" s="72"/>
      <c r="P319" s="174"/>
      <c r="Q319" s="55"/>
      <c r="R319" s="174"/>
      <c r="S319" s="47"/>
      <c r="U319" s="57"/>
      <c r="V319" s="57"/>
      <c r="W319" s="57"/>
    </row>
    <row r="320" s="43" customFormat="true" ht="57.75" hidden="false" customHeight="false" outlineLevel="0" collapsed="false">
      <c r="A320" s="45"/>
      <c r="B320" s="181" t="s">
        <v>643</v>
      </c>
      <c r="C320" s="169" t="s">
        <v>618</v>
      </c>
      <c r="D320" s="178" t="n">
        <v>98.21</v>
      </c>
      <c r="E320" s="171"/>
      <c r="F320" s="172" t="n">
        <v>115.69</v>
      </c>
      <c r="G320" s="173" t="n">
        <f aca="false">F320*$G$296*$H$296</f>
        <v>1071.1019822</v>
      </c>
      <c r="H320" s="173" t="n">
        <f aca="false">G320*D320</f>
        <v>105192.925671862</v>
      </c>
      <c r="I320" s="72"/>
      <c r="J320" s="47"/>
      <c r="K320" s="72"/>
      <c r="L320" s="72"/>
      <c r="M320" s="72"/>
      <c r="N320" s="72"/>
      <c r="O320" s="72"/>
      <c r="P320" s="174"/>
      <c r="Q320" s="55"/>
      <c r="R320" s="174"/>
      <c r="S320" s="47"/>
      <c r="U320" s="57"/>
      <c r="V320" s="57"/>
      <c r="W320" s="57"/>
    </row>
    <row r="321" s="43" customFormat="true" ht="28.5" hidden="false" customHeight="false" outlineLevel="0" collapsed="false">
      <c r="A321" s="45"/>
      <c r="B321" s="168" t="s">
        <v>644</v>
      </c>
      <c r="C321" s="169" t="s">
        <v>620</v>
      </c>
      <c r="D321" s="179" t="n">
        <v>0.124</v>
      </c>
      <c r="E321" s="171"/>
      <c r="F321" s="176" t="n">
        <v>41918.2</v>
      </c>
      <c r="G321" s="173" t="n">
        <f aca="false">F321*$G$296*$H$296</f>
        <v>388094.624516</v>
      </c>
      <c r="H321" s="173" t="n">
        <f aca="false">G321*D321</f>
        <v>48123.733439984</v>
      </c>
      <c r="I321" s="72"/>
      <c r="J321" s="47"/>
      <c r="K321" s="72"/>
      <c r="L321" s="72"/>
      <c r="M321" s="72"/>
      <c r="N321" s="72"/>
      <c r="O321" s="72"/>
      <c r="P321" s="174"/>
      <c r="Q321" s="55"/>
      <c r="R321" s="174"/>
      <c r="S321" s="47"/>
      <c r="U321" s="57"/>
      <c r="V321" s="57"/>
      <c r="W321" s="57"/>
    </row>
    <row r="322" s="43" customFormat="true" ht="28.5" hidden="false" customHeight="false" outlineLevel="0" collapsed="false">
      <c r="A322" s="45"/>
      <c r="B322" s="168" t="s">
        <v>645</v>
      </c>
      <c r="C322" s="169" t="s">
        <v>620</v>
      </c>
      <c r="D322" s="179" t="n">
        <v>0.364</v>
      </c>
      <c r="E322" s="171"/>
      <c r="F322" s="176" t="n">
        <v>41918.2</v>
      </c>
      <c r="G322" s="173" t="n">
        <f aca="false">F322*$G$296*$H$296</f>
        <v>388094.624516</v>
      </c>
      <c r="H322" s="173" t="n">
        <f aca="false">G322*D322</f>
        <v>141266.443323824</v>
      </c>
      <c r="I322" s="72"/>
      <c r="J322" s="47"/>
      <c r="K322" s="72"/>
      <c r="L322" s="72"/>
      <c r="M322" s="72"/>
      <c r="N322" s="72"/>
      <c r="O322" s="72"/>
      <c r="P322" s="174"/>
      <c r="Q322" s="55"/>
      <c r="R322" s="174"/>
      <c r="S322" s="47"/>
      <c r="U322" s="57"/>
      <c r="V322" s="57"/>
      <c r="W322" s="57"/>
    </row>
    <row r="323" s="43" customFormat="true" ht="28.5" hidden="false" customHeight="false" outlineLevel="0" collapsed="false">
      <c r="A323" s="45"/>
      <c r="B323" s="168" t="s">
        <v>646</v>
      </c>
      <c r="C323" s="169" t="s">
        <v>620</v>
      </c>
      <c r="D323" s="178" t="n">
        <v>0.24</v>
      </c>
      <c r="E323" s="171"/>
      <c r="F323" s="176" t="n">
        <v>41918.2</v>
      </c>
      <c r="G323" s="173" t="n">
        <f aca="false">F323*$G$296*$H$296</f>
        <v>388094.624516</v>
      </c>
      <c r="H323" s="173" t="n">
        <f aca="false">G323*D323</f>
        <v>93142.70988384</v>
      </c>
      <c r="I323" s="72"/>
      <c r="J323" s="47"/>
      <c r="K323" s="72"/>
      <c r="L323" s="72"/>
      <c r="M323" s="72"/>
      <c r="N323" s="72"/>
      <c r="O323" s="72"/>
      <c r="P323" s="174"/>
      <c r="Q323" s="55"/>
      <c r="R323" s="174"/>
      <c r="S323" s="47"/>
      <c r="U323" s="57"/>
      <c r="V323" s="57"/>
      <c r="W323" s="57"/>
    </row>
    <row r="324" s="43" customFormat="true" ht="15" hidden="false" customHeight="false" outlineLevel="0" collapsed="false">
      <c r="A324" s="45"/>
      <c r="B324" s="168" t="s">
        <v>647</v>
      </c>
      <c r="C324" s="169" t="s">
        <v>618</v>
      </c>
      <c r="D324" s="170" t="n">
        <v>1353</v>
      </c>
      <c r="E324" s="171"/>
      <c r="F324" s="172" t="n">
        <v>5.95</v>
      </c>
      <c r="G324" s="173" t="n">
        <f aca="false">F324*$G$296*$H$296</f>
        <v>55.087361</v>
      </c>
      <c r="H324" s="173" t="n">
        <f aca="false">G324*D324</f>
        <v>74533.199433</v>
      </c>
      <c r="I324" s="72"/>
      <c r="J324" s="47"/>
      <c r="K324" s="72"/>
      <c r="L324" s="72"/>
      <c r="M324" s="72"/>
      <c r="N324" s="72"/>
      <c r="O324" s="72"/>
      <c r="P324" s="174"/>
      <c r="Q324" s="55"/>
      <c r="R324" s="174"/>
      <c r="S324" s="47"/>
      <c r="U324" s="57"/>
      <c r="V324" s="57"/>
      <c r="W324" s="57"/>
    </row>
    <row r="325" s="43" customFormat="true" ht="28.5" hidden="false" customHeight="false" outlineLevel="0" collapsed="false">
      <c r="A325" s="45"/>
      <c r="B325" s="168" t="s">
        <v>648</v>
      </c>
      <c r="C325" s="169" t="s">
        <v>620</v>
      </c>
      <c r="D325" s="177" t="n">
        <v>0.1</v>
      </c>
      <c r="E325" s="171"/>
      <c r="F325" s="176" t="n">
        <v>6862.34</v>
      </c>
      <c r="G325" s="173" t="n">
        <f aca="false">F325*$G$296*$H$296</f>
        <v>63534.1514092</v>
      </c>
      <c r="H325" s="173" t="n">
        <f aca="false">G325*D325</f>
        <v>6353.41514092</v>
      </c>
      <c r="I325" s="72"/>
      <c r="J325" s="47"/>
      <c r="K325" s="72"/>
      <c r="L325" s="72"/>
      <c r="M325" s="72"/>
      <c r="N325" s="72"/>
      <c r="O325" s="72"/>
      <c r="P325" s="174"/>
      <c r="Q325" s="55"/>
      <c r="R325" s="174"/>
      <c r="S325" s="47"/>
      <c r="U325" s="57"/>
      <c r="V325" s="57"/>
      <c r="W325" s="57"/>
    </row>
    <row r="326" s="43" customFormat="true" ht="28.5" hidden="false" customHeight="false" outlineLevel="0" collapsed="false">
      <c r="A326" s="45"/>
      <c r="B326" s="168" t="s">
        <v>649</v>
      </c>
      <c r="C326" s="169" t="s">
        <v>620</v>
      </c>
      <c r="D326" s="178" t="n">
        <v>0.15</v>
      </c>
      <c r="E326" s="171"/>
      <c r="F326" s="176" t="n">
        <v>6782.85</v>
      </c>
      <c r="G326" s="173" t="n">
        <f aca="false">F326*$G$296*$H$296</f>
        <v>62798.202783</v>
      </c>
      <c r="H326" s="173" t="n">
        <f aca="false">G326*D326</f>
        <v>9419.73041745</v>
      </c>
      <c r="I326" s="72"/>
      <c r="J326" s="47"/>
      <c r="K326" s="72"/>
      <c r="L326" s="72"/>
      <c r="M326" s="72"/>
      <c r="N326" s="72"/>
      <c r="O326" s="72"/>
      <c r="P326" s="174"/>
      <c r="Q326" s="55"/>
      <c r="R326" s="174"/>
      <c r="S326" s="47"/>
      <c r="U326" s="57"/>
      <c r="V326" s="57"/>
      <c r="W326" s="57"/>
    </row>
    <row r="327" s="43" customFormat="true" ht="28.5" hidden="false" customHeight="false" outlineLevel="0" collapsed="false">
      <c r="A327" s="45"/>
      <c r="B327" s="168" t="s">
        <v>650</v>
      </c>
      <c r="C327" s="169" t="s">
        <v>620</v>
      </c>
      <c r="D327" s="177" t="n">
        <v>0.2</v>
      </c>
      <c r="E327" s="171"/>
      <c r="F327" s="176" t="n">
        <v>6778.67</v>
      </c>
      <c r="G327" s="173" t="n">
        <f aca="false">F327*$G$296*$H$296</f>
        <v>62759.5027546</v>
      </c>
      <c r="H327" s="173" t="n">
        <f aca="false">G327*D327</f>
        <v>12551.90055092</v>
      </c>
      <c r="I327" s="72"/>
      <c r="J327" s="47"/>
      <c r="K327" s="72"/>
      <c r="L327" s="72"/>
      <c r="M327" s="72"/>
      <c r="N327" s="72"/>
      <c r="O327" s="72"/>
      <c r="P327" s="174"/>
      <c r="Q327" s="55"/>
      <c r="R327" s="174"/>
      <c r="S327" s="47"/>
      <c r="U327" s="57"/>
      <c r="V327" s="57"/>
      <c r="W327" s="57"/>
    </row>
    <row r="328" s="43" customFormat="true" ht="28.5" hidden="false" customHeight="false" outlineLevel="0" collapsed="false">
      <c r="A328" s="45"/>
      <c r="B328" s="168" t="s">
        <v>651</v>
      </c>
      <c r="C328" s="169" t="s">
        <v>620</v>
      </c>
      <c r="D328" s="178" t="n">
        <v>0.25</v>
      </c>
      <c r="E328" s="171"/>
      <c r="F328" s="176" t="n">
        <v>6712.55</v>
      </c>
      <c r="G328" s="173" t="n">
        <f aca="false">F328*$G$296*$H$296</f>
        <v>62147.338669</v>
      </c>
      <c r="H328" s="173" t="n">
        <f aca="false">G328*D328</f>
        <v>15536.83466725</v>
      </c>
      <c r="I328" s="72"/>
      <c r="J328" s="47"/>
      <c r="K328" s="72"/>
      <c r="L328" s="72"/>
      <c r="M328" s="72"/>
      <c r="N328" s="72"/>
      <c r="O328" s="72"/>
      <c r="P328" s="174"/>
      <c r="Q328" s="55"/>
      <c r="R328" s="174"/>
      <c r="S328" s="47"/>
      <c r="U328" s="57"/>
      <c r="V328" s="57"/>
      <c r="W328" s="57"/>
    </row>
    <row r="329" s="43" customFormat="true" ht="28.5" hidden="false" customHeight="false" outlineLevel="0" collapsed="false">
      <c r="A329" s="45"/>
      <c r="B329" s="168" t="s">
        <v>652</v>
      </c>
      <c r="C329" s="169" t="s">
        <v>620</v>
      </c>
      <c r="D329" s="177" t="n">
        <v>0.4</v>
      </c>
      <c r="E329" s="171"/>
      <c r="F329" s="176" t="n">
        <v>6690.38</v>
      </c>
      <c r="G329" s="173" t="n">
        <f aca="false">F329*$G$296*$H$296</f>
        <v>61942.0803844</v>
      </c>
      <c r="H329" s="173" t="n">
        <f aca="false">G329*D329</f>
        <v>24776.83215376</v>
      </c>
      <c r="I329" s="72"/>
      <c r="J329" s="47"/>
      <c r="K329" s="72"/>
      <c r="L329" s="72"/>
      <c r="M329" s="72"/>
      <c r="N329" s="72"/>
      <c r="O329" s="72"/>
      <c r="P329" s="174"/>
      <c r="Q329" s="55"/>
      <c r="R329" s="174"/>
      <c r="S329" s="47"/>
      <c r="U329" s="57"/>
      <c r="V329" s="57"/>
      <c r="W329" s="57"/>
    </row>
    <row r="330" s="43" customFormat="true" ht="28.5" hidden="false" customHeight="false" outlineLevel="0" collapsed="false">
      <c r="A330" s="45"/>
      <c r="B330" s="168" t="s">
        <v>653</v>
      </c>
      <c r="C330" s="169" t="s">
        <v>620</v>
      </c>
      <c r="D330" s="177" t="n">
        <v>0.3</v>
      </c>
      <c r="E330" s="171"/>
      <c r="F330" s="176" t="n">
        <v>6691.21</v>
      </c>
      <c r="G330" s="173" t="n">
        <f aca="false">F330*$G$296*$H$296</f>
        <v>61949.7648398</v>
      </c>
      <c r="H330" s="173" t="n">
        <f aca="false">G330*D330</f>
        <v>18584.92945194</v>
      </c>
      <c r="I330" s="72"/>
      <c r="J330" s="47"/>
      <c r="K330" s="72"/>
      <c r="L330" s="72"/>
      <c r="M330" s="72"/>
      <c r="N330" s="72"/>
      <c r="O330" s="72"/>
      <c r="P330" s="174"/>
      <c r="Q330" s="55"/>
      <c r="R330" s="174"/>
      <c r="S330" s="47"/>
      <c r="U330" s="57"/>
      <c r="V330" s="57"/>
      <c r="W330" s="57"/>
    </row>
    <row r="331" s="43" customFormat="true" ht="42.75" hidden="false" customHeight="false" outlineLevel="0" collapsed="false">
      <c r="A331" s="45"/>
      <c r="B331" s="168" t="s">
        <v>654</v>
      </c>
      <c r="C331" s="169" t="s">
        <v>620</v>
      </c>
      <c r="D331" s="178" t="n">
        <v>0.59</v>
      </c>
      <c r="E331" s="171"/>
      <c r="F331" s="176" t="n">
        <v>6671.97</v>
      </c>
      <c r="G331" s="173" t="n">
        <f aca="false">F331*$G$296*$H$296</f>
        <v>61771.6336086</v>
      </c>
      <c r="H331" s="173" t="n">
        <f aca="false">G331*D331</f>
        <v>36445.263829074</v>
      </c>
      <c r="I331" s="72"/>
      <c r="J331" s="47"/>
      <c r="K331" s="72"/>
      <c r="L331" s="72"/>
      <c r="M331" s="72"/>
      <c r="N331" s="72"/>
      <c r="O331" s="72"/>
      <c r="P331" s="174"/>
      <c r="Q331" s="55"/>
      <c r="R331" s="174"/>
      <c r="S331" s="47"/>
      <c r="U331" s="57"/>
      <c r="V331" s="57"/>
      <c r="W331" s="57"/>
    </row>
    <row r="332" s="43" customFormat="true" ht="42.75" hidden="false" customHeight="false" outlineLevel="0" collapsed="false">
      <c r="A332" s="45"/>
      <c r="B332" s="168" t="s">
        <v>655</v>
      </c>
      <c r="C332" s="169" t="s">
        <v>620</v>
      </c>
      <c r="D332" s="178" t="n">
        <v>0.49</v>
      </c>
      <c r="E332" s="171"/>
      <c r="F332" s="176" t="n">
        <v>6671.97</v>
      </c>
      <c r="G332" s="173" t="n">
        <f aca="false">F332*$G$296*$H$296</f>
        <v>61771.6336086</v>
      </c>
      <c r="H332" s="173" t="n">
        <f aca="false">G332*D332</f>
        <v>30268.100468214</v>
      </c>
      <c r="I332" s="72"/>
      <c r="J332" s="47"/>
      <c r="K332" s="72"/>
      <c r="L332" s="72"/>
      <c r="M332" s="72"/>
      <c r="N332" s="72"/>
      <c r="O332" s="72"/>
      <c r="P332" s="174"/>
      <c r="Q332" s="55"/>
      <c r="R332" s="174"/>
      <c r="S332" s="47"/>
      <c r="U332" s="57"/>
      <c r="V332" s="57"/>
      <c r="W332" s="57"/>
    </row>
    <row r="333" s="43" customFormat="true" ht="28.5" hidden="false" customHeight="false" outlineLevel="0" collapsed="false">
      <c r="A333" s="45"/>
      <c r="B333" s="168" t="s">
        <v>656</v>
      </c>
      <c r="C333" s="169" t="s">
        <v>620</v>
      </c>
      <c r="D333" s="178" t="n">
        <v>0.05</v>
      </c>
      <c r="E333" s="171"/>
      <c r="F333" s="176" t="n">
        <v>7513.81</v>
      </c>
      <c r="G333" s="173" t="n">
        <f aca="false">F333*$G$296*$H$296</f>
        <v>69565.7082278</v>
      </c>
      <c r="H333" s="173" t="n">
        <f aca="false">G333*D333</f>
        <v>3478.28541139</v>
      </c>
      <c r="I333" s="72"/>
      <c r="J333" s="47"/>
      <c r="K333" s="72"/>
      <c r="L333" s="72"/>
      <c r="M333" s="72"/>
      <c r="N333" s="72"/>
      <c r="O333" s="72"/>
      <c r="P333" s="174"/>
      <c r="Q333" s="55"/>
      <c r="R333" s="174"/>
      <c r="S333" s="47"/>
      <c r="U333" s="57"/>
      <c r="V333" s="57"/>
      <c r="W333" s="57"/>
    </row>
    <row r="334" s="43" customFormat="true" ht="42.75" hidden="false" customHeight="false" outlineLevel="0" collapsed="false">
      <c r="A334" s="45"/>
      <c r="B334" s="168" t="s">
        <v>657</v>
      </c>
      <c r="C334" s="169" t="s">
        <v>620</v>
      </c>
      <c r="D334" s="179" t="n">
        <v>1.386</v>
      </c>
      <c r="E334" s="171"/>
      <c r="F334" s="176" t="n">
        <v>6100</v>
      </c>
      <c r="G334" s="173" t="n">
        <f aca="false">F334*$G$296*$H$296</f>
        <v>56476.118</v>
      </c>
      <c r="H334" s="173" t="n">
        <f aca="false">G334*D334</f>
        <v>78275.899548</v>
      </c>
      <c r="I334" s="72"/>
      <c r="J334" s="47"/>
      <c r="K334" s="72"/>
      <c r="L334" s="72"/>
      <c r="M334" s="72"/>
      <c r="N334" s="72"/>
      <c r="O334" s="72"/>
      <c r="P334" s="174"/>
      <c r="Q334" s="55"/>
      <c r="R334" s="174"/>
      <c r="S334" s="47"/>
      <c r="U334" s="57"/>
      <c r="V334" s="57"/>
      <c r="W334" s="57"/>
    </row>
    <row r="335" s="43" customFormat="true" ht="57" hidden="false" customHeight="false" outlineLevel="0" collapsed="false">
      <c r="A335" s="45"/>
      <c r="B335" s="168" t="s">
        <v>658</v>
      </c>
      <c r="C335" s="169" t="s">
        <v>620</v>
      </c>
      <c r="D335" s="175" t="n">
        <v>0.01092</v>
      </c>
      <c r="E335" s="171"/>
      <c r="F335" s="176" t="n">
        <v>6743.51</v>
      </c>
      <c r="G335" s="173" t="n">
        <f aca="false">F335*$G$296*$H$296</f>
        <v>62433.9781138</v>
      </c>
      <c r="H335" s="173" t="n">
        <f aca="false">G335*D335</f>
        <v>681.779041002696</v>
      </c>
      <c r="I335" s="72"/>
      <c r="J335" s="47"/>
      <c r="K335" s="72"/>
      <c r="L335" s="72"/>
      <c r="M335" s="72"/>
      <c r="N335" s="72"/>
      <c r="O335" s="72"/>
      <c r="P335" s="174"/>
      <c r="Q335" s="55"/>
      <c r="R335" s="174"/>
      <c r="S335" s="47"/>
      <c r="U335" s="57"/>
      <c r="V335" s="57"/>
      <c r="W335" s="57"/>
    </row>
    <row r="336" s="43" customFormat="true" ht="15" hidden="false" customHeight="false" outlineLevel="0" collapsed="false">
      <c r="A336" s="45"/>
      <c r="B336" s="168" t="s">
        <v>659</v>
      </c>
      <c r="C336" s="169" t="s">
        <v>616</v>
      </c>
      <c r="D336" s="177" t="n">
        <v>30.4</v>
      </c>
      <c r="E336" s="171"/>
      <c r="F336" s="172" t="n">
        <v>45</v>
      </c>
      <c r="G336" s="173" t="n">
        <f aca="false">F336*$G$296*$H$296</f>
        <v>416.6271</v>
      </c>
      <c r="H336" s="173" t="n">
        <f aca="false">G336*D336</f>
        <v>12665.46384</v>
      </c>
      <c r="I336" s="72"/>
      <c r="J336" s="47"/>
      <c r="K336" s="72"/>
      <c r="L336" s="72"/>
      <c r="M336" s="72"/>
      <c r="N336" s="72"/>
      <c r="O336" s="72"/>
      <c r="P336" s="174"/>
      <c r="Q336" s="55"/>
      <c r="R336" s="174"/>
      <c r="S336" s="47"/>
      <c r="U336" s="57"/>
      <c r="V336" s="57"/>
      <c r="W336" s="57"/>
    </row>
    <row r="337" s="43" customFormat="true" ht="15" hidden="false" customHeight="false" outlineLevel="0" collapsed="false">
      <c r="A337" s="45"/>
      <c r="B337" s="168" t="s">
        <v>660</v>
      </c>
      <c r="C337" s="169" t="s">
        <v>620</v>
      </c>
      <c r="D337" s="178" t="n">
        <v>0.04</v>
      </c>
      <c r="E337" s="171"/>
      <c r="F337" s="176" t="n">
        <v>40193.13</v>
      </c>
      <c r="G337" s="173" t="n">
        <f aca="false">F337*$G$296*$H$296</f>
        <v>372123.2709294</v>
      </c>
      <c r="H337" s="173" t="n">
        <f aca="false">G337*D337</f>
        <v>14884.930837176</v>
      </c>
      <c r="I337" s="72"/>
      <c r="J337" s="47"/>
      <c r="K337" s="72"/>
      <c r="L337" s="72"/>
      <c r="M337" s="72"/>
      <c r="N337" s="72"/>
      <c r="O337" s="72"/>
      <c r="P337" s="174"/>
      <c r="Q337" s="55"/>
      <c r="R337" s="174"/>
      <c r="S337" s="47"/>
      <c r="U337" s="57"/>
      <c r="V337" s="57"/>
      <c r="W337" s="57"/>
    </row>
    <row r="338" s="43" customFormat="true" ht="28.5" hidden="false" customHeight="false" outlineLevel="0" collapsed="false">
      <c r="A338" s="45"/>
      <c r="B338" s="168" t="s">
        <v>661</v>
      </c>
      <c r="C338" s="169" t="s">
        <v>616</v>
      </c>
      <c r="D338" s="170" t="n">
        <v>277</v>
      </c>
      <c r="E338" s="171"/>
      <c r="F338" s="172" t="n">
        <v>21.48</v>
      </c>
      <c r="G338" s="173" t="n">
        <f aca="false">F338*$G$296*$H$296</f>
        <v>198.8700024</v>
      </c>
      <c r="H338" s="173" t="n">
        <f aca="false">G338*D338</f>
        <v>55086.9906648</v>
      </c>
      <c r="I338" s="72"/>
      <c r="J338" s="47"/>
      <c r="K338" s="72"/>
      <c r="L338" s="72"/>
      <c r="M338" s="72"/>
      <c r="N338" s="72"/>
      <c r="O338" s="72"/>
      <c r="P338" s="174"/>
      <c r="Q338" s="55"/>
      <c r="R338" s="174"/>
      <c r="S338" s="47"/>
      <c r="U338" s="57"/>
      <c r="V338" s="57"/>
      <c r="W338" s="57"/>
    </row>
    <row r="339" s="43" customFormat="true" ht="28.5" hidden="false" customHeight="false" outlineLevel="0" collapsed="false">
      <c r="A339" s="45"/>
      <c r="B339" s="168" t="s">
        <v>662</v>
      </c>
      <c r="C339" s="169" t="s">
        <v>620</v>
      </c>
      <c r="D339" s="180" t="n">
        <v>0.015</v>
      </c>
      <c r="E339" s="171"/>
      <c r="F339" s="176" t="n">
        <v>14312.87</v>
      </c>
      <c r="G339" s="173" t="n">
        <f aca="false">F339*$G$296*$H$296</f>
        <v>132513.9893506</v>
      </c>
      <c r="H339" s="173" t="n">
        <f aca="false">G339*D339</f>
        <v>1987.709840259</v>
      </c>
      <c r="I339" s="72"/>
      <c r="J339" s="47"/>
      <c r="K339" s="72"/>
      <c r="L339" s="72"/>
      <c r="M339" s="72"/>
      <c r="N339" s="72"/>
      <c r="O339" s="72"/>
      <c r="P339" s="174"/>
      <c r="Q339" s="55"/>
      <c r="R339" s="174"/>
      <c r="S339" s="47"/>
      <c r="U339" s="57"/>
      <c r="V339" s="57"/>
      <c r="W339" s="57"/>
    </row>
    <row r="340" s="43" customFormat="true" ht="28.5" hidden="false" customHeight="false" outlineLevel="0" collapsed="false">
      <c r="A340" s="45"/>
      <c r="B340" s="168" t="s">
        <v>663</v>
      </c>
      <c r="C340" s="169" t="s">
        <v>616</v>
      </c>
      <c r="D340" s="177" t="n">
        <v>1.5</v>
      </c>
      <c r="E340" s="171"/>
      <c r="F340" s="172" t="n">
        <v>16.66</v>
      </c>
      <c r="G340" s="173" t="n">
        <f aca="false">F340*$G$296*$H$296</f>
        <v>154.2446108</v>
      </c>
      <c r="H340" s="173" t="n">
        <f aca="false">G340*D340</f>
        <v>231.3669162</v>
      </c>
      <c r="I340" s="72"/>
      <c r="J340" s="47"/>
      <c r="K340" s="72"/>
      <c r="L340" s="72"/>
      <c r="M340" s="72"/>
      <c r="N340" s="72"/>
      <c r="O340" s="72"/>
      <c r="P340" s="174"/>
      <c r="Q340" s="55"/>
      <c r="R340" s="174"/>
      <c r="S340" s="47"/>
      <c r="U340" s="57"/>
      <c r="V340" s="57"/>
      <c r="W340" s="57"/>
    </row>
    <row r="341" s="43" customFormat="true" ht="28.5" hidden="false" customHeight="false" outlineLevel="0" collapsed="false">
      <c r="A341" s="45"/>
      <c r="B341" s="168" t="s">
        <v>664</v>
      </c>
      <c r="C341" s="169" t="s">
        <v>616</v>
      </c>
      <c r="D341" s="177" t="n">
        <v>1.5</v>
      </c>
      <c r="E341" s="171"/>
      <c r="F341" s="172" t="n">
        <v>16.66</v>
      </c>
      <c r="G341" s="173" t="n">
        <f aca="false">F341*$G$296*$H$296</f>
        <v>154.2446108</v>
      </c>
      <c r="H341" s="173" t="n">
        <f aca="false">G341*D341</f>
        <v>231.3669162</v>
      </c>
      <c r="I341" s="72"/>
      <c r="J341" s="47"/>
      <c r="K341" s="72"/>
      <c r="L341" s="72"/>
      <c r="M341" s="72"/>
      <c r="N341" s="72"/>
      <c r="O341" s="72"/>
      <c r="P341" s="174"/>
      <c r="Q341" s="55"/>
      <c r="R341" s="174"/>
      <c r="S341" s="47"/>
      <c r="U341" s="57"/>
      <c r="V341" s="57"/>
      <c r="W341" s="57"/>
    </row>
    <row r="342" s="43" customFormat="true" ht="28.5" hidden="false" customHeight="false" outlineLevel="0" collapsed="false">
      <c r="A342" s="45"/>
      <c r="B342" s="168" t="s">
        <v>665</v>
      </c>
      <c r="C342" s="169" t="s">
        <v>616</v>
      </c>
      <c r="D342" s="170" t="n">
        <v>392</v>
      </c>
      <c r="E342" s="171"/>
      <c r="F342" s="172" t="n">
        <v>37.57</v>
      </c>
      <c r="G342" s="173" t="n">
        <f aca="false">F342*$G$296*$H$296</f>
        <v>347.8373366</v>
      </c>
      <c r="H342" s="173" t="n">
        <f aca="false">G342*D342</f>
        <v>136352.2359472</v>
      </c>
      <c r="I342" s="72"/>
      <c r="J342" s="47"/>
      <c r="K342" s="72"/>
      <c r="L342" s="72"/>
      <c r="M342" s="72"/>
      <c r="N342" s="72"/>
      <c r="O342" s="72"/>
      <c r="P342" s="174"/>
      <c r="Q342" s="55"/>
      <c r="R342" s="174"/>
      <c r="S342" s="47"/>
      <c r="U342" s="57"/>
      <c r="V342" s="57"/>
      <c r="W342" s="57"/>
    </row>
    <row r="343" s="43" customFormat="true" ht="15" hidden="false" customHeight="false" outlineLevel="0" collapsed="false">
      <c r="A343" s="45"/>
      <c r="B343" s="168" t="s">
        <v>666</v>
      </c>
      <c r="C343" s="169" t="s">
        <v>620</v>
      </c>
      <c r="D343" s="179" t="n">
        <v>0.119</v>
      </c>
      <c r="E343" s="171"/>
      <c r="F343" s="176" t="n">
        <v>7716.7</v>
      </c>
      <c r="G343" s="173" t="n">
        <f aca="false">F343*$G$296*$H$296</f>
        <v>71444.140946</v>
      </c>
      <c r="H343" s="173" t="n">
        <f aca="false">G343*D343</f>
        <v>8501.852772574</v>
      </c>
      <c r="I343" s="72"/>
      <c r="J343" s="47"/>
      <c r="K343" s="72"/>
      <c r="L343" s="72"/>
      <c r="M343" s="72"/>
      <c r="N343" s="72"/>
      <c r="O343" s="72"/>
      <c r="P343" s="174"/>
      <c r="Q343" s="55"/>
      <c r="R343" s="174"/>
      <c r="S343" s="47"/>
      <c r="U343" s="57"/>
      <c r="V343" s="57"/>
      <c r="W343" s="57"/>
    </row>
    <row r="344" s="43" customFormat="true" ht="15" hidden="false" customHeight="false" outlineLevel="0" collapsed="false">
      <c r="A344" s="45"/>
      <c r="B344" s="168" t="s">
        <v>667</v>
      </c>
      <c r="C344" s="169" t="s">
        <v>620</v>
      </c>
      <c r="D344" s="178" t="n">
        <v>0.06</v>
      </c>
      <c r="E344" s="171"/>
      <c r="F344" s="176" t="n">
        <v>9360</v>
      </c>
      <c r="G344" s="173" t="n">
        <f aca="false">F344*$G$296*$H$296</f>
        <v>86658.4368</v>
      </c>
      <c r="H344" s="173" t="n">
        <f aca="false">G344*D344</f>
        <v>5199.506208</v>
      </c>
      <c r="I344" s="72"/>
      <c r="J344" s="47"/>
      <c r="K344" s="72"/>
      <c r="L344" s="72"/>
      <c r="M344" s="72"/>
      <c r="N344" s="72"/>
      <c r="O344" s="72"/>
      <c r="P344" s="174"/>
      <c r="Q344" s="55"/>
      <c r="R344" s="174"/>
      <c r="S344" s="47"/>
      <c r="U344" s="57"/>
      <c r="V344" s="57"/>
      <c r="W344" s="57"/>
    </row>
    <row r="345" s="43" customFormat="true" ht="15" hidden="false" customHeight="false" outlineLevel="0" collapsed="false">
      <c r="A345" s="45"/>
      <c r="B345" s="168" t="s">
        <v>668</v>
      </c>
      <c r="C345" s="169" t="s">
        <v>616</v>
      </c>
      <c r="D345" s="170" t="n">
        <v>55</v>
      </c>
      <c r="E345" s="171"/>
      <c r="F345" s="172" t="n">
        <v>10.47</v>
      </c>
      <c r="G345" s="173" t="n">
        <f aca="false">F345*$G$296*$H$296</f>
        <v>96.9352386</v>
      </c>
      <c r="H345" s="173" t="n">
        <f aca="false">G345*D345</f>
        <v>5331.438123</v>
      </c>
      <c r="I345" s="72"/>
      <c r="J345" s="47"/>
      <c r="K345" s="72"/>
      <c r="L345" s="72"/>
      <c r="M345" s="72"/>
      <c r="N345" s="72"/>
      <c r="O345" s="72"/>
      <c r="P345" s="174"/>
      <c r="Q345" s="55"/>
      <c r="R345" s="174"/>
      <c r="S345" s="47"/>
      <c r="U345" s="57"/>
      <c r="V345" s="57"/>
      <c r="W345" s="57"/>
    </row>
    <row r="346" s="43" customFormat="true" ht="15" hidden="false" customHeight="false" outlineLevel="0" collapsed="false">
      <c r="A346" s="45"/>
      <c r="B346" s="168" t="s">
        <v>669</v>
      </c>
      <c r="C346" s="169" t="s">
        <v>620</v>
      </c>
      <c r="D346" s="175" t="n">
        <v>0.16652</v>
      </c>
      <c r="E346" s="171"/>
      <c r="F346" s="176" t="n">
        <v>14690</v>
      </c>
      <c r="G346" s="173" t="n">
        <f aca="false">F346*$G$296*$H$296</f>
        <v>136005.6022</v>
      </c>
      <c r="H346" s="173" t="n">
        <f aca="false">G346*D346</f>
        <v>22647.652878344</v>
      </c>
      <c r="I346" s="72"/>
      <c r="J346" s="47"/>
      <c r="K346" s="72"/>
      <c r="L346" s="72"/>
      <c r="M346" s="72"/>
      <c r="N346" s="72"/>
      <c r="O346" s="72"/>
      <c r="P346" s="174"/>
      <c r="Q346" s="55"/>
      <c r="R346" s="174"/>
      <c r="S346" s="47"/>
      <c r="U346" s="57"/>
      <c r="V346" s="57"/>
      <c r="W346" s="57"/>
    </row>
    <row r="347" s="43" customFormat="true" ht="28.5" hidden="false" customHeight="false" outlineLevel="0" collapsed="false">
      <c r="A347" s="45"/>
      <c r="B347" s="168" t="s">
        <v>670</v>
      </c>
      <c r="C347" s="169" t="s">
        <v>620</v>
      </c>
      <c r="D347" s="179" t="n">
        <v>0.004</v>
      </c>
      <c r="E347" s="171"/>
      <c r="F347" s="176" t="n">
        <v>53913.8</v>
      </c>
      <c r="G347" s="173" t="n">
        <f aca="false">F347*$G$296*$H$296</f>
        <v>499154.447644</v>
      </c>
      <c r="H347" s="173" t="n">
        <f aca="false">G347*D347</f>
        <v>1996.617790576</v>
      </c>
      <c r="I347" s="72"/>
      <c r="J347" s="47"/>
      <c r="K347" s="72"/>
      <c r="L347" s="72"/>
      <c r="M347" s="72"/>
      <c r="N347" s="72"/>
      <c r="O347" s="72"/>
      <c r="P347" s="174"/>
      <c r="Q347" s="55"/>
      <c r="R347" s="174"/>
      <c r="S347" s="47"/>
      <c r="U347" s="57"/>
      <c r="V347" s="57"/>
      <c r="W347" s="57"/>
    </row>
    <row r="348" s="43" customFormat="true" ht="28.5" hidden="false" customHeight="false" outlineLevel="0" collapsed="false">
      <c r="A348" s="45"/>
      <c r="B348" s="168" t="s">
        <v>671</v>
      </c>
      <c r="C348" s="169" t="s">
        <v>641</v>
      </c>
      <c r="D348" s="177" t="n">
        <v>1.6</v>
      </c>
      <c r="E348" s="171"/>
      <c r="F348" s="172" t="n">
        <v>69.89</v>
      </c>
      <c r="G348" s="173" t="n">
        <f aca="false">F348*$G$296*$H$296</f>
        <v>647.0681782</v>
      </c>
      <c r="H348" s="173" t="n">
        <f aca="false">G348*D348</f>
        <v>1035.30908512</v>
      </c>
      <c r="I348" s="72"/>
      <c r="J348" s="47"/>
      <c r="K348" s="72"/>
      <c r="L348" s="72"/>
      <c r="M348" s="72"/>
      <c r="N348" s="72"/>
      <c r="O348" s="72"/>
      <c r="P348" s="174"/>
      <c r="Q348" s="55"/>
      <c r="R348" s="174"/>
      <c r="S348" s="47"/>
      <c r="U348" s="57"/>
      <c r="V348" s="57"/>
      <c r="W348" s="57"/>
    </row>
    <row r="349" s="43" customFormat="true" ht="28.5" hidden="false" customHeight="false" outlineLevel="0" collapsed="false">
      <c r="A349" s="45"/>
      <c r="B349" s="168" t="s">
        <v>672</v>
      </c>
      <c r="C349" s="169" t="s">
        <v>641</v>
      </c>
      <c r="D349" s="177" t="n">
        <v>3.7</v>
      </c>
      <c r="E349" s="171"/>
      <c r="F349" s="172" t="n">
        <v>80</v>
      </c>
      <c r="G349" s="173" t="n">
        <f aca="false">F349*$G$296*$H$296</f>
        <v>740.6704</v>
      </c>
      <c r="H349" s="173" t="n">
        <f aca="false">G349*D349</f>
        <v>2740.48048</v>
      </c>
      <c r="I349" s="72"/>
      <c r="J349" s="47"/>
      <c r="K349" s="72"/>
      <c r="L349" s="72"/>
      <c r="M349" s="72"/>
      <c r="N349" s="72"/>
      <c r="O349" s="72"/>
      <c r="P349" s="174"/>
      <c r="Q349" s="55"/>
      <c r="R349" s="174"/>
      <c r="S349" s="47"/>
      <c r="U349" s="57"/>
      <c r="V349" s="57"/>
      <c r="W349" s="57"/>
    </row>
    <row r="350" s="43" customFormat="true" ht="28.5" hidden="false" customHeight="false" outlineLevel="0" collapsed="false">
      <c r="A350" s="45"/>
      <c r="B350" s="168" t="s">
        <v>673</v>
      </c>
      <c r="C350" s="169" t="s">
        <v>641</v>
      </c>
      <c r="D350" s="177" t="n">
        <v>0.6</v>
      </c>
      <c r="E350" s="171"/>
      <c r="F350" s="172" t="n">
        <v>91.52</v>
      </c>
      <c r="G350" s="173" t="n">
        <f aca="false">F350*$G$296*$H$296</f>
        <v>847.3269376</v>
      </c>
      <c r="H350" s="173" t="n">
        <f aca="false">G350*D350</f>
        <v>508.39616256</v>
      </c>
      <c r="I350" s="72"/>
      <c r="J350" s="47"/>
      <c r="K350" s="72"/>
      <c r="L350" s="72"/>
      <c r="M350" s="72"/>
      <c r="N350" s="72"/>
      <c r="O350" s="72"/>
      <c r="P350" s="174"/>
      <c r="Q350" s="55"/>
      <c r="R350" s="174"/>
      <c r="S350" s="47"/>
      <c r="U350" s="57"/>
      <c r="V350" s="57"/>
      <c r="W350" s="57"/>
    </row>
    <row r="351" s="43" customFormat="true" ht="28.5" hidden="false" customHeight="false" outlineLevel="0" collapsed="false">
      <c r="A351" s="45"/>
      <c r="B351" s="168" t="s">
        <v>674</v>
      </c>
      <c r="C351" s="169" t="s">
        <v>641</v>
      </c>
      <c r="D351" s="178" t="n">
        <v>0.14</v>
      </c>
      <c r="E351" s="171"/>
      <c r="F351" s="172" t="n">
        <v>118</v>
      </c>
      <c r="G351" s="173" t="n">
        <f aca="false">F351*$G$296*$H$296</f>
        <v>1092.48884</v>
      </c>
      <c r="H351" s="173" t="n">
        <f aca="false">G351*D351</f>
        <v>152.9484376</v>
      </c>
      <c r="I351" s="72"/>
      <c r="J351" s="47"/>
      <c r="K351" s="72"/>
      <c r="L351" s="72"/>
      <c r="M351" s="72"/>
      <c r="N351" s="72"/>
      <c r="O351" s="72"/>
      <c r="P351" s="174"/>
      <c r="Q351" s="55"/>
      <c r="R351" s="174"/>
      <c r="S351" s="47"/>
      <c r="U351" s="57"/>
      <c r="V351" s="57"/>
      <c r="W351" s="57"/>
    </row>
    <row r="352" s="43" customFormat="true" ht="28.5" hidden="false" customHeight="false" outlineLevel="0" collapsed="false">
      <c r="A352" s="45"/>
      <c r="B352" s="168" t="s">
        <v>675</v>
      </c>
      <c r="C352" s="169" t="s">
        <v>641</v>
      </c>
      <c r="D352" s="178" t="n">
        <v>0.88</v>
      </c>
      <c r="E352" s="171"/>
      <c r="F352" s="172" t="n">
        <v>231</v>
      </c>
      <c r="G352" s="173" t="n">
        <f aca="false">F352*$G$296*$H$296</f>
        <v>2138.68578</v>
      </c>
      <c r="H352" s="173" t="n">
        <f aca="false">G352*D352</f>
        <v>1882.0434864</v>
      </c>
      <c r="I352" s="72"/>
      <c r="J352" s="47"/>
      <c r="K352" s="72"/>
      <c r="L352" s="72"/>
      <c r="M352" s="72"/>
      <c r="N352" s="72"/>
      <c r="O352" s="72"/>
      <c r="P352" s="174"/>
      <c r="Q352" s="55"/>
      <c r="R352" s="174"/>
      <c r="S352" s="47"/>
      <c r="U352" s="57"/>
      <c r="V352" s="57"/>
      <c r="W352" s="57"/>
    </row>
    <row r="353" s="43" customFormat="true" ht="28.5" hidden="false" customHeight="false" outlineLevel="0" collapsed="false">
      <c r="A353" s="45"/>
      <c r="B353" s="168" t="s">
        <v>676</v>
      </c>
      <c r="C353" s="169" t="s">
        <v>641</v>
      </c>
      <c r="D353" s="177" t="n">
        <v>0.1</v>
      </c>
      <c r="E353" s="171"/>
      <c r="F353" s="172" t="n">
        <v>231</v>
      </c>
      <c r="G353" s="173" t="n">
        <f aca="false">F353*$G$296*$H$296</f>
        <v>2138.68578</v>
      </c>
      <c r="H353" s="173" t="n">
        <f aca="false">G353*D353</f>
        <v>213.868578</v>
      </c>
      <c r="I353" s="72"/>
      <c r="J353" s="47"/>
      <c r="K353" s="72"/>
      <c r="L353" s="72"/>
      <c r="M353" s="72"/>
      <c r="N353" s="72"/>
      <c r="O353" s="72"/>
      <c r="P353" s="174"/>
      <c r="Q353" s="55"/>
      <c r="R353" s="174"/>
      <c r="S353" s="47"/>
      <c r="U353" s="57"/>
      <c r="V353" s="57"/>
      <c r="W353" s="57"/>
    </row>
    <row r="354" s="43" customFormat="true" ht="42.75" hidden="false" customHeight="false" outlineLevel="0" collapsed="false">
      <c r="A354" s="45"/>
      <c r="B354" s="168" t="s">
        <v>677</v>
      </c>
      <c r="C354" s="169" t="s">
        <v>641</v>
      </c>
      <c r="D354" s="178" t="n">
        <v>0.01</v>
      </c>
      <c r="E354" s="171"/>
      <c r="F354" s="176" t="n">
        <v>3279</v>
      </c>
      <c r="G354" s="173" t="n">
        <f aca="false">F354*$G$296*$H$296</f>
        <v>30358.22802</v>
      </c>
      <c r="H354" s="173" t="n">
        <f aca="false">G354*D354</f>
        <v>303.5822802</v>
      </c>
      <c r="I354" s="72"/>
      <c r="J354" s="47"/>
      <c r="K354" s="72"/>
      <c r="L354" s="72"/>
      <c r="M354" s="72"/>
      <c r="N354" s="72"/>
      <c r="O354" s="72"/>
      <c r="P354" s="174"/>
      <c r="Q354" s="55"/>
      <c r="R354" s="174"/>
      <c r="S354" s="47"/>
      <c r="U354" s="57"/>
      <c r="V354" s="57"/>
      <c r="W354" s="57"/>
    </row>
    <row r="355" s="43" customFormat="true" ht="28.5" hidden="false" customHeight="false" outlineLevel="0" collapsed="false">
      <c r="A355" s="45"/>
      <c r="B355" s="168" t="s">
        <v>678</v>
      </c>
      <c r="C355" s="169" t="s">
        <v>679</v>
      </c>
      <c r="D355" s="170" t="n">
        <v>3</v>
      </c>
      <c r="E355" s="171"/>
      <c r="F355" s="172" t="n">
        <v>578.33</v>
      </c>
      <c r="G355" s="173" t="n">
        <f aca="false">F355*$G$296*$H$296</f>
        <v>5354.3989054</v>
      </c>
      <c r="H355" s="173" t="n">
        <f aca="false">G355*D355</f>
        <v>16063.1967162</v>
      </c>
      <c r="I355" s="72"/>
      <c r="J355" s="47"/>
      <c r="K355" s="72"/>
      <c r="L355" s="72"/>
      <c r="M355" s="72"/>
      <c r="N355" s="72"/>
      <c r="O355" s="72"/>
      <c r="P355" s="174"/>
      <c r="Q355" s="55"/>
      <c r="R355" s="174"/>
      <c r="S355" s="47"/>
      <c r="U355" s="57"/>
      <c r="V355" s="57"/>
      <c r="W355" s="57"/>
    </row>
    <row r="356" s="43" customFormat="true" ht="71.25" hidden="false" customHeight="false" outlineLevel="0" collapsed="false">
      <c r="A356" s="45"/>
      <c r="B356" s="168" t="s">
        <v>680</v>
      </c>
      <c r="C356" s="169" t="s">
        <v>681</v>
      </c>
      <c r="D356" s="177" t="n">
        <v>4.5</v>
      </c>
      <c r="E356" s="171"/>
      <c r="F356" s="172" t="n">
        <v>65.4</v>
      </c>
      <c r="G356" s="173" t="n">
        <f aca="false">F356*$G$296*$H$296</f>
        <v>605.498052</v>
      </c>
      <c r="H356" s="173" t="n">
        <f aca="false">G356*D356</f>
        <v>2724.741234</v>
      </c>
      <c r="I356" s="72"/>
      <c r="J356" s="47"/>
      <c r="K356" s="72"/>
      <c r="L356" s="72"/>
      <c r="M356" s="72"/>
      <c r="N356" s="72"/>
      <c r="O356" s="72"/>
      <c r="P356" s="174"/>
      <c r="Q356" s="55"/>
      <c r="R356" s="174"/>
      <c r="S356" s="47"/>
      <c r="U356" s="57"/>
      <c r="V356" s="57"/>
      <c r="W356" s="57"/>
    </row>
    <row r="357" s="43" customFormat="true" ht="42.75" hidden="false" customHeight="false" outlineLevel="0" collapsed="false">
      <c r="A357" s="45"/>
      <c r="B357" s="168" t="s">
        <v>682</v>
      </c>
      <c r="C357" s="169" t="s">
        <v>681</v>
      </c>
      <c r="D357" s="177" t="n">
        <v>0.5</v>
      </c>
      <c r="E357" s="171"/>
      <c r="F357" s="172" t="n">
        <v>130.1</v>
      </c>
      <c r="G357" s="173" t="n">
        <f aca="false">F357*$G$296*$H$296</f>
        <v>1204.515238</v>
      </c>
      <c r="H357" s="173" t="n">
        <f aca="false">G357*D357</f>
        <v>602.257619</v>
      </c>
      <c r="I357" s="72"/>
      <c r="J357" s="47"/>
      <c r="K357" s="72"/>
      <c r="L357" s="72"/>
      <c r="M357" s="72"/>
      <c r="N357" s="72"/>
      <c r="O357" s="72"/>
      <c r="P357" s="174"/>
      <c r="Q357" s="55"/>
      <c r="R357" s="174"/>
      <c r="S357" s="47"/>
      <c r="U357" s="57"/>
      <c r="V357" s="57"/>
      <c r="W357" s="57"/>
    </row>
    <row r="358" s="43" customFormat="true" ht="85.5" hidden="false" customHeight="false" outlineLevel="0" collapsed="false">
      <c r="A358" s="45"/>
      <c r="B358" s="168" t="s">
        <v>683</v>
      </c>
      <c r="C358" s="169" t="s">
        <v>535</v>
      </c>
      <c r="D358" s="178" t="n">
        <v>0.39</v>
      </c>
      <c r="E358" s="171"/>
      <c r="F358" s="176" t="n">
        <v>10960.87</v>
      </c>
      <c r="G358" s="173" t="n">
        <f aca="false">F358*$G$296*$H$296</f>
        <v>101479.8995906</v>
      </c>
      <c r="H358" s="173" t="n">
        <f aca="false">G358*D358</f>
        <v>39577.160840334</v>
      </c>
      <c r="I358" s="72"/>
      <c r="J358" s="47"/>
      <c r="K358" s="72"/>
      <c r="L358" s="72"/>
      <c r="M358" s="72"/>
      <c r="N358" s="72"/>
      <c r="O358" s="72"/>
      <c r="P358" s="174"/>
      <c r="Q358" s="55"/>
      <c r="R358" s="174"/>
      <c r="S358" s="47"/>
      <c r="U358" s="57"/>
      <c r="V358" s="57"/>
      <c r="W358" s="57"/>
    </row>
    <row r="359" s="43" customFormat="true" ht="85.5" hidden="false" customHeight="false" outlineLevel="0" collapsed="false">
      <c r="A359" s="45"/>
      <c r="B359" s="168" t="s">
        <v>684</v>
      </c>
      <c r="C359" s="169" t="s">
        <v>535</v>
      </c>
      <c r="D359" s="179" t="n">
        <v>0.075</v>
      </c>
      <c r="E359" s="171"/>
      <c r="F359" s="176" t="n">
        <v>14498.24</v>
      </c>
      <c r="G359" s="173" t="n">
        <f aca="false">F359*$G$296*$H$296</f>
        <v>134230.2152512</v>
      </c>
      <c r="H359" s="173" t="n">
        <f aca="false">G359*D359</f>
        <v>10067.26614384</v>
      </c>
      <c r="I359" s="72"/>
      <c r="J359" s="47"/>
      <c r="K359" s="72"/>
      <c r="L359" s="72"/>
      <c r="M359" s="72"/>
      <c r="N359" s="72"/>
      <c r="O359" s="72"/>
      <c r="P359" s="174"/>
      <c r="Q359" s="55"/>
      <c r="R359" s="174"/>
      <c r="S359" s="47"/>
      <c r="U359" s="57"/>
      <c r="V359" s="57"/>
      <c r="W359" s="57"/>
    </row>
    <row r="360" s="43" customFormat="true" ht="85.5" hidden="false" customHeight="false" outlineLevel="0" collapsed="false">
      <c r="A360" s="45"/>
      <c r="B360" s="168" t="s">
        <v>685</v>
      </c>
      <c r="C360" s="169" t="s">
        <v>535</v>
      </c>
      <c r="D360" s="179" t="n">
        <v>0.075</v>
      </c>
      <c r="E360" s="171"/>
      <c r="F360" s="176" t="n">
        <v>14498.24</v>
      </c>
      <c r="G360" s="173" t="n">
        <f aca="false">F360*$G$296*$H$296</f>
        <v>134230.2152512</v>
      </c>
      <c r="H360" s="173" t="n">
        <f aca="false">G360*D360</f>
        <v>10067.26614384</v>
      </c>
      <c r="I360" s="72"/>
      <c r="J360" s="47"/>
      <c r="K360" s="72"/>
      <c r="L360" s="72"/>
      <c r="M360" s="72"/>
      <c r="N360" s="72"/>
      <c r="O360" s="72"/>
      <c r="P360" s="174"/>
      <c r="Q360" s="55"/>
      <c r="R360" s="174"/>
      <c r="S360" s="47"/>
      <c r="U360" s="57"/>
      <c r="V360" s="57"/>
      <c r="W360" s="57"/>
    </row>
    <row r="361" s="43" customFormat="true" ht="99.75" hidden="false" customHeight="false" outlineLevel="0" collapsed="false">
      <c r="A361" s="45"/>
      <c r="B361" s="168" t="s">
        <v>686</v>
      </c>
      <c r="C361" s="169" t="s">
        <v>535</v>
      </c>
      <c r="D361" s="178" t="n">
        <v>0.05</v>
      </c>
      <c r="E361" s="171"/>
      <c r="F361" s="176" t="n">
        <v>13169.99</v>
      </c>
      <c r="G361" s="173" t="n">
        <f aca="false">F361*$G$296*$H$296</f>
        <v>121932.7720162</v>
      </c>
      <c r="H361" s="173" t="n">
        <f aca="false">G361*D361</f>
        <v>6096.63860081</v>
      </c>
      <c r="I361" s="72"/>
      <c r="J361" s="47"/>
      <c r="K361" s="72"/>
      <c r="L361" s="72"/>
      <c r="M361" s="72"/>
      <c r="N361" s="72"/>
      <c r="O361" s="72"/>
      <c r="P361" s="174"/>
      <c r="Q361" s="55"/>
      <c r="R361" s="174"/>
      <c r="S361" s="47"/>
      <c r="U361" s="57"/>
      <c r="V361" s="57"/>
      <c r="W361" s="57"/>
    </row>
    <row r="362" s="43" customFormat="true" ht="99.75" hidden="false" customHeight="false" outlineLevel="0" collapsed="false">
      <c r="A362" s="45"/>
      <c r="B362" s="168" t="s">
        <v>687</v>
      </c>
      <c r="C362" s="169" t="s">
        <v>535</v>
      </c>
      <c r="D362" s="177" t="n">
        <v>0.1</v>
      </c>
      <c r="E362" s="171"/>
      <c r="F362" s="176" t="n">
        <v>17706.44</v>
      </c>
      <c r="G362" s="173" t="n">
        <f aca="false">F362*$G$296*$H$296</f>
        <v>163932.9499672</v>
      </c>
      <c r="H362" s="173" t="n">
        <f aca="false">G362*D362</f>
        <v>16393.29499672</v>
      </c>
      <c r="I362" s="72"/>
      <c r="J362" s="47"/>
      <c r="K362" s="72"/>
      <c r="L362" s="72"/>
      <c r="M362" s="72"/>
      <c r="N362" s="72"/>
      <c r="O362" s="72"/>
      <c r="P362" s="174"/>
      <c r="Q362" s="55"/>
      <c r="R362" s="174"/>
      <c r="S362" s="47"/>
      <c r="U362" s="57"/>
      <c r="V362" s="57"/>
      <c r="W362" s="57"/>
    </row>
    <row r="363" s="43" customFormat="true" ht="28.5" hidden="false" customHeight="false" outlineLevel="0" collapsed="false">
      <c r="A363" s="45"/>
      <c r="B363" s="168" t="s">
        <v>688</v>
      </c>
      <c r="C363" s="169" t="s">
        <v>535</v>
      </c>
      <c r="D363" s="178" t="n">
        <v>0.05</v>
      </c>
      <c r="E363" s="171"/>
      <c r="F363" s="176" t="n">
        <v>26301.07</v>
      </c>
      <c r="G363" s="173" t="n">
        <f aca="false">F363*$G$296*$H$296</f>
        <v>243505.3004666</v>
      </c>
      <c r="H363" s="173" t="n">
        <f aca="false">G363*D363</f>
        <v>12175.26502333</v>
      </c>
      <c r="I363" s="72"/>
      <c r="J363" s="47"/>
      <c r="K363" s="72"/>
      <c r="L363" s="72"/>
      <c r="M363" s="72"/>
      <c r="N363" s="72"/>
      <c r="O363" s="72"/>
      <c r="P363" s="174"/>
      <c r="Q363" s="55"/>
      <c r="R363" s="174"/>
      <c r="S363" s="47"/>
      <c r="U363" s="57"/>
      <c r="V363" s="57"/>
      <c r="W363" s="57"/>
    </row>
    <row r="364" s="43" customFormat="true" ht="28.5" hidden="false" customHeight="false" outlineLevel="0" collapsed="false">
      <c r="A364" s="45"/>
      <c r="B364" s="168" t="s">
        <v>689</v>
      </c>
      <c r="C364" s="169" t="s">
        <v>535</v>
      </c>
      <c r="D364" s="179" t="n">
        <v>0.012</v>
      </c>
      <c r="E364" s="171"/>
      <c r="F364" s="176" t="n">
        <v>15576.85</v>
      </c>
      <c r="G364" s="173" t="n">
        <f aca="false">F364*$G$296*$H$296</f>
        <v>144216.396503</v>
      </c>
      <c r="H364" s="173" t="n">
        <f aca="false">G364*D364</f>
        <v>1730.596758036</v>
      </c>
      <c r="I364" s="72"/>
      <c r="J364" s="47"/>
      <c r="K364" s="72"/>
      <c r="L364" s="72"/>
      <c r="M364" s="72"/>
      <c r="N364" s="72"/>
      <c r="O364" s="72"/>
      <c r="P364" s="174"/>
      <c r="Q364" s="55"/>
      <c r="R364" s="174"/>
      <c r="S364" s="47"/>
      <c r="U364" s="57"/>
      <c r="V364" s="57"/>
      <c r="W364" s="57"/>
    </row>
    <row r="365" s="43" customFormat="true" ht="28.5" hidden="false" customHeight="false" outlineLevel="0" collapsed="false">
      <c r="A365" s="45"/>
      <c r="B365" s="168" t="s">
        <v>690</v>
      </c>
      <c r="C365" s="169" t="s">
        <v>535</v>
      </c>
      <c r="D365" s="177" t="n">
        <v>0.5</v>
      </c>
      <c r="E365" s="171"/>
      <c r="F365" s="176" t="n">
        <v>21256.79</v>
      </c>
      <c r="G365" s="173" t="n">
        <f aca="false">F365*$G$296*$H$296</f>
        <v>196803.4394002</v>
      </c>
      <c r="H365" s="173" t="n">
        <f aca="false">G365*D365</f>
        <v>98401.7197001</v>
      </c>
      <c r="I365" s="72"/>
      <c r="J365" s="47"/>
      <c r="K365" s="72"/>
      <c r="L365" s="72"/>
      <c r="M365" s="72"/>
      <c r="N365" s="72"/>
      <c r="O365" s="72"/>
      <c r="P365" s="174"/>
      <c r="Q365" s="55"/>
      <c r="R365" s="174"/>
      <c r="S365" s="47"/>
      <c r="U365" s="57"/>
      <c r="V365" s="57"/>
      <c r="W365" s="57"/>
    </row>
    <row r="366" s="43" customFormat="true" ht="85.5" hidden="false" customHeight="false" outlineLevel="0" collapsed="false">
      <c r="A366" s="45"/>
      <c r="B366" s="168" t="s">
        <v>691</v>
      </c>
      <c r="C366" s="169" t="s">
        <v>535</v>
      </c>
      <c r="D366" s="178" t="n">
        <v>0.13</v>
      </c>
      <c r="E366" s="171"/>
      <c r="F366" s="176" t="n">
        <v>23221.78</v>
      </c>
      <c r="G366" s="173" t="n">
        <f aca="false">F366*$G$296*$H$296</f>
        <v>214996.0635164</v>
      </c>
      <c r="H366" s="173" t="n">
        <f aca="false">G366*D366</f>
        <v>27949.488257132</v>
      </c>
      <c r="I366" s="72"/>
      <c r="J366" s="47"/>
      <c r="K366" s="72"/>
      <c r="L366" s="72"/>
      <c r="M366" s="72"/>
      <c r="N366" s="72"/>
      <c r="O366" s="72"/>
      <c r="P366" s="174"/>
      <c r="Q366" s="55"/>
      <c r="R366" s="174"/>
      <c r="S366" s="47"/>
      <c r="U366" s="57"/>
      <c r="V366" s="57"/>
      <c r="W366" s="57"/>
    </row>
    <row r="367" s="43" customFormat="true" ht="71.25" hidden="false" customHeight="false" outlineLevel="0" collapsed="false">
      <c r="A367" s="45"/>
      <c r="B367" s="168" t="s">
        <v>692</v>
      </c>
      <c r="C367" s="169" t="s">
        <v>392</v>
      </c>
      <c r="D367" s="170" t="n">
        <v>56</v>
      </c>
      <c r="E367" s="171"/>
      <c r="F367" s="172" t="n">
        <v>26.5</v>
      </c>
      <c r="G367" s="173" t="n">
        <f aca="false">F367*$G$296*$H$296</f>
        <v>245.34707</v>
      </c>
      <c r="H367" s="173" t="n">
        <f aca="false">G367*D367</f>
        <v>13739.43592</v>
      </c>
      <c r="I367" s="72"/>
      <c r="J367" s="47"/>
      <c r="K367" s="72"/>
      <c r="L367" s="72"/>
      <c r="M367" s="72"/>
      <c r="N367" s="72"/>
      <c r="O367" s="72"/>
      <c r="P367" s="174"/>
      <c r="Q367" s="55"/>
      <c r="R367" s="174"/>
      <c r="S367" s="47"/>
      <c r="U367" s="57"/>
      <c r="V367" s="57"/>
      <c r="W367" s="57"/>
    </row>
    <row r="368" s="43" customFormat="true" ht="42.75" hidden="false" customHeight="false" outlineLevel="0" collapsed="false">
      <c r="A368" s="45"/>
      <c r="B368" s="168" t="s">
        <v>693</v>
      </c>
      <c r="C368" s="169" t="s">
        <v>392</v>
      </c>
      <c r="D368" s="170" t="n">
        <v>10</v>
      </c>
      <c r="E368" s="171"/>
      <c r="F368" s="172" t="n">
        <v>1.86</v>
      </c>
      <c r="G368" s="173" t="n">
        <f aca="false">F368*$G$296*$H$296</f>
        <v>17.2205868</v>
      </c>
      <c r="H368" s="173" t="n">
        <f aca="false">G368*D368</f>
        <v>172.205868</v>
      </c>
      <c r="I368" s="72"/>
      <c r="J368" s="47"/>
      <c r="K368" s="72"/>
      <c r="L368" s="72"/>
      <c r="M368" s="72"/>
      <c r="N368" s="72"/>
      <c r="O368" s="72"/>
      <c r="P368" s="174"/>
      <c r="Q368" s="55"/>
      <c r="R368" s="174"/>
      <c r="S368" s="47"/>
      <c r="U368" s="57"/>
      <c r="V368" s="57"/>
      <c r="W368" s="57"/>
    </row>
    <row r="369" s="43" customFormat="true" ht="42.75" hidden="false" customHeight="false" outlineLevel="0" collapsed="false">
      <c r="A369" s="45"/>
      <c r="B369" s="168" t="s">
        <v>694</v>
      </c>
      <c r="C369" s="169" t="s">
        <v>392</v>
      </c>
      <c r="D369" s="170" t="n">
        <v>10</v>
      </c>
      <c r="E369" s="171"/>
      <c r="F369" s="172" t="n">
        <v>2.78</v>
      </c>
      <c r="G369" s="173" t="n">
        <f aca="false">F369*$G$296*$H$296</f>
        <v>25.7382964</v>
      </c>
      <c r="H369" s="173" t="n">
        <f aca="false">G369*D369</f>
        <v>257.382964</v>
      </c>
      <c r="I369" s="72"/>
      <c r="J369" s="47"/>
      <c r="K369" s="72"/>
      <c r="L369" s="72"/>
      <c r="M369" s="72"/>
      <c r="N369" s="72"/>
      <c r="O369" s="72"/>
      <c r="P369" s="174"/>
      <c r="Q369" s="55"/>
      <c r="R369" s="174"/>
      <c r="S369" s="47"/>
      <c r="U369" s="57"/>
      <c r="V369" s="57"/>
      <c r="W369" s="57"/>
    </row>
    <row r="370" s="43" customFormat="true" ht="71.25" hidden="false" customHeight="false" outlineLevel="0" collapsed="false">
      <c r="A370" s="45"/>
      <c r="B370" s="168" t="s">
        <v>695</v>
      </c>
      <c r="C370" s="169" t="s">
        <v>679</v>
      </c>
      <c r="D370" s="170" t="n">
        <v>4</v>
      </c>
      <c r="E370" s="171"/>
      <c r="F370" s="172" t="n">
        <v>24.82</v>
      </c>
      <c r="G370" s="173" t="n">
        <f aca="false">F370*$G$296*$H$296</f>
        <v>229.7929916</v>
      </c>
      <c r="H370" s="173" t="n">
        <f aca="false">G370*D370</f>
        <v>919.1719664</v>
      </c>
      <c r="I370" s="72"/>
      <c r="J370" s="47"/>
      <c r="K370" s="72"/>
      <c r="L370" s="72"/>
      <c r="M370" s="72"/>
      <c r="N370" s="72"/>
      <c r="O370" s="72"/>
      <c r="P370" s="174"/>
      <c r="Q370" s="55"/>
      <c r="R370" s="174"/>
      <c r="S370" s="47"/>
      <c r="U370" s="57"/>
      <c r="V370" s="57"/>
      <c r="W370" s="57"/>
    </row>
    <row r="371" s="14" customFormat="true" ht="16.5" hidden="false" customHeight="true" outlineLevel="0" collapsed="false">
      <c r="A371" s="182"/>
      <c r="B371" s="183"/>
      <c r="C371" s="183"/>
      <c r="D371" s="183"/>
      <c r="E371" s="184"/>
      <c r="F371" s="183"/>
      <c r="G371" s="183"/>
      <c r="H371" s="183"/>
      <c r="I371" s="183"/>
      <c r="J371" s="185"/>
      <c r="K371" s="182"/>
      <c r="L371" s="182"/>
      <c r="M371" s="182"/>
      <c r="N371" s="182"/>
      <c r="O371" s="182"/>
      <c r="P371" s="182"/>
      <c r="Q371" s="182"/>
      <c r="R371" s="182"/>
      <c r="S371" s="182"/>
      <c r="U371" s="119"/>
    </row>
    <row r="372" s="1" customFormat="true" ht="14.25" hidden="false" customHeight="false" outlineLevel="0" collapsed="false">
      <c r="B372" s="186"/>
      <c r="C372" s="113"/>
      <c r="D372" s="113"/>
      <c r="E372" s="187"/>
      <c r="F372" s="188"/>
      <c r="U372" s="113"/>
    </row>
    <row r="373" s="1" customFormat="true" ht="14.25" hidden="false" customHeight="false" outlineLevel="0" collapsed="false">
      <c r="B373" s="186"/>
      <c r="C373" s="113"/>
      <c r="D373" s="113"/>
      <c r="E373" s="187"/>
      <c r="F373" s="188"/>
      <c r="U373" s="113"/>
    </row>
    <row r="374" s="1" customFormat="true" ht="14.25" hidden="false" customHeight="false" outlineLevel="0" collapsed="false">
      <c r="B374" s="186"/>
      <c r="C374" s="113"/>
      <c r="D374" s="113"/>
      <c r="E374" s="187"/>
      <c r="U374" s="113"/>
    </row>
    <row r="375" s="1" customFormat="true" ht="14.25" hidden="false" customHeight="false" outlineLevel="0" collapsed="false">
      <c r="B375" s="186"/>
      <c r="C375" s="113"/>
      <c r="D375" s="113"/>
      <c r="E375" s="187"/>
      <c r="U375" s="113"/>
    </row>
    <row r="376" s="1" customFormat="true" ht="14.25" hidden="false" customHeight="false" outlineLevel="0" collapsed="false">
      <c r="B376" s="186"/>
      <c r="C376" s="113"/>
      <c r="D376" s="113"/>
      <c r="E376" s="187"/>
      <c r="U376" s="113"/>
    </row>
    <row r="377" s="1" customFormat="true" ht="14.25" hidden="false" customHeight="false" outlineLevel="0" collapsed="false">
      <c r="B377" s="186"/>
      <c r="C377" s="113"/>
      <c r="D377" s="113"/>
      <c r="E377" s="187"/>
      <c r="U377" s="113"/>
    </row>
    <row r="378" s="1" customFormat="true" ht="14.25" hidden="false" customHeight="false" outlineLevel="0" collapsed="false">
      <c r="B378" s="186"/>
      <c r="C378" s="113"/>
      <c r="D378" s="113"/>
      <c r="E378" s="187"/>
      <c r="U378" s="113"/>
    </row>
    <row r="379" s="1" customFormat="true" ht="14.25" hidden="false" customHeight="false" outlineLevel="0" collapsed="false">
      <c r="B379" s="186"/>
      <c r="C379" s="113"/>
      <c r="D379" s="113"/>
      <c r="E379" s="187"/>
      <c r="U379" s="113"/>
    </row>
    <row r="380" s="1" customFormat="true" ht="14.25" hidden="false" customHeight="false" outlineLevel="0" collapsed="false">
      <c r="B380" s="186"/>
      <c r="C380" s="113"/>
      <c r="D380" s="113"/>
      <c r="E380" s="187"/>
      <c r="U380" s="113"/>
    </row>
    <row r="381" s="1" customFormat="true" ht="14.25" hidden="false" customHeight="false" outlineLevel="0" collapsed="false">
      <c r="B381" s="186"/>
      <c r="C381" s="113"/>
      <c r="D381" s="113"/>
      <c r="E381" s="187"/>
      <c r="U381" s="113"/>
    </row>
    <row r="382" s="1" customFormat="true" ht="14.25" hidden="false" customHeight="false" outlineLevel="0" collapsed="false">
      <c r="B382" s="186"/>
      <c r="C382" s="113"/>
      <c r="D382" s="113"/>
      <c r="E382" s="187"/>
      <c r="F382" s="188"/>
      <c r="U382" s="113"/>
    </row>
    <row r="383" s="1" customFormat="true" ht="14.25" hidden="false" customHeight="false" outlineLevel="0" collapsed="false">
      <c r="B383" s="186"/>
      <c r="C383" s="113"/>
      <c r="D383" s="113"/>
      <c r="E383" s="187"/>
      <c r="U383" s="113"/>
    </row>
    <row r="384" s="1" customFormat="true" ht="14.25" hidden="false" customHeight="false" outlineLevel="0" collapsed="false">
      <c r="B384" s="186"/>
      <c r="C384" s="113"/>
      <c r="D384" s="113"/>
      <c r="E384" s="187"/>
      <c r="U384" s="113"/>
    </row>
    <row r="385" s="1" customFormat="true" ht="14.25" hidden="false" customHeight="false" outlineLevel="0" collapsed="false">
      <c r="B385" s="186"/>
      <c r="C385" s="113"/>
      <c r="D385" s="113"/>
      <c r="E385" s="187"/>
      <c r="U385" s="113"/>
    </row>
    <row r="386" s="1" customFormat="true" ht="14.25" hidden="false" customHeight="false" outlineLevel="0" collapsed="false">
      <c r="B386" s="186"/>
      <c r="C386" s="113"/>
      <c r="D386" s="113"/>
      <c r="E386" s="187"/>
      <c r="F386" s="188"/>
      <c r="U386" s="113"/>
    </row>
    <row r="387" s="1" customFormat="true" ht="14.25" hidden="false" customHeight="false" outlineLevel="0" collapsed="false">
      <c r="B387" s="186"/>
      <c r="C387" s="113"/>
      <c r="D387" s="113"/>
      <c r="E387" s="187"/>
      <c r="F387" s="188"/>
      <c r="U387" s="113"/>
    </row>
    <row r="388" s="1" customFormat="true" ht="14.25" hidden="false" customHeight="false" outlineLevel="0" collapsed="false">
      <c r="B388" s="186"/>
      <c r="C388" s="113"/>
      <c r="D388" s="113"/>
      <c r="E388" s="187"/>
      <c r="U388" s="113"/>
    </row>
    <row r="389" s="1" customFormat="true" ht="14.25" hidden="false" customHeight="false" outlineLevel="0" collapsed="false">
      <c r="B389" s="186"/>
      <c r="C389" s="113"/>
      <c r="D389" s="113"/>
      <c r="E389" s="187"/>
      <c r="U389" s="113"/>
    </row>
    <row r="392" customFormat="false" ht="14.25" hidden="false" customHeight="false" outlineLevel="0" collapsed="false">
      <c r="F392" s="188"/>
    </row>
    <row r="399" customFormat="false" ht="14.25" hidden="false" customHeight="false" outlineLevel="0" collapsed="false">
      <c r="F399" s="188"/>
    </row>
    <row r="400" customFormat="false" ht="14.25" hidden="false" customHeight="false" outlineLevel="0" collapsed="false">
      <c r="F400" s="188"/>
    </row>
    <row r="401" customFormat="false" ht="14.25" hidden="false" customHeight="false" outlineLevel="0" collapsed="false">
      <c r="F401" s="188"/>
    </row>
    <row r="402" customFormat="false" ht="14.25" hidden="false" customHeight="false" outlineLevel="0" collapsed="false">
      <c r="F402" s="188"/>
    </row>
    <row r="403" customFormat="false" ht="14.25" hidden="false" customHeight="false" outlineLevel="0" collapsed="false">
      <c r="F403" s="188"/>
    </row>
    <row r="404" customFormat="false" ht="14.25" hidden="false" customHeight="false" outlineLevel="0" collapsed="false">
      <c r="F404" s="188"/>
    </row>
    <row r="405" customFormat="false" ht="14.25" hidden="false" customHeight="false" outlineLevel="0" collapsed="false">
      <c r="F405" s="188"/>
    </row>
    <row r="406" customFormat="false" ht="14.25" hidden="false" customHeight="false" outlineLevel="0" collapsed="false">
      <c r="F406" s="188"/>
    </row>
    <row r="407" customFormat="false" ht="14.25" hidden="false" customHeight="false" outlineLevel="0" collapsed="false">
      <c r="F407" s="188"/>
    </row>
    <row r="408" customFormat="false" ht="14.25" hidden="false" customHeight="false" outlineLevel="0" collapsed="false">
      <c r="F408" s="188"/>
    </row>
    <row r="412" customFormat="false" ht="14.25" hidden="false" customHeight="false" outlineLevel="0" collapsed="false">
      <c r="F412" s="188"/>
    </row>
    <row r="435" customFormat="false" ht="14.25" hidden="false" customHeight="false" outlineLevel="0" collapsed="false">
      <c r="F435" s="188"/>
    </row>
    <row r="436" customFormat="false" ht="14.25" hidden="false" customHeight="false" outlineLevel="0" collapsed="false">
      <c r="F436" s="188"/>
    </row>
    <row r="437" customFormat="false" ht="14.25" hidden="false" customHeight="false" outlineLevel="0" collapsed="false">
      <c r="F437" s="188"/>
    </row>
    <row r="438" customFormat="false" ht="14.25" hidden="false" customHeight="false" outlineLevel="0" collapsed="false">
      <c r="F438" s="188"/>
    </row>
    <row r="439" customFormat="false" ht="14.25" hidden="false" customHeight="false" outlineLevel="0" collapsed="false">
      <c r="F439" s="188"/>
    </row>
    <row r="440" customFormat="false" ht="14.25" hidden="false" customHeight="false" outlineLevel="0" collapsed="false">
      <c r="F440" s="188"/>
    </row>
    <row r="444" customFormat="false" ht="14.25" hidden="false" customHeight="false" outlineLevel="0" collapsed="false">
      <c r="F444" s="188"/>
    </row>
    <row r="445" customFormat="false" ht="14.25" hidden="false" customHeight="false" outlineLevel="0" collapsed="false">
      <c r="F445" s="188"/>
    </row>
    <row r="446" customFormat="false" ht="14.25" hidden="false" customHeight="false" outlineLevel="0" collapsed="false">
      <c r="F446" s="188"/>
    </row>
    <row r="448" customFormat="false" ht="14.25" hidden="false" customHeight="false" outlineLevel="0" collapsed="false">
      <c r="F448" s="188"/>
    </row>
    <row r="449" customFormat="false" ht="14.25" hidden="false" customHeight="false" outlineLevel="0" collapsed="false">
      <c r="F449" s="188"/>
    </row>
    <row r="457" customFormat="false" ht="14.25" hidden="false" customHeight="false" outlineLevel="0" collapsed="false">
      <c r="F457" s="188"/>
    </row>
    <row r="460" customFormat="false" ht="14.25" hidden="false" customHeight="false" outlineLevel="0" collapsed="false">
      <c r="F460" s="188"/>
    </row>
    <row r="461" customFormat="false" ht="14.25" hidden="false" customHeight="false" outlineLevel="0" collapsed="false">
      <c r="F461" s="188"/>
    </row>
    <row r="463" customFormat="false" ht="14.25" hidden="false" customHeight="false" outlineLevel="0" collapsed="false">
      <c r="F463" s="188"/>
    </row>
    <row r="472" customFormat="false" ht="14.25" hidden="false" customHeight="false" outlineLevel="0" collapsed="false">
      <c r="F472" s="188"/>
    </row>
  </sheetData>
  <autoFilter ref="A10:S370"/>
  <mergeCells count="22">
    <mergeCell ref="P1:S1"/>
    <mergeCell ref="P2:S2"/>
    <mergeCell ref="A3:P3"/>
    <mergeCell ref="A5:Q5"/>
    <mergeCell ref="A7:A9"/>
    <mergeCell ref="B7:B9"/>
    <mergeCell ref="C7:C9"/>
    <mergeCell ref="D7:D9"/>
    <mergeCell ref="E7:E9"/>
    <mergeCell ref="F7:F9"/>
    <mergeCell ref="G7:I8"/>
    <mergeCell ref="J7:L8"/>
    <mergeCell ref="M7:O8"/>
    <mergeCell ref="P7:P9"/>
    <mergeCell ref="Q7:Q9"/>
    <mergeCell ref="R7:R9"/>
    <mergeCell ref="S7:S9"/>
    <mergeCell ref="U7:W8"/>
    <mergeCell ref="A11:S11"/>
    <mergeCell ref="G209:G210"/>
    <mergeCell ref="A268:S268"/>
    <mergeCell ref="I296:L296"/>
  </mergeCells>
  <conditionalFormatting sqref="Q12:Q13">
    <cfRule type="cellIs" priority="2" operator="greaterThan" aboveAverage="0" equalAverage="0" bottom="0" percent="0" rank="0" text="" dxfId="32">
      <formula>0</formula>
    </cfRule>
  </conditionalFormatting>
  <conditionalFormatting sqref="U11:W370">
    <cfRule type="expression" priority="3" aboveAverage="0" equalAverage="0" bottom="0" percent="0" rank="0" text="" dxfId="33">
      <formula>AND(U11&lt;-20,U11&lt;0)</formula>
    </cfRule>
    <cfRule type="expression" priority="4" aboveAverage="0" equalAverage="0" bottom="0" percent="0" rank="0" text="" dxfId="34">
      <formula>AND(U11&gt;20,U11&gt;0)</formula>
    </cfRule>
  </conditionalFormatting>
  <conditionalFormatting sqref="Q14:Q267 Q269:Q295 Q298:Q370">
    <cfRule type="cellIs" priority="5" operator="greaterThan" aboveAverage="0" equalAverage="0" bottom="0" percent="0" rank="0" text="" dxfId="35">
      <formula>0</formula>
    </cfRule>
  </conditionalFormatting>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261"/>
  <sheetViews>
    <sheetView showFormulas="false" showGridLines="true" showRowColHeaders="true" showZeros="true" rightToLeft="false" tabSelected="true" showOutlineSymbols="true" defaultGridColor="true" view="normal" topLeftCell="A1" colorId="64" zoomScale="60" zoomScaleNormal="60" zoomScalePageLayoutView="100" workbookViewId="0">
      <selection pane="topLeft" activeCell="D1" activeCellId="0" sqref="A1:D1048576"/>
    </sheetView>
  </sheetViews>
  <sheetFormatPr defaultColWidth="9.1484375" defaultRowHeight="16.15" zeroHeight="false" outlineLevelRow="0" outlineLevelCol="0"/>
  <cols>
    <col collapsed="false" customWidth="true" hidden="false" outlineLevel="0" max="1" min="1" style="189" width="6.71"/>
    <col collapsed="false" customWidth="true" hidden="false" outlineLevel="0" max="2" min="2" style="190" width="79.28"/>
    <col collapsed="false" customWidth="true" hidden="false" outlineLevel="0" max="3" min="3" style="191" width="11.14"/>
    <col collapsed="false" customWidth="true" hidden="false" outlineLevel="0" max="4" min="4" style="192" width="15.14"/>
    <col collapsed="false" customWidth="false" hidden="false" outlineLevel="0" max="16332" min="5" style="1" width="9.14"/>
    <col collapsed="false" customWidth="true" hidden="false" outlineLevel="0" max="16383" min="16333" style="0" width="11.53"/>
    <col collapsed="false" customWidth="true" hidden="false" outlineLevel="0" max="16384" min="16384" style="1" width="11.53"/>
  </cols>
  <sheetData>
    <row r="1" customFormat="false" ht="15" hidden="false" customHeight="false" outlineLevel="0" collapsed="false"/>
    <row r="2" s="14" customFormat="true" ht="15" hidden="false" customHeight="false" outlineLevel="0" collapsed="false">
      <c r="A2" s="193"/>
      <c r="B2" s="194"/>
      <c r="C2" s="195"/>
      <c r="D2" s="196"/>
      <c r="XDE2" s="0"/>
      <c r="XDF2" s="0"/>
      <c r="XDG2" s="0"/>
      <c r="XDH2" s="0"/>
      <c r="XDI2" s="0"/>
      <c r="XDJ2" s="0"/>
      <c r="XDK2" s="0"/>
      <c r="XDL2" s="0"/>
      <c r="XDM2" s="0"/>
      <c r="XDN2" s="0"/>
      <c r="XDO2" s="0"/>
      <c r="XDP2" s="0"/>
      <c r="XDQ2" s="0"/>
      <c r="XDR2" s="0"/>
      <c r="XDS2" s="0"/>
      <c r="XDT2" s="0"/>
      <c r="XDU2" s="0"/>
      <c r="XDV2" s="0"/>
      <c r="XDW2" s="0"/>
      <c r="XDX2" s="0"/>
      <c r="XDY2" s="0"/>
      <c r="XDZ2" s="0"/>
      <c r="XEA2" s="0"/>
      <c r="XEB2" s="0"/>
      <c r="XEC2" s="0"/>
      <c r="XED2" s="0"/>
      <c r="XEE2" s="0"/>
      <c r="XEF2" s="0"/>
      <c r="XEG2" s="0"/>
      <c r="XEH2" s="0"/>
      <c r="XEI2" s="0"/>
      <c r="XEJ2" s="0"/>
      <c r="XEK2" s="0"/>
      <c r="XEL2" s="0"/>
      <c r="XEM2" s="0"/>
      <c r="XEN2" s="0"/>
      <c r="XEO2" s="0"/>
      <c r="XEP2" s="0"/>
      <c r="XEQ2" s="0"/>
      <c r="XER2" s="0"/>
      <c r="XES2" s="0"/>
      <c r="XET2" s="0"/>
      <c r="XEU2" s="0"/>
      <c r="XEV2" s="0"/>
      <c r="XEW2" s="0"/>
      <c r="XEX2" s="0"/>
      <c r="XEY2" s="0"/>
      <c r="XEZ2" s="0"/>
      <c r="XFA2" s="0"/>
      <c r="XFB2" s="0"/>
      <c r="XFC2" s="0"/>
      <c r="XFD2" s="1"/>
    </row>
    <row r="3" s="14" customFormat="true" ht="27" hidden="false" customHeight="true" outlineLevel="0" collapsed="false">
      <c r="A3" s="197" t="s">
        <v>4</v>
      </c>
      <c r="B3" s="198" t="s">
        <v>5</v>
      </c>
      <c r="C3" s="199" t="s">
        <v>6</v>
      </c>
      <c r="D3" s="200" t="s">
        <v>7</v>
      </c>
      <c r="XDE3" s="0"/>
      <c r="XDF3" s="0"/>
      <c r="XDG3" s="0"/>
      <c r="XDH3" s="0"/>
      <c r="XDI3" s="0"/>
      <c r="XDJ3" s="0"/>
      <c r="XDK3" s="0"/>
      <c r="XDL3" s="0"/>
      <c r="XDM3" s="0"/>
      <c r="XDN3" s="0"/>
      <c r="XDO3" s="0"/>
      <c r="XDP3" s="0"/>
      <c r="XDQ3" s="0"/>
      <c r="XDR3" s="0"/>
      <c r="XDS3" s="0"/>
      <c r="XDT3" s="0"/>
      <c r="XDU3" s="0"/>
      <c r="XDV3" s="0"/>
      <c r="XDW3" s="0"/>
      <c r="XDX3" s="0"/>
      <c r="XDY3" s="0"/>
      <c r="XDZ3" s="0"/>
      <c r="XEA3" s="0"/>
      <c r="XEB3" s="0"/>
      <c r="XEC3" s="0"/>
      <c r="XED3" s="0"/>
      <c r="XEE3" s="0"/>
      <c r="XEF3" s="0"/>
      <c r="XEG3" s="0"/>
      <c r="XEH3" s="0"/>
      <c r="XEI3" s="0"/>
      <c r="XEJ3" s="0"/>
      <c r="XEK3" s="0"/>
      <c r="XEL3" s="0"/>
      <c r="XEM3" s="0"/>
      <c r="XEN3" s="0"/>
      <c r="XEO3" s="0"/>
      <c r="XEP3" s="0"/>
      <c r="XEQ3" s="0"/>
      <c r="XER3" s="0"/>
      <c r="XES3" s="0"/>
      <c r="XET3" s="0"/>
      <c r="XEU3" s="0"/>
      <c r="XEV3" s="0"/>
      <c r="XEW3" s="0"/>
      <c r="XEX3" s="0"/>
      <c r="XEY3" s="0"/>
      <c r="XEZ3" s="0"/>
      <c r="XFA3" s="0"/>
      <c r="XFB3" s="0"/>
      <c r="XFC3" s="0"/>
      <c r="XFD3" s="1"/>
    </row>
    <row r="4" s="14" customFormat="true" ht="24.75" hidden="false" customHeight="true" outlineLevel="0" collapsed="false">
      <c r="A4" s="197"/>
      <c r="B4" s="197"/>
      <c r="C4" s="197"/>
      <c r="D4" s="200"/>
      <c r="XDE4" s="0"/>
      <c r="XDF4" s="0"/>
      <c r="XDG4" s="0"/>
      <c r="XDH4" s="0"/>
      <c r="XDI4" s="0"/>
      <c r="XDJ4" s="0"/>
      <c r="XDK4" s="0"/>
      <c r="XDL4" s="0"/>
      <c r="XDM4" s="0"/>
      <c r="XDN4" s="0"/>
      <c r="XDO4" s="0"/>
      <c r="XDP4" s="0"/>
      <c r="XDQ4" s="0"/>
      <c r="XDR4" s="0"/>
      <c r="XDS4" s="0"/>
      <c r="XDT4" s="0"/>
      <c r="XDU4" s="0"/>
      <c r="XDV4" s="0"/>
      <c r="XDW4" s="0"/>
      <c r="XDX4" s="0"/>
      <c r="XDY4" s="0"/>
      <c r="XDZ4" s="0"/>
      <c r="XEA4" s="0"/>
      <c r="XEB4" s="0"/>
      <c r="XEC4" s="0"/>
      <c r="XED4" s="0"/>
      <c r="XEE4" s="0"/>
      <c r="XEF4" s="0"/>
      <c r="XEG4" s="0"/>
      <c r="XEH4" s="0"/>
      <c r="XEI4" s="0"/>
      <c r="XEJ4" s="0"/>
      <c r="XEK4" s="0"/>
      <c r="XEL4" s="0"/>
      <c r="XEM4" s="0"/>
      <c r="XEN4" s="0"/>
      <c r="XEO4" s="0"/>
      <c r="XEP4" s="0"/>
      <c r="XEQ4" s="0"/>
      <c r="XER4" s="0"/>
      <c r="XES4" s="0"/>
      <c r="XET4" s="0"/>
      <c r="XEU4" s="0"/>
      <c r="XEV4" s="0"/>
      <c r="XEW4" s="0"/>
      <c r="XEX4" s="0"/>
      <c r="XEY4" s="0"/>
      <c r="XEZ4" s="0"/>
      <c r="XFA4" s="0"/>
      <c r="XFB4" s="0"/>
      <c r="XFC4" s="0"/>
      <c r="XFD4" s="1"/>
    </row>
    <row r="5" s="32" customFormat="true" ht="66.75" hidden="false" customHeight="true" outlineLevel="0" collapsed="false">
      <c r="A5" s="197"/>
      <c r="B5" s="197"/>
      <c r="C5" s="199"/>
      <c r="D5" s="200"/>
      <c r="XDE5" s="0"/>
      <c r="XDF5" s="0"/>
      <c r="XDG5" s="0"/>
      <c r="XDH5" s="0"/>
      <c r="XDI5" s="0"/>
      <c r="XDJ5" s="0"/>
      <c r="XDK5" s="0"/>
      <c r="XDL5" s="0"/>
      <c r="XDM5" s="0"/>
      <c r="XDN5" s="0"/>
      <c r="XDO5" s="0"/>
      <c r="XDP5" s="0"/>
      <c r="XDQ5" s="0"/>
      <c r="XDR5" s="0"/>
      <c r="XDS5" s="0"/>
      <c r="XDT5" s="0"/>
      <c r="XDU5" s="0"/>
      <c r="XDV5" s="0"/>
      <c r="XDW5" s="0"/>
      <c r="XDX5" s="0"/>
      <c r="XDY5" s="0"/>
      <c r="XDZ5" s="0"/>
      <c r="XEA5" s="0"/>
      <c r="XEB5" s="0"/>
      <c r="XEC5" s="0"/>
      <c r="XED5" s="0"/>
      <c r="XEE5" s="0"/>
      <c r="XEF5" s="0"/>
      <c r="XEG5" s="0"/>
      <c r="XEH5" s="0"/>
      <c r="XEI5" s="0"/>
      <c r="XEJ5" s="0"/>
      <c r="XEK5" s="0"/>
      <c r="XEL5" s="0"/>
      <c r="XEM5" s="0"/>
      <c r="XEN5" s="0"/>
      <c r="XEO5" s="0"/>
      <c r="XEP5" s="0"/>
      <c r="XEQ5" s="0"/>
      <c r="XER5" s="0"/>
      <c r="XES5" s="0"/>
      <c r="XET5" s="0"/>
      <c r="XEU5" s="0"/>
      <c r="XEV5" s="0"/>
      <c r="XEW5" s="0"/>
      <c r="XEX5" s="0"/>
      <c r="XEY5" s="0"/>
      <c r="XEZ5" s="0"/>
      <c r="XFA5" s="0"/>
      <c r="XFB5" s="0"/>
      <c r="XFC5" s="0"/>
      <c r="XFD5" s="14"/>
    </row>
    <row r="6" s="40" customFormat="true" ht="27.75" hidden="false" customHeight="true" outlineLevel="0" collapsed="false">
      <c r="A6" s="201" t="n">
        <v>1</v>
      </c>
      <c r="B6" s="202" t="n">
        <v>2</v>
      </c>
      <c r="C6" s="203" t="n">
        <v>3</v>
      </c>
      <c r="D6" s="204" t="n">
        <v>4</v>
      </c>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14"/>
    </row>
    <row r="7" s="43" customFormat="true" ht="73.5" hidden="false" customHeight="true" outlineLevel="0" collapsed="false">
      <c r="A7" s="205" t="n">
        <v>1</v>
      </c>
      <c r="B7" s="206" t="s">
        <v>696</v>
      </c>
      <c r="C7" s="207" t="s">
        <v>679</v>
      </c>
      <c r="D7" s="208" t="n">
        <v>72</v>
      </c>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14"/>
    </row>
    <row r="8" s="43" customFormat="true" ht="73.5" hidden="false" customHeight="true" outlineLevel="0" collapsed="false">
      <c r="A8" s="205" t="n">
        <v>2</v>
      </c>
      <c r="B8" s="206" t="s">
        <v>697</v>
      </c>
      <c r="C8" s="207" t="s">
        <v>616</v>
      </c>
      <c r="D8" s="208" t="n">
        <v>20</v>
      </c>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14"/>
    </row>
    <row r="9" s="43" customFormat="true" ht="73.5" hidden="false" customHeight="true" outlineLevel="0" collapsed="false">
      <c r="A9" s="205" t="n">
        <v>3</v>
      </c>
      <c r="B9" s="206" t="s">
        <v>698</v>
      </c>
      <c r="C9" s="207" t="s">
        <v>679</v>
      </c>
      <c r="D9" s="208" t="n">
        <v>174</v>
      </c>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32"/>
    </row>
    <row r="10" s="43" customFormat="true" ht="73.5" hidden="false" customHeight="true" outlineLevel="0" collapsed="false">
      <c r="A10" s="205" t="n">
        <v>4</v>
      </c>
      <c r="B10" s="206" t="s">
        <v>699</v>
      </c>
      <c r="C10" s="207" t="s">
        <v>679</v>
      </c>
      <c r="D10" s="208" t="n">
        <v>24</v>
      </c>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40"/>
    </row>
    <row r="11" s="43" customFormat="true" ht="73.5" hidden="false" customHeight="true" outlineLevel="0" collapsed="false">
      <c r="A11" s="205" t="n">
        <v>5</v>
      </c>
      <c r="B11" s="206" t="s">
        <v>700</v>
      </c>
      <c r="C11" s="207" t="s">
        <v>679</v>
      </c>
      <c r="D11" s="208" t="n">
        <v>12</v>
      </c>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row>
    <row r="12" s="43" customFormat="true" ht="73.5" hidden="false" customHeight="true" outlineLevel="0" collapsed="false">
      <c r="A12" s="205" t="n">
        <v>6</v>
      </c>
      <c r="B12" s="206" t="s">
        <v>701</v>
      </c>
      <c r="C12" s="207" t="s">
        <v>25</v>
      </c>
      <c r="D12" s="208" t="n">
        <v>24</v>
      </c>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row>
    <row r="13" s="43" customFormat="true" ht="73.5" hidden="false" customHeight="true" outlineLevel="0" collapsed="false">
      <c r="A13" s="205" t="n">
        <v>7</v>
      </c>
      <c r="B13" s="206" t="s">
        <v>702</v>
      </c>
      <c r="C13" s="207" t="s">
        <v>679</v>
      </c>
      <c r="D13" s="208" t="n">
        <v>80</v>
      </c>
      <c r="XDE13" s="0"/>
      <c r="XDF13" s="0"/>
      <c r="XDG13" s="0"/>
      <c r="XDH13" s="0"/>
      <c r="XDI13" s="0"/>
      <c r="XDJ13" s="0"/>
      <c r="XDK13" s="0"/>
      <c r="XDL13" s="0"/>
      <c r="XDM13" s="0"/>
      <c r="XDN13" s="0"/>
      <c r="XDO13" s="0"/>
      <c r="XDP13" s="0"/>
      <c r="XDQ13" s="0"/>
      <c r="XDR13" s="0"/>
      <c r="XDS13" s="0"/>
      <c r="XDT13" s="0"/>
      <c r="XDU13" s="0"/>
      <c r="XDV13" s="0"/>
      <c r="XDW13" s="0"/>
      <c r="XDX13" s="0"/>
      <c r="XDY13" s="0"/>
      <c r="XDZ13" s="0"/>
      <c r="XEA13" s="0"/>
      <c r="XEB13" s="0"/>
      <c r="XEC13" s="0"/>
      <c r="XED13" s="0"/>
      <c r="XEE13" s="0"/>
      <c r="XEF13" s="0"/>
      <c r="XEG13" s="0"/>
      <c r="XEH13" s="0"/>
      <c r="XEI13" s="0"/>
      <c r="XEJ13" s="0"/>
      <c r="XEK13" s="0"/>
      <c r="XEL13" s="0"/>
      <c r="XEM13" s="0"/>
      <c r="XEN13" s="0"/>
      <c r="XEO13" s="0"/>
      <c r="XEP13" s="0"/>
      <c r="XEQ13" s="0"/>
      <c r="XER13" s="0"/>
      <c r="XES13" s="0"/>
      <c r="XET13" s="0"/>
      <c r="XEU13" s="0"/>
      <c r="XEV13" s="0"/>
      <c r="XEW13" s="0"/>
      <c r="XEX13" s="0"/>
      <c r="XEY13" s="0"/>
      <c r="XEZ13" s="0"/>
      <c r="XFA13" s="0"/>
      <c r="XFB13" s="0"/>
      <c r="XFC13" s="0"/>
    </row>
    <row r="14" s="43" customFormat="true" ht="73.5" hidden="false" customHeight="true" outlineLevel="0" collapsed="false">
      <c r="A14" s="205" t="n">
        <v>8</v>
      </c>
      <c r="B14" s="206" t="s">
        <v>703</v>
      </c>
      <c r="C14" s="207" t="s">
        <v>616</v>
      </c>
      <c r="D14" s="208" t="n">
        <v>22</v>
      </c>
      <c r="XDE14" s="0"/>
      <c r="XDF14" s="0"/>
      <c r="XDG14" s="0"/>
      <c r="XDH14" s="0"/>
      <c r="XDI14" s="0"/>
      <c r="XDJ14" s="0"/>
      <c r="XDK14" s="0"/>
      <c r="XDL14" s="0"/>
      <c r="XDM14" s="0"/>
      <c r="XDN14" s="0"/>
      <c r="XDO14" s="0"/>
      <c r="XDP14" s="0"/>
      <c r="XDQ14" s="0"/>
      <c r="XDR14" s="0"/>
      <c r="XDS14" s="0"/>
      <c r="XDT14" s="0"/>
      <c r="XDU14" s="0"/>
      <c r="XDV14" s="0"/>
      <c r="XDW14" s="0"/>
      <c r="XDX14" s="0"/>
      <c r="XDY14" s="0"/>
      <c r="XDZ14" s="0"/>
      <c r="XEA14" s="0"/>
      <c r="XEB14" s="0"/>
      <c r="XEC14" s="0"/>
      <c r="XED14" s="0"/>
      <c r="XEE14" s="0"/>
      <c r="XEF14" s="0"/>
      <c r="XEG14" s="0"/>
      <c r="XEH14" s="0"/>
      <c r="XEI14" s="0"/>
      <c r="XEJ14" s="0"/>
      <c r="XEK14" s="0"/>
      <c r="XEL14" s="0"/>
      <c r="XEM14" s="0"/>
      <c r="XEN14" s="0"/>
      <c r="XEO14" s="0"/>
      <c r="XEP14" s="0"/>
      <c r="XEQ14" s="0"/>
      <c r="XER14" s="0"/>
      <c r="XES14" s="0"/>
      <c r="XET14" s="0"/>
      <c r="XEU14" s="0"/>
      <c r="XEV14" s="0"/>
      <c r="XEW14" s="0"/>
      <c r="XEX14" s="0"/>
      <c r="XEY14" s="0"/>
      <c r="XEZ14" s="0"/>
      <c r="XFA14" s="0"/>
      <c r="XFB14" s="0"/>
      <c r="XFC14" s="0"/>
    </row>
    <row r="15" s="43" customFormat="true" ht="73.5" hidden="false" customHeight="true" outlineLevel="0" collapsed="false">
      <c r="A15" s="205" t="n">
        <v>9</v>
      </c>
      <c r="B15" s="206" t="s">
        <v>704</v>
      </c>
      <c r="C15" s="207" t="s">
        <v>679</v>
      </c>
      <c r="D15" s="208" t="n">
        <v>24</v>
      </c>
      <c r="XDE15" s="0"/>
      <c r="XDF15" s="0"/>
      <c r="XDG15" s="0"/>
      <c r="XDH15" s="0"/>
      <c r="XDI15" s="0"/>
      <c r="XDJ15" s="0"/>
      <c r="XDK15" s="0"/>
      <c r="XDL15" s="0"/>
      <c r="XDM15" s="0"/>
      <c r="XDN15" s="0"/>
      <c r="XDO15" s="0"/>
      <c r="XDP15" s="0"/>
      <c r="XDQ15" s="0"/>
      <c r="XDR15" s="0"/>
      <c r="XDS15" s="0"/>
      <c r="XDT15" s="0"/>
      <c r="XDU15" s="0"/>
      <c r="XDV15" s="0"/>
      <c r="XDW15" s="0"/>
      <c r="XDX15" s="0"/>
      <c r="XDY15" s="0"/>
      <c r="XDZ15" s="0"/>
      <c r="XEA15" s="0"/>
      <c r="XEB15" s="0"/>
      <c r="XEC15" s="0"/>
      <c r="XED15" s="0"/>
      <c r="XEE15" s="0"/>
      <c r="XEF15" s="0"/>
      <c r="XEG15" s="0"/>
      <c r="XEH15" s="0"/>
      <c r="XEI15" s="0"/>
      <c r="XEJ15" s="0"/>
      <c r="XEK15" s="0"/>
      <c r="XEL15" s="0"/>
      <c r="XEM15" s="0"/>
      <c r="XEN15" s="0"/>
      <c r="XEO15" s="0"/>
      <c r="XEP15" s="0"/>
      <c r="XEQ15" s="0"/>
      <c r="XER15" s="0"/>
      <c r="XES15" s="0"/>
      <c r="XET15" s="0"/>
      <c r="XEU15" s="0"/>
      <c r="XEV15" s="0"/>
      <c r="XEW15" s="0"/>
      <c r="XEX15" s="0"/>
      <c r="XEY15" s="0"/>
      <c r="XEZ15" s="0"/>
      <c r="XFA15" s="0"/>
      <c r="XFB15" s="0"/>
      <c r="XFC15" s="0"/>
    </row>
    <row r="16" s="43" customFormat="true" ht="73.5" hidden="false" customHeight="true" outlineLevel="0" collapsed="false">
      <c r="A16" s="205" t="n">
        <v>10</v>
      </c>
      <c r="B16" s="206" t="s">
        <v>705</v>
      </c>
      <c r="C16" s="207" t="s">
        <v>679</v>
      </c>
      <c r="D16" s="208" t="n">
        <v>96</v>
      </c>
      <c r="XDE16" s="0"/>
      <c r="XDF16" s="0"/>
      <c r="XDG16" s="0"/>
      <c r="XDH16" s="0"/>
      <c r="XDI16" s="0"/>
      <c r="XDJ16" s="0"/>
      <c r="XDK16" s="0"/>
      <c r="XDL16" s="0"/>
      <c r="XDM16" s="0"/>
      <c r="XDN16" s="0"/>
      <c r="XDO16" s="0"/>
      <c r="XDP16" s="0"/>
      <c r="XDQ16" s="0"/>
      <c r="XDR16" s="0"/>
      <c r="XDS16" s="0"/>
      <c r="XDT16" s="0"/>
      <c r="XDU16" s="0"/>
      <c r="XDV16" s="0"/>
      <c r="XDW16" s="0"/>
      <c r="XDX16" s="0"/>
      <c r="XDY16" s="0"/>
      <c r="XDZ16" s="0"/>
      <c r="XEA16" s="0"/>
      <c r="XEB16" s="0"/>
      <c r="XEC16" s="0"/>
      <c r="XED16" s="0"/>
      <c r="XEE16" s="0"/>
      <c r="XEF16" s="0"/>
      <c r="XEG16" s="0"/>
      <c r="XEH16" s="0"/>
      <c r="XEI16" s="0"/>
      <c r="XEJ16" s="0"/>
      <c r="XEK16" s="0"/>
      <c r="XEL16" s="0"/>
      <c r="XEM16" s="0"/>
      <c r="XEN16" s="0"/>
      <c r="XEO16" s="0"/>
      <c r="XEP16" s="0"/>
      <c r="XEQ16" s="0"/>
      <c r="XER16" s="0"/>
      <c r="XES16" s="0"/>
      <c r="XET16" s="0"/>
      <c r="XEU16" s="0"/>
      <c r="XEV16" s="0"/>
      <c r="XEW16" s="0"/>
      <c r="XEX16" s="0"/>
      <c r="XEY16" s="0"/>
      <c r="XEZ16" s="0"/>
      <c r="XFA16" s="0"/>
      <c r="XFB16" s="0"/>
      <c r="XFC16" s="0"/>
    </row>
    <row r="17" s="43" customFormat="true" ht="73.5" hidden="false" customHeight="true" outlineLevel="0" collapsed="false">
      <c r="A17" s="205" t="n">
        <v>11</v>
      </c>
      <c r="B17" s="206" t="s">
        <v>706</v>
      </c>
      <c r="C17" s="207" t="s">
        <v>679</v>
      </c>
      <c r="D17" s="208" t="n">
        <v>14</v>
      </c>
      <c r="XDE17" s="0"/>
      <c r="XDF17" s="0"/>
      <c r="XDG17" s="0"/>
      <c r="XDH17" s="0"/>
      <c r="XDI17" s="0"/>
      <c r="XDJ17" s="0"/>
      <c r="XDK17" s="0"/>
      <c r="XDL17" s="0"/>
      <c r="XDM17" s="0"/>
      <c r="XDN17" s="0"/>
      <c r="XDO17" s="0"/>
      <c r="XDP17" s="0"/>
      <c r="XDQ17" s="0"/>
      <c r="XDR17" s="0"/>
      <c r="XDS17" s="0"/>
      <c r="XDT17" s="0"/>
      <c r="XDU17" s="0"/>
      <c r="XDV17" s="0"/>
      <c r="XDW17" s="0"/>
      <c r="XDX17" s="0"/>
      <c r="XDY17" s="0"/>
      <c r="XDZ17" s="0"/>
      <c r="XEA17" s="0"/>
      <c r="XEB17" s="0"/>
      <c r="XEC17" s="0"/>
      <c r="XED17" s="0"/>
      <c r="XEE17" s="0"/>
      <c r="XEF17" s="0"/>
      <c r="XEG17" s="0"/>
      <c r="XEH17" s="0"/>
      <c r="XEI17" s="0"/>
      <c r="XEJ17" s="0"/>
      <c r="XEK17" s="0"/>
      <c r="XEL17" s="0"/>
      <c r="XEM17" s="0"/>
      <c r="XEN17" s="0"/>
      <c r="XEO17" s="0"/>
      <c r="XEP17" s="0"/>
      <c r="XEQ17" s="0"/>
      <c r="XER17" s="0"/>
      <c r="XES17" s="0"/>
      <c r="XET17" s="0"/>
      <c r="XEU17" s="0"/>
      <c r="XEV17" s="0"/>
      <c r="XEW17" s="0"/>
      <c r="XEX17" s="0"/>
      <c r="XEY17" s="0"/>
      <c r="XEZ17" s="0"/>
      <c r="XFA17" s="0"/>
      <c r="XFB17" s="0"/>
      <c r="XFC17" s="0"/>
    </row>
    <row r="18" s="43" customFormat="true" ht="73.5" hidden="false" customHeight="true" outlineLevel="0" collapsed="false">
      <c r="A18" s="205" t="n">
        <v>12</v>
      </c>
      <c r="B18" s="206" t="s">
        <v>707</v>
      </c>
      <c r="C18" s="207" t="s">
        <v>616</v>
      </c>
      <c r="D18" s="208" t="n">
        <v>15.144</v>
      </c>
      <c r="XDE18" s="0"/>
      <c r="XDF18" s="0"/>
      <c r="XDG18" s="0"/>
      <c r="XDH18" s="0"/>
      <c r="XDI18" s="0"/>
      <c r="XDJ18" s="0"/>
      <c r="XDK18" s="0"/>
      <c r="XDL18" s="0"/>
      <c r="XDM18" s="0"/>
      <c r="XDN18" s="0"/>
      <c r="XDO18" s="0"/>
      <c r="XDP18" s="0"/>
      <c r="XDQ18" s="0"/>
      <c r="XDR18" s="0"/>
      <c r="XDS18" s="0"/>
      <c r="XDT18" s="0"/>
      <c r="XDU18" s="0"/>
      <c r="XDV18" s="0"/>
      <c r="XDW18" s="0"/>
      <c r="XDX18" s="0"/>
      <c r="XDY18" s="0"/>
      <c r="XDZ18" s="0"/>
      <c r="XEA18" s="0"/>
      <c r="XEB18" s="0"/>
      <c r="XEC18" s="0"/>
      <c r="XED18" s="0"/>
      <c r="XEE18" s="0"/>
      <c r="XEF18" s="0"/>
      <c r="XEG18" s="0"/>
      <c r="XEH18" s="0"/>
      <c r="XEI18" s="0"/>
      <c r="XEJ18" s="0"/>
      <c r="XEK18" s="0"/>
      <c r="XEL18" s="0"/>
      <c r="XEM18" s="0"/>
      <c r="XEN18" s="0"/>
      <c r="XEO18" s="0"/>
      <c r="XEP18" s="0"/>
      <c r="XEQ18" s="0"/>
      <c r="XER18" s="0"/>
      <c r="XES18" s="0"/>
      <c r="XET18" s="0"/>
      <c r="XEU18" s="0"/>
      <c r="XEV18" s="0"/>
      <c r="XEW18" s="0"/>
      <c r="XEX18" s="0"/>
      <c r="XEY18" s="0"/>
      <c r="XEZ18" s="0"/>
      <c r="XFA18" s="0"/>
      <c r="XFB18" s="0"/>
      <c r="XFC18" s="0"/>
    </row>
    <row r="19" s="43" customFormat="true" ht="73.5" hidden="false" customHeight="true" outlineLevel="0" collapsed="false">
      <c r="A19" s="205" t="n">
        <v>13</v>
      </c>
      <c r="B19" s="206" t="s">
        <v>708</v>
      </c>
      <c r="C19" s="207" t="s">
        <v>616</v>
      </c>
      <c r="D19" s="208" t="n">
        <v>1</v>
      </c>
      <c r="XDE19" s="0"/>
      <c r="XDF19" s="0"/>
      <c r="XDG19" s="0"/>
      <c r="XDH19" s="0"/>
      <c r="XDI19" s="0"/>
      <c r="XDJ19" s="0"/>
      <c r="XDK19" s="0"/>
      <c r="XDL19" s="0"/>
      <c r="XDM19" s="0"/>
      <c r="XDN19" s="0"/>
      <c r="XDO19" s="0"/>
      <c r="XDP19" s="0"/>
      <c r="XDQ19" s="0"/>
      <c r="XDR19" s="0"/>
      <c r="XDS19" s="0"/>
      <c r="XDT19" s="0"/>
      <c r="XDU19" s="0"/>
      <c r="XDV19" s="0"/>
      <c r="XDW19" s="0"/>
      <c r="XDX19" s="0"/>
      <c r="XDY19" s="0"/>
      <c r="XDZ19" s="0"/>
      <c r="XEA19" s="0"/>
      <c r="XEB19" s="0"/>
      <c r="XEC19" s="0"/>
      <c r="XED19" s="0"/>
      <c r="XEE19" s="0"/>
      <c r="XEF19" s="0"/>
      <c r="XEG19" s="0"/>
      <c r="XEH19" s="0"/>
      <c r="XEI19" s="0"/>
      <c r="XEJ19" s="0"/>
      <c r="XEK19" s="0"/>
      <c r="XEL19" s="0"/>
      <c r="XEM19" s="0"/>
      <c r="XEN19" s="0"/>
      <c r="XEO19" s="0"/>
      <c r="XEP19" s="0"/>
      <c r="XEQ19" s="0"/>
      <c r="XER19" s="0"/>
      <c r="XES19" s="0"/>
      <c r="XET19" s="0"/>
      <c r="XEU19" s="0"/>
      <c r="XEV19" s="0"/>
      <c r="XEW19" s="0"/>
      <c r="XEX19" s="0"/>
      <c r="XEY19" s="0"/>
      <c r="XEZ19" s="0"/>
      <c r="XFA19" s="0"/>
      <c r="XFB19" s="0"/>
      <c r="XFC19" s="0"/>
    </row>
    <row r="20" s="43" customFormat="true" ht="73.5" hidden="false" customHeight="true" outlineLevel="0" collapsed="false">
      <c r="A20" s="205" t="n">
        <v>14</v>
      </c>
      <c r="B20" s="206" t="s">
        <v>709</v>
      </c>
      <c r="C20" s="207" t="s">
        <v>616</v>
      </c>
      <c r="D20" s="208" t="n">
        <v>12.5</v>
      </c>
      <c r="XDE20" s="0"/>
      <c r="XDF20" s="0"/>
      <c r="XDG20" s="0"/>
      <c r="XDH20" s="0"/>
      <c r="XDI20" s="0"/>
      <c r="XDJ20" s="0"/>
      <c r="XDK20" s="0"/>
      <c r="XDL20" s="0"/>
      <c r="XDM20" s="0"/>
      <c r="XDN20" s="0"/>
      <c r="XDO20" s="0"/>
      <c r="XDP20" s="0"/>
      <c r="XDQ20" s="0"/>
      <c r="XDR20" s="0"/>
      <c r="XDS20" s="0"/>
      <c r="XDT20" s="0"/>
      <c r="XDU20" s="0"/>
      <c r="XDV20" s="0"/>
      <c r="XDW20" s="0"/>
      <c r="XDX20" s="0"/>
      <c r="XDY20" s="0"/>
      <c r="XDZ20" s="0"/>
      <c r="XEA20" s="0"/>
      <c r="XEB20" s="0"/>
      <c r="XEC20" s="0"/>
      <c r="XED20" s="0"/>
      <c r="XEE20" s="0"/>
      <c r="XEF20" s="0"/>
      <c r="XEG20" s="0"/>
      <c r="XEH20" s="0"/>
      <c r="XEI20" s="0"/>
      <c r="XEJ20" s="0"/>
      <c r="XEK20" s="0"/>
      <c r="XEL20" s="0"/>
      <c r="XEM20" s="0"/>
      <c r="XEN20" s="0"/>
      <c r="XEO20" s="0"/>
      <c r="XEP20" s="0"/>
      <c r="XEQ20" s="0"/>
      <c r="XER20" s="0"/>
      <c r="XES20" s="0"/>
      <c r="XET20" s="0"/>
      <c r="XEU20" s="0"/>
      <c r="XEV20" s="0"/>
      <c r="XEW20" s="0"/>
      <c r="XEX20" s="0"/>
      <c r="XEY20" s="0"/>
      <c r="XEZ20" s="0"/>
      <c r="XFA20" s="0"/>
      <c r="XFB20" s="0"/>
      <c r="XFC20" s="0"/>
    </row>
    <row r="21" s="43" customFormat="true" ht="73.5" hidden="false" customHeight="true" outlineLevel="0" collapsed="false">
      <c r="A21" s="205" t="n">
        <v>15</v>
      </c>
      <c r="B21" s="206" t="s">
        <v>710</v>
      </c>
      <c r="C21" s="207" t="s">
        <v>679</v>
      </c>
      <c r="D21" s="208" t="n">
        <v>120</v>
      </c>
      <c r="XDE21" s="0"/>
      <c r="XDF21" s="0"/>
      <c r="XDG21" s="0"/>
      <c r="XDH21" s="0"/>
      <c r="XDI21" s="0"/>
      <c r="XDJ21" s="0"/>
      <c r="XDK21" s="0"/>
      <c r="XDL21" s="0"/>
      <c r="XDM21" s="0"/>
      <c r="XDN21" s="0"/>
      <c r="XDO21" s="0"/>
      <c r="XDP21" s="0"/>
      <c r="XDQ21" s="0"/>
      <c r="XDR21" s="0"/>
      <c r="XDS21" s="0"/>
      <c r="XDT21" s="0"/>
      <c r="XDU21" s="0"/>
      <c r="XDV21" s="0"/>
      <c r="XDW21" s="0"/>
      <c r="XDX21" s="0"/>
      <c r="XDY21" s="0"/>
      <c r="XDZ21" s="0"/>
      <c r="XEA21" s="0"/>
      <c r="XEB21" s="0"/>
      <c r="XEC21" s="0"/>
      <c r="XED21" s="0"/>
      <c r="XEE21" s="0"/>
      <c r="XEF21" s="0"/>
      <c r="XEG21" s="0"/>
      <c r="XEH21" s="0"/>
      <c r="XEI21" s="0"/>
      <c r="XEJ21" s="0"/>
      <c r="XEK21" s="0"/>
      <c r="XEL21" s="0"/>
      <c r="XEM21" s="0"/>
      <c r="XEN21" s="0"/>
      <c r="XEO21" s="0"/>
      <c r="XEP21" s="0"/>
      <c r="XEQ21" s="0"/>
      <c r="XER21" s="0"/>
      <c r="XES21" s="0"/>
      <c r="XET21" s="0"/>
      <c r="XEU21" s="0"/>
      <c r="XEV21" s="0"/>
      <c r="XEW21" s="0"/>
      <c r="XEX21" s="0"/>
      <c r="XEY21" s="0"/>
      <c r="XEZ21" s="0"/>
      <c r="XFA21" s="0"/>
      <c r="XFB21" s="0"/>
      <c r="XFC21" s="0"/>
    </row>
    <row r="22" s="43" customFormat="true" ht="73.5" hidden="false" customHeight="true" outlineLevel="0" collapsed="false">
      <c r="A22" s="205" t="n">
        <v>16</v>
      </c>
      <c r="B22" s="206" t="s">
        <v>711</v>
      </c>
      <c r="C22" s="207" t="s">
        <v>679</v>
      </c>
      <c r="D22" s="208" t="n">
        <v>40</v>
      </c>
      <c r="XDE22" s="0"/>
      <c r="XDF22" s="0"/>
      <c r="XDG22" s="0"/>
      <c r="XDH22" s="0"/>
      <c r="XDI22" s="0"/>
      <c r="XDJ22" s="0"/>
      <c r="XDK22" s="0"/>
      <c r="XDL22" s="0"/>
      <c r="XDM22" s="0"/>
      <c r="XDN22" s="0"/>
      <c r="XDO22" s="0"/>
      <c r="XDP22" s="0"/>
      <c r="XDQ22" s="0"/>
      <c r="XDR22" s="0"/>
      <c r="XDS22" s="0"/>
      <c r="XDT22" s="0"/>
      <c r="XDU22" s="0"/>
      <c r="XDV22" s="0"/>
      <c r="XDW22" s="0"/>
      <c r="XDX22" s="0"/>
      <c r="XDY22" s="0"/>
      <c r="XDZ22" s="0"/>
      <c r="XEA22" s="0"/>
      <c r="XEB22" s="0"/>
      <c r="XEC22" s="0"/>
      <c r="XED22" s="0"/>
      <c r="XEE22" s="0"/>
      <c r="XEF22" s="0"/>
      <c r="XEG22" s="0"/>
      <c r="XEH22" s="0"/>
      <c r="XEI22" s="0"/>
      <c r="XEJ22" s="0"/>
      <c r="XEK22" s="0"/>
      <c r="XEL22" s="0"/>
      <c r="XEM22" s="0"/>
      <c r="XEN22" s="0"/>
      <c r="XEO22" s="0"/>
      <c r="XEP22" s="0"/>
      <c r="XEQ22" s="0"/>
      <c r="XER22" s="0"/>
      <c r="XES22" s="0"/>
      <c r="XET22" s="0"/>
      <c r="XEU22" s="0"/>
      <c r="XEV22" s="0"/>
      <c r="XEW22" s="0"/>
      <c r="XEX22" s="0"/>
      <c r="XEY22" s="0"/>
      <c r="XEZ22" s="0"/>
      <c r="XFA22" s="0"/>
      <c r="XFB22" s="0"/>
      <c r="XFC22" s="0"/>
    </row>
    <row r="23" s="43" customFormat="true" ht="73.5" hidden="false" customHeight="true" outlineLevel="0" collapsed="false">
      <c r="A23" s="205" t="n">
        <v>17</v>
      </c>
      <c r="B23" s="206" t="s">
        <v>712</v>
      </c>
      <c r="C23" s="207" t="s">
        <v>679</v>
      </c>
      <c r="D23" s="208" t="n">
        <v>2</v>
      </c>
      <c r="XDE23" s="0"/>
      <c r="XDF23" s="0"/>
      <c r="XDG23" s="0"/>
      <c r="XDH23" s="0"/>
      <c r="XDI23" s="0"/>
      <c r="XDJ23" s="0"/>
      <c r="XDK23" s="0"/>
      <c r="XDL23" s="0"/>
      <c r="XDM23" s="0"/>
      <c r="XDN23" s="0"/>
      <c r="XDO23" s="0"/>
      <c r="XDP23" s="0"/>
      <c r="XDQ23" s="0"/>
      <c r="XDR23" s="0"/>
      <c r="XDS23" s="0"/>
      <c r="XDT23" s="0"/>
      <c r="XDU23" s="0"/>
      <c r="XDV23" s="0"/>
      <c r="XDW23" s="0"/>
      <c r="XDX23" s="0"/>
      <c r="XDY23" s="0"/>
      <c r="XDZ23" s="0"/>
      <c r="XEA23" s="0"/>
      <c r="XEB23" s="0"/>
      <c r="XEC23" s="0"/>
      <c r="XED23" s="0"/>
      <c r="XEE23" s="0"/>
      <c r="XEF23" s="0"/>
      <c r="XEG23" s="0"/>
      <c r="XEH23" s="0"/>
      <c r="XEI23" s="0"/>
      <c r="XEJ23" s="0"/>
      <c r="XEK23" s="0"/>
      <c r="XEL23" s="0"/>
      <c r="XEM23" s="0"/>
      <c r="XEN23" s="0"/>
      <c r="XEO23" s="0"/>
      <c r="XEP23" s="0"/>
      <c r="XEQ23" s="0"/>
      <c r="XER23" s="0"/>
      <c r="XES23" s="0"/>
      <c r="XET23" s="0"/>
      <c r="XEU23" s="0"/>
      <c r="XEV23" s="0"/>
      <c r="XEW23" s="0"/>
      <c r="XEX23" s="0"/>
      <c r="XEY23" s="0"/>
      <c r="XEZ23" s="0"/>
      <c r="XFA23" s="0"/>
      <c r="XFB23" s="0"/>
      <c r="XFC23" s="0"/>
    </row>
    <row r="24" s="43" customFormat="true" ht="73.5" hidden="false" customHeight="true" outlineLevel="0" collapsed="false">
      <c r="A24" s="205" t="n">
        <v>18</v>
      </c>
      <c r="B24" s="206" t="s">
        <v>713</v>
      </c>
      <c r="C24" s="207" t="s">
        <v>679</v>
      </c>
      <c r="D24" s="208" t="n">
        <v>96</v>
      </c>
      <c r="XDE24" s="0"/>
      <c r="XDF24" s="0"/>
      <c r="XDG24" s="0"/>
      <c r="XDH24" s="0"/>
      <c r="XDI24" s="0"/>
      <c r="XDJ24" s="0"/>
      <c r="XDK24" s="0"/>
      <c r="XDL24" s="0"/>
      <c r="XDM24" s="0"/>
      <c r="XDN24" s="0"/>
      <c r="XDO24" s="0"/>
      <c r="XDP24" s="0"/>
      <c r="XDQ24" s="0"/>
      <c r="XDR24" s="0"/>
      <c r="XDS24" s="0"/>
      <c r="XDT24" s="0"/>
      <c r="XDU24" s="0"/>
      <c r="XDV24" s="0"/>
      <c r="XDW24" s="0"/>
      <c r="XDX24" s="0"/>
      <c r="XDY24" s="0"/>
      <c r="XDZ24" s="0"/>
      <c r="XEA24" s="0"/>
      <c r="XEB24" s="0"/>
      <c r="XEC24" s="0"/>
      <c r="XED24" s="0"/>
      <c r="XEE24" s="0"/>
      <c r="XEF24" s="0"/>
      <c r="XEG24" s="0"/>
      <c r="XEH24" s="0"/>
      <c r="XEI24" s="0"/>
      <c r="XEJ24" s="0"/>
      <c r="XEK24" s="0"/>
      <c r="XEL24" s="0"/>
      <c r="XEM24" s="0"/>
      <c r="XEN24" s="0"/>
      <c r="XEO24" s="0"/>
      <c r="XEP24" s="0"/>
      <c r="XEQ24" s="0"/>
      <c r="XER24" s="0"/>
      <c r="XES24" s="0"/>
      <c r="XET24" s="0"/>
      <c r="XEU24" s="0"/>
      <c r="XEV24" s="0"/>
      <c r="XEW24" s="0"/>
      <c r="XEX24" s="0"/>
      <c r="XEY24" s="0"/>
      <c r="XEZ24" s="0"/>
      <c r="XFA24" s="0"/>
      <c r="XFB24" s="0"/>
      <c r="XFC24" s="0"/>
    </row>
    <row r="25" s="43" customFormat="true" ht="73.5" hidden="false" customHeight="true" outlineLevel="0" collapsed="false">
      <c r="A25" s="205" t="n">
        <v>19</v>
      </c>
      <c r="B25" s="206" t="s">
        <v>714</v>
      </c>
      <c r="C25" s="207" t="s">
        <v>616</v>
      </c>
      <c r="D25" s="208" t="n">
        <v>28.64</v>
      </c>
      <c r="XDE25" s="0"/>
      <c r="XDF25" s="0"/>
      <c r="XDG25" s="0"/>
      <c r="XDH25" s="0"/>
      <c r="XDI25" s="0"/>
      <c r="XDJ25" s="0"/>
      <c r="XDK25" s="0"/>
      <c r="XDL25" s="0"/>
      <c r="XDM25" s="0"/>
      <c r="XDN25" s="0"/>
      <c r="XDO25" s="0"/>
      <c r="XDP25" s="0"/>
      <c r="XDQ25" s="0"/>
      <c r="XDR25" s="0"/>
      <c r="XDS25" s="0"/>
      <c r="XDT25" s="0"/>
      <c r="XDU25" s="0"/>
      <c r="XDV25" s="0"/>
      <c r="XDW25" s="0"/>
      <c r="XDX25" s="0"/>
      <c r="XDY25" s="0"/>
      <c r="XDZ25" s="0"/>
      <c r="XEA25" s="0"/>
      <c r="XEB25" s="0"/>
      <c r="XEC25" s="0"/>
      <c r="XED25" s="0"/>
      <c r="XEE25" s="0"/>
      <c r="XEF25" s="0"/>
      <c r="XEG25" s="0"/>
      <c r="XEH25" s="0"/>
      <c r="XEI25" s="0"/>
      <c r="XEJ25" s="0"/>
      <c r="XEK25" s="0"/>
      <c r="XEL25" s="0"/>
      <c r="XEM25" s="0"/>
      <c r="XEN25" s="0"/>
      <c r="XEO25" s="0"/>
      <c r="XEP25" s="0"/>
      <c r="XEQ25" s="0"/>
      <c r="XER25" s="0"/>
      <c r="XES25" s="0"/>
      <c r="XET25" s="0"/>
      <c r="XEU25" s="0"/>
      <c r="XEV25" s="0"/>
      <c r="XEW25" s="0"/>
      <c r="XEX25" s="0"/>
      <c r="XEY25" s="0"/>
      <c r="XEZ25" s="0"/>
      <c r="XFA25" s="0"/>
      <c r="XFB25" s="0"/>
      <c r="XFC25" s="0"/>
    </row>
    <row r="26" s="43" customFormat="true" ht="73.5" hidden="false" customHeight="true" outlineLevel="0" collapsed="false">
      <c r="A26" s="205" t="n">
        <v>20</v>
      </c>
      <c r="B26" s="206" t="s">
        <v>715</v>
      </c>
      <c r="C26" s="207" t="s">
        <v>616</v>
      </c>
      <c r="D26" s="208" t="n">
        <v>68</v>
      </c>
      <c r="XDE26" s="0"/>
      <c r="XDF26" s="0"/>
      <c r="XDG26" s="0"/>
      <c r="XDH26" s="0"/>
      <c r="XDI26" s="0"/>
      <c r="XDJ26" s="0"/>
      <c r="XDK26" s="0"/>
      <c r="XDL26" s="0"/>
      <c r="XDM26" s="0"/>
      <c r="XDN26" s="0"/>
      <c r="XDO26" s="0"/>
      <c r="XDP26" s="0"/>
      <c r="XDQ26" s="0"/>
      <c r="XDR26" s="0"/>
      <c r="XDS26" s="0"/>
      <c r="XDT26" s="0"/>
      <c r="XDU26" s="0"/>
      <c r="XDV26" s="0"/>
      <c r="XDW26" s="0"/>
      <c r="XDX26" s="0"/>
      <c r="XDY26" s="0"/>
      <c r="XDZ26" s="0"/>
      <c r="XEA26" s="0"/>
      <c r="XEB26" s="0"/>
      <c r="XEC26" s="0"/>
      <c r="XED26" s="0"/>
      <c r="XEE26" s="0"/>
      <c r="XEF26" s="0"/>
      <c r="XEG26" s="0"/>
      <c r="XEH26" s="0"/>
      <c r="XEI26" s="0"/>
      <c r="XEJ26" s="0"/>
      <c r="XEK26" s="0"/>
      <c r="XEL26" s="0"/>
      <c r="XEM26" s="0"/>
      <c r="XEN26" s="0"/>
      <c r="XEO26" s="0"/>
      <c r="XEP26" s="0"/>
      <c r="XEQ26" s="0"/>
      <c r="XER26" s="0"/>
      <c r="XES26" s="0"/>
      <c r="XET26" s="0"/>
      <c r="XEU26" s="0"/>
      <c r="XEV26" s="0"/>
      <c r="XEW26" s="0"/>
      <c r="XEX26" s="0"/>
      <c r="XEY26" s="0"/>
      <c r="XEZ26" s="0"/>
      <c r="XFA26" s="0"/>
      <c r="XFB26" s="0"/>
      <c r="XFC26" s="0"/>
    </row>
    <row r="27" s="43" customFormat="true" ht="73.5" hidden="false" customHeight="true" outlineLevel="0" collapsed="false">
      <c r="A27" s="205" t="n">
        <v>21</v>
      </c>
      <c r="B27" s="206" t="s">
        <v>716</v>
      </c>
      <c r="C27" s="207" t="s">
        <v>679</v>
      </c>
      <c r="D27" s="208" t="n">
        <v>12</v>
      </c>
      <c r="XDE27" s="0"/>
      <c r="XDF27" s="0"/>
      <c r="XDG27" s="0"/>
      <c r="XDH27" s="0"/>
      <c r="XDI27" s="0"/>
      <c r="XDJ27" s="0"/>
      <c r="XDK27" s="0"/>
      <c r="XDL27" s="0"/>
      <c r="XDM27" s="0"/>
      <c r="XDN27" s="0"/>
      <c r="XDO27" s="0"/>
      <c r="XDP27" s="0"/>
      <c r="XDQ27" s="0"/>
      <c r="XDR27" s="0"/>
      <c r="XDS27" s="0"/>
      <c r="XDT27" s="0"/>
      <c r="XDU27" s="0"/>
      <c r="XDV27" s="0"/>
      <c r="XDW27" s="0"/>
      <c r="XDX27" s="0"/>
      <c r="XDY27" s="0"/>
      <c r="XDZ27" s="0"/>
      <c r="XEA27" s="0"/>
      <c r="XEB27" s="0"/>
      <c r="XEC27" s="0"/>
      <c r="XED27" s="0"/>
      <c r="XEE27" s="0"/>
      <c r="XEF27" s="0"/>
      <c r="XEG27" s="0"/>
      <c r="XEH27" s="0"/>
      <c r="XEI27" s="0"/>
      <c r="XEJ27" s="0"/>
      <c r="XEK27" s="0"/>
      <c r="XEL27" s="0"/>
      <c r="XEM27" s="0"/>
      <c r="XEN27" s="0"/>
      <c r="XEO27" s="0"/>
      <c r="XEP27" s="0"/>
      <c r="XEQ27" s="0"/>
      <c r="XER27" s="0"/>
      <c r="XES27" s="0"/>
      <c r="XET27" s="0"/>
      <c r="XEU27" s="0"/>
      <c r="XEV27" s="0"/>
      <c r="XEW27" s="0"/>
      <c r="XEX27" s="0"/>
      <c r="XEY27" s="0"/>
      <c r="XEZ27" s="0"/>
      <c r="XFA27" s="0"/>
      <c r="XFB27" s="0"/>
      <c r="XFC27" s="0"/>
    </row>
    <row r="28" s="43" customFormat="true" ht="73.5" hidden="false" customHeight="true" outlineLevel="0" collapsed="false">
      <c r="A28" s="205" t="n">
        <v>22</v>
      </c>
      <c r="B28" s="206" t="s">
        <v>717</v>
      </c>
      <c r="C28" s="207" t="s">
        <v>25</v>
      </c>
      <c r="D28" s="208" t="n">
        <v>1</v>
      </c>
      <c r="XDE28" s="0"/>
      <c r="XDF28" s="0"/>
      <c r="XDG28" s="0"/>
      <c r="XDH28" s="0"/>
      <c r="XDI28" s="0"/>
      <c r="XDJ28" s="0"/>
      <c r="XDK28" s="0"/>
      <c r="XDL28" s="0"/>
      <c r="XDM28" s="0"/>
      <c r="XDN28" s="0"/>
      <c r="XDO28" s="0"/>
      <c r="XDP28" s="0"/>
      <c r="XDQ28" s="0"/>
      <c r="XDR28" s="0"/>
      <c r="XDS28" s="0"/>
      <c r="XDT28" s="0"/>
      <c r="XDU28" s="0"/>
      <c r="XDV28" s="0"/>
      <c r="XDW28" s="0"/>
      <c r="XDX28" s="0"/>
      <c r="XDY28" s="0"/>
      <c r="XDZ28" s="0"/>
      <c r="XEA28" s="0"/>
      <c r="XEB28" s="0"/>
      <c r="XEC28" s="0"/>
      <c r="XED28" s="0"/>
      <c r="XEE28" s="0"/>
      <c r="XEF28" s="0"/>
      <c r="XEG28" s="0"/>
      <c r="XEH28" s="0"/>
      <c r="XEI28" s="0"/>
      <c r="XEJ28" s="0"/>
      <c r="XEK28" s="0"/>
      <c r="XEL28" s="0"/>
      <c r="XEM28" s="0"/>
      <c r="XEN28" s="0"/>
      <c r="XEO28" s="0"/>
      <c r="XEP28" s="0"/>
      <c r="XEQ28" s="0"/>
      <c r="XER28" s="0"/>
      <c r="XES28" s="0"/>
      <c r="XET28" s="0"/>
      <c r="XEU28" s="0"/>
      <c r="XEV28" s="0"/>
      <c r="XEW28" s="0"/>
      <c r="XEX28" s="0"/>
      <c r="XEY28" s="0"/>
      <c r="XEZ28" s="0"/>
      <c r="XFA28" s="0"/>
      <c r="XFB28" s="0"/>
      <c r="XFC28" s="0"/>
    </row>
    <row r="29" s="43" customFormat="true" ht="73.5" hidden="false" customHeight="true" outlineLevel="0" collapsed="false">
      <c r="A29" s="205" t="n">
        <v>23</v>
      </c>
      <c r="B29" s="206" t="s">
        <v>718</v>
      </c>
      <c r="C29" s="207" t="s">
        <v>25</v>
      </c>
      <c r="D29" s="208" t="n">
        <v>1</v>
      </c>
      <c r="XDE29" s="0"/>
      <c r="XDF29" s="0"/>
      <c r="XDG29" s="0"/>
      <c r="XDH29" s="0"/>
      <c r="XDI29" s="0"/>
      <c r="XDJ29" s="0"/>
      <c r="XDK29" s="0"/>
      <c r="XDL29" s="0"/>
      <c r="XDM29" s="0"/>
      <c r="XDN29" s="0"/>
      <c r="XDO29" s="0"/>
      <c r="XDP29" s="0"/>
      <c r="XDQ29" s="0"/>
      <c r="XDR29" s="0"/>
      <c r="XDS29" s="0"/>
      <c r="XDT29" s="0"/>
      <c r="XDU29" s="0"/>
      <c r="XDV29" s="0"/>
      <c r="XDW29" s="0"/>
      <c r="XDX29" s="0"/>
      <c r="XDY29" s="0"/>
      <c r="XDZ29" s="0"/>
      <c r="XEA29" s="0"/>
      <c r="XEB29" s="0"/>
      <c r="XEC29" s="0"/>
      <c r="XED29" s="0"/>
      <c r="XEE29" s="0"/>
      <c r="XEF29" s="0"/>
      <c r="XEG29" s="0"/>
      <c r="XEH29" s="0"/>
      <c r="XEI29" s="0"/>
      <c r="XEJ29" s="0"/>
      <c r="XEK29" s="0"/>
      <c r="XEL29" s="0"/>
      <c r="XEM29" s="0"/>
      <c r="XEN29" s="0"/>
      <c r="XEO29" s="0"/>
      <c r="XEP29" s="0"/>
      <c r="XEQ29" s="0"/>
      <c r="XER29" s="0"/>
      <c r="XES29" s="0"/>
      <c r="XET29" s="0"/>
      <c r="XEU29" s="0"/>
      <c r="XEV29" s="0"/>
      <c r="XEW29" s="0"/>
      <c r="XEX29" s="0"/>
      <c r="XEY29" s="0"/>
      <c r="XEZ29" s="0"/>
      <c r="XFA29" s="0"/>
      <c r="XFB29" s="0"/>
      <c r="XFC29" s="0"/>
    </row>
    <row r="30" s="43" customFormat="true" ht="73.5" hidden="false" customHeight="true" outlineLevel="0" collapsed="false">
      <c r="A30" s="205" t="n">
        <v>24</v>
      </c>
      <c r="B30" s="206" t="s">
        <v>719</v>
      </c>
      <c r="C30" s="207" t="s">
        <v>392</v>
      </c>
      <c r="D30" s="208" t="n">
        <v>12</v>
      </c>
      <c r="XDE30" s="0"/>
      <c r="XDF30" s="0"/>
      <c r="XDG30" s="0"/>
      <c r="XDH30" s="0"/>
      <c r="XDI30" s="0"/>
      <c r="XDJ30" s="0"/>
      <c r="XDK30" s="0"/>
      <c r="XDL30" s="0"/>
      <c r="XDM30" s="0"/>
      <c r="XDN30" s="0"/>
      <c r="XDO30" s="0"/>
      <c r="XDP30" s="0"/>
      <c r="XDQ30" s="0"/>
      <c r="XDR30" s="0"/>
      <c r="XDS30" s="0"/>
      <c r="XDT30" s="0"/>
      <c r="XDU30" s="0"/>
      <c r="XDV30" s="0"/>
      <c r="XDW30" s="0"/>
      <c r="XDX30" s="0"/>
      <c r="XDY30" s="0"/>
      <c r="XDZ30" s="0"/>
      <c r="XEA30" s="0"/>
      <c r="XEB30" s="0"/>
      <c r="XEC30" s="0"/>
      <c r="XED30" s="0"/>
      <c r="XEE30" s="0"/>
      <c r="XEF30" s="0"/>
      <c r="XEG30" s="0"/>
      <c r="XEH30" s="0"/>
      <c r="XEI30" s="0"/>
      <c r="XEJ30" s="0"/>
      <c r="XEK30" s="0"/>
      <c r="XEL30" s="0"/>
      <c r="XEM30" s="0"/>
      <c r="XEN30" s="0"/>
      <c r="XEO30" s="0"/>
      <c r="XEP30" s="0"/>
      <c r="XEQ30" s="0"/>
      <c r="XER30" s="0"/>
      <c r="XES30" s="0"/>
      <c r="XET30" s="0"/>
      <c r="XEU30" s="0"/>
      <c r="XEV30" s="0"/>
      <c r="XEW30" s="0"/>
      <c r="XEX30" s="0"/>
      <c r="XEY30" s="0"/>
      <c r="XEZ30" s="0"/>
      <c r="XFA30" s="0"/>
      <c r="XFB30" s="0"/>
      <c r="XFC30" s="0"/>
    </row>
    <row r="31" s="43" customFormat="true" ht="73.5" hidden="false" customHeight="true" outlineLevel="0" collapsed="false">
      <c r="A31" s="205" t="n">
        <v>25</v>
      </c>
      <c r="B31" s="206" t="s">
        <v>720</v>
      </c>
      <c r="C31" s="207" t="s">
        <v>616</v>
      </c>
      <c r="D31" s="208" t="n">
        <v>19</v>
      </c>
      <c r="XDE31" s="0"/>
      <c r="XDF31" s="0"/>
      <c r="XDG31" s="0"/>
      <c r="XDH31" s="0"/>
      <c r="XDI31" s="0"/>
      <c r="XDJ31" s="0"/>
      <c r="XDK31" s="0"/>
      <c r="XDL31" s="0"/>
      <c r="XDM31" s="0"/>
      <c r="XDN31" s="0"/>
      <c r="XDO31" s="0"/>
      <c r="XDP31" s="0"/>
      <c r="XDQ31" s="0"/>
      <c r="XDR31" s="0"/>
      <c r="XDS31" s="0"/>
      <c r="XDT31" s="0"/>
      <c r="XDU31" s="0"/>
      <c r="XDV31" s="0"/>
      <c r="XDW31" s="0"/>
      <c r="XDX31" s="0"/>
      <c r="XDY31" s="0"/>
      <c r="XDZ31" s="0"/>
      <c r="XEA31" s="0"/>
      <c r="XEB31" s="0"/>
      <c r="XEC31" s="0"/>
      <c r="XED31" s="0"/>
      <c r="XEE31" s="0"/>
      <c r="XEF31" s="0"/>
      <c r="XEG31" s="0"/>
      <c r="XEH31" s="0"/>
      <c r="XEI31" s="0"/>
      <c r="XEJ31" s="0"/>
      <c r="XEK31" s="0"/>
      <c r="XEL31" s="0"/>
      <c r="XEM31" s="0"/>
      <c r="XEN31" s="0"/>
      <c r="XEO31" s="0"/>
      <c r="XEP31" s="0"/>
      <c r="XEQ31" s="0"/>
      <c r="XER31" s="0"/>
      <c r="XES31" s="0"/>
      <c r="XET31" s="0"/>
      <c r="XEU31" s="0"/>
      <c r="XEV31" s="0"/>
      <c r="XEW31" s="0"/>
      <c r="XEX31" s="0"/>
      <c r="XEY31" s="0"/>
      <c r="XEZ31" s="0"/>
      <c r="XFA31" s="0"/>
      <c r="XFB31" s="0"/>
      <c r="XFC31" s="0"/>
    </row>
    <row r="32" s="43" customFormat="true" ht="73.5" hidden="false" customHeight="true" outlineLevel="0" collapsed="false">
      <c r="A32" s="205" t="n">
        <v>26</v>
      </c>
      <c r="B32" s="206" t="s">
        <v>721</v>
      </c>
      <c r="C32" s="207" t="s">
        <v>679</v>
      </c>
      <c r="D32" s="208" t="n">
        <v>8</v>
      </c>
      <c r="XDE32" s="0"/>
      <c r="XDF32" s="0"/>
      <c r="XDG32" s="0"/>
      <c r="XDH32" s="0"/>
      <c r="XDI32" s="0"/>
      <c r="XDJ32" s="0"/>
      <c r="XDK32" s="0"/>
      <c r="XDL32" s="0"/>
      <c r="XDM32" s="0"/>
      <c r="XDN32" s="0"/>
      <c r="XDO32" s="0"/>
      <c r="XDP32" s="0"/>
      <c r="XDQ32" s="0"/>
      <c r="XDR32" s="0"/>
      <c r="XDS32" s="0"/>
      <c r="XDT32" s="0"/>
      <c r="XDU32" s="0"/>
      <c r="XDV32" s="0"/>
      <c r="XDW32" s="0"/>
      <c r="XDX32" s="0"/>
      <c r="XDY32" s="0"/>
      <c r="XDZ32" s="0"/>
      <c r="XEA32" s="0"/>
      <c r="XEB32" s="0"/>
      <c r="XEC32" s="0"/>
      <c r="XED32" s="0"/>
      <c r="XEE32" s="0"/>
      <c r="XEF32" s="0"/>
      <c r="XEG32" s="0"/>
      <c r="XEH32" s="0"/>
      <c r="XEI32" s="0"/>
      <c r="XEJ32" s="0"/>
      <c r="XEK32" s="0"/>
      <c r="XEL32" s="0"/>
      <c r="XEM32" s="0"/>
      <c r="XEN32" s="0"/>
      <c r="XEO32" s="0"/>
      <c r="XEP32" s="0"/>
      <c r="XEQ32" s="0"/>
      <c r="XER32" s="0"/>
      <c r="XES32" s="0"/>
      <c r="XET32" s="0"/>
      <c r="XEU32" s="0"/>
      <c r="XEV32" s="0"/>
      <c r="XEW32" s="0"/>
      <c r="XEX32" s="0"/>
      <c r="XEY32" s="0"/>
      <c r="XEZ32" s="0"/>
      <c r="XFA32" s="0"/>
      <c r="XFB32" s="0"/>
      <c r="XFC32" s="0"/>
    </row>
    <row r="33" s="43" customFormat="true" ht="73.5" hidden="false" customHeight="true" outlineLevel="0" collapsed="false">
      <c r="A33" s="205" t="n">
        <v>27</v>
      </c>
      <c r="B33" s="206" t="s">
        <v>722</v>
      </c>
      <c r="C33" s="207" t="s">
        <v>679</v>
      </c>
      <c r="D33" s="208" t="n">
        <v>182</v>
      </c>
      <c r="XDE33" s="0"/>
      <c r="XDF33" s="0"/>
      <c r="XDG33" s="0"/>
      <c r="XDH33" s="0"/>
      <c r="XDI33" s="0"/>
      <c r="XDJ33" s="0"/>
      <c r="XDK33" s="0"/>
      <c r="XDL33" s="0"/>
      <c r="XDM33" s="0"/>
      <c r="XDN33" s="0"/>
      <c r="XDO33" s="0"/>
      <c r="XDP33" s="0"/>
      <c r="XDQ33" s="0"/>
      <c r="XDR33" s="0"/>
      <c r="XDS33" s="0"/>
      <c r="XDT33" s="0"/>
      <c r="XDU33" s="0"/>
      <c r="XDV33" s="0"/>
      <c r="XDW33" s="0"/>
      <c r="XDX33" s="0"/>
      <c r="XDY33" s="0"/>
      <c r="XDZ33" s="0"/>
      <c r="XEA33" s="0"/>
      <c r="XEB33" s="0"/>
      <c r="XEC33" s="0"/>
      <c r="XED33" s="0"/>
      <c r="XEE33" s="0"/>
      <c r="XEF33" s="0"/>
      <c r="XEG33" s="0"/>
      <c r="XEH33" s="0"/>
      <c r="XEI33" s="0"/>
      <c r="XEJ33" s="0"/>
      <c r="XEK33" s="0"/>
      <c r="XEL33" s="0"/>
      <c r="XEM33" s="0"/>
      <c r="XEN33" s="0"/>
      <c r="XEO33" s="0"/>
      <c r="XEP33" s="0"/>
      <c r="XEQ33" s="0"/>
      <c r="XER33" s="0"/>
      <c r="XES33" s="0"/>
      <c r="XET33" s="0"/>
      <c r="XEU33" s="0"/>
      <c r="XEV33" s="0"/>
      <c r="XEW33" s="0"/>
      <c r="XEX33" s="0"/>
      <c r="XEY33" s="0"/>
      <c r="XEZ33" s="0"/>
      <c r="XFA33" s="0"/>
      <c r="XFB33" s="0"/>
      <c r="XFC33" s="0"/>
    </row>
    <row r="34" s="43" customFormat="true" ht="73.5" hidden="false" customHeight="true" outlineLevel="0" collapsed="false">
      <c r="A34" s="205" t="n">
        <v>28</v>
      </c>
      <c r="B34" s="206" t="s">
        <v>723</v>
      </c>
      <c r="C34" s="207" t="s">
        <v>679</v>
      </c>
      <c r="D34" s="208" t="n">
        <v>120</v>
      </c>
      <c r="XDE34" s="0"/>
      <c r="XDF34" s="0"/>
      <c r="XDG34" s="0"/>
      <c r="XDH34" s="0"/>
      <c r="XDI34" s="0"/>
      <c r="XDJ34" s="0"/>
      <c r="XDK34" s="0"/>
      <c r="XDL34" s="0"/>
      <c r="XDM34" s="0"/>
      <c r="XDN34" s="0"/>
      <c r="XDO34" s="0"/>
      <c r="XDP34" s="0"/>
      <c r="XDQ34" s="0"/>
      <c r="XDR34" s="0"/>
      <c r="XDS34" s="0"/>
      <c r="XDT34" s="0"/>
      <c r="XDU34" s="0"/>
      <c r="XDV34" s="0"/>
      <c r="XDW34" s="0"/>
      <c r="XDX34" s="0"/>
      <c r="XDY34" s="0"/>
      <c r="XDZ34" s="0"/>
      <c r="XEA34" s="0"/>
      <c r="XEB34" s="0"/>
      <c r="XEC34" s="0"/>
      <c r="XED34" s="0"/>
      <c r="XEE34" s="0"/>
      <c r="XEF34" s="0"/>
      <c r="XEG34" s="0"/>
      <c r="XEH34" s="0"/>
      <c r="XEI34" s="0"/>
      <c r="XEJ34" s="0"/>
      <c r="XEK34" s="0"/>
      <c r="XEL34" s="0"/>
      <c r="XEM34" s="0"/>
      <c r="XEN34" s="0"/>
      <c r="XEO34" s="0"/>
      <c r="XEP34" s="0"/>
      <c r="XEQ34" s="0"/>
      <c r="XER34" s="0"/>
      <c r="XES34" s="0"/>
      <c r="XET34" s="0"/>
      <c r="XEU34" s="0"/>
      <c r="XEV34" s="0"/>
      <c r="XEW34" s="0"/>
      <c r="XEX34" s="0"/>
      <c r="XEY34" s="0"/>
      <c r="XEZ34" s="0"/>
      <c r="XFA34" s="0"/>
      <c r="XFB34" s="0"/>
      <c r="XFC34" s="0"/>
    </row>
    <row r="35" s="43" customFormat="true" ht="73.5" hidden="false" customHeight="true" outlineLevel="0" collapsed="false">
      <c r="A35" s="205" t="n">
        <v>29</v>
      </c>
      <c r="B35" s="206" t="s">
        <v>724</v>
      </c>
      <c r="C35" s="207" t="s">
        <v>616</v>
      </c>
      <c r="D35" s="208" t="n">
        <v>2.858</v>
      </c>
      <c r="XDE35" s="0"/>
      <c r="XDF35" s="0"/>
      <c r="XDG35" s="0"/>
      <c r="XDH35" s="0"/>
      <c r="XDI35" s="0"/>
      <c r="XDJ35" s="0"/>
      <c r="XDK35" s="0"/>
      <c r="XDL35" s="0"/>
      <c r="XDM35" s="0"/>
      <c r="XDN35" s="0"/>
      <c r="XDO35" s="0"/>
      <c r="XDP35" s="0"/>
      <c r="XDQ35" s="0"/>
      <c r="XDR35" s="0"/>
      <c r="XDS35" s="0"/>
      <c r="XDT35" s="0"/>
      <c r="XDU35" s="0"/>
      <c r="XDV35" s="0"/>
      <c r="XDW35" s="0"/>
      <c r="XDX35" s="0"/>
      <c r="XDY35" s="0"/>
      <c r="XDZ35" s="0"/>
      <c r="XEA35" s="0"/>
      <c r="XEB35" s="0"/>
      <c r="XEC35" s="0"/>
      <c r="XED35" s="0"/>
      <c r="XEE35" s="0"/>
      <c r="XEF35" s="0"/>
      <c r="XEG35" s="0"/>
      <c r="XEH35" s="0"/>
      <c r="XEI35" s="0"/>
      <c r="XEJ35" s="0"/>
      <c r="XEK35" s="0"/>
      <c r="XEL35" s="0"/>
      <c r="XEM35" s="0"/>
      <c r="XEN35" s="0"/>
      <c r="XEO35" s="0"/>
      <c r="XEP35" s="0"/>
      <c r="XEQ35" s="0"/>
      <c r="XER35" s="0"/>
      <c r="XES35" s="0"/>
      <c r="XET35" s="0"/>
      <c r="XEU35" s="0"/>
      <c r="XEV35" s="0"/>
      <c r="XEW35" s="0"/>
      <c r="XEX35" s="0"/>
      <c r="XEY35" s="0"/>
      <c r="XEZ35" s="0"/>
      <c r="XFA35" s="0"/>
      <c r="XFB35" s="0"/>
      <c r="XFC35" s="0"/>
    </row>
    <row r="36" s="43" customFormat="true" ht="73.5" hidden="false" customHeight="true" outlineLevel="0" collapsed="false">
      <c r="A36" s="205" t="n">
        <v>30</v>
      </c>
      <c r="B36" s="206" t="s">
        <v>725</v>
      </c>
      <c r="C36" s="207" t="s">
        <v>679</v>
      </c>
      <c r="D36" s="208" t="n">
        <f aca="false">99+9</f>
        <v>108</v>
      </c>
      <c r="XDE36" s="0"/>
      <c r="XDF36" s="0"/>
      <c r="XDG36" s="0"/>
      <c r="XDH36" s="0"/>
      <c r="XDI36" s="0"/>
      <c r="XDJ36" s="0"/>
      <c r="XDK36" s="0"/>
      <c r="XDL36" s="0"/>
      <c r="XDM36" s="0"/>
      <c r="XDN36" s="0"/>
      <c r="XDO36" s="0"/>
      <c r="XDP36" s="0"/>
      <c r="XDQ36" s="0"/>
      <c r="XDR36" s="0"/>
      <c r="XDS36" s="0"/>
      <c r="XDT36" s="0"/>
      <c r="XDU36" s="0"/>
      <c r="XDV36" s="0"/>
      <c r="XDW36" s="0"/>
      <c r="XDX36" s="0"/>
      <c r="XDY36" s="0"/>
      <c r="XDZ36" s="0"/>
      <c r="XEA36" s="0"/>
      <c r="XEB36" s="0"/>
      <c r="XEC36" s="0"/>
      <c r="XED36" s="0"/>
      <c r="XEE36" s="0"/>
      <c r="XEF36" s="0"/>
      <c r="XEG36" s="0"/>
      <c r="XEH36" s="0"/>
      <c r="XEI36" s="0"/>
      <c r="XEJ36" s="0"/>
      <c r="XEK36" s="0"/>
      <c r="XEL36" s="0"/>
      <c r="XEM36" s="0"/>
      <c r="XEN36" s="0"/>
      <c r="XEO36" s="0"/>
      <c r="XEP36" s="0"/>
      <c r="XEQ36" s="0"/>
      <c r="XER36" s="0"/>
      <c r="XES36" s="0"/>
      <c r="XET36" s="0"/>
      <c r="XEU36" s="0"/>
      <c r="XEV36" s="0"/>
      <c r="XEW36" s="0"/>
      <c r="XEX36" s="0"/>
      <c r="XEY36" s="0"/>
      <c r="XEZ36" s="0"/>
      <c r="XFA36" s="0"/>
      <c r="XFB36" s="0"/>
      <c r="XFC36" s="0"/>
    </row>
    <row r="37" s="43" customFormat="true" ht="73.5" hidden="false" customHeight="true" outlineLevel="0" collapsed="false">
      <c r="A37" s="205" t="n">
        <v>31</v>
      </c>
      <c r="B37" s="206" t="s">
        <v>726</v>
      </c>
      <c r="C37" s="207" t="s">
        <v>616</v>
      </c>
      <c r="D37" s="208" t="n">
        <v>4.90624</v>
      </c>
      <c r="XDE37" s="0"/>
      <c r="XDF37" s="0"/>
      <c r="XDG37" s="0"/>
      <c r="XDH37" s="0"/>
      <c r="XDI37" s="0"/>
      <c r="XDJ37" s="0"/>
      <c r="XDK37" s="0"/>
      <c r="XDL37" s="0"/>
      <c r="XDM37" s="0"/>
      <c r="XDN37" s="0"/>
      <c r="XDO37" s="0"/>
      <c r="XDP37" s="0"/>
      <c r="XDQ37" s="0"/>
      <c r="XDR37" s="0"/>
      <c r="XDS37" s="0"/>
      <c r="XDT37" s="0"/>
      <c r="XDU37" s="0"/>
      <c r="XDV37" s="0"/>
      <c r="XDW37" s="0"/>
      <c r="XDX37" s="0"/>
      <c r="XDY37" s="0"/>
      <c r="XDZ37" s="0"/>
      <c r="XEA37" s="0"/>
      <c r="XEB37" s="0"/>
      <c r="XEC37" s="0"/>
      <c r="XED37" s="0"/>
      <c r="XEE37" s="0"/>
      <c r="XEF37" s="0"/>
      <c r="XEG37" s="0"/>
      <c r="XEH37" s="0"/>
      <c r="XEI37" s="0"/>
      <c r="XEJ37" s="0"/>
      <c r="XEK37" s="0"/>
      <c r="XEL37" s="0"/>
      <c r="XEM37" s="0"/>
      <c r="XEN37" s="0"/>
      <c r="XEO37" s="0"/>
      <c r="XEP37" s="0"/>
      <c r="XEQ37" s="0"/>
      <c r="XER37" s="0"/>
      <c r="XES37" s="0"/>
      <c r="XET37" s="0"/>
      <c r="XEU37" s="0"/>
      <c r="XEV37" s="0"/>
      <c r="XEW37" s="0"/>
      <c r="XEX37" s="0"/>
      <c r="XEY37" s="0"/>
      <c r="XEZ37" s="0"/>
      <c r="XFA37" s="0"/>
      <c r="XFB37" s="0"/>
      <c r="XFC37" s="0"/>
    </row>
    <row r="38" s="43" customFormat="true" ht="73.5" hidden="false" customHeight="true" outlineLevel="0" collapsed="false">
      <c r="A38" s="205" t="n">
        <v>32</v>
      </c>
      <c r="B38" s="206" t="s">
        <v>727</v>
      </c>
      <c r="C38" s="207" t="s">
        <v>616</v>
      </c>
      <c r="D38" s="208" t="n">
        <v>76.8</v>
      </c>
      <c r="XDE38" s="0"/>
      <c r="XDF38" s="0"/>
      <c r="XDG38" s="0"/>
      <c r="XDH38" s="0"/>
      <c r="XDI38" s="0"/>
      <c r="XDJ38" s="0"/>
      <c r="XDK38" s="0"/>
      <c r="XDL38" s="0"/>
      <c r="XDM38" s="0"/>
      <c r="XDN38" s="0"/>
      <c r="XDO38" s="0"/>
      <c r="XDP38" s="0"/>
      <c r="XDQ38" s="0"/>
      <c r="XDR38" s="0"/>
      <c r="XDS38" s="0"/>
      <c r="XDT38" s="0"/>
      <c r="XDU38" s="0"/>
      <c r="XDV38" s="0"/>
      <c r="XDW38" s="0"/>
      <c r="XDX38" s="0"/>
      <c r="XDY38" s="0"/>
      <c r="XDZ38" s="0"/>
      <c r="XEA38" s="0"/>
      <c r="XEB38" s="0"/>
      <c r="XEC38" s="0"/>
      <c r="XED38" s="0"/>
      <c r="XEE38" s="0"/>
      <c r="XEF38" s="0"/>
      <c r="XEG38" s="0"/>
      <c r="XEH38" s="0"/>
      <c r="XEI38" s="0"/>
      <c r="XEJ38" s="0"/>
      <c r="XEK38" s="0"/>
      <c r="XEL38" s="0"/>
      <c r="XEM38" s="0"/>
      <c r="XEN38" s="0"/>
      <c r="XEO38" s="0"/>
      <c r="XEP38" s="0"/>
      <c r="XEQ38" s="0"/>
      <c r="XER38" s="0"/>
      <c r="XES38" s="0"/>
      <c r="XET38" s="0"/>
      <c r="XEU38" s="0"/>
      <c r="XEV38" s="0"/>
      <c r="XEW38" s="0"/>
      <c r="XEX38" s="0"/>
      <c r="XEY38" s="0"/>
      <c r="XEZ38" s="0"/>
      <c r="XFA38" s="0"/>
      <c r="XFB38" s="0"/>
      <c r="XFC38" s="0"/>
    </row>
    <row r="39" s="43" customFormat="true" ht="73.5" hidden="false" customHeight="true" outlineLevel="0" collapsed="false">
      <c r="A39" s="205" t="n">
        <v>33</v>
      </c>
      <c r="B39" s="206" t="s">
        <v>728</v>
      </c>
      <c r="C39" s="207" t="s">
        <v>616</v>
      </c>
      <c r="D39" s="208" t="n">
        <v>10</v>
      </c>
      <c r="XDE39" s="0"/>
      <c r="XDF39" s="0"/>
      <c r="XDG39" s="0"/>
      <c r="XDH39" s="0"/>
      <c r="XDI39" s="0"/>
      <c r="XDJ39" s="0"/>
      <c r="XDK39" s="0"/>
      <c r="XDL39" s="0"/>
      <c r="XDM39" s="0"/>
      <c r="XDN39" s="0"/>
      <c r="XDO39" s="0"/>
      <c r="XDP39" s="0"/>
      <c r="XDQ39" s="0"/>
      <c r="XDR39" s="0"/>
      <c r="XDS39" s="0"/>
      <c r="XDT39" s="0"/>
      <c r="XDU39" s="0"/>
      <c r="XDV39" s="0"/>
      <c r="XDW39" s="0"/>
      <c r="XDX39" s="0"/>
      <c r="XDY39" s="0"/>
      <c r="XDZ39" s="0"/>
      <c r="XEA39" s="0"/>
      <c r="XEB39" s="0"/>
      <c r="XEC39" s="0"/>
      <c r="XED39" s="0"/>
      <c r="XEE39" s="0"/>
      <c r="XEF39" s="0"/>
      <c r="XEG39" s="0"/>
      <c r="XEH39" s="0"/>
      <c r="XEI39" s="0"/>
      <c r="XEJ39" s="0"/>
      <c r="XEK39" s="0"/>
      <c r="XEL39" s="0"/>
      <c r="XEM39" s="0"/>
      <c r="XEN39" s="0"/>
      <c r="XEO39" s="0"/>
      <c r="XEP39" s="0"/>
      <c r="XEQ39" s="0"/>
      <c r="XER39" s="0"/>
      <c r="XES39" s="0"/>
      <c r="XET39" s="0"/>
      <c r="XEU39" s="0"/>
      <c r="XEV39" s="0"/>
      <c r="XEW39" s="0"/>
      <c r="XEX39" s="0"/>
      <c r="XEY39" s="0"/>
      <c r="XEZ39" s="0"/>
      <c r="XFA39" s="0"/>
      <c r="XFB39" s="0"/>
      <c r="XFC39" s="0"/>
    </row>
    <row r="40" s="43" customFormat="true" ht="73.5" hidden="false" customHeight="true" outlineLevel="0" collapsed="false">
      <c r="A40" s="205" t="n">
        <v>34</v>
      </c>
      <c r="B40" s="206" t="s">
        <v>729</v>
      </c>
      <c r="C40" s="207" t="s">
        <v>679</v>
      </c>
      <c r="D40" s="208" t="n">
        <f aca="false">44+4</f>
        <v>48</v>
      </c>
      <c r="XDE40" s="0"/>
      <c r="XDF40" s="0"/>
      <c r="XDG40" s="0"/>
      <c r="XDH40" s="0"/>
      <c r="XDI40" s="0"/>
      <c r="XDJ40" s="0"/>
      <c r="XDK40" s="0"/>
      <c r="XDL40" s="0"/>
      <c r="XDM40" s="0"/>
      <c r="XDN40" s="0"/>
      <c r="XDO40" s="0"/>
      <c r="XDP40" s="0"/>
      <c r="XDQ40" s="0"/>
      <c r="XDR40" s="0"/>
      <c r="XDS40" s="0"/>
      <c r="XDT40" s="0"/>
      <c r="XDU40" s="0"/>
      <c r="XDV40" s="0"/>
      <c r="XDW40" s="0"/>
      <c r="XDX40" s="0"/>
      <c r="XDY40" s="0"/>
      <c r="XDZ40" s="0"/>
      <c r="XEA40" s="0"/>
      <c r="XEB40" s="0"/>
      <c r="XEC40" s="0"/>
      <c r="XED40" s="0"/>
      <c r="XEE40" s="0"/>
      <c r="XEF40" s="0"/>
      <c r="XEG40" s="0"/>
      <c r="XEH40" s="0"/>
      <c r="XEI40" s="0"/>
      <c r="XEJ40" s="0"/>
      <c r="XEK40" s="0"/>
      <c r="XEL40" s="0"/>
      <c r="XEM40" s="0"/>
      <c r="XEN40" s="0"/>
      <c r="XEO40" s="0"/>
      <c r="XEP40" s="0"/>
      <c r="XEQ40" s="0"/>
      <c r="XER40" s="0"/>
      <c r="XES40" s="0"/>
      <c r="XET40" s="0"/>
      <c r="XEU40" s="0"/>
      <c r="XEV40" s="0"/>
      <c r="XEW40" s="0"/>
      <c r="XEX40" s="0"/>
      <c r="XEY40" s="0"/>
      <c r="XEZ40" s="0"/>
      <c r="XFA40" s="0"/>
      <c r="XFB40" s="0"/>
      <c r="XFC40" s="0"/>
    </row>
    <row r="41" s="43" customFormat="true" ht="73.5" hidden="false" customHeight="true" outlineLevel="0" collapsed="false">
      <c r="A41" s="205" t="n">
        <v>35</v>
      </c>
      <c r="B41" s="206" t="s">
        <v>730</v>
      </c>
      <c r="C41" s="207" t="s">
        <v>616</v>
      </c>
      <c r="D41" s="208" t="n">
        <v>4.4</v>
      </c>
      <c r="XDE41" s="0"/>
      <c r="XDF41" s="0"/>
      <c r="XDG41" s="0"/>
      <c r="XDH41" s="0"/>
      <c r="XDI41" s="0"/>
      <c r="XDJ41" s="0"/>
      <c r="XDK41" s="0"/>
      <c r="XDL41" s="0"/>
      <c r="XDM41" s="0"/>
      <c r="XDN41" s="0"/>
      <c r="XDO41" s="0"/>
      <c r="XDP41" s="0"/>
      <c r="XDQ41" s="0"/>
      <c r="XDR41" s="0"/>
      <c r="XDS41" s="0"/>
      <c r="XDT41" s="0"/>
      <c r="XDU41" s="0"/>
      <c r="XDV41" s="0"/>
      <c r="XDW41" s="0"/>
      <c r="XDX41" s="0"/>
      <c r="XDY41" s="0"/>
      <c r="XDZ41" s="0"/>
      <c r="XEA41" s="0"/>
      <c r="XEB41" s="0"/>
      <c r="XEC41" s="0"/>
      <c r="XED41" s="0"/>
      <c r="XEE41" s="0"/>
      <c r="XEF41" s="0"/>
      <c r="XEG41" s="0"/>
      <c r="XEH41" s="0"/>
      <c r="XEI41" s="0"/>
      <c r="XEJ41" s="0"/>
      <c r="XEK41" s="0"/>
      <c r="XEL41" s="0"/>
      <c r="XEM41" s="0"/>
      <c r="XEN41" s="0"/>
      <c r="XEO41" s="0"/>
      <c r="XEP41" s="0"/>
      <c r="XEQ41" s="0"/>
      <c r="XER41" s="0"/>
      <c r="XES41" s="0"/>
      <c r="XET41" s="0"/>
      <c r="XEU41" s="0"/>
      <c r="XEV41" s="0"/>
      <c r="XEW41" s="0"/>
      <c r="XEX41" s="0"/>
      <c r="XEY41" s="0"/>
      <c r="XEZ41" s="0"/>
      <c r="XFA41" s="0"/>
      <c r="XFB41" s="0"/>
      <c r="XFC41" s="0"/>
    </row>
    <row r="42" s="43" customFormat="true" ht="73.5" hidden="false" customHeight="true" outlineLevel="0" collapsed="false">
      <c r="A42" s="205" t="n">
        <v>36</v>
      </c>
      <c r="B42" s="206" t="s">
        <v>731</v>
      </c>
      <c r="C42" s="207" t="s">
        <v>616</v>
      </c>
      <c r="D42" s="208" t="n">
        <v>4</v>
      </c>
      <c r="XDE42" s="0"/>
      <c r="XDF42" s="0"/>
      <c r="XDG42" s="0"/>
      <c r="XDH42" s="0"/>
      <c r="XDI42" s="0"/>
      <c r="XDJ42" s="0"/>
      <c r="XDK42" s="0"/>
      <c r="XDL42" s="0"/>
      <c r="XDM42" s="0"/>
      <c r="XDN42" s="0"/>
      <c r="XDO42" s="0"/>
      <c r="XDP42" s="0"/>
      <c r="XDQ42" s="0"/>
      <c r="XDR42" s="0"/>
      <c r="XDS42" s="0"/>
      <c r="XDT42" s="0"/>
      <c r="XDU42" s="0"/>
      <c r="XDV42" s="0"/>
      <c r="XDW42" s="0"/>
      <c r="XDX42" s="0"/>
      <c r="XDY42" s="0"/>
      <c r="XDZ42" s="0"/>
      <c r="XEA42" s="0"/>
      <c r="XEB42" s="0"/>
      <c r="XEC42" s="0"/>
      <c r="XED42" s="0"/>
      <c r="XEE42" s="0"/>
      <c r="XEF42" s="0"/>
      <c r="XEG42" s="0"/>
      <c r="XEH42" s="0"/>
      <c r="XEI42" s="0"/>
      <c r="XEJ42" s="0"/>
      <c r="XEK42" s="0"/>
      <c r="XEL42" s="0"/>
      <c r="XEM42" s="0"/>
      <c r="XEN42" s="0"/>
      <c r="XEO42" s="0"/>
      <c r="XEP42" s="0"/>
      <c r="XEQ42" s="0"/>
      <c r="XER42" s="0"/>
      <c r="XES42" s="0"/>
      <c r="XET42" s="0"/>
      <c r="XEU42" s="0"/>
      <c r="XEV42" s="0"/>
      <c r="XEW42" s="0"/>
      <c r="XEX42" s="0"/>
      <c r="XEY42" s="0"/>
      <c r="XEZ42" s="0"/>
      <c r="XFA42" s="0"/>
      <c r="XFB42" s="0"/>
      <c r="XFC42" s="0"/>
    </row>
    <row r="43" s="43" customFormat="true" ht="73.5" hidden="false" customHeight="true" outlineLevel="0" collapsed="false">
      <c r="A43" s="205" t="n">
        <v>37</v>
      </c>
      <c r="B43" s="206" t="s">
        <v>732</v>
      </c>
      <c r="C43" s="207" t="s">
        <v>679</v>
      </c>
      <c r="D43" s="208" t="n">
        <v>8</v>
      </c>
      <c r="XDE43" s="0"/>
      <c r="XDF43" s="0"/>
      <c r="XDG43" s="0"/>
      <c r="XDH43" s="0"/>
      <c r="XDI43" s="0"/>
      <c r="XDJ43" s="0"/>
      <c r="XDK43" s="0"/>
      <c r="XDL43" s="0"/>
      <c r="XDM43" s="0"/>
      <c r="XDN43" s="0"/>
      <c r="XDO43" s="0"/>
      <c r="XDP43" s="0"/>
      <c r="XDQ43" s="0"/>
      <c r="XDR43" s="0"/>
      <c r="XDS43" s="0"/>
      <c r="XDT43" s="0"/>
      <c r="XDU43" s="0"/>
      <c r="XDV43" s="0"/>
      <c r="XDW43" s="0"/>
      <c r="XDX43" s="0"/>
      <c r="XDY43" s="0"/>
      <c r="XDZ43" s="0"/>
      <c r="XEA43" s="0"/>
      <c r="XEB43" s="0"/>
      <c r="XEC43" s="0"/>
      <c r="XED43" s="0"/>
      <c r="XEE43" s="0"/>
      <c r="XEF43" s="0"/>
      <c r="XEG43" s="0"/>
      <c r="XEH43" s="0"/>
      <c r="XEI43" s="0"/>
      <c r="XEJ43" s="0"/>
      <c r="XEK43" s="0"/>
      <c r="XEL43" s="0"/>
      <c r="XEM43" s="0"/>
      <c r="XEN43" s="0"/>
      <c r="XEO43" s="0"/>
      <c r="XEP43" s="0"/>
      <c r="XEQ43" s="0"/>
      <c r="XER43" s="0"/>
      <c r="XES43" s="0"/>
      <c r="XET43" s="0"/>
      <c r="XEU43" s="0"/>
      <c r="XEV43" s="0"/>
      <c r="XEW43" s="0"/>
      <c r="XEX43" s="0"/>
      <c r="XEY43" s="0"/>
      <c r="XEZ43" s="0"/>
      <c r="XFA43" s="0"/>
      <c r="XFB43" s="0"/>
      <c r="XFC43" s="0"/>
    </row>
    <row r="44" s="43" customFormat="true" ht="73.5" hidden="false" customHeight="true" outlineLevel="0" collapsed="false">
      <c r="A44" s="205" t="n">
        <v>38</v>
      </c>
      <c r="B44" s="206" t="s">
        <v>733</v>
      </c>
      <c r="C44" s="207" t="s">
        <v>679</v>
      </c>
      <c r="D44" s="208" t="n">
        <v>200</v>
      </c>
      <c r="XDE44" s="0"/>
      <c r="XDF44" s="0"/>
      <c r="XDG44" s="0"/>
      <c r="XDH44" s="0"/>
      <c r="XDI44" s="0"/>
      <c r="XDJ44" s="0"/>
      <c r="XDK44" s="0"/>
      <c r="XDL44" s="0"/>
      <c r="XDM44" s="0"/>
      <c r="XDN44" s="0"/>
      <c r="XDO44" s="0"/>
      <c r="XDP44" s="0"/>
      <c r="XDQ44" s="0"/>
      <c r="XDR44" s="0"/>
      <c r="XDS44" s="0"/>
      <c r="XDT44" s="0"/>
      <c r="XDU44" s="0"/>
      <c r="XDV44" s="0"/>
      <c r="XDW44" s="0"/>
      <c r="XDX44" s="0"/>
      <c r="XDY44" s="0"/>
      <c r="XDZ44" s="0"/>
      <c r="XEA44" s="0"/>
      <c r="XEB44" s="0"/>
      <c r="XEC44" s="0"/>
      <c r="XED44" s="0"/>
      <c r="XEE44" s="0"/>
      <c r="XEF44" s="0"/>
      <c r="XEG44" s="0"/>
      <c r="XEH44" s="0"/>
      <c r="XEI44" s="0"/>
      <c r="XEJ44" s="0"/>
      <c r="XEK44" s="0"/>
      <c r="XEL44" s="0"/>
      <c r="XEM44" s="0"/>
      <c r="XEN44" s="0"/>
      <c r="XEO44" s="0"/>
      <c r="XEP44" s="0"/>
      <c r="XEQ44" s="0"/>
      <c r="XER44" s="0"/>
      <c r="XES44" s="0"/>
      <c r="XET44" s="0"/>
      <c r="XEU44" s="0"/>
      <c r="XEV44" s="0"/>
      <c r="XEW44" s="0"/>
      <c r="XEX44" s="0"/>
      <c r="XEY44" s="0"/>
      <c r="XEZ44" s="0"/>
      <c r="XFA44" s="0"/>
      <c r="XFB44" s="0"/>
      <c r="XFC44" s="0"/>
    </row>
    <row r="45" s="43" customFormat="true" ht="73.5" hidden="false" customHeight="true" outlineLevel="0" collapsed="false">
      <c r="A45" s="205" t="n">
        <v>39</v>
      </c>
      <c r="B45" s="206" t="s">
        <v>734</v>
      </c>
      <c r="C45" s="207" t="s">
        <v>616</v>
      </c>
      <c r="D45" s="208" t="n">
        <v>0.7</v>
      </c>
      <c r="XDE45" s="0"/>
      <c r="XDF45" s="0"/>
      <c r="XDG45" s="0"/>
      <c r="XDH45" s="0"/>
      <c r="XDI45" s="0"/>
      <c r="XDJ45" s="0"/>
      <c r="XDK45" s="0"/>
      <c r="XDL45" s="0"/>
      <c r="XDM45" s="0"/>
      <c r="XDN45" s="0"/>
      <c r="XDO45" s="0"/>
      <c r="XDP45" s="0"/>
      <c r="XDQ45" s="0"/>
      <c r="XDR45" s="0"/>
      <c r="XDS45" s="0"/>
      <c r="XDT45" s="0"/>
      <c r="XDU45" s="0"/>
      <c r="XDV45" s="0"/>
      <c r="XDW45" s="0"/>
      <c r="XDX45" s="0"/>
      <c r="XDY45" s="0"/>
      <c r="XDZ45" s="0"/>
      <c r="XEA45" s="0"/>
      <c r="XEB45" s="0"/>
      <c r="XEC45" s="0"/>
      <c r="XED45" s="0"/>
      <c r="XEE45" s="0"/>
      <c r="XEF45" s="0"/>
      <c r="XEG45" s="0"/>
      <c r="XEH45" s="0"/>
      <c r="XEI45" s="0"/>
      <c r="XEJ45" s="0"/>
      <c r="XEK45" s="0"/>
      <c r="XEL45" s="0"/>
      <c r="XEM45" s="0"/>
      <c r="XEN45" s="0"/>
      <c r="XEO45" s="0"/>
      <c r="XEP45" s="0"/>
      <c r="XEQ45" s="0"/>
      <c r="XER45" s="0"/>
      <c r="XES45" s="0"/>
      <c r="XET45" s="0"/>
      <c r="XEU45" s="0"/>
      <c r="XEV45" s="0"/>
      <c r="XEW45" s="0"/>
      <c r="XEX45" s="0"/>
      <c r="XEY45" s="0"/>
      <c r="XEZ45" s="0"/>
      <c r="XFA45" s="0"/>
      <c r="XFB45" s="0"/>
      <c r="XFC45" s="0"/>
    </row>
    <row r="46" s="43" customFormat="true" ht="73.5" hidden="false" customHeight="true" outlineLevel="0" collapsed="false">
      <c r="A46" s="205" t="n">
        <v>40</v>
      </c>
      <c r="B46" s="206" t="s">
        <v>735</v>
      </c>
      <c r="C46" s="207" t="s">
        <v>616</v>
      </c>
      <c r="D46" s="208" t="n">
        <v>3.1962</v>
      </c>
      <c r="XDE46" s="0"/>
      <c r="XDF46" s="0"/>
      <c r="XDG46" s="0"/>
      <c r="XDH46" s="0"/>
      <c r="XDI46" s="0"/>
      <c r="XDJ46" s="0"/>
      <c r="XDK46" s="0"/>
      <c r="XDL46" s="0"/>
      <c r="XDM46" s="0"/>
      <c r="XDN46" s="0"/>
      <c r="XDO46" s="0"/>
      <c r="XDP46" s="0"/>
      <c r="XDQ46" s="0"/>
      <c r="XDR46" s="0"/>
      <c r="XDS46" s="0"/>
      <c r="XDT46" s="0"/>
      <c r="XDU46" s="0"/>
      <c r="XDV46" s="0"/>
      <c r="XDW46" s="0"/>
      <c r="XDX46" s="0"/>
      <c r="XDY46" s="0"/>
      <c r="XDZ46" s="0"/>
      <c r="XEA46" s="0"/>
      <c r="XEB46" s="0"/>
      <c r="XEC46" s="0"/>
      <c r="XED46" s="0"/>
      <c r="XEE46" s="0"/>
      <c r="XEF46" s="0"/>
      <c r="XEG46" s="0"/>
      <c r="XEH46" s="0"/>
      <c r="XEI46" s="0"/>
      <c r="XEJ46" s="0"/>
      <c r="XEK46" s="0"/>
      <c r="XEL46" s="0"/>
      <c r="XEM46" s="0"/>
      <c r="XEN46" s="0"/>
      <c r="XEO46" s="0"/>
      <c r="XEP46" s="0"/>
      <c r="XEQ46" s="0"/>
      <c r="XER46" s="0"/>
      <c r="XES46" s="0"/>
      <c r="XET46" s="0"/>
      <c r="XEU46" s="0"/>
      <c r="XEV46" s="0"/>
      <c r="XEW46" s="0"/>
      <c r="XEX46" s="0"/>
      <c r="XEY46" s="0"/>
      <c r="XEZ46" s="0"/>
      <c r="XFA46" s="0"/>
      <c r="XFB46" s="0"/>
      <c r="XFC46" s="0"/>
    </row>
    <row r="47" s="43" customFormat="true" ht="73.5" hidden="false" customHeight="true" outlineLevel="0" collapsed="false">
      <c r="A47" s="205" t="n">
        <v>41</v>
      </c>
      <c r="B47" s="206" t="s">
        <v>736</v>
      </c>
      <c r="C47" s="207" t="s">
        <v>679</v>
      </c>
      <c r="D47" s="208" t="n">
        <v>144</v>
      </c>
      <c r="XDE47" s="0"/>
      <c r="XDF47" s="0"/>
      <c r="XDG47" s="0"/>
      <c r="XDH47" s="0"/>
      <c r="XDI47" s="0"/>
      <c r="XDJ47" s="0"/>
      <c r="XDK47" s="0"/>
      <c r="XDL47" s="0"/>
      <c r="XDM47" s="0"/>
      <c r="XDN47" s="0"/>
      <c r="XDO47" s="0"/>
      <c r="XDP47" s="0"/>
      <c r="XDQ47" s="0"/>
      <c r="XDR47" s="0"/>
      <c r="XDS47" s="0"/>
      <c r="XDT47" s="0"/>
      <c r="XDU47" s="0"/>
      <c r="XDV47" s="0"/>
      <c r="XDW47" s="0"/>
      <c r="XDX47" s="0"/>
      <c r="XDY47" s="0"/>
      <c r="XDZ47" s="0"/>
      <c r="XEA47" s="0"/>
      <c r="XEB47" s="0"/>
      <c r="XEC47" s="0"/>
      <c r="XED47" s="0"/>
      <c r="XEE47" s="0"/>
      <c r="XEF47" s="0"/>
      <c r="XEG47" s="0"/>
      <c r="XEH47" s="0"/>
      <c r="XEI47" s="0"/>
      <c r="XEJ47" s="0"/>
      <c r="XEK47" s="0"/>
      <c r="XEL47" s="0"/>
      <c r="XEM47" s="0"/>
      <c r="XEN47" s="0"/>
      <c r="XEO47" s="0"/>
      <c r="XEP47" s="0"/>
      <c r="XEQ47" s="0"/>
      <c r="XER47" s="0"/>
      <c r="XES47" s="0"/>
      <c r="XET47" s="0"/>
      <c r="XEU47" s="0"/>
      <c r="XEV47" s="0"/>
      <c r="XEW47" s="0"/>
      <c r="XEX47" s="0"/>
      <c r="XEY47" s="0"/>
      <c r="XEZ47" s="0"/>
      <c r="XFA47" s="0"/>
      <c r="XFB47" s="0"/>
      <c r="XFC47" s="0"/>
    </row>
    <row r="48" s="43" customFormat="true" ht="73.5" hidden="false" customHeight="true" outlineLevel="0" collapsed="false">
      <c r="A48" s="205" t="n">
        <v>42</v>
      </c>
      <c r="B48" s="206" t="s">
        <v>737</v>
      </c>
      <c r="C48" s="207" t="s">
        <v>616</v>
      </c>
      <c r="D48" s="208" t="n">
        <v>7</v>
      </c>
      <c r="XDE48" s="0"/>
      <c r="XDF48" s="0"/>
      <c r="XDG48" s="0"/>
      <c r="XDH48" s="0"/>
      <c r="XDI48" s="0"/>
      <c r="XDJ48" s="0"/>
      <c r="XDK48" s="0"/>
      <c r="XDL48" s="0"/>
      <c r="XDM48" s="0"/>
      <c r="XDN48" s="0"/>
      <c r="XDO48" s="0"/>
      <c r="XDP48" s="0"/>
      <c r="XDQ48" s="0"/>
      <c r="XDR48" s="0"/>
      <c r="XDS48" s="0"/>
      <c r="XDT48" s="0"/>
      <c r="XDU48" s="0"/>
      <c r="XDV48" s="0"/>
      <c r="XDW48" s="0"/>
      <c r="XDX48" s="0"/>
      <c r="XDY48" s="0"/>
      <c r="XDZ48" s="0"/>
      <c r="XEA48" s="0"/>
      <c r="XEB48" s="0"/>
      <c r="XEC48" s="0"/>
      <c r="XED48" s="0"/>
      <c r="XEE48" s="0"/>
      <c r="XEF48" s="0"/>
      <c r="XEG48" s="0"/>
      <c r="XEH48" s="0"/>
      <c r="XEI48" s="0"/>
      <c r="XEJ48" s="0"/>
      <c r="XEK48" s="0"/>
      <c r="XEL48" s="0"/>
      <c r="XEM48" s="0"/>
      <c r="XEN48" s="0"/>
      <c r="XEO48" s="0"/>
      <c r="XEP48" s="0"/>
      <c r="XEQ48" s="0"/>
      <c r="XER48" s="0"/>
      <c r="XES48" s="0"/>
      <c r="XET48" s="0"/>
      <c r="XEU48" s="0"/>
      <c r="XEV48" s="0"/>
      <c r="XEW48" s="0"/>
      <c r="XEX48" s="0"/>
      <c r="XEY48" s="0"/>
      <c r="XEZ48" s="0"/>
      <c r="XFA48" s="0"/>
      <c r="XFB48" s="0"/>
      <c r="XFC48" s="0"/>
    </row>
    <row r="49" s="43" customFormat="true" ht="73.5" hidden="false" customHeight="true" outlineLevel="0" collapsed="false">
      <c r="A49" s="205" t="n">
        <v>43</v>
      </c>
      <c r="B49" s="206" t="s">
        <v>738</v>
      </c>
      <c r="C49" s="207" t="s">
        <v>616</v>
      </c>
      <c r="D49" s="208" t="n">
        <v>1</v>
      </c>
      <c r="XDE49" s="0"/>
      <c r="XDF49" s="0"/>
      <c r="XDG49" s="0"/>
      <c r="XDH49" s="0"/>
      <c r="XDI49" s="0"/>
      <c r="XDJ49" s="0"/>
      <c r="XDK49" s="0"/>
      <c r="XDL49" s="0"/>
      <c r="XDM49" s="0"/>
      <c r="XDN49" s="0"/>
      <c r="XDO49" s="0"/>
      <c r="XDP49" s="0"/>
      <c r="XDQ49" s="0"/>
      <c r="XDR49" s="0"/>
      <c r="XDS49" s="0"/>
      <c r="XDT49" s="0"/>
      <c r="XDU49" s="0"/>
      <c r="XDV49" s="0"/>
      <c r="XDW49" s="0"/>
      <c r="XDX49" s="0"/>
      <c r="XDY49" s="0"/>
      <c r="XDZ49" s="0"/>
      <c r="XEA49" s="0"/>
      <c r="XEB49" s="0"/>
      <c r="XEC49" s="0"/>
      <c r="XED49" s="0"/>
      <c r="XEE49" s="0"/>
      <c r="XEF49" s="0"/>
      <c r="XEG49" s="0"/>
      <c r="XEH49" s="0"/>
      <c r="XEI49" s="0"/>
      <c r="XEJ49" s="0"/>
      <c r="XEK49" s="0"/>
      <c r="XEL49" s="0"/>
      <c r="XEM49" s="0"/>
      <c r="XEN49" s="0"/>
      <c r="XEO49" s="0"/>
      <c r="XEP49" s="0"/>
      <c r="XEQ49" s="0"/>
      <c r="XER49" s="0"/>
      <c r="XES49" s="0"/>
      <c r="XET49" s="0"/>
      <c r="XEU49" s="0"/>
      <c r="XEV49" s="0"/>
      <c r="XEW49" s="0"/>
      <c r="XEX49" s="0"/>
      <c r="XEY49" s="0"/>
      <c r="XEZ49" s="0"/>
      <c r="XFA49" s="0"/>
      <c r="XFB49" s="0"/>
      <c r="XFC49" s="0"/>
    </row>
    <row r="50" s="43" customFormat="true" ht="73.5" hidden="false" customHeight="true" outlineLevel="0" collapsed="false">
      <c r="A50" s="205" t="n">
        <v>44</v>
      </c>
      <c r="B50" s="206" t="s">
        <v>739</v>
      </c>
      <c r="C50" s="207" t="s">
        <v>679</v>
      </c>
      <c r="D50" s="208" t="n">
        <f aca="false">44+8</f>
        <v>52</v>
      </c>
      <c r="XDE50" s="0"/>
      <c r="XDF50" s="0"/>
      <c r="XDG50" s="0"/>
      <c r="XDH50" s="0"/>
      <c r="XDI50" s="0"/>
      <c r="XDJ50" s="0"/>
      <c r="XDK50" s="0"/>
      <c r="XDL50" s="0"/>
      <c r="XDM50" s="0"/>
      <c r="XDN50" s="0"/>
      <c r="XDO50" s="0"/>
      <c r="XDP50" s="0"/>
      <c r="XDQ50" s="0"/>
      <c r="XDR50" s="0"/>
      <c r="XDS50" s="0"/>
      <c r="XDT50" s="0"/>
      <c r="XDU50" s="0"/>
      <c r="XDV50" s="0"/>
      <c r="XDW50" s="0"/>
      <c r="XDX50" s="0"/>
      <c r="XDY50" s="0"/>
      <c r="XDZ50" s="0"/>
      <c r="XEA50" s="0"/>
      <c r="XEB50" s="0"/>
      <c r="XEC50" s="0"/>
      <c r="XED50" s="0"/>
      <c r="XEE50" s="0"/>
      <c r="XEF50" s="0"/>
      <c r="XEG50" s="0"/>
      <c r="XEH50" s="0"/>
      <c r="XEI50" s="0"/>
      <c r="XEJ50" s="0"/>
      <c r="XEK50" s="0"/>
      <c r="XEL50" s="0"/>
      <c r="XEM50" s="0"/>
      <c r="XEN50" s="0"/>
      <c r="XEO50" s="0"/>
      <c r="XEP50" s="0"/>
      <c r="XEQ50" s="0"/>
      <c r="XER50" s="0"/>
      <c r="XES50" s="0"/>
      <c r="XET50" s="0"/>
      <c r="XEU50" s="0"/>
      <c r="XEV50" s="0"/>
      <c r="XEW50" s="0"/>
      <c r="XEX50" s="0"/>
      <c r="XEY50" s="0"/>
      <c r="XEZ50" s="0"/>
      <c r="XFA50" s="0"/>
      <c r="XFB50" s="0"/>
      <c r="XFC50" s="0"/>
    </row>
    <row r="51" s="43" customFormat="true" ht="73.5" hidden="false" customHeight="true" outlineLevel="0" collapsed="false">
      <c r="A51" s="205" t="n">
        <v>45</v>
      </c>
      <c r="B51" s="206" t="s">
        <v>740</v>
      </c>
      <c r="C51" s="207" t="s">
        <v>679</v>
      </c>
      <c r="D51" s="208" t="n">
        <v>129</v>
      </c>
      <c r="XDE51" s="0"/>
      <c r="XDF51" s="0"/>
      <c r="XDG51" s="0"/>
      <c r="XDH51" s="0"/>
      <c r="XDI51" s="0"/>
      <c r="XDJ51" s="0"/>
      <c r="XDK51" s="0"/>
      <c r="XDL51" s="0"/>
      <c r="XDM51" s="0"/>
      <c r="XDN51" s="0"/>
      <c r="XDO51" s="0"/>
      <c r="XDP51" s="0"/>
      <c r="XDQ51" s="0"/>
      <c r="XDR51" s="0"/>
      <c r="XDS51" s="0"/>
      <c r="XDT51" s="0"/>
      <c r="XDU51" s="0"/>
      <c r="XDV51" s="0"/>
      <c r="XDW51" s="0"/>
      <c r="XDX51" s="0"/>
      <c r="XDY51" s="0"/>
      <c r="XDZ51" s="0"/>
      <c r="XEA51" s="0"/>
      <c r="XEB51" s="0"/>
      <c r="XEC51" s="0"/>
      <c r="XED51" s="0"/>
      <c r="XEE51" s="0"/>
      <c r="XEF51" s="0"/>
      <c r="XEG51" s="0"/>
      <c r="XEH51" s="0"/>
      <c r="XEI51" s="0"/>
      <c r="XEJ51" s="0"/>
      <c r="XEK51" s="0"/>
      <c r="XEL51" s="0"/>
      <c r="XEM51" s="0"/>
      <c r="XEN51" s="0"/>
      <c r="XEO51" s="0"/>
      <c r="XEP51" s="0"/>
      <c r="XEQ51" s="0"/>
      <c r="XER51" s="0"/>
      <c r="XES51" s="0"/>
      <c r="XET51" s="0"/>
      <c r="XEU51" s="0"/>
      <c r="XEV51" s="0"/>
      <c r="XEW51" s="0"/>
      <c r="XEX51" s="0"/>
      <c r="XEY51" s="0"/>
      <c r="XEZ51" s="0"/>
      <c r="XFA51" s="0"/>
      <c r="XFB51" s="0"/>
      <c r="XFC51" s="0"/>
    </row>
    <row r="52" s="43" customFormat="true" ht="73.5" hidden="false" customHeight="true" outlineLevel="0" collapsed="false">
      <c r="A52" s="205" t="n">
        <v>46</v>
      </c>
      <c r="B52" s="206" t="s">
        <v>741</v>
      </c>
      <c r="C52" s="207" t="s">
        <v>679</v>
      </c>
      <c r="D52" s="208" t="n">
        <v>1</v>
      </c>
      <c r="XDE52" s="0"/>
      <c r="XDF52" s="0"/>
      <c r="XDG52" s="0"/>
      <c r="XDH52" s="0"/>
      <c r="XDI52" s="0"/>
      <c r="XDJ52" s="0"/>
      <c r="XDK52" s="0"/>
      <c r="XDL52" s="0"/>
      <c r="XDM52" s="0"/>
      <c r="XDN52" s="0"/>
      <c r="XDO52" s="0"/>
      <c r="XDP52" s="0"/>
      <c r="XDQ52" s="0"/>
      <c r="XDR52" s="0"/>
      <c r="XDS52" s="0"/>
      <c r="XDT52" s="0"/>
      <c r="XDU52" s="0"/>
      <c r="XDV52" s="0"/>
      <c r="XDW52" s="0"/>
      <c r="XDX52" s="0"/>
      <c r="XDY52" s="0"/>
      <c r="XDZ52" s="0"/>
      <c r="XEA52" s="0"/>
      <c r="XEB52" s="0"/>
      <c r="XEC52" s="0"/>
      <c r="XED52" s="0"/>
      <c r="XEE52" s="0"/>
      <c r="XEF52" s="0"/>
      <c r="XEG52" s="0"/>
      <c r="XEH52" s="0"/>
      <c r="XEI52" s="0"/>
      <c r="XEJ52" s="0"/>
      <c r="XEK52" s="0"/>
      <c r="XEL52" s="0"/>
      <c r="XEM52" s="0"/>
      <c r="XEN52" s="0"/>
      <c r="XEO52" s="0"/>
      <c r="XEP52" s="0"/>
      <c r="XEQ52" s="0"/>
      <c r="XER52" s="0"/>
      <c r="XES52" s="0"/>
      <c r="XET52" s="0"/>
      <c r="XEU52" s="0"/>
      <c r="XEV52" s="0"/>
      <c r="XEW52" s="0"/>
      <c r="XEX52" s="0"/>
      <c r="XEY52" s="0"/>
      <c r="XEZ52" s="0"/>
      <c r="XFA52" s="0"/>
      <c r="XFB52" s="0"/>
      <c r="XFC52" s="0"/>
    </row>
    <row r="53" s="43" customFormat="true" ht="73.5" hidden="false" customHeight="true" outlineLevel="0" collapsed="false">
      <c r="A53" s="205" t="n">
        <v>47</v>
      </c>
      <c r="B53" s="206" t="s">
        <v>742</v>
      </c>
      <c r="C53" s="207" t="s">
        <v>679</v>
      </c>
      <c r="D53" s="208" t="n">
        <v>1</v>
      </c>
      <c r="XDE53" s="0"/>
      <c r="XDF53" s="0"/>
      <c r="XDG53" s="0"/>
      <c r="XDH53" s="0"/>
      <c r="XDI53" s="0"/>
      <c r="XDJ53" s="0"/>
      <c r="XDK53" s="0"/>
      <c r="XDL53" s="0"/>
      <c r="XDM53" s="0"/>
      <c r="XDN53" s="0"/>
      <c r="XDO53" s="0"/>
      <c r="XDP53" s="0"/>
      <c r="XDQ53" s="0"/>
      <c r="XDR53" s="0"/>
      <c r="XDS53" s="0"/>
      <c r="XDT53" s="0"/>
      <c r="XDU53" s="0"/>
      <c r="XDV53" s="0"/>
      <c r="XDW53" s="0"/>
      <c r="XDX53" s="0"/>
      <c r="XDY53" s="0"/>
      <c r="XDZ53" s="0"/>
      <c r="XEA53" s="0"/>
      <c r="XEB53" s="0"/>
      <c r="XEC53" s="0"/>
      <c r="XED53" s="0"/>
      <c r="XEE53" s="0"/>
      <c r="XEF53" s="0"/>
      <c r="XEG53" s="0"/>
      <c r="XEH53" s="0"/>
      <c r="XEI53" s="0"/>
      <c r="XEJ53" s="0"/>
      <c r="XEK53" s="0"/>
      <c r="XEL53" s="0"/>
      <c r="XEM53" s="0"/>
      <c r="XEN53" s="0"/>
      <c r="XEO53" s="0"/>
      <c r="XEP53" s="0"/>
      <c r="XEQ53" s="0"/>
      <c r="XER53" s="0"/>
      <c r="XES53" s="0"/>
      <c r="XET53" s="0"/>
      <c r="XEU53" s="0"/>
      <c r="XEV53" s="0"/>
      <c r="XEW53" s="0"/>
      <c r="XEX53" s="0"/>
      <c r="XEY53" s="0"/>
      <c r="XEZ53" s="0"/>
      <c r="XFA53" s="0"/>
      <c r="XFB53" s="0"/>
      <c r="XFC53" s="0"/>
    </row>
    <row r="54" s="43" customFormat="true" ht="73.5" hidden="false" customHeight="true" outlineLevel="0" collapsed="false">
      <c r="A54" s="205" t="n">
        <v>48</v>
      </c>
      <c r="B54" s="206" t="s">
        <v>743</v>
      </c>
      <c r="C54" s="207" t="s">
        <v>679</v>
      </c>
      <c r="D54" s="208" t="n">
        <v>4</v>
      </c>
      <c r="XDE54" s="0"/>
      <c r="XDF54" s="0"/>
      <c r="XDG54" s="0"/>
      <c r="XDH54" s="0"/>
      <c r="XDI54" s="0"/>
      <c r="XDJ54" s="0"/>
      <c r="XDK54" s="0"/>
      <c r="XDL54" s="0"/>
      <c r="XDM54" s="0"/>
      <c r="XDN54" s="0"/>
      <c r="XDO54" s="0"/>
      <c r="XDP54" s="0"/>
      <c r="XDQ54" s="0"/>
      <c r="XDR54" s="0"/>
      <c r="XDS54" s="0"/>
      <c r="XDT54" s="0"/>
      <c r="XDU54" s="0"/>
      <c r="XDV54" s="0"/>
      <c r="XDW54" s="0"/>
      <c r="XDX54" s="0"/>
      <c r="XDY54" s="0"/>
      <c r="XDZ54" s="0"/>
      <c r="XEA54" s="0"/>
      <c r="XEB54" s="0"/>
      <c r="XEC54" s="0"/>
      <c r="XED54" s="0"/>
      <c r="XEE54" s="0"/>
      <c r="XEF54" s="0"/>
      <c r="XEG54" s="0"/>
      <c r="XEH54" s="0"/>
      <c r="XEI54" s="0"/>
      <c r="XEJ54" s="0"/>
      <c r="XEK54" s="0"/>
      <c r="XEL54" s="0"/>
      <c r="XEM54" s="0"/>
      <c r="XEN54" s="0"/>
      <c r="XEO54" s="0"/>
      <c r="XEP54" s="0"/>
      <c r="XEQ54" s="0"/>
      <c r="XER54" s="0"/>
      <c r="XES54" s="0"/>
      <c r="XET54" s="0"/>
      <c r="XEU54" s="0"/>
      <c r="XEV54" s="0"/>
      <c r="XEW54" s="0"/>
      <c r="XEX54" s="0"/>
      <c r="XEY54" s="0"/>
      <c r="XEZ54" s="0"/>
      <c r="XFA54" s="0"/>
      <c r="XFB54" s="0"/>
      <c r="XFC54" s="0"/>
    </row>
    <row r="55" s="43" customFormat="true" ht="73.5" hidden="false" customHeight="true" outlineLevel="0" collapsed="false">
      <c r="A55" s="205" t="n">
        <v>49</v>
      </c>
      <c r="B55" s="206" t="s">
        <v>744</v>
      </c>
      <c r="C55" s="207" t="s">
        <v>392</v>
      </c>
      <c r="D55" s="208" t="n">
        <v>46</v>
      </c>
      <c r="XDE55" s="0"/>
      <c r="XDF55" s="0"/>
      <c r="XDG55" s="0"/>
      <c r="XDH55" s="0"/>
      <c r="XDI55" s="0"/>
      <c r="XDJ55" s="0"/>
      <c r="XDK55" s="0"/>
      <c r="XDL55" s="0"/>
      <c r="XDM55" s="0"/>
      <c r="XDN55" s="0"/>
      <c r="XDO55" s="0"/>
      <c r="XDP55" s="0"/>
      <c r="XDQ55" s="0"/>
      <c r="XDR55" s="0"/>
      <c r="XDS55" s="0"/>
      <c r="XDT55" s="0"/>
      <c r="XDU55" s="0"/>
      <c r="XDV55" s="0"/>
      <c r="XDW55" s="0"/>
      <c r="XDX55" s="0"/>
      <c r="XDY55" s="0"/>
      <c r="XDZ55" s="0"/>
      <c r="XEA55" s="0"/>
      <c r="XEB55" s="0"/>
      <c r="XEC55" s="0"/>
      <c r="XED55" s="0"/>
      <c r="XEE55" s="0"/>
      <c r="XEF55" s="0"/>
      <c r="XEG55" s="0"/>
      <c r="XEH55" s="0"/>
      <c r="XEI55" s="0"/>
      <c r="XEJ55" s="0"/>
      <c r="XEK55" s="0"/>
      <c r="XEL55" s="0"/>
      <c r="XEM55" s="0"/>
      <c r="XEN55" s="0"/>
      <c r="XEO55" s="0"/>
      <c r="XEP55" s="0"/>
      <c r="XEQ55" s="0"/>
      <c r="XER55" s="0"/>
      <c r="XES55" s="0"/>
      <c r="XET55" s="0"/>
      <c r="XEU55" s="0"/>
      <c r="XEV55" s="0"/>
      <c r="XEW55" s="0"/>
      <c r="XEX55" s="0"/>
      <c r="XEY55" s="0"/>
      <c r="XEZ55" s="0"/>
      <c r="XFA55" s="0"/>
      <c r="XFB55" s="0"/>
      <c r="XFC55" s="0"/>
    </row>
    <row r="56" s="43" customFormat="true" ht="73.5" hidden="false" customHeight="true" outlineLevel="0" collapsed="false">
      <c r="A56" s="205" t="n">
        <v>50</v>
      </c>
      <c r="B56" s="206" t="s">
        <v>745</v>
      </c>
      <c r="C56" s="207" t="s">
        <v>679</v>
      </c>
      <c r="D56" s="208" t="n">
        <v>10</v>
      </c>
      <c r="XDE56" s="0"/>
      <c r="XDF56" s="0"/>
      <c r="XDG56" s="0"/>
      <c r="XDH56" s="0"/>
      <c r="XDI56" s="0"/>
      <c r="XDJ56" s="0"/>
      <c r="XDK56" s="0"/>
      <c r="XDL56" s="0"/>
      <c r="XDM56" s="0"/>
      <c r="XDN56" s="0"/>
      <c r="XDO56" s="0"/>
      <c r="XDP56" s="0"/>
      <c r="XDQ56" s="0"/>
      <c r="XDR56" s="0"/>
      <c r="XDS56" s="0"/>
      <c r="XDT56" s="0"/>
      <c r="XDU56" s="0"/>
      <c r="XDV56" s="0"/>
      <c r="XDW56" s="0"/>
      <c r="XDX56" s="0"/>
      <c r="XDY56" s="0"/>
      <c r="XDZ56" s="0"/>
      <c r="XEA56" s="0"/>
      <c r="XEB56" s="0"/>
      <c r="XEC56" s="0"/>
      <c r="XED56" s="0"/>
      <c r="XEE56" s="0"/>
      <c r="XEF56" s="0"/>
      <c r="XEG56" s="0"/>
      <c r="XEH56" s="0"/>
      <c r="XEI56" s="0"/>
      <c r="XEJ56" s="0"/>
      <c r="XEK56" s="0"/>
      <c r="XEL56" s="0"/>
      <c r="XEM56" s="0"/>
      <c r="XEN56" s="0"/>
      <c r="XEO56" s="0"/>
      <c r="XEP56" s="0"/>
      <c r="XEQ56" s="0"/>
      <c r="XER56" s="0"/>
      <c r="XES56" s="0"/>
      <c r="XET56" s="0"/>
      <c r="XEU56" s="0"/>
      <c r="XEV56" s="0"/>
      <c r="XEW56" s="0"/>
      <c r="XEX56" s="0"/>
      <c r="XEY56" s="0"/>
      <c r="XEZ56" s="0"/>
      <c r="XFA56" s="0"/>
      <c r="XFB56" s="0"/>
      <c r="XFC56" s="0"/>
    </row>
    <row r="57" s="43" customFormat="true" ht="73.5" hidden="false" customHeight="true" outlineLevel="0" collapsed="false">
      <c r="A57" s="205" t="n">
        <v>51</v>
      </c>
      <c r="B57" s="206" t="s">
        <v>746</v>
      </c>
      <c r="C57" s="207" t="s">
        <v>616</v>
      </c>
      <c r="D57" s="208" t="n">
        <f aca="false">1537.65+211</f>
        <v>1748.65</v>
      </c>
      <c r="XDE57" s="0"/>
      <c r="XDF57" s="0"/>
      <c r="XDG57" s="0"/>
      <c r="XDH57" s="0"/>
      <c r="XDI57" s="0"/>
      <c r="XDJ57" s="0"/>
      <c r="XDK57" s="0"/>
      <c r="XDL57" s="0"/>
      <c r="XDM57" s="0"/>
      <c r="XDN57" s="0"/>
      <c r="XDO57" s="0"/>
      <c r="XDP57" s="0"/>
      <c r="XDQ57" s="0"/>
      <c r="XDR57" s="0"/>
      <c r="XDS57" s="0"/>
      <c r="XDT57" s="0"/>
      <c r="XDU57" s="0"/>
      <c r="XDV57" s="0"/>
      <c r="XDW57" s="0"/>
      <c r="XDX57" s="0"/>
      <c r="XDY57" s="0"/>
      <c r="XDZ57" s="0"/>
      <c r="XEA57" s="0"/>
      <c r="XEB57" s="0"/>
      <c r="XEC57" s="0"/>
      <c r="XED57" s="0"/>
      <c r="XEE57" s="0"/>
      <c r="XEF57" s="0"/>
      <c r="XEG57" s="0"/>
      <c r="XEH57" s="0"/>
      <c r="XEI57" s="0"/>
      <c r="XEJ57" s="0"/>
      <c r="XEK57" s="0"/>
      <c r="XEL57" s="0"/>
      <c r="XEM57" s="0"/>
      <c r="XEN57" s="0"/>
      <c r="XEO57" s="0"/>
      <c r="XEP57" s="0"/>
      <c r="XEQ57" s="0"/>
      <c r="XER57" s="0"/>
      <c r="XES57" s="0"/>
      <c r="XET57" s="0"/>
      <c r="XEU57" s="0"/>
      <c r="XEV57" s="0"/>
      <c r="XEW57" s="0"/>
      <c r="XEX57" s="0"/>
      <c r="XEY57" s="0"/>
      <c r="XEZ57" s="0"/>
      <c r="XFA57" s="0"/>
      <c r="XFB57" s="0"/>
      <c r="XFC57" s="0"/>
    </row>
    <row r="58" s="43" customFormat="true" ht="73.5" hidden="false" customHeight="true" outlineLevel="0" collapsed="false">
      <c r="A58" s="205" t="n">
        <v>52</v>
      </c>
      <c r="B58" s="206" t="s">
        <v>747</v>
      </c>
      <c r="C58" s="207" t="s">
        <v>679</v>
      </c>
      <c r="D58" s="208" t="n">
        <v>8</v>
      </c>
      <c r="XDE58" s="0"/>
      <c r="XDF58" s="0"/>
      <c r="XDG58" s="0"/>
      <c r="XDH58" s="0"/>
      <c r="XDI58" s="0"/>
      <c r="XDJ58" s="0"/>
      <c r="XDK58" s="0"/>
      <c r="XDL58" s="0"/>
      <c r="XDM58" s="0"/>
      <c r="XDN58" s="0"/>
      <c r="XDO58" s="0"/>
      <c r="XDP58" s="0"/>
      <c r="XDQ58" s="0"/>
      <c r="XDR58" s="0"/>
      <c r="XDS58" s="0"/>
      <c r="XDT58" s="0"/>
      <c r="XDU58" s="0"/>
      <c r="XDV58" s="0"/>
      <c r="XDW58" s="0"/>
      <c r="XDX58" s="0"/>
      <c r="XDY58" s="0"/>
      <c r="XDZ58" s="0"/>
      <c r="XEA58" s="0"/>
      <c r="XEB58" s="0"/>
      <c r="XEC58" s="0"/>
      <c r="XED58" s="0"/>
      <c r="XEE58" s="0"/>
      <c r="XEF58" s="0"/>
      <c r="XEG58" s="0"/>
      <c r="XEH58" s="0"/>
      <c r="XEI58" s="0"/>
      <c r="XEJ58" s="0"/>
      <c r="XEK58" s="0"/>
      <c r="XEL58" s="0"/>
      <c r="XEM58" s="0"/>
      <c r="XEN58" s="0"/>
      <c r="XEO58" s="0"/>
      <c r="XEP58" s="0"/>
      <c r="XEQ58" s="0"/>
      <c r="XER58" s="0"/>
      <c r="XES58" s="0"/>
      <c r="XET58" s="0"/>
      <c r="XEU58" s="0"/>
      <c r="XEV58" s="0"/>
      <c r="XEW58" s="0"/>
      <c r="XEX58" s="0"/>
      <c r="XEY58" s="0"/>
      <c r="XEZ58" s="0"/>
      <c r="XFA58" s="0"/>
      <c r="XFB58" s="0"/>
      <c r="XFC58" s="0"/>
    </row>
    <row r="59" s="43" customFormat="true" ht="73.5" hidden="false" customHeight="true" outlineLevel="0" collapsed="false">
      <c r="A59" s="205" t="n">
        <v>53</v>
      </c>
      <c r="B59" s="206" t="s">
        <v>748</v>
      </c>
      <c r="C59" s="207" t="s">
        <v>679</v>
      </c>
      <c r="D59" s="208" t="n">
        <v>20</v>
      </c>
      <c r="XDE59" s="0"/>
      <c r="XDF59" s="0"/>
      <c r="XDG59" s="0"/>
      <c r="XDH59" s="0"/>
      <c r="XDI59" s="0"/>
      <c r="XDJ59" s="0"/>
      <c r="XDK59" s="0"/>
      <c r="XDL59" s="0"/>
      <c r="XDM59" s="0"/>
      <c r="XDN59" s="0"/>
      <c r="XDO59" s="0"/>
      <c r="XDP59" s="0"/>
      <c r="XDQ59" s="0"/>
      <c r="XDR59" s="0"/>
      <c r="XDS59" s="0"/>
      <c r="XDT59" s="0"/>
      <c r="XDU59" s="0"/>
      <c r="XDV59" s="0"/>
      <c r="XDW59" s="0"/>
      <c r="XDX59" s="0"/>
      <c r="XDY59" s="0"/>
      <c r="XDZ59" s="0"/>
      <c r="XEA59" s="0"/>
      <c r="XEB59" s="0"/>
      <c r="XEC59" s="0"/>
      <c r="XED59" s="0"/>
      <c r="XEE59" s="0"/>
      <c r="XEF59" s="0"/>
      <c r="XEG59" s="0"/>
      <c r="XEH59" s="0"/>
      <c r="XEI59" s="0"/>
      <c r="XEJ59" s="0"/>
      <c r="XEK59" s="0"/>
      <c r="XEL59" s="0"/>
      <c r="XEM59" s="0"/>
      <c r="XEN59" s="0"/>
      <c r="XEO59" s="0"/>
      <c r="XEP59" s="0"/>
      <c r="XEQ59" s="0"/>
      <c r="XER59" s="0"/>
      <c r="XES59" s="0"/>
      <c r="XET59" s="0"/>
      <c r="XEU59" s="0"/>
      <c r="XEV59" s="0"/>
      <c r="XEW59" s="0"/>
      <c r="XEX59" s="0"/>
      <c r="XEY59" s="0"/>
      <c r="XEZ59" s="0"/>
      <c r="XFA59" s="0"/>
      <c r="XFB59" s="0"/>
      <c r="XFC59" s="0"/>
    </row>
    <row r="60" s="43" customFormat="true" ht="73.5" hidden="false" customHeight="true" outlineLevel="0" collapsed="false">
      <c r="A60" s="205" t="n">
        <v>54</v>
      </c>
      <c r="B60" s="206" t="s">
        <v>749</v>
      </c>
      <c r="C60" s="207" t="s">
        <v>679</v>
      </c>
      <c r="D60" s="208" t="n">
        <v>20</v>
      </c>
      <c r="XDE60" s="0"/>
      <c r="XDF60" s="0"/>
      <c r="XDG60" s="0"/>
      <c r="XDH60" s="0"/>
      <c r="XDI60" s="0"/>
      <c r="XDJ60" s="0"/>
      <c r="XDK60" s="0"/>
      <c r="XDL60" s="0"/>
      <c r="XDM60" s="0"/>
      <c r="XDN60" s="0"/>
      <c r="XDO60" s="0"/>
      <c r="XDP60" s="0"/>
      <c r="XDQ60" s="0"/>
      <c r="XDR60" s="0"/>
      <c r="XDS60" s="0"/>
      <c r="XDT60" s="0"/>
      <c r="XDU60" s="0"/>
      <c r="XDV60" s="0"/>
      <c r="XDW60" s="0"/>
      <c r="XDX60" s="0"/>
      <c r="XDY60" s="0"/>
      <c r="XDZ60" s="0"/>
      <c r="XEA60" s="0"/>
      <c r="XEB60" s="0"/>
      <c r="XEC60" s="0"/>
      <c r="XED60" s="0"/>
      <c r="XEE60" s="0"/>
      <c r="XEF60" s="0"/>
      <c r="XEG60" s="0"/>
      <c r="XEH60" s="0"/>
      <c r="XEI60" s="0"/>
      <c r="XEJ60" s="0"/>
      <c r="XEK60" s="0"/>
      <c r="XEL60" s="0"/>
      <c r="XEM60" s="0"/>
      <c r="XEN60" s="0"/>
      <c r="XEO60" s="0"/>
      <c r="XEP60" s="0"/>
      <c r="XEQ60" s="0"/>
      <c r="XER60" s="0"/>
      <c r="XES60" s="0"/>
      <c r="XET60" s="0"/>
      <c r="XEU60" s="0"/>
      <c r="XEV60" s="0"/>
      <c r="XEW60" s="0"/>
      <c r="XEX60" s="0"/>
      <c r="XEY60" s="0"/>
      <c r="XEZ60" s="0"/>
      <c r="XFA60" s="0"/>
      <c r="XFB60" s="0"/>
      <c r="XFC60" s="0"/>
    </row>
    <row r="61" s="43" customFormat="true" ht="73.5" hidden="false" customHeight="true" outlineLevel="0" collapsed="false">
      <c r="A61" s="205" t="n">
        <v>55</v>
      </c>
      <c r="B61" s="206" t="s">
        <v>750</v>
      </c>
      <c r="C61" s="207" t="s">
        <v>679</v>
      </c>
      <c r="D61" s="208" t="n">
        <v>2</v>
      </c>
      <c r="XDE61" s="0"/>
      <c r="XDF61" s="0"/>
      <c r="XDG61" s="0"/>
      <c r="XDH61" s="0"/>
      <c r="XDI61" s="0"/>
      <c r="XDJ61" s="0"/>
      <c r="XDK61" s="0"/>
      <c r="XDL61" s="0"/>
      <c r="XDM61" s="0"/>
      <c r="XDN61" s="0"/>
      <c r="XDO61" s="0"/>
      <c r="XDP61" s="0"/>
      <c r="XDQ61" s="0"/>
      <c r="XDR61" s="0"/>
      <c r="XDS61" s="0"/>
      <c r="XDT61" s="0"/>
      <c r="XDU61" s="0"/>
      <c r="XDV61" s="0"/>
      <c r="XDW61" s="0"/>
      <c r="XDX61" s="0"/>
      <c r="XDY61" s="0"/>
      <c r="XDZ61" s="0"/>
      <c r="XEA61" s="0"/>
      <c r="XEB61" s="0"/>
      <c r="XEC61" s="0"/>
      <c r="XED61" s="0"/>
      <c r="XEE61" s="0"/>
      <c r="XEF61" s="0"/>
      <c r="XEG61" s="0"/>
      <c r="XEH61" s="0"/>
      <c r="XEI61" s="0"/>
      <c r="XEJ61" s="0"/>
      <c r="XEK61" s="0"/>
      <c r="XEL61" s="0"/>
      <c r="XEM61" s="0"/>
      <c r="XEN61" s="0"/>
      <c r="XEO61" s="0"/>
      <c r="XEP61" s="0"/>
      <c r="XEQ61" s="0"/>
      <c r="XER61" s="0"/>
      <c r="XES61" s="0"/>
      <c r="XET61" s="0"/>
      <c r="XEU61" s="0"/>
      <c r="XEV61" s="0"/>
      <c r="XEW61" s="0"/>
      <c r="XEX61" s="0"/>
      <c r="XEY61" s="0"/>
      <c r="XEZ61" s="0"/>
      <c r="XFA61" s="0"/>
      <c r="XFB61" s="0"/>
      <c r="XFC61" s="0"/>
    </row>
    <row r="62" s="43" customFormat="true" ht="73.5" hidden="false" customHeight="true" outlineLevel="0" collapsed="false">
      <c r="A62" s="205" t="n">
        <v>56</v>
      </c>
      <c r="B62" s="206" t="s">
        <v>751</v>
      </c>
      <c r="C62" s="207" t="s">
        <v>679</v>
      </c>
      <c r="D62" s="208" t="n">
        <v>19</v>
      </c>
      <c r="XDE62" s="0"/>
      <c r="XDF62" s="0"/>
      <c r="XDG62" s="0"/>
      <c r="XDH62" s="0"/>
      <c r="XDI62" s="0"/>
      <c r="XDJ62" s="0"/>
      <c r="XDK62" s="0"/>
      <c r="XDL62" s="0"/>
      <c r="XDM62" s="0"/>
      <c r="XDN62" s="0"/>
      <c r="XDO62" s="0"/>
      <c r="XDP62" s="0"/>
      <c r="XDQ62" s="0"/>
      <c r="XDR62" s="0"/>
      <c r="XDS62" s="0"/>
      <c r="XDT62" s="0"/>
      <c r="XDU62" s="0"/>
      <c r="XDV62" s="0"/>
      <c r="XDW62" s="0"/>
      <c r="XDX62" s="0"/>
      <c r="XDY62" s="0"/>
      <c r="XDZ62" s="0"/>
      <c r="XEA62" s="0"/>
      <c r="XEB62" s="0"/>
      <c r="XEC62" s="0"/>
      <c r="XED62" s="0"/>
      <c r="XEE62" s="0"/>
      <c r="XEF62" s="0"/>
      <c r="XEG62" s="0"/>
      <c r="XEH62" s="0"/>
      <c r="XEI62" s="0"/>
      <c r="XEJ62" s="0"/>
      <c r="XEK62" s="0"/>
      <c r="XEL62" s="0"/>
      <c r="XEM62" s="0"/>
      <c r="XEN62" s="0"/>
      <c r="XEO62" s="0"/>
      <c r="XEP62" s="0"/>
      <c r="XEQ62" s="0"/>
      <c r="XER62" s="0"/>
      <c r="XES62" s="0"/>
      <c r="XET62" s="0"/>
      <c r="XEU62" s="0"/>
      <c r="XEV62" s="0"/>
      <c r="XEW62" s="0"/>
      <c r="XEX62" s="0"/>
      <c r="XEY62" s="0"/>
      <c r="XEZ62" s="0"/>
      <c r="XFA62" s="0"/>
      <c r="XFB62" s="0"/>
      <c r="XFC62" s="0"/>
    </row>
    <row r="63" s="43" customFormat="true" ht="73.5" hidden="false" customHeight="true" outlineLevel="0" collapsed="false">
      <c r="A63" s="205" t="n">
        <v>57</v>
      </c>
      <c r="B63" s="206" t="s">
        <v>752</v>
      </c>
      <c r="C63" s="207" t="s">
        <v>679</v>
      </c>
      <c r="D63" s="208" t="n">
        <v>2</v>
      </c>
      <c r="XDE63" s="0"/>
      <c r="XDF63" s="0"/>
      <c r="XDG63" s="0"/>
      <c r="XDH63" s="0"/>
      <c r="XDI63" s="0"/>
      <c r="XDJ63" s="0"/>
      <c r="XDK63" s="0"/>
      <c r="XDL63" s="0"/>
      <c r="XDM63" s="0"/>
      <c r="XDN63" s="0"/>
      <c r="XDO63" s="0"/>
      <c r="XDP63" s="0"/>
      <c r="XDQ63" s="0"/>
      <c r="XDR63" s="0"/>
      <c r="XDS63" s="0"/>
      <c r="XDT63" s="0"/>
      <c r="XDU63" s="0"/>
      <c r="XDV63" s="0"/>
      <c r="XDW63" s="0"/>
      <c r="XDX63" s="0"/>
      <c r="XDY63" s="0"/>
      <c r="XDZ63" s="0"/>
      <c r="XEA63" s="0"/>
      <c r="XEB63" s="0"/>
      <c r="XEC63" s="0"/>
      <c r="XED63" s="0"/>
      <c r="XEE63" s="0"/>
      <c r="XEF63" s="0"/>
      <c r="XEG63" s="0"/>
      <c r="XEH63" s="0"/>
      <c r="XEI63" s="0"/>
      <c r="XEJ63" s="0"/>
      <c r="XEK63" s="0"/>
      <c r="XEL63" s="0"/>
      <c r="XEM63" s="0"/>
      <c r="XEN63" s="0"/>
      <c r="XEO63" s="0"/>
      <c r="XEP63" s="0"/>
      <c r="XEQ63" s="0"/>
      <c r="XER63" s="0"/>
      <c r="XES63" s="0"/>
      <c r="XET63" s="0"/>
      <c r="XEU63" s="0"/>
      <c r="XEV63" s="0"/>
      <c r="XEW63" s="0"/>
      <c r="XEX63" s="0"/>
      <c r="XEY63" s="0"/>
      <c r="XEZ63" s="0"/>
      <c r="XFA63" s="0"/>
      <c r="XFB63" s="0"/>
      <c r="XFC63" s="0"/>
    </row>
    <row r="64" s="43" customFormat="true" ht="73.5" hidden="false" customHeight="true" outlineLevel="0" collapsed="false">
      <c r="A64" s="205" t="n">
        <v>58</v>
      </c>
      <c r="B64" s="206" t="s">
        <v>753</v>
      </c>
      <c r="C64" s="207" t="s">
        <v>679</v>
      </c>
      <c r="D64" s="208" t="n">
        <v>2</v>
      </c>
      <c r="XDE64" s="0"/>
      <c r="XDF64" s="0"/>
      <c r="XDG64" s="0"/>
      <c r="XDH64" s="0"/>
      <c r="XDI64" s="0"/>
      <c r="XDJ64" s="0"/>
      <c r="XDK64" s="0"/>
      <c r="XDL64" s="0"/>
      <c r="XDM64" s="0"/>
      <c r="XDN64" s="0"/>
      <c r="XDO64" s="0"/>
      <c r="XDP64" s="0"/>
      <c r="XDQ64" s="0"/>
      <c r="XDR64" s="0"/>
      <c r="XDS64" s="0"/>
      <c r="XDT64" s="0"/>
      <c r="XDU64" s="0"/>
      <c r="XDV64" s="0"/>
      <c r="XDW64" s="0"/>
      <c r="XDX64" s="0"/>
      <c r="XDY64" s="0"/>
      <c r="XDZ64" s="0"/>
      <c r="XEA64" s="0"/>
      <c r="XEB64" s="0"/>
      <c r="XEC64" s="0"/>
      <c r="XED64" s="0"/>
      <c r="XEE64" s="0"/>
      <c r="XEF64" s="0"/>
      <c r="XEG64" s="0"/>
      <c r="XEH64" s="0"/>
      <c r="XEI64" s="0"/>
      <c r="XEJ64" s="0"/>
      <c r="XEK64" s="0"/>
      <c r="XEL64" s="0"/>
      <c r="XEM64" s="0"/>
      <c r="XEN64" s="0"/>
      <c r="XEO64" s="0"/>
      <c r="XEP64" s="0"/>
      <c r="XEQ64" s="0"/>
      <c r="XER64" s="0"/>
      <c r="XES64" s="0"/>
      <c r="XET64" s="0"/>
      <c r="XEU64" s="0"/>
      <c r="XEV64" s="0"/>
      <c r="XEW64" s="0"/>
      <c r="XEX64" s="0"/>
      <c r="XEY64" s="0"/>
      <c r="XEZ64" s="0"/>
      <c r="XFA64" s="0"/>
      <c r="XFB64" s="0"/>
      <c r="XFC64" s="0"/>
    </row>
    <row r="65" s="43" customFormat="true" ht="73.5" hidden="false" customHeight="true" outlineLevel="0" collapsed="false">
      <c r="A65" s="205" t="n">
        <v>59</v>
      </c>
      <c r="B65" s="206" t="s">
        <v>754</v>
      </c>
      <c r="C65" s="207" t="s">
        <v>392</v>
      </c>
      <c r="D65" s="208" t="n">
        <v>50</v>
      </c>
      <c r="XDE65" s="0"/>
      <c r="XDF65" s="0"/>
      <c r="XDG65" s="0"/>
      <c r="XDH65" s="0"/>
      <c r="XDI65" s="0"/>
      <c r="XDJ65" s="0"/>
      <c r="XDK65" s="0"/>
      <c r="XDL65" s="0"/>
      <c r="XDM65" s="0"/>
      <c r="XDN65" s="0"/>
      <c r="XDO65" s="0"/>
      <c r="XDP65" s="0"/>
      <c r="XDQ65" s="0"/>
      <c r="XDR65" s="0"/>
      <c r="XDS65" s="0"/>
      <c r="XDT65" s="0"/>
      <c r="XDU65" s="0"/>
      <c r="XDV65" s="0"/>
      <c r="XDW65" s="0"/>
      <c r="XDX65" s="0"/>
      <c r="XDY65" s="0"/>
      <c r="XDZ65" s="0"/>
      <c r="XEA65" s="0"/>
      <c r="XEB65" s="0"/>
      <c r="XEC65" s="0"/>
      <c r="XED65" s="0"/>
      <c r="XEE65" s="0"/>
      <c r="XEF65" s="0"/>
      <c r="XEG65" s="0"/>
      <c r="XEH65" s="0"/>
      <c r="XEI65" s="0"/>
      <c r="XEJ65" s="0"/>
      <c r="XEK65" s="0"/>
      <c r="XEL65" s="0"/>
      <c r="XEM65" s="0"/>
      <c r="XEN65" s="0"/>
      <c r="XEO65" s="0"/>
      <c r="XEP65" s="0"/>
      <c r="XEQ65" s="0"/>
      <c r="XER65" s="0"/>
      <c r="XES65" s="0"/>
      <c r="XET65" s="0"/>
      <c r="XEU65" s="0"/>
      <c r="XEV65" s="0"/>
      <c r="XEW65" s="0"/>
      <c r="XEX65" s="0"/>
      <c r="XEY65" s="0"/>
      <c r="XEZ65" s="0"/>
      <c r="XFA65" s="0"/>
      <c r="XFB65" s="0"/>
      <c r="XFC65" s="0"/>
    </row>
    <row r="66" s="43" customFormat="true" ht="73.5" hidden="false" customHeight="true" outlineLevel="0" collapsed="false">
      <c r="A66" s="205" t="n">
        <v>60</v>
      </c>
      <c r="B66" s="206" t="s">
        <v>755</v>
      </c>
      <c r="C66" s="207" t="s">
        <v>679</v>
      </c>
      <c r="D66" s="208" t="n">
        <v>3</v>
      </c>
      <c r="XDE66" s="0"/>
      <c r="XDF66" s="0"/>
      <c r="XDG66" s="0"/>
      <c r="XDH66" s="0"/>
      <c r="XDI66" s="0"/>
      <c r="XDJ66" s="0"/>
      <c r="XDK66" s="0"/>
      <c r="XDL66" s="0"/>
      <c r="XDM66" s="0"/>
      <c r="XDN66" s="0"/>
      <c r="XDO66" s="0"/>
      <c r="XDP66" s="0"/>
      <c r="XDQ66" s="0"/>
      <c r="XDR66" s="0"/>
      <c r="XDS66" s="0"/>
      <c r="XDT66" s="0"/>
      <c r="XDU66" s="0"/>
      <c r="XDV66" s="0"/>
      <c r="XDW66" s="0"/>
      <c r="XDX66" s="0"/>
      <c r="XDY66" s="0"/>
      <c r="XDZ66" s="0"/>
      <c r="XEA66" s="0"/>
      <c r="XEB66" s="0"/>
      <c r="XEC66" s="0"/>
      <c r="XED66" s="0"/>
      <c r="XEE66" s="0"/>
      <c r="XEF66" s="0"/>
      <c r="XEG66" s="0"/>
      <c r="XEH66" s="0"/>
      <c r="XEI66" s="0"/>
      <c r="XEJ66" s="0"/>
      <c r="XEK66" s="0"/>
      <c r="XEL66" s="0"/>
      <c r="XEM66" s="0"/>
      <c r="XEN66" s="0"/>
      <c r="XEO66" s="0"/>
      <c r="XEP66" s="0"/>
      <c r="XEQ66" s="0"/>
      <c r="XER66" s="0"/>
      <c r="XES66" s="0"/>
      <c r="XET66" s="0"/>
      <c r="XEU66" s="0"/>
      <c r="XEV66" s="0"/>
      <c r="XEW66" s="0"/>
      <c r="XEX66" s="0"/>
      <c r="XEY66" s="0"/>
      <c r="XEZ66" s="0"/>
      <c r="XFA66" s="0"/>
      <c r="XFB66" s="0"/>
      <c r="XFC66" s="0"/>
    </row>
    <row r="67" s="43" customFormat="true" ht="73.5" hidden="false" customHeight="true" outlineLevel="0" collapsed="false">
      <c r="A67" s="205" t="n">
        <v>61</v>
      </c>
      <c r="B67" s="206" t="s">
        <v>756</v>
      </c>
      <c r="C67" s="207" t="s">
        <v>679</v>
      </c>
      <c r="D67" s="208" t="n">
        <v>1</v>
      </c>
      <c r="XDE67" s="0"/>
      <c r="XDF67" s="0"/>
      <c r="XDG67" s="0"/>
      <c r="XDH67" s="0"/>
      <c r="XDI67" s="0"/>
      <c r="XDJ67" s="0"/>
      <c r="XDK67" s="0"/>
      <c r="XDL67" s="0"/>
      <c r="XDM67" s="0"/>
      <c r="XDN67" s="0"/>
      <c r="XDO67" s="0"/>
      <c r="XDP67" s="0"/>
      <c r="XDQ67" s="0"/>
      <c r="XDR67" s="0"/>
      <c r="XDS67" s="0"/>
      <c r="XDT67" s="0"/>
      <c r="XDU67" s="0"/>
      <c r="XDV67" s="0"/>
      <c r="XDW67" s="0"/>
      <c r="XDX67" s="0"/>
      <c r="XDY67" s="0"/>
      <c r="XDZ67" s="0"/>
      <c r="XEA67" s="0"/>
      <c r="XEB67" s="0"/>
      <c r="XEC67" s="0"/>
      <c r="XED67" s="0"/>
      <c r="XEE67" s="0"/>
      <c r="XEF67" s="0"/>
      <c r="XEG67" s="0"/>
      <c r="XEH67" s="0"/>
      <c r="XEI67" s="0"/>
      <c r="XEJ67" s="0"/>
      <c r="XEK67" s="0"/>
      <c r="XEL67" s="0"/>
      <c r="XEM67" s="0"/>
      <c r="XEN67" s="0"/>
      <c r="XEO67" s="0"/>
      <c r="XEP67" s="0"/>
      <c r="XEQ67" s="0"/>
      <c r="XER67" s="0"/>
      <c r="XES67" s="0"/>
      <c r="XET67" s="0"/>
      <c r="XEU67" s="0"/>
      <c r="XEV67" s="0"/>
      <c r="XEW67" s="0"/>
      <c r="XEX67" s="0"/>
      <c r="XEY67" s="0"/>
      <c r="XEZ67" s="0"/>
      <c r="XFA67" s="0"/>
      <c r="XFB67" s="0"/>
      <c r="XFC67" s="0"/>
    </row>
    <row r="68" s="43" customFormat="true" ht="73.5" hidden="false" customHeight="true" outlineLevel="0" collapsed="false">
      <c r="A68" s="205" t="n">
        <v>62</v>
      </c>
      <c r="B68" s="206" t="s">
        <v>757</v>
      </c>
      <c r="C68" s="207" t="s">
        <v>679</v>
      </c>
      <c r="D68" s="208" t="n">
        <v>1</v>
      </c>
      <c r="XDE68" s="0"/>
      <c r="XDF68" s="0"/>
      <c r="XDG68" s="0"/>
      <c r="XDH68" s="0"/>
      <c r="XDI68" s="0"/>
      <c r="XDJ68" s="0"/>
      <c r="XDK68" s="0"/>
      <c r="XDL68" s="0"/>
      <c r="XDM68" s="0"/>
      <c r="XDN68" s="0"/>
      <c r="XDO68" s="0"/>
      <c r="XDP68" s="0"/>
      <c r="XDQ68" s="0"/>
      <c r="XDR68" s="0"/>
      <c r="XDS68" s="0"/>
      <c r="XDT68" s="0"/>
      <c r="XDU68" s="0"/>
      <c r="XDV68" s="0"/>
      <c r="XDW68" s="0"/>
      <c r="XDX68" s="0"/>
      <c r="XDY68" s="0"/>
      <c r="XDZ68" s="0"/>
      <c r="XEA68" s="0"/>
      <c r="XEB68" s="0"/>
      <c r="XEC68" s="0"/>
      <c r="XED68" s="0"/>
      <c r="XEE68" s="0"/>
      <c r="XEF68" s="0"/>
      <c r="XEG68" s="0"/>
      <c r="XEH68" s="0"/>
      <c r="XEI68" s="0"/>
      <c r="XEJ68" s="0"/>
      <c r="XEK68" s="0"/>
      <c r="XEL68" s="0"/>
      <c r="XEM68" s="0"/>
      <c r="XEN68" s="0"/>
      <c r="XEO68" s="0"/>
      <c r="XEP68" s="0"/>
      <c r="XEQ68" s="0"/>
      <c r="XER68" s="0"/>
      <c r="XES68" s="0"/>
      <c r="XET68" s="0"/>
      <c r="XEU68" s="0"/>
      <c r="XEV68" s="0"/>
      <c r="XEW68" s="0"/>
      <c r="XEX68" s="0"/>
      <c r="XEY68" s="0"/>
      <c r="XEZ68" s="0"/>
      <c r="XFA68" s="0"/>
      <c r="XFB68" s="0"/>
      <c r="XFC68" s="0"/>
    </row>
    <row r="69" s="43" customFormat="true" ht="111.75" hidden="false" customHeight="true" outlineLevel="0" collapsed="false">
      <c r="A69" s="205" t="n">
        <v>63</v>
      </c>
      <c r="B69" s="206" t="s">
        <v>758</v>
      </c>
      <c r="C69" s="207" t="s">
        <v>679</v>
      </c>
      <c r="D69" s="208" t="n">
        <v>2</v>
      </c>
      <c r="XDE69" s="0"/>
      <c r="XDF69" s="0"/>
      <c r="XDG69" s="0"/>
      <c r="XDH69" s="0"/>
      <c r="XDI69" s="0"/>
      <c r="XDJ69" s="0"/>
      <c r="XDK69" s="0"/>
      <c r="XDL69" s="0"/>
      <c r="XDM69" s="0"/>
      <c r="XDN69" s="0"/>
      <c r="XDO69" s="0"/>
      <c r="XDP69" s="0"/>
      <c r="XDQ69" s="0"/>
      <c r="XDR69" s="0"/>
      <c r="XDS69" s="0"/>
      <c r="XDT69" s="0"/>
      <c r="XDU69" s="0"/>
      <c r="XDV69" s="0"/>
      <c r="XDW69" s="0"/>
      <c r="XDX69" s="0"/>
      <c r="XDY69" s="0"/>
      <c r="XDZ69" s="0"/>
      <c r="XEA69" s="0"/>
      <c r="XEB69" s="0"/>
      <c r="XEC69" s="0"/>
      <c r="XED69" s="0"/>
      <c r="XEE69" s="0"/>
      <c r="XEF69" s="0"/>
      <c r="XEG69" s="0"/>
      <c r="XEH69" s="0"/>
      <c r="XEI69" s="0"/>
      <c r="XEJ69" s="0"/>
      <c r="XEK69" s="0"/>
      <c r="XEL69" s="0"/>
      <c r="XEM69" s="0"/>
      <c r="XEN69" s="0"/>
      <c r="XEO69" s="0"/>
      <c r="XEP69" s="0"/>
      <c r="XEQ69" s="0"/>
      <c r="XER69" s="0"/>
      <c r="XES69" s="0"/>
      <c r="XET69" s="0"/>
      <c r="XEU69" s="0"/>
      <c r="XEV69" s="0"/>
      <c r="XEW69" s="0"/>
      <c r="XEX69" s="0"/>
      <c r="XEY69" s="0"/>
      <c r="XEZ69" s="0"/>
      <c r="XFA69" s="0"/>
      <c r="XFB69" s="0"/>
      <c r="XFC69" s="0"/>
    </row>
    <row r="70" s="43" customFormat="true" ht="73.5" hidden="false" customHeight="true" outlineLevel="0" collapsed="false">
      <c r="A70" s="205" t="n">
        <v>64</v>
      </c>
      <c r="B70" s="206" t="s">
        <v>759</v>
      </c>
      <c r="C70" s="207" t="s">
        <v>679</v>
      </c>
      <c r="D70" s="208" t="n">
        <v>12</v>
      </c>
      <c r="XDE70" s="0"/>
      <c r="XDF70" s="0"/>
      <c r="XDG70" s="0"/>
      <c r="XDH70" s="0"/>
      <c r="XDI70" s="0"/>
      <c r="XDJ70" s="0"/>
      <c r="XDK70" s="0"/>
      <c r="XDL70" s="0"/>
      <c r="XDM70" s="0"/>
      <c r="XDN70" s="0"/>
      <c r="XDO70" s="0"/>
      <c r="XDP70" s="0"/>
      <c r="XDQ70" s="0"/>
      <c r="XDR70" s="0"/>
      <c r="XDS70" s="0"/>
      <c r="XDT70" s="0"/>
      <c r="XDU70" s="0"/>
      <c r="XDV70" s="0"/>
      <c r="XDW70" s="0"/>
      <c r="XDX70" s="0"/>
      <c r="XDY70" s="0"/>
      <c r="XDZ70" s="0"/>
      <c r="XEA70" s="0"/>
      <c r="XEB70" s="0"/>
      <c r="XEC70" s="0"/>
      <c r="XED70" s="0"/>
      <c r="XEE70" s="0"/>
      <c r="XEF70" s="0"/>
      <c r="XEG70" s="0"/>
      <c r="XEH70" s="0"/>
      <c r="XEI70" s="0"/>
      <c r="XEJ70" s="0"/>
      <c r="XEK70" s="0"/>
      <c r="XEL70" s="0"/>
      <c r="XEM70" s="0"/>
      <c r="XEN70" s="0"/>
      <c r="XEO70" s="0"/>
      <c r="XEP70" s="0"/>
      <c r="XEQ70" s="0"/>
      <c r="XER70" s="0"/>
      <c r="XES70" s="0"/>
      <c r="XET70" s="0"/>
      <c r="XEU70" s="0"/>
      <c r="XEV70" s="0"/>
      <c r="XEW70" s="0"/>
      <c r="XEX70" s="0"/>
      <c r="XEY70" s="0"/>
      <c r="XEZ70" s="0"/>
      <c r="XFA70" s="0"/>
      <c r="XFB70" s="0"/>
      <c r="XFC70" s="0"/>
    </row>
    <row r="71" s="43" customFormat="true" ht="73.5" hidden="false" customHeight="true" outlineLevel="0" collapsed="false">
      <c r="A71" s="205" t="n">
        <v>65</v>
      </c>
      <c r="B71" s="206" t="s">
        <v>760</v>
      </c>
      <c r="C71" s="207" t="s">
        <v>679</v>
      </c>
      <c r="D71" s="208" t="n">
        <v>2</v>
      </c>
      <c r="XDE71" s="0"/>
      <c r="XDF71" s="0"/>
      <c r="XDG71" s="0"/>
      <c r="XDH71" s="0"/>
      <c r="XDI71" s="0"/>
      <c r="XDJ71" s="0"/>
      <c r="XDK71" s="0"/>
      <c r="XDL71" s="0"/>
      <c r="XDM71" s="0"/>
      <c r="XDN71" s="0"/>
      <c r="XDO71" s="0"/>
      <c r="XDP71" s="0"/>
      <c r="XDQ71" s="0"/>
      <c r="XDR71" s="0"/>
      <c r="XDS71" s="0"/>
      <c r="XDT71" s="0"/>
      <c r="XDU71" s="0"/>
      <c r="XDV71" s="0"/>
      <c r="XDW71" s="0"/>
      <c r="XDX71" s="0"/>
      <c r="XDY71" s="0"/>
      <c r="XDZ71" s="0"/>
      <c r="XEA71" s="0"/>
      <c r="XEB71" s="0"/>
      <c r="XEC71" s="0"/>
      <c r="XED71" s="0"/>
      <c r="XEE71" s="0"/>
      <c r="XEF71" s="0"/>
      <c r="XEG71" s="0"/>
      <c r="XEH71" s="0"/>
      <c r="XEI71" s="0"/>
      <c r="XEJ71" s="0"/>
      <c r="XEK71" s="0"/>
      <c r="XEL71" s="0"/>
      <c r="XEM71" s="0"/>
      <c r="XEN71" s="0"/>
      <c r="XEO71" s="0"/>
      <c r="XEP71" s="0"/>
      <c r="XEQ71" s="0"/>
      <c r="XER71" s="0"/>
      <c r="XES71" s="0"/>
      <c r="XET71" s="0"/>
      <c r="XEU71" s="0"/>
      <c r="XEV71" s="0"/>
      <c r="XEW71" s="0"/>
      <c r="XEX71" s="0"/>
      <c r="XEY71" s="0"/>
      <c r="XEZ71" s="0"/>
      <c r="XFA71" s="0"/>
      <c r="XFB71" s="0"/>
      <c r="XFC71" s="0"/>
    </row>
    <row r="72" s="43" customFormat="true" ht="105.75" hidden="false" customHeight="true" outlineLevel="0" collapsed="false">
      <c r="A72" s="205" t="n">
        <v>66</v>
      </c>
      <c r="B72" s="206" t="s">
        <v>761</v>
      </c>
      <c r="C72" s="207" t="s">
        <v>679</v>
      </c>
      <c r="D72" s="208" t="n">
        <v>3</v>
      </c>
      <c r="XDE72" s="0"/>
      <c r="XDF72" s="0"/>
      <c r="XDG72" s="0"/>
      <c r="XDH72" s="0"/>
      <c r="XDI72" s="0"/>
      <c r="XDJ72" s="0"/>
      <c r="XDK72" s="0"/>
      <c r="XDL72" s="0"/>
      <c r="XDM72" s="0"/>
      <c r="XDN72" s="0"/>
      <c r="XDO72" s="0"/>
      <c r="XDP72" s="0"/>
      <c r="XDQ72" s="0"/>
      <c r="XDR72" s="0"/>
      <c r="XDS72" s="0"/>
      <c r="XDT72" s="0"/>
      <c r="XDU72" s="0"/>
      <c r="XDV72" s="0"/>
      <c r="XDW72" s="0"/>
      <c r="XDX72" s="0"/>
      <c r="XDY72" s="0"/>
      <c r="XDZ72" s="0"/>
      <c r="XEA72" s="0"/>
      <c r="XEB72" s="0"/>
      <c r="XEC72" s="0"/>
      <c r="XED72" s="0"/>
      <c r="XEE72" s="0"/>
      <c r="XEF72" s="0"/>
      <c r="XEG72" s="0"/>
      <c r="XEH72" s="0"/>
      <c r="XEI72" s="0"/>
      <c r="XEJ72" s="0"/>
      <c r="XEK72" s="0"/>
      <c r="XEL72" s="0"/>
      <c r="XEM72" s="0"/>
      <c r="XEN72" s="0"/>
      <c r="XEO72" s="0"/>
      <c r="XEP72" s="0"/>
      <c r="XEQ72" s="0"/>
      <c r="XER72" s="0"/>
      <c r="XES72" s="0"/>
      <c r="XET72" s="0"/>
      <c r="XEU72" s="0"/>
      <c r="XEV72" s="0"/>
      <c r="XEW72" s="0"/>
      <c r="XEX72" s="0"/>
      <c r="XEY72" s="0"/>
      <c r="XEZ72" s="0"/>
      <c r="XFA72" s="0"/>
      <c r="XFB72" s="0"/>
      <c r="XFC72" s="0"/>
    </row>
    <row r="73" s="43" customFormat="true" ht="73.5" hidden="false" customHeight="true" outlineLevel="0" collapsed="false">
      <c r="A73" s="205" t="n">
        <v>67</v>
      </c>
      <c r="B73" s="206" t="s">
        <v>762</v>
      </c>
      <c r="C73" s="207" t="s">
        <v>25</v>
      </c>
      <c r="D73" s="208" t="n">
        <v>1</v>
      </c>
      <c r="XDE73" s="0"/>
      <c r="XDF73" s="0"/>
      <c r="XDG73" s="0"/>
      <c r="XDH73" s="0"/>
      <c r="XDI73" s="0"/>
      <c r="XDJ73" s="0"/>
      <c r="XDK73" s="0"/>
      <c r="XDL73" s="0"/>
      <c r="XDM73" s="0"/>
      <c r="XDN73" s="0"/>
      <c r="XDO73" s="0"/>
      <c r="XDP73" s="0"/>
      <c r="XDQ73" s="0"/>
      <c r="XDR73" s="0"/>
      <c r="XDS73" s="0"/>
      <c r="XDT73" s="0"/>
      <c r="XDU73" s="0"/>
      <c r="XDV73" s="0"/>
      <c r="XDW73" s="0"/>
      <c r="XDX73" s="0"/>
      <c r="XDY73" s="0"/>
      <c r="XDZ73" s="0"/>
      <c r="XEA73" s="0"/>
      <c r="XEB73" s="0"/>
      <c r="XEC73" s="0"/>
      <c r="XED73" s="0"/>
      <c r="XEE73" s="0"/>
      <c r="XEF73" s="0"/>
      <c r="XEG73" s="0"/>
      <c r="XEH73" s="0"/>
      <c r="XEI73" s="0"/>
      <c r="XEJ73" s="0"/>
      <c r="XEK73" s="0"/>
      <c r="XEL73" s="0"/>
      <c r="XEM73" s="0"/>
      <c r="XEN73" s="0"/>
      <c r="XEO73" s="0"/>
      <c r="XEP73" s="0"/>
      <c r="XEQ73" s="0"/>
      <c r="XER73" s="0"/>
      <c r="XES73" s="0"/>
      <c r="XET73" s="0"/>
      <c r="XEU73" s="0"/>
      <c r="XEV73" s="0"/>
      <c r="XEW73" s="0"/>
      <c r="XEX73" s="0"/>
      <c r="XEY73" s="0"/>
      <c r="XEZ73" s="0"/>
      <c r="XFA73" s="0"/>
      <c r="XFB73" s="0"/>
      <c r="XFC73" s="0"/>
    </row>
    <row r="74" s="43" customFormat="true" ht="73.5" hidden="false" customHeight="true" outlineLevel="0" collapsed="false">
      <c r="A74" s="205" t="n">
        <v>68</v>
      </c>
      <c r="B74" s="206" t="s">
        <v>763</v>
      </c>
      <c r="C74" s="207" t="s">
        <v>25</v>
      </c>
      <c r="D74" s="208" t="n">
        <v>8</v>
      </c>
      <c r="XDE74" s="0"/>
      <c r="XDF74" s="0"/>
      <c r="XDG74" s="0"/>
      <c r="XDH74" s="0"/>
      <c r="XDI74" s="0"/>
      <c r="XDJ74" s="0"/>
      <c r="XDK74" s="0"/>
      <c r="XDL74" s="0"/>
      <c r="XDM74" s="0"/>
      <c r="XDN74" s="0"/>
      <c r="XDO74" s="0"/>
      <c r="XDP74" s="0"/>
      <c r="XDQ74" s="0"/>
      <c r="XDR74" s="0"/>
      <c r="XDS74" s="0"/>
      <c r="XDT74" s="0"/>
      <c r="XDU74" s="0"/>
      <c r="XDV74" s="0"/>
      <c r="XDW74" s="0"/>
      <c r="XDX74" s="0"/>
      <c r="XDY74" s="0"/>
      <c r="XDZ74" s="0"/>
      <c r="XEA74" s="0"/>
      <c r="XEB74" s="0"/>
      <c r="XEC74" s="0"/>
      <c r="XED74" s="0"/>
      <c r="XEE74" s="0"/>
      <c r="XEF74" s="0"/>
      <c r="XEG74" s="0"/>
      <c r="XEH74" s="0"/>
      <c r="XEI74" s="0"/>
      <c r="XEJ74" s="0"/>
      <c r="XEK74" s="0"/>
      <c r="XEL74" s="0"/>
      <c r="XEM74" s="0"/>
      <c r="XEN74" s="0"/>
      <c r="XEO74" s="0"/>
      <c r="XEP74" s="0"/>
      <c r="XEQ74" s="0"/>
      <c r="XER74" s="0"/>
      <c r="XES74" s="0"/>
      <c r="XET74" s="0"/>
      <c r="XEU74" s="0"/>
      <c r="XEV74" s="0"/>
      <c r="XEW74" s="0"/>
      <c r="XEX74" s="0"/>
      <c r="XEY74" s="0"/>
      <c r="XEZ74" s="0"/>
      <c r="XFA74" s="0"/>
      <c r="XFB74" s="0"/>
      <c r="XFC74" s="0"/>
    </row>
    <row r="75" s="43" customFormat="true" ht="73.5" hidden="false" customHeight="true" outlineLevel="0" collapsed="false">
      <c r="A75" s="205" t="n">
        <v>69</v>
      </c>
      <c r="B75" s="206" t="s">
        <v>764</v>
      </c>
      <c r="C75" s="207" t="s">
        <v>25</v>
      </c>
      <c r="D75" s="208" t="n">
        <v>2</v>
      </c>
      <c r="XDE75" s="0"/>
      <c r="XDF75" s="0"/>
      <c r="XDG75" s="0"/>
      <c r="XDH75" s="0"/>
      <c r="XDI75" s="0"/>
      <c r="XDJ75" s="0"/>
      <c r="XDK75" s="0"/>
      <c r="XDL75" s="0"/>
      <c r="XDM75" s="0"/>
      <c r="XDN75" s="0"/>
      <c r="XDO75" s="0"/>
      <c r="XDP75" s="0"/>
      <c r="XDQ75" s="0"/>
      <c r="XDR75" s="0"/>
      <c r="XDS75" s="0"/>
      <c r="XDT75" s="0"/>
      <c r="XDU75" s="0"/>
      <c r="XDV75" s="0"/>
      <c r="XDW75" s="0"/>
      <c r="XDX75" s="0"/>
      <c r="XDY75" s="0"/>
      <c r="XDZ75" s="0"/>
      <c r="XEA75" s="0"/>
      <c r="XEB75" s="0"/>
      <c r="XEC75" s="0"/>
      <c r="XED75" s="0"/>
      <c r="XEE75" s="0"/>
      <c r="XEF75" s="0"/>
      <c r="XEG75" s="0"/>
      <c r="XEH75" s="0"/>
      <c r="XEI75" s="0"/>
      <c r="XEJ75" s="0"/>
      <c r="XEK75" s="0"/>
      <c r="XEL75" s="0"/>
      <c r="XEM75" s="0"/>
      <c r="XEN75" s="0"/>
      <c r="XEO75" s="0"/>
      <c r="XEP75" s="0"/>
      <c r="XEQ75" s="0"/>
      <c r="XER75" s="0"/>
      <c r="XES75" s="0"/>
      <c r="XET75" s="0"/>
      <c r="XEU75" s="0"/>
      <c r="XEV75" s="0"/>
      <c r="XEW75" s="0"/>
      <c r="XEX75" s="0"/>
      <c r="XEY75" s="0"/>
      <c r="XEZ75" s="0"/>
      <c r="XFA75" s="0"/>
      <c r="XFB75" s="0"/>
      <c r="XFC75" s="0"/>
    </row>
    <row r="76" s="43" customFormat="true" ht="73.5" hidden="false" customHeight="true" outlineLevel="0" collapsed="false">
      <c r="A76" s="205" t="n">
        <v>70</v>
      </c>
      <c r="B76" s="206" t="s">
        <v>765</v>
      </c>
      <c r="C76" s="207" t="s">
        <v>679</v>
      </c>
      <c r="D76" s="208" t="n">
        <v>2</v>
      </c>
      <c r="XDE76" s="0"/>
      <c r="XDF76" s="0"/>
      <c r="XDG76" s="0"/>
      <c r="XDH76" s="0"/>
      <c r="XDI76" s="0"/>
      <c r="XDJ76" s="0"/>
      <c r="XDK76" s="0"/>
      <c r="XDL76" s="0"/>
      <c r="XDM76" s="0"/>
      <c r="XDN76" s="0"/>
      <c r="XDO76" s="0"/>
      <c r="XDP76" s="0"/>
      <c r="XDQ76" s="0"/>
      <c r="XDR76" s="0"/>
      <c r="XDS76" s="0"/>
      <c r="XDT76" s="0"/>
      <c r="XDU76" s="0"/>
      <c r="XDV76" s="0"/>
      <c r="XDW76" s="0"/>
      <c r="XDX76" s="0"/>
      <c r="XDY76" s="0"/>
      <c r="XDZ76" s="0"/>
      <c r="XEA76" s="0"/>
      <c r="XEB76" s="0"/>
      <c r="XEC76" s="0"/>
      <c r="XED76" s="0"/>
      <c r="XEE76" s="0"/>
      <c r="XEF76" s="0"/>
      <c r="XEG76" s="0"/>
      <c r="XEH76" s="0"/>
      <c r="XEI76" s="0"/>
      <c r="XEJ76" s="0"/>
      <c r="XEK76" s="0"/>
      <c r="XEL76" s="0"/>
      <c r="XEM76" s="0"/>
      <c r="XEN76" s="0"/>
      <c r="XEO76" s="0"/>
      <c r="XEP76" s="0"/>
      <c r="XEQ76" s="0"/>
      <c r="XER76" s="0"/>
      <c r="XES76" s="0"/>
      <c r="XET76" s="0"/>
      <c r="XEU76" s="0"/>
      <c r="XEV76" s="0"/>
      <c r="XEW76" s="0"/>
      <c r="XEX76" s="0"/>
      <c r="XEY76" s="0"/>
      <c r="XEZ76" s="0"/>
      <c r="XFA76" s="0"/>
      <c r="XFB76" s="0"/>
      <c r="XFC76" s="0"/>
    </row>
    <row r="77" s="43" customFormat="true" ht="73.5" hidden="false" customHeight="true" outlineLevel="0" collapsed="false">
      <c r="A77" s="205" t="n">
        <v>71</v>
      </c>
      <c r="B77" s="206" t="s">
        <v>766</v>
      </c>
      <c r="C77" s="207" t="s">
        <v>25</v>
      </c>
      <c r="D77" s="208" t="n">
        <v>2</v>
      </c>
      <c r="XDE77" s="0"/>
      <c r="XDF77" s="0"/>
      <c r="XDG77" s="0"/>
      <c r="XDH77" s="0"/>
      <c r="XDI77" s="0"/>
      <c r="XDJ77" s="0"/>
      <c r="XDK77" s="0"/>
      <c r="XDL77" s="0"/>
      <c r="XDM77" s="0"/>
      <c r="XDN77" s="0"/>
      <c r="XDO77" s="0"/>
      <c r="XDP77" s="0"/>
      <c r="XDQ77" s="0"/>
      <c r="XDR77" s="0"/>
      <c r="XDS77" s="0"/>
      <c r="XDT77" s="0"/>
      <c r="XDU77" s="0"/>
      <c r="XDV77" s="0"/>
      <c r="XDW77" s="0"/>
      <c r="XDX77" s="0"/>
      <c r="XDY77" s="0"/>
      <c r="XDZ77" s="0"/>
      <c r="XEA77" s="0"/>
      <c r="XEB77" s="0"/>
      <c r="XEC77" s="0"/>
      <c r="XED77" s="0"/>
      <c r="XEE77" s="0"/>
      <c r="XEF77" s="0"/>
      <c r="XEG77" s="0"/>
      <c r="XEH77" s="0"/>
      <c r="XEI77" s="0"/>
      <c r="XEJ77" s="0"/>
      <c r="XEK77" s="0"/>
      <c r="XEL77" s="0"/>
      <c r="XEM77" s="0"/>
      <c r="XEN77" s="0"/>
      <c r="XEO77" s="0"/>
      <c r="XEP77" s="0"/>
      <c r="XEQ77" s="0"/>
      <c r="XER77" s="0"/>
      <c r="XES77" s="0"/>
      <c r="XET77" s="0"/>
      <c r="XEU77" s="0"/>
      <c r="XEV77" s="0"/>
      <c r="XEW77" s="0"/>
      <c r="XEX77" s="0"/>
      <c r="XEY77" s="0"/>
      <c r="XEZ77" s="0"/>
      <c r="XFA77" s="0"/>
      <c r="XFB77" s="0"/>
      <c r="XFC77" s="0"/>
    </row>
    <row r="78" s="43" customFormat="true" ht="73.5" hidden="false" customHeight="true" outlineLevel="0" collapsed="false">
      <c r="A78" s="205" t="n">
        <v>72</v>
      </c>
      <c r="B78" s="206" t="s">
        <v>767</v>
      </c>
      <c r="C78" s="207" t="s">
        <v>25</v>
      </c>
      <c r="D78" s="208" t="n">
        <v>2</v>
      </c>
      <c r="XDE78" s="0"/>
      <c r="XDF78" s="0"/>
      <c r="XDG78" s="0"/>
      <c r="XDH78" s="0"/>
      <c r="XDI78" s="0"/>
      <c r="XDJ78" s="0"/>
      <c r="XDK78" s="0"/>
      <c r="XDL78" s="0"/>
      <c r="XDM78" s="0"/>
      <c r="XDN78" s="0"/>
      <c r="XDO78" s="0"/>
      <c r="XDP78" s="0"/>
      <c r="XDQ78" s="0"/>
      <c r="XDR78" s="0"/>
      <c r="XDS78" s="0"/>
      <c r="XDT78" s="0"/>
      <c r="XDU78" s="0"/>
      <c r="XDV78" s="0"/>
      <c r="XDW78" s="0"/>
      <c r="XDX78" s="0"/>
      <c r="XDY78" s="0"/>
      <c r="XDZ78" s="0"/>
      <c r="XEA78" s="0"/>
      <c r="XEB78" s="0"/>
      <c r="XEC78" s="0"/>
      <c r="XED78" s="0"/>
      <c r="XEE78" s="0"/>
      <c r="XEF78" s="0"/>
      <c r="XEG78" s="0"/>
      <c r="XEH78" s="0"/>
      <c r="XEI78" s="0"/>
      <c r="XEJ78" s="0"/>
      <c r="XEK78" s="0"/>
      <c r="XEL78" s="0"/>
      <c r="XEM78" s="0"/>
      <c r="XEN78" s="0"/>
      <c r="XEO78" s="0"/>
      <c r="XEP78" s="0"/>
      <c r="XEQ78" s="0"/>
      <c r="XER78" s="0"/>
      <c r="XES78" s="0"/>
      <c r="XET78" s="0"/>
      <c r="XEU78" s="0"/>
      <c r="XEV78" s="0"/>
      <c r="XEW78" s="0"/>
      <c r="XEX78" s="0"/>
      <c r="XEY78" s="0"/>
      <c r="XEZ78" s="0"/>
      <c r="XFA78" s="0"/>
      <c r="XFB78" s="0"/>
      <c r="XFC78" s="0"/>
    </row>
    <row r="79" s="43" customFormat="true" ht="73.5" hidden="false" customHeight="true" outlineLevel="0" collapsed="false">
      <c r="A79" s="205" t="n">
        <v>73</v>
      </c>
      <c r="B79" s="206" t="s">
        <v>768</v>
      </c>
      <c r="C79" s="207" t="s">
        <v>679</v>
      </c>
      <c r="D79" s="208" t="n">
        <v>27</v>
      </c>
      <c r="XDE79" s="0"/>
      <c r="XDF79" s="0"/>
      <c r="XDG79" s="0"/>
      <c r="XDH79" s="0"/>
      <c r="XDI79" s="0"/>
      <c r="XDJ79" s="0"/>
      <c r="XDK79" s="0"/>
      <c r="XDL79" s="0"/>
      <c r="XDM79" s="0"/>
      <c r="XDN79" s="0"/>
      <c r="XDO79" s="0"/>
      <c r="XDP79" s="0"/>
      <c r="XDQ79" s="0"/>
      <c r="XDR79" s="0"/>
      <c r="XDS79" s="0"/>
      <c r="XDT79" s="0"/>
      <c r="XDU79" s="0"/>
      <c r="XDV79" s="0"/>
      <c r="XDW79" s="0"/>
      <c r="XDX79" s="0"/>
      <c r="XDY79" s="0"/>
      <c r="XDZ79" s="0"/>
      <c r="XEA79" s="0"/>
      <c r="XEB79" s="0"/>
      <c r="XEC79" s="0"/>
      <c r="XED79" s="0"/>
      <c r="XEE79" s="0"/>
      <c r="XEF79" s="0"/>
      <c r="XEG79" s="0"/>
      <c r="XEH79" s="0"/>
      <c r="XEI79" s="0"/>
      <c r="XEJ79" s="0"/>
      <c r="XEK79" s="0"/>
      <c r="XEL79" s="0"/>
      <c r="XEM79" s="0"/>
      <c r="XEN79" s="0"/>
      <c r="XEO79" s="0"/>
      <c r="XEP79" s="0"/>
      <c r="XEQ79" s="0"/>
      <c r="XER79" s="0"/>
      <c r="XES79" s="0"/>
      <c r="XET79" s="0"/>
      <c r="XEU79" s="0"/>
      <c r="XEV79" s="0"/>
      <c r="XEW79" s="0"/>
      <c r="XEX79" s="0"/>
      <c r="XEY79" s="0"/>
      <c r="XEZ79" s="0"/>
      <c r="XFA79" s="0"/>
      <c r="XFB79" s="0"/>
      <c r="XFC79" s="0"/>
    </row>
    <row r="80" s="43" customFormat="true" ht="73.5" hidden="false" customHeight="true" outlineLevel="0" collapsed="false">
      <c r="A80" s="205" t="n">
        <v>74</v>
      </c>
      <c r="B80" s="206" t="s">
        <v>769</v>
      </c>
      <c r="C80" s="207" t="s">
        <v>679</v>
      </c>
      <c r="D80" s="208" t="n">
        <v>54</v>
      </c>
      <c r="XDE80" s="0"/>
      <c r="XDF80" s="0"/>
      <c r="XDG80" s="0"/>
      <c r="XDH80" s="0"/>
      <c r="XDI80" s="0"/>
      <c r="XDJ80" s="0"/>
      <c r="XDK80" s="0"/>
      <c r="XDL80" s="0"/>
      <c r="XDM80" s="0"/>
      <c r="XDN80" s="0"/>
      <c r="XDO80" s="0"/>
      <c r="XDP80" s="0"/>
      <c r="XDQ80" s="0"/>
      <c r="XDR80" s="0"/>
      <c r="XDS80" s="0"/>
      <c r="XDT80" s="0"/>
      <c r="XDU80" s="0"/>
      <c r="XDV80" s="0"/>
      <c r="XDW80" s="0"/>
      <c r="XDX80" s="0"/>
      <c r="XDY80" s="0"/>
      <c r="XDZ80" s="0"/>
      <c r="XEA80" s="0"/>
      <c r="XEB80" s="0"/>
      <c r="XEC80" s="0"/>
      <c r="XED80" s="0"/>
      <c r="XEE80" s="0"/>
      <c r="XEF80" s="0"/>
      <c r="XEG80" s="0"/>
      <c r="XEH80" s="0"/>
      <c r="XEI80" s="0"/>
      <c r="XEJ80" s="0"/>
      <c r="XEK80" s="0"/>
      <c r="XEL80" s="0"/>
      <c r="XEM80" s="0"/>
      <c r="XEN80" s="0"/>
      <c r="XEO80" s="0"/>
      <c r="XEP80" s="0"/>
      <c r="XEQ80" s="0"/>
      <c r="XER80" s="0"/>
      <c r="XES80" s="0"/>
      <c r="XET80" s="0"/>
      <c r="XEU80" s="0"/>
      <c r="XEV80" s="0"/>
      <c r="XEW80" s="0"/>
      <c r="XEX80" s="0"/>
      <c r="XEY80" s="0"/>
      <c r="XEZ80" s="0"/>
      <c r="XFA80" s="0"/>
      <c r="XFB80" s="0"/>
      <c r="XFC80" s="0"/>
    </row>
    <row r="81" s="43" customFormat="true" ht="73.5" hidden="false" customHeight="true" outlineLevel="0" collapsed="false">
      <c r="A81" s="205" t="n">
        <v>75</v>
      </c>
      <c r="B81" s="206" t="s">
        <v>770</v>
      </c>
      <c r="C81" s="207" t="s">
        <v>679</v>
      </c>
      <c r="D81" s="208" t="n">
        <v>6</v>
      </c>
      <c r="XDE81" s="0"/>
      <c r="XDF81" s="0"/>
      <c r="XDG81" s="0"/>
      <c r="XDH81" s="0"/>
      <c r="XDI81" s="0"/>
      <c r="XDJ81" s="0"/>
      <c r="XDK81" s="0"/>
      <c r="XDL81" s="0"/>
      <c r="XDM81" s="0"/>
      <c r="XDN81" s="0"/>
      <c r="XDO81" s="0"/>
      <c r="XDP81" s="0"/>
      <c r="XDQ81" s="0"/>
      <c r="XDR81" s="0"/>
      <c r="XDS81" s="0"/>
      <c r="XDT81" s="0"/>
      <c r="XDU81" s="0"/>
      <c r="XDV81" s="0"/>
      <c r="XDW81" s="0"/>
      <c r="XDX81" s="0"/>
      <c r="XDY81" s="0"/>
      <c r="XDZ81" s="0"/>
      <c r="XEA81" s="0"/>
      <c r="XEB81" s="0"/>
      <c r="XEC81" s="0"/>
      <c r="XED81" s="0"/>
      <c r="XEE81" s="0"/>
      <c r="XEF81" s="0"/>
      <c r="XEG81" s="0"/>
      <c r="XEH81" s="0"/>
      <c r="XEI81" s="0"/>
      <c r="XEJ81" s="0"/>
      <c r="XEK81" s="0"/>
      <c r="XEL81" s="0"/>
      <c r="XEM81" s="0"/>
      <c r="XEN81" s="0"/>
      <c r="XEO81" s="0"/>
      <c r="XEP81" s="0"/>
      <c r="XEQ81" s="0"/>
      <c r="XER81" s="0"/>
      <c r="XES81" s="0"/>
      <c r="XET81" s="0"/>
      <c r="XEU81" s="0"/>
      <c r="XEV81" s="0"/>
      <c r="XEW81" s="0"/>
      <c r="XEX81" s="0"/>
      <c r="XEY81" s="0"/>
      <c r="XEZ81" s="0"/>
      <c r="XFA81" s="0"/>
      <c r="XFB81" s="0"/>
      <c r="XFC81" s="0"/>
    </row>
    <row r="82" s="43" customFormat="true" ht="73.5" hidden="false" customHeight="true" outlineLevel="0" collapsed="false">
      <c r="A82" s="205" t="n">
        <v>76</v>
      </c>
      <c r="B82" s="206" t="s">
        <v>771</v>
      </c>
      <c r="C82" s="207" t="s">
        <v>679</v>
      </c>
      <c r="D82" s="208" t="n">
        <v>12</v>
      </c>
      <c r="XDE82" s="0"/>
      <c r="XDF82" s="0"/>
      <c r="XDG82" s="0"/>
      <c r="XDH82" s="0"/>
      <c r="XDI82" s="0"/>
      <c r="XDJ82" s="0"/>
      <c r="XDK82" s="0"/>
      <c r="XDL82" s="0"/>
      <c r="XDM82" s="0"/>
      <c r="XDN82" s="0"/>
      <c r="XDO82" s="0"/>
      <c r="XDP82" s="0"/>
      <c r="XDQ82" s="0"/>
      <c r="XDR82" s="0"/>
      <c r="XDS82" s="0"/>
      <c r="XDT82" s="0"/>
      <c r="XDU82" s="0"/>
      <c r="XDV82" s="0"/>
      <c r="XDW82" s="0"/>
      <c r="XDX82" s="0"/>
      <c r="XDY82" s="0"/>
      <c r="XDZ82" s="0"/>
      <c r="XEA82" s="0"/>
      <c r="XEB82" s="0"/>
      <c r="XEC82" s="0"/>
      <c r="XED82" s="0"/>
      <c r="XEE82" s="0"/>
      <c r="XEF82" s="0"/>
      <c r="XEG82" s="0"/>
      <c r="XEH82" s="0"/>
      <c r="XEI82" s="0"/>
      <c r="XEJ82" s="0"/>
      <c r="XEK82" s="0"/>
      <c r="XEL82" s="0"/>
      <c r="XEM82" s="0"/>
      <c r="XEN82" s="0"/>
      <c r="XEO82" s="0"/>
      <c r="XEP82" s="0"/>
      <c r="XEQ82" s="0"/>
      <c r="XER82" s="0"/>
      <c r="XES82" s="0"/>
      <c r="XET82" s="0"/>
      <c r="XEU82" s="0"/>
      <c r="XEV82" s="0"/>
      <c r="XEW82" s="0"/>
      <c r="XEX82" s="0"/>
      <c r="XEY82" s="0"/>
      <c r="XEZ82" s="0"/>
      <c r="XFA82" s="0"/>
      <c r="XFB82" s="0"/>
      <c r="XFC82" s="0"/>
    </row>
    <row r="83" s="43" customFormat="true" ht="73.5" hidden="false" customHeight="true" outlineLevel="0" collapsed="false">
      <c r="A83" s="205" t="n">
        <v>77</v>
      </c>
      <c r="B83" s="206" t="s">
        <v>772</v>
      </c>
      <c r="C83" s="207" t="s">
        <v>679</v>
      </c>
      <c r="D83" s="208" t="n">
        <v>1</v>
      </c>
      <c r="XDE83" s="0"/>
      <c r="XDF83" s="0"/>
      <c r="XDG83" s="0"/>
      <c r="XDH83" s="0"/>
      <c r="XDI83" s="0"/>
      <c r="XDJ83" s="0"/>
      <c r="XDK83" s="0"/>
      <c r="XDL83" s="0"/>
      <c r="XDM83" s="0"/>
      <c r="XDN83" s="0"/>
      <c r="XDO83" s="0"/>
      <c r="XDP83" s="0"/>
      <c r="XDQ83" s="0"/>
      <c r="XDR83" s="0"/>
      <c r="XDS83" s="0"/>
      <c r="XDT83" s="0"/>
      <c r="XDU83" s="0"/>
      <c r="XDV83" s="0"/>
      <c r="XDW83" s="0"/>
      <c r="XDX83" s="0"/>
      <c r="XDY83" s="0"/>
      <c r="XDZ83" s="0"/>
      <c r="XEA83" s="0"/>
      <c r="XEB83" s="0"/>
      <c r="XEC83" s="0"/>
      <c r="XED83" s="0"/>
      <c r="XEE83" s="0"/>
      <c r="XEF83" s="0"/>
      <c r="XEG83" s="0"/>
      <c r="XEH83" s="0"/>
      <c r="XEI83" s="0"/>
      <c r="XEJ83" s="0"/>
      <c r="XEK83" s="0"/>
      <c r="XEL83" s="0"/>
      <c r="XEM83" s="0"/>
      <c r="XEN83" s="0"/>
      <c r="XEO83" s="0"/>
      <c r="XEP83" s="0"/>
      <c r="XEQ83" s="0"/>
      <c r="XER83" s="0"/>
      <c r="XES83" s="0"/>
      <c r="XET83" s="0"/>
      <c r="XEU83" s="0"/>
      <c r="XEV83" s="0"/>
      <c r="XEW83" s="0"/>
      <c r="XEX83" s="0"/>
      <c r="XEY83" s="0"/>
      <c r="XEZ83" s="0"/>
      <c r="XFA83" s="0"/>
      <c r="XFB83" s="0"/>
      <c r="XFC83" s="0"/>
    </row>
    <row r="84" s="43" customFormat="true" ht="73.5" hidden="false" customHeight="true" outlineLevel="0" collapsed="false">
      <c r="A84" s="205" t="n">
        <v>78</v>
      </c>
      <c r="B84" s="206" t="s">
        <v>773</v>
      </c>
      <c r="C84" s="207" t="s">
        <v>679</v>
      </c>
      <c r="D84" s="208" t="n">
        <v>1</v>
      </c>
      <c r="XDE84" s="0"/>
      <c r="XDF84" s="0"/>
      <c r="XDG84" s="0"/>
      <c r="XDH84" s="0"/>
      <c r="XDI84" s="0"/>
      <c r="XDJ84" s="0"/>
      <c r="XDK84" s="0"/>
      <c r="XDL84" s="0"/>
      <c r="XDM84" s="0"/>
      <c r="XDN84" s="0"/>
      <c r="XDO84" s="0"/>
      <c r="XDP84" s="0"/>
      <c r="XDQ84" s="0"/>
      <c r="XDR84" s="0"/>
      <c r="XDS84" s="0"/>
      <c r="XDT84" s="0"/>
      <c r="XDU84" s="0"/>
      <c r="XDV84" s="0"/>
      <c r="XDW84" s="0"/>
      <c r="XDX84" s="0"/>
      <c r="XDY84" s="0"/>
      <c r="XDZ84" s="0"/>
      <c r="XEA84" s="0"/>
      <c r="XEB84" s="0"/>
      <c r="XEC84" s="0"/>
      <c r="XED84" s="0"/>
      <c r="XEE84" s="0"/>
      <c r="XEF84" s="0"/>
      <c r="XEG84" s="0"/>
      <c r="XEH84" s="0"/>
      <c r="XEI84" s="0"/>
      <c r="XEJ84" s="0"/>
      <c r="XEK84" s="0"/>
      <c r="XEL84" s="0"/>
      <c r="XEM84" s="0"/>
      <c r="XEN84" s="0"/>
      <c r="XEO84" s="0"/>
      <c r="XEP84" s="0"/>
      <c r="XEQ84" s="0"/>
      <c r="XER84" s="0"/>
      <c r="XES84" s="0"/>
      <c r="XET84" s="0"/>
      <c r="XEU84" s="0"/>
      <c r="XEV84" s="0"/>
      <c r="XEW84" s="0"/>
      <c r="XEX84" s="0"/>
      <c r="XEY84" s="0"/>
      <c r="XEZ84" s="0"/>
      <c r="XFA84" s="0"/>
      <c r="XFB84" s="0"/>
      <c r="XFC84" s="0"/>
    </row>
    <row r="85" s="43" customFormat="true" ht="73.5" hidden="false" customHeight="true" outlineLevel="0" collapsed="false">
      <c r="A85" s="205" t="n">
        <v>79</v>
      </c>
      <c r="B85" s="206" t="s">
        <v>774</v>
      </c>
      <c r="C85" s="207" t="s">
        <v>679</v>
      </c>
      <c r="D85" s="208" t="n">
        <v>87</v>
      </c>
      <c r="XDE85" s="0"/>
      <c r="XDF85" s="0"/>
      <c r="XDG85" s="0"/>
      <c r="XDH85" s="0"/>
      <c r="XDI85" s="0"/>
      <c r="XDJ85" s="0"/>
      <c r="XDK85" s="0"/>
      <c r="XDL85" s="0"/>
      <c r="XDM85" s="0"/>
      <c r="XDN85" s="0"/>
      <c r="XDO85" s="0"/>
      <c r="XDP85" s="0"/>
      <c r="XDQ85" s="0"/>
      <c r="XDR85" s="0"/>
      <c r="XDS85" s="0"/>
      <c r="XDT85" s="0"/>
      <c r="XDU85" s="0"/>
      <c r="XDV85" s="0"/>
      <c r="XDW85" s="0"/>
      <c r="XDX85" s="0"/>
      <c r="XDY85" s="0"/>
      <c r="XDZ85" s="0"/>
      <c r="XEA85" s="0"/>
      <c r="XEB85" s="0"/>
      <c r="XEC85" s="0"/>
      <c r="XED85" s="0"/>
      <c r="XEE85" s="0"/>
      <c r="XEF85" s="0"/>
      <c r="XEG85" s="0"/>
      <c r="XEH85" s="0"/>
      <c r="XEI85" s="0"/>
      <c r="XEJ85" s="0"/>
      <c r="XEK85" s="0"/>
      <c r="XEL85" s="0"/>
      <c r="XEM85" s="0"/>
      <c r="XEN85" s="0"/>
      <c r="XEO85" s="0"/>
      <c r="XEP85" s="0"/>
      <c r="XEQ85" s="0"/>
      <c r="XER85" s="0"/>
      <c r="XES85" s="0"/>
      <c r="XET85" s="0"/>
      <c r="XEU85" s="0"/>
      <c r="XEV85" s="0"/>
      <c r="XEW85" s="0"/>
      <c r="XEX85" s="0"/>
      <c r="XEY85" s="0"/>
      <c r="XEZ85" s="0"/>
      <c r="XFA85" s="0"/>
      <c r="XFB85" s="0"/>
      <c r="XFC85" s="0"/>
    </row>
    <row r="86" s="43" customFormat="true" ht="73.5" hidden="false" customHeight="true" outlineLevel="0" collapsed="false">
      <c r="A86" s="205" t="n">
        <v>80</v>
      </c>
      <c r="B86" s="206" t="s">
        <v>775</v>
      </c>
      <c r="C86" s="207" t="s">
        <v>679</v>
      </c>
      <c r="D86" s="208" t="n">
        <v>30</v>
      </c>
      <c r="XDE86" s="0"/>
      <c r="XDF86" s="0"/>
      <c r="XDG86" s="0"/>
      <c r="XDH86" s="0"/>
      <c r="XDI86" s="0"/>
      <c r="XDJ86" s="0"/>
      <c r="XDK86" s="0"/>
      <c r="XDL86" s="0"/>
      <c r="XDM86" s="0"/>
      <c r="XDN86" s="0"/>
      <c r="XDO86" s="0"/>
      <c r="XDP86" s="0"/>
      <c r="XDQ86" s="0"/>
      <c r="XDR86" s="0"/>
      <c r="XDS86" s="0"/>
      <c r="XDT86" s="0"/>
      <c r="XDU86" s="0"/>
      <c r="XDV86" s="0"/>
      <c r="XDW86" s="0"/>
      <c r="XDX86" s="0"/>
      <c r="XDY86" s="0"/>
      <c r="XDZ86" s="0"/>
      <c r="XEA86" s="0"/>
      <c r="XEB86" s="0"/>
      <c r="XEC86" s="0"/>
      <c r="XED86" s="0"/>
      <c r="XEE86" s="0"/>
      <c r="XEF86" s="0"/>
      <c r="XEG86" s="0"/>
      <c r="XEH86" s="0"/>
      <c r="XEI86" s="0"/>
      <c r="XEJ86" s="0"/>
      <c r="XEK86" s="0"/>
      <c r="XEL86" s="0"/>
      <c r="XEM86" s="0"/>
      <c r="XEN86" s="0"/>
      <c r="XEO86" s="0"/>
      <c r="XEP86" s="0"/>
      <c r="XEQ86" s="0"/>
      <c r="XER86" s="0"/>
      <c r="XES86" s="0"/>
      <c r="XET86" s="0"/>
      <c r="XEU86" s="0"/>
      <c r="XEV86" s="0"/>
      <c r="XEW86" s="0"/>
      <c r="XEX86" s="0"/>
      <c r="XEY86" s="0"/>
      <c r="XEZ86" s="0"/>
      <c r="XFA86" s="0"/>
      <c r="XFB86" s="0"/>
      <c r="XFC86" s="0"/>
    </row>
    <row r="87" s="43" customFormat="true" ht="73.5" hidden="false" customHeight="true" outlineLevel="0" collapsed="false">
      <c r="A87" s="205" t="n">
        <v>81</v>
      </c>
      <c r="B87" s="206" t="s">
        <v>776</v>
      </c>
      <c r="C87" s="207" t="s">
        <v>679</v>
      </c>
      <c r="D87" s="208" t="n">
        <v>3</v>
      </c>
      <c r="XDE87" s="0"/>
      <c r="XDF87" s="0"/>
      <c r="XDG87" s="0"/>
      <c r="XDH87" s="0"/>
      <c r="XDI87" s="0"/>
      <c r="XDJ87" s="0"/>
      <c r="XDK87" s="0"/>
      <c r="XDL87" s="0"/>
      <c r="XDM87" s="0"/>
      <c r="XDN87" s="0"/>
      <c r="XDO87" s="0"/>
      <c r="XDP87" s="0"/>
      <c r="XDQ87" s="0"/>
      <c r="XDR87" s="0"/>
      <c r="XDS87" s="0"/>
      <c r="XDT87" s="0"/>
      <c r="XDU87" s="0"/>
      <c r="XDV87" s="0"/>
      <c r="XDW87" s="0"/>
      <c r="XDX87" s="0"/>
      <c r="XDY87" s="0"/>
      <c r="XDZ87" s="0"/>
      <c r="XEA87" s="0"/>
      <c r="XEB87" s="0"/>
      <c r="XEC87" s="0"/>
      <c r="XED87" s="0"/>
      <c r="XEE87" s="0"/>
      <c r="XEF87" s="0"/>
      <c r="XEG87" s="0"/>
      <c r="XEH87" s="0"/>
      <c r="XEI87" s="0"/>
      <c r="XEJ87" s="0"/>
      <c r="XEK87" s="0"/>
      <c r="XEL87" s="0"/>
      <c r="XEM87" s="0"/>
      <c r="XEN87" s="0"/>
      <c r="XEO87" s="0"/>
      <c r="XEP87" s="0"/>
      <c r="XEQ87" s="0"/>
      <c r="XER87" s="0"/>
      <c r="XES87" s="0"/>
      <c r="XET87" s="0"/>
      <c r="XEU87" s="0"/>
      <c r="XEV87" s="0"/>
      <c r="XEW87" s="0"/>
      <c r="XEX87" s="0"/>
      <c r="XEY87" s="0"/>
      <c r="XEZ87" s="0"/>
      <c r="XFA87" s="0"/>
      <c r="XFB87" s="0"/>
      <c r="XFC87" s="0"/>
    </row>
    <row r="88" s="43" customFormat="true" ht="73.5" hidden="false" customHeight="true" outlineLevel="0" collapsed="false">
      <c r="A88" s="205" t="n">
        <v>82</v>
      </c>
      <c r="B88" s="206" t="s">
        <v>777</v>
      </c>
      <c r="C88" s="207" t="s">
        <v>679</v>
      </c>
      <c r="D88" s="208" t="n">
        <v>9</v>
      </c>
      <c r="XDE88" s="0"/>
      <c r="XDF88" s="0"/>
      <c r="XDG88" s="0"/>
      <c r="XDH88" s="0"/>
      <c r="XDI88" s="0"/>
      <c r="XDJ88" s="0"/>
      <c r="XDK88" s="0"/>
      <c r="XDL88" s="0"/>
      <c r="XDM88" s="0"/>
      <c r="XDN88" s="0"/>
      <c r="XDO88" s="0"/>
      <c r="XDP88" s="0"/>
      <c r="XDQ88" s="0"/>
      <c r="XDR88" s="0"/>
      <c r="XDS88" s="0"/>
      <c r="XDT88" s="0"/>
      <c r="XDU88" s="0"/>
      <c r="XDV88" s="0"/>
      <c r="XDW88" s="0"/>
      <c r="XDX88" s="0"/>
      <c r="XDY88" s="0"/>
      <c r="XDZ88" s="0"/>
      <c r="XEA88" s="0"/>
      <c r="XEB88" s="0"/>
      <c r="XEC88" s="0"/>
      <c r="XED88" s="0"/>
      <c r="XEE88" s="0"/>
      <c r="XEF88" s="0"/>
      <c r="XEG88" s="0"/>
      <c r="XEH88" s="0"/>
      <c r="XEI88" s="0"/>
      <c r="XEJ88" s="0"/>
      <c r="XEK88" s="0"/>
      <c r="XEL88" s="0"/>
      <c r="XEM88" s="0"/>
      <c r="XEN88" s="0"/>
      <c r="XEO88" s="0"/>
      <c r="XEP88" s="0"/>
      <c r="XEQ88" s="0"/>
      <c r="XER88" s="0"/>
      <c r="XES88" s="0"/>
      <c r="XET88" s="0"/>
      <c r="XEU88" s="0"/>
      <c r="XEV88" s="0"/>
      <c r="XEW88" s="0"/>
      <c r="XEX88" s="0"/>
      <c r="XEY88" s="0"/>
      <c r="XEZ88" s="0"/>
      <c r="XFA88" s="0"/>
      <c r="XFB88" s="0"/>
      <c r="XFC88" s="0"/>
    </row>
    <row r="89" s="43" customFormat="true" ht="73.5" hidden="false" customHeight="true" outlineLevel="0" collapsed="false">
      <c r="A89" s="205" t="n">
        <v>83</v>
      </c>
      <c r="B89" s="206" t="s">
        <v>778</v>
      </c>
      <c r="C89" s="207" t="s">
        <v>679</v>
      </c>
      <c r="D89" s="208" t="n">
        <v>3</v>
      </c>
      <c r="XDE89" s="0"/>
      <c r="XDF89" s="0"/>
      <c r="XDG89" s="0"/>
      <c r="XDH89" s="0"/>
      <c r="XDI89" s="0"/>
      <c r="XDJ89" s="0"/>
      <c r="XDK89" s="0"/>
      <c r="XDL89" s="0"/>
      <c r="XDM89" s="0"/>
      <c r="XDN89" s="0"/>
      <c r="XDO89" s="0"/>
      <c r="XDP89" s="0"/>
      <c r="XDQ89" s="0"/>
      <c r="XDR89" s="0"/>
      <c r="XDS89" s="0"/>
      <c r="XDT89" s="0"/>
      <c r="XDU89" s="0"/>
      <c r="XDV89" s="0"/>
      <c r="XDW89" s="0"/>
      <c r="XDX89" s="0"/>
      <c r="XDY89" s="0"/>
      <c r="XDZ89" s="0"/>
      <c r="XEA89" s="0"/>
      <c r="XEB89" s="0"/>
      <c r="XEC89" s="0"/>
      <c r="XED89" s="0"/>
      <c r="XEE89" s="0"/>
      <c r="XEF89" s="0"/>
      <c r="XEG89" s="0"/>
      <c r="XEH89" s="0"/>
      <c r="XEI89" s="0"/>
      <c r="XEJ89" s="0"/>
      <c r="XEK89" s="0"/>
      <c r="XEL89" s="0"/>
      <c r="XEM89" s="0"/>
      <c r="XEN89" s="0"/>
      <c r="XEO89" s="0"/>
      <c r="XEP89" s="0"/>
      <c r="XEQ89" s="0"/>
      <c r="XER89" s="0"/>
      <c r="XES89" s="0"/>
      <c r="XET89" s="0"/>
      <c r="XEU89" s="0"/>
      <c r="XEV89" s="0"/>
      <c r="XEW89" s="0"/>
      <c r="XEX89" s="0"/>
      <c r="XEY89" s="0"/>
      <c r="XEZ89" s="0"/>
      <c r="XFA89" s="0"/>
      <c r="XFB89" s="0"/>
      <c r="XFC89" s="0"/>
    </row>
    <row r="90" s="43" customFormat="true" ht="73.5" hidden="false" customHeight="true" outlineLevel="0" collapsed="false">
      <c r="A90" s="205" t="n">
        <v>84</v>
      </c>
      <c r="B90" s="206" t="s">
        <v>779</v>
      </c>
      <c r="C90" s="207" t="s">
        <v>679</v>
      </c>
      <c r="D90" s="208" t="n">
        <v>3</v>
      </c>
      <c r="XDE90" s="0"/>
      <c r="XDF90" s="0"/>
      <c r="XDG90" s="0"/>
      <c r="XDH90" s="0"/>
      <c r="XDI90" s="0"/>
      <c r="XDJ90" s="0"/>
      <c r="XDK90" s="0"/>
      <c r="XDL90" s="0"/>
      <c r="XDM90" s="0"/>
      <c r="XDN90" s="0"/>
      <c r="XDO90" s="0"/>
      <c r="XDP90" s="0"/>
      <c r="XDQ90" s="0"/>
      <c r="XDR90" s="0"/>
      <c r="XDS90" s="0"/>
      <c r="XDT90" s="0"/>
      <c r="XDU90" s="0"/>
      <c r="XDV90" s="0"/>
      <c r="XDW90" s="0"/>
      <c r="XDX90" s="0"/>
      <c r="XDY90" s="0"/>
      <c r="XDZ90" s="0"/>
      <c r="XEA90" s="0"/>
      <c r="XEB90" s="0"/>
      <c r="XEC90" s="0"/>
      <c r="XED90" s="0"/>
      <c r="XEE90" s="0"/>
      <c r="XEF90" s="0"/>
      <c r="XEG90" s="0"/>
      <c r="XEH90" s="0"/>
      <c r="XEI90" s="0"/>
      <c r="XEJ90" s="0"/>
      <c r="XEK90" s="0"/>
      <c r="XEL90" s="0"/>
      <c r="XEM90" s="0"/>
      <c r="XEN90" s="0"/>
      <c r="XEO90" s="0"/>
      <c r="XEP90" s="0"/>
      <c r="XEQ90" s="0"/>
      <c r="XER90" s="0"/>
      <c r="XES90" s="0"/>
      <c r="XET90" s="0"/>
      <c r="XEU90" s="0"/>
      <c r="XEV90" s="0"/>
      <c r="XEW90" s="0"/>
      <c r="XEX90" s="0"/>
      <c r="XEY90" s="0"/>
      <c r="XEZ90" s="0"/>
      <c r="XFA90" s="0"/>
      <c r="XFB90" s="0"/>
      <c r="XFC90" s="0"/>
    </row>
    <row r="91" s="43" customFormat="true" ht="73.5" hidden="false" customHeight="true" outlineLevel="0" collapsed="false">
      <c r="A91" s="205" t="n">
        <v>85</v>
      </c>
      <c r="B91" s="206" t="s">
        <v>780</v>
      </c>
      <c r="C91" s="207" t="s">
        <v>679</v>
      </c>
      <c r="D91" s="208" t="n">
        <v>27</v>
      </c>
      <c r="XDE91" s="0"/>
      <c r="XDF91" s="0"/>
      <c r="XDG91" s="0"/>
      <c r="XDH91" s="0"/>
      <c r="XDI91" s="0"/>
      <c r="XDJ91" s="0"/>
      <c r="XDK91" s="0"/>
      <c r="XDL91" s="0"/>
      <c r="XDM91" s="0"/>
      <c r="XDN91" s="0"/>
      <c r="XDO91" s="0"/>
      <c r="XDP91" s="0"/>
      <c r="XDQ91" s="0"/>
      <c r="XDR91" s="0"/>
      <c r="XDS91" s="0"/>
      <c r="XDT91" s="0"/>
      <c r="XDU91" s="0"/>
      <c r="XDV91" s="0"/>
      <c r="XDW91" s="0"/>
      <c r="XDX91" s="0"/>
      <c r="XDY91" s="0"/>
      <c r="XDZ91" s="0"/>
      <c r="XEA91" s="0"/>
      <c r="XEB91" s="0"/>
      <c r="XEC91" s="0"/>
      <c r="XED91" s="0"/>
      <c r="XEE91" s="0"/>
      <c r="XEF91" s="0"/>
      <c r="XEG91" s="0"/>
      <c r="XEH91" s="0"/>
      <c r="XEI91" s="0"/>
      <c r="XEJ91" s="0"/>
      <c r="XEK91" s="0"/>
      <c r="XEL91" s="0"/>
      <c r="XEM91" s="0"/>
      <c r="XEN91" s="0"/>
      <c r="XEO91" s="0"/>
      <c r="XEP91" s="0"/>
      <c r="XEQ91" s="0"/>
      <c r="XER91" s="0"/>
      <c r="XES91" s="0"/>
      <c r="XET91" s="0"/>
      <c r="XEU91" s="0"/>
      <c r="XEV91" s="0"/>
      <c r="XEW91" s="0"/>
      <c r="XEX91" s="0"/>
      <c r="XEY91" s="0"/>
      <c r="XEZ91" s="0"/>
      <c r="XFA91" s="0"/>
      <c r="XFB91" s="0"/>
      <c r="XFC91" s="0"/>
    </row>
    <row r="92" s="43" customFormat="true" ht="73.5" hidden="false" customHeight="true" outlineLevel="0" collapsed="false">
      <c r="A92" s="205" t="n">
        <v>86</v>
      </c>
      <c r="B92" s="206" t="s">
        <v>781</v>
      </c>
      <c r="C92" s="207" t="s">
        <v>679</v>
      </c>
      <c r="D92" s="208" t="n">
        <v>3</v>
      </c>
      <c r="XDE92" s="0"/>
      <c r="XDF92" s="0"/>
      <c r="XDG92" s="0"/>
      <c r="XDH92" s="0"/>
      <c r="XDI92" s="0"/>
      <c r="XDJ92" s="0"/>
      <c r="XDK92" s="0"/>
      <c r="XDL92" s="0"/>
      <c r="XDM92" s="0"/>
      <c r="XDN92" s="0"/>
      <c r="XDO92" s="0"/>
      <c r="XDP92" s="0"/>
      <c r="XDQ92" s="0"/>
      <c r="XDR92" s="0"/>
      <c r="XDS92" s="0"/>
      <c r="XDT92" s="0"/>
      <c r="XDU92" s="0"/>
      <c r="XDV92" s="0"/>
      <c r="XDW92" s="0"/>
      <c r="XDX92" s="0"/>
      <c r="XDY92" s="0"/>
      <c r="XDZ92" s="0"/>
      <c r="XEA92" s="0"/>
      <c r="XEB92" s="0"/>
      <c r="XEC92" s="0"/>
      <c r="XED92" s="0"/>
      <c r="XEE92" s="0"/>
      <c r="XEF92" s="0"/>
      <c r="XEG92" s="0"/>
      <c r="XEH92" s="0"/>
      <c r="XEI92" s="0"/>
      <c r="XEJ92" s="0"/>
      <c r="XEK92" s="0"/>
      <c r="XEL92" s="0"/>
      <c r="XEM92" s="0"/>
      <c r="XEN92" s="0"/>
      <c r="XEO92" s="0"/>
      <c r="XEP92" s="0"/>
      <c r="XEQ92" s="0"/>
      <c r="XER92" s="0"/>
      <c r="XES92" s="0"/>
      <c r="XET92" s="0"/>
      <c r="XEU92" s="0"/>
      <c r="XEV92" s="0"/>
      <c r="XEW92" s="0"/>
      <c r="XEX92" s="0"/>
      <c r="XEY92" s="0"/>
      <c r="XEZ92" s="0"/>
      <c r="XFA92" s="0"/>
      <c r="XFB92" s="0"/>
      <c r="XFC92" s="0"/>
    </row>
    <row r="93" s="43" customFormat="true" ht="73.5" hidden="false" customHeight="true" outlineLevel="0" collapsed="false">
      <c r="A93" s="205" t="n">
        <v>87</v>
      </c>
      <c r="B93" s="206" t="s">
        <v>782</v>
      </c>
      <c r="C93" s="207" t="s">
        <v>679</v>
      </c>
      <c r="D93" s="208" t="n">
        <v>26</v>
      </c>
      <c r="XDE93" s="0"/>
      <c r="XDF93" s="0"/>
      <c r="XDG93" s="0"/>
      <c r="XDH93" s="0"/>
      <c r="XDI93" s="0"/>
      <c r="XDJ93" s="0"/>
      <c r="XDK93" s="0"/>
      <c r="XDL93" s="0"/>
      <c r="XDM93" s="0"/>
      <c r="XDN93" s="0"/>
      <c r="XDO93" s="0"/>
      <c r="XDP93" s="0"/>
      <c r="XDQ93" s="0"/>
      <c r="XDR93" s="0"/>
      <c r="XDS93" s="0"/>
      <c r="XDT93" s="0"/>
      <c r="XDU93" s="0"/>
      <c r="XDV93" s="0"/>
      <c r="XDW93" s="0"/>
      <c r="XDX93" s="0"/>
      <c r="XDY93" s="0"/>
      <c r="XDZ93" s="0"/>
      <c r="XEA93" s="0"/>
      <c r="XEB93" s="0"/>
      <c r="XEC93" s="0"/>
      <c r="XED93" s="0"/>
      <c r="XEE93" s="0"/>
      <c r="XEF93" s="0"/>
      <c r="XEG93" s="0"/>
      <c r="XEH93" s="0"/>
      <c r="XEI93" s="0"/>
      <c r="XEJ93" s="0"/>
      <c r="XEK93" s="0"/>
      <c r="XEL93" s="0"/>
      <c r="XEM93" s="0"/>
      <c r="XEN93" s="0"/>
      <c r="XEO93" s="0"/>
      <c r="XEP93" s="0"/>
      <c r="XEQ93" s="0"/>
      <c r="XER93" s="0"/>
      <c r="XES93" s="0"/>
      <c r="XET93" s="0"/>
      <c r="XEU93" s="0"/>
      <c r="XEV93" s="0"/>
      <c r="XEW93" s="0"/>
      <c r="XEX93" s="0"/>
      <c r="XEY93" s="0"/>
      <c r="XEZ93" s="0"/>
      <c r="XFA93" s="0"/>
      <c r="XFB93" s="0"/>
      <c r="XFC93" s="0"/>
    </row>
    <row r="94" s="43" customFormat="true" ht="73.5" hidden="false" customHeight="true" outlineLevel="0" collapsed="false">
      <c r="A94" s="205" t="n">
        <v>88</v>
      </c>
      <c r="B94" s="206" t="s">
        <v>783</v>
      </c>
      <c r="C94" s="207" t="s">
        <v>679</v>
      </c>
      <c r="D94" s="208" t="n">
        <v>3</v>
      </c>
      <c r="XDE94" s="0"/>
      <c r="XDF94" s="0"/>
      <c r="XDG94" s="0"/>
      <c r="XDH94" s="0"/>
      <c r="XDI94" s="0"/>
      <c r="XDJ94" s="0"/>
      <c r="XDK94" s="0"/>
      <c r="XDL94" s="0"/>
      <c r="XDM94" s="0"/>
      <c r="XDN94" s="0"/>
      <c r="XDO94" s="0"/>
      <c r="XDP94" s="0"/>
      <c r="XDQ94" s="0"/>
      <c r="XDR94" s="0"/>
      <c r="XDS94" s="0"/>
      <c r="XDT94" s="0"/>
      <c r="XDU94" s="0"/>
      <c r="XDV94" s="0"/>
      <c r="XDW94" s="0"/>
      <c r="XDX94" s="0"/>
      <c r="XDY94" s="0"/>
      <c r="XDZ94" s="0"/>
      <c r="XEA94" s="0"/>
      <c r="XEB94" s="0"/>
      <c r="XEC94" s="0"/>
      <c r="XED94" s="0"/>
      <c r="XEE94" s="0"/>
      <c r="XEF94" s="0"/>
      <c r="XEG94" s="0"/>
      <c r="XEH94" s="0"/>
      <c r="XEI94" s="0"/>
      <c r="XEJ94" s="0"/>
      <c r="XEK94" s="0"/>
      <c r="XEL94" s="0"/>
      <c r="XEM94" s="0"/>
      <c r="XEN94" s="0"/>
      <c r="XEO94" s="0"/>
      <c r="XEP94" s="0"/>
      <c r="XEQ94" s="0"/>
      <c r="XER94" s="0"/>
      <c r="XES94" s="0"/>
      <c r="XET94" s="0"/>
      <c r="XEU94" s="0"/>
      <c r="XEV94" s="0"/>
      <c r="XEW94" s="0"/>
      <c r="XEX94" s="0"/>
      <c r="XEY94" s="0"/>
      <c r="XEZ94" s="0"/>
      <c r="XFA94" s="0"/>
      <c r="XFB94" s="0"/>
      <c r="XFC94" s="0"/>
    </row>
    <row r="95" s="43" customFormat="true" ht="73.5" hidden="false" customHeight="true" outlineLevel="0" collapsed="false">
      <c r="A95" s="205" t="n">
        <v>89</v>
      </c>
      <c r="B95" s="206" t="s">
        <v>784</v>
      </c>
      <c r="C95" s="207" t="s">
        <v>679</v>
      </c>
      <c r="D95" s="208" t="n">
        <v>6</v>
      </c>
      <c r="XDE95" s="0"/>
      <c r="XDF95" s="0"/>
      <c r="XDG95" s="0"/>
      <c r="XDH95" s="0"/>
      <c r="XDI95" s="0"/>
      <c r="XDJ95" s="0"/>
      <c r="XDK95" s="0"/>
      <c r="XDL95" s="0"/>
      <c r="XDM95" s="0"/>
      <c r="XDN95" s="0"/>
      <c r="XDO95" s="0"/>
      <c r="XDP95" s="0"/>
      <c r="XDQ95" s="0"/>
      <c r="XDR95" s="0"/>
      <c r="XDS95" s="0"/>
      <c r="XDT95" s="0"/>
      <c r="XDU95" s="0"/>
      <c r="XDV95" s="0"/>
      <c r="XDW95" s="0"/>
      <c r="XDX95" s="0"/>
      <c r="XDY95" s="0"/>
      <c r="XDZ95" s="0"/>
      <c r="XEA95" s="0"/>
      <c r="XEB95" s="0"/>
      <c r="XEC95" s="0"/>
      <c r="XED95" s="0"/>
      <c r="XEE95" s="0"/>
      <c r="XEF95" s="0"/>
      <c r="XEG95" s="0"/>
      <c r="XEH95" s="0"/>
      <c r="XEI95" s="0"/>
      <c r="XEJ95" s="0"/>
      <c r="XEK95" s="0"/>
      <c r="XEL95" s="0"/>
      <c r="XEM95" s="0"/>
      <c r="XEN95" s="0"/>
      <c r="XEO95" s="0"/>
      <c r="XEP95" s="0"/>
      <c r="XEQ95" s="0"/>
      <c r="XER95" s="0"/>
      <c r="XES95" s="0"/>
      <c r="XET95" s="0"/>
      <c r="XEU95" s="0"/>
      <c r="XEV95" s="0"/>
      <c r="XEW95" s="0"/>
      <c r="XEX95" s="0"/>
      <c r="XEY95" s="0"/>
      <c r="XEZ95" s="0"/>
      <c r="XFA95" s="0"/>
      <c r="XFB95" s="0"/>
      <c r="XFC95" s="0"/>
    </row>
    <row r="96" s="43" customFormat="true" ht="73.5" hidden="false" customHeight="true" outlineLevel="0" collapsed="false">
      <c r="A96" s="205" t="n">
        <v>90</v>
      </c>
      <c r="B96" s="206" t="s">
        <v>785</v>
      </c>
      <c r="C96" s="207" t="s">
        <v>679</v>
      </c>
      <c r="D96" s="208" t="n">
        <v>1</v>
      </c>
      <c r="XDE96" s="0"/>
      <c r="XDF96" s="0"/>
      <c r="XDG96" s="0"/>
      <c r="XDH96" s="0"/>
      <c r="XDI96" s="0"/>
      <c r="XDJ96" s="0"/>
      <c r="XDK96" s="0"/>
      <c r="XDL96" s="0"/>
      <c r="XDM96" s="0"/>
      <c r="XDN96" s="0"/>
      <c r="XDO96" s="0"/>
      <c r="XDP96" s="0"/>
      <c r="XDQ96" s="0"/>
      <c r="XDR96" s="0"/>
      <c r="XDS96" s="0"/>
      <c r="XDT96" s="0"/>
      <c r="XDU96" s="0"/>
      <c r="XDV96" s="0"/>
      <c r="XDW96" s="0"/>
      <c r="XDX96" s="0"/>
      <c r="XDY96" s="0"/>
      <c r="XDZ96" s="0"/>
      <c r="XEA96" s="0"/>
      <c r="XEB96" s="0"/>
      <c r="XEC96" s="0"/>
      <c r="XED96" s="0"/>
      <c r="XEE96" s="0"/>
      <c r="XEF96" s="0"/>
      <c r="XEG96" s="0"/>
      <c r="XEH96" s="0"/>
      <c r="XEI96" s="0"/>
      <c r="XEJ96" s="0"/>
      <c r="XEK96" s="0"/>
      <c r="XEL96" s="0"/>
      <c r="XEM96" s="0"/>
      <c r="XEN96" s="0"/>
      <c r="XEO96" s="0"/>
      <c r="XEP96" s="0"/>
      <c r="XEQ96" s="0"/>
      <c r="XER96" s="0"/>
      <c r="XES96" s="0"/>
      <c r="XET96" s="0"/>
      <c r="XEU96" s="0"/>
      <c r="XEV96" s="0"/>
      <c r="XEW96" s="0"/>
      <c r="XEX96" s="0"/>
      <c r="XEY96" s="0"/>
      <c r="XEZ96" s="0"/>
      <c r="XFA96" s="0"/>
      <c r="XFB96" s="0"/>
      <c r="XFC96" s="0"/>
    </row>
    <row r="97" s="43" customFormat="true" ht="73.5" hidden="false" customHeight="true" outlineLevel="0" collapsed="false">
      <c r="A97" s="205" t="n">
        <v>91</v>
      </c>
      <c r="B97" s="206" t="s">
        <v>786</v>
      </c>
      <c r="C97" s="207" t="s">
        <v>679</v>
      </c>
      <c r="D97" s="208" t="n">
        <v>8</v>
      </c>
      <c r="XDE97" s="0"/>
      <c r="XDF97" s="0"/>
      <c r="XDG97" s="0"/>
      <c r="XDH97" s="0"/>
      <c r="XDI97" s="0"/>
      <c r="XDJ97" s="0"/>
      <c r="XDK97" s="0"/>
      <c r="XDL97" s="0"/>
      <c r="XDM97" s="0"/>
      <c r="XDN97" s="0"/>
      <c r="XDO97" s="0"/>
      <c r="XDP97" s="0"/>
      <c r="XDQ97" s="0"/>
      <c r="XDR97" s="0"/>
      <c r="XDS97" s="0"/>
      <c r="XDT97" s="0"/>
      <c r="XDU97" s="0"/>
      <c r="XDV97" s="0"/>
      <c r="XDW97" s="0"/>
      <c r="XDX97" s="0"/>
      <c r="XDY97" s="0"/>
      <c r="XDZ97" s="0"/>
      <c r="XEA97" s="0"/>
      <c r="XEB97" s="0"/>
      <c r="XEC97" s="0"/>
      <c r="XED97" s="0"/>
      <c r="XEE97" s="0"/>
      <c r="XEF97" s="0"/>
      <c r="XEG97" s="0"/>
      <c r="XEH97" s="0"/>
      <c r="XEI97" s="0"/>
      <c r="XEJ97" s="0"/>
      <c r="XEK97" s="0"/>
      <c r="XEL97" s="0"/>
      <c r="XEM97" s="0"/>
      <c r="XEN97" s="0"/>
      <c r="XEO97" s="0"/>
      <c r="XEP97" s="0"/>
      <c r="XEQ97" s="0"/>
      <c r="XER97" s="0"/>
      <c r="XES97" s="0"/>
      <c r="XET97" s="0"/>
      <c r="XEU97" s="0"/>
      <c r="XEV97" s="0"/>
      <c r="XEW97" s="0"/>
      <c r="XEX97" s="0"/>
      <c r="XEY97" s="0"/>
      <c r="XEZ97" s="0"/>
      <c r="XFA97" s="0"/>
      <c r="XFB97" s="0"/>
      <c r="XFC97" s="0"/>
    </row>
    <row r="98" s="43" customFormat="true" ht="73.5" hidden="false" customHeight="true" outlineLevel="0" collapsed="false">
      <c r="A98" s="205" t="n">
        <v>92</v>
      </c>
      <c r="B98" s="206" t="s">
        <v>787</v>
      </c>
      <c r="C98" s="207" t="s">
        <v>679</v>
      </c>
      <c r="D98" s="208" t="n">
        <v>25</v>
      </c>
      <c r="XDE98" s="0"/>
      <c r="XDF98" s="0"/>
      <c r="XDG98" s="0"/>
      <c r="XDH98" s="0"/>
      <c r="XDI98" s="0"/>
      <c r="XDJ98" s="0"/>
      <c r="XDK98" s="0"/>
      <c r="XDL98" s="0"/>
      <c r="XDM98" s="0"/>
      <c r="XDN98" s="0"/>
      <c r="XDO98" s="0"/>
      <c r="XDP98" s="0"/>
      <c r="XDQ98" s="0"/>
      <c r="XDR98" s="0"/>
      <c r="XDS98" s="0"/>
      <c r="XDT98" s="0"/>
      <c r="XDU98" s="0"/>
      <c r="XDV98" s="0"/>
      <c r="XDW98" s="0"/>
      <c r="XDX98" s="0"/>
      <c r="XDY98" s="0"/>
      <c r="XDZ98" s="0"/>
      <c r="XEA98" s="0"/>
      <c r="XEB98" s="0"/>
      <c r="XEC98" s="0"/>
      <c r="XED98" s="0"/>
      <c r="XEE98" s="0"/>
      <c r="XEF98" s="0"/>
      <c r="XEG98" s="0"/>
      <c r="XEH98" s="0"/>
      <c r="XEI98" s="0"/>
      <c r="XEJ98" s="0"/>
      <c r="XEK98" s="0"/>
      <c r="XEL98" s="0"/>
      <c r="XEM98" s="0"/>
      <c r="XEN98" s="0"/>
      <c r="XEO98" s="0"/>
      <c r="XEP98" s="0"/>
      <c r="XEQ98" s="0"/>
      <c r="XER98" s="0"/>
      <c r="XES98" s="0"/>
      <c r="XET98" s="0"/>
      <c r="XEU98" s="0"/>
      <c r="XEV98" s="0"/>
      <c r="XEW98" s="0"/>
      <c r="XEX98" s="0"/>
      <c r="XEY98" s="0"/>
      <c r="XEZ98" s="0"/>
      <c r="XFA98" s="0"/>
      <c r="XFB98" s="0"/>
      <c r="XFC98" s="0"/>
    </row>
    <row r="99" s="43" customFormat="true" ht="73.5" hidden="false" customHeight="true" outlineLevel="0" collapsed="false">
      <c r="A99" s="205" t="n">
        <v>93</v>
      </c>
      <c r="B99" s="206" t="s">
        <v>788</v>
      </c>
      <c r="C99" s="207" t="s">
        <v>679</v>
      </c>
      <c r="D99" s="208" t="n">
        <v>6</v>
      </c>
      <c r="XDE99" s="0"/>
      <c r="XDF99" s="0"/>
      <c r="XDG99" s="0"/>
      <c r="XDH99" s="0"/>
      <c r="XDI99" s="0"/>
      <c r="XDJ99" s="0"/>
      <c r="XDK99" s="0"/>
      <c r="XDL99" s="0"/>
      <c r="XDM99" s="0"/>
      <c r="XDN99" s="0"/>
      <c r="XDO99" s="0"/>
      <c r="XDP99" s="0"/>
      <c r="XDQ99" s="0"/>
      <c r="XDR99" s="0"/>
      <c r="XDS99" s="0"/>
      <c r="XDT99" s="0"/>
      <c r="XDU99" s="0"/>
      <c r="XDV99" s="0"/>
      <c r="XDW99" s="0"/>
      <c r="XDX99" s="0"/>
      <c r="XDY99" s="0"/>
      <c r="XDZ99" s="0"/>
      <c r="XEA99" s="0"/>
      <c r="XEB99" s="0"/>
      <c r="XEC99" s="0"/>
      <c r="XED99" s="0"/>
      <c r="XEE99" s="0"/>
      <c r="XEF99" s="0"/>
      <c r="XEG99" s="0"/>
      <c r="XEH99" s="0"/>
      <c r="XEI99" s="0"/>
      <c r="XEJ99" s="0"/>
      <c r="XEK99" s="0"/>
      <c r="XEL99" s="0"/>
      <c r="XEM99" s="0"/>
      <c r="XEN99" s="0"/>
      <c r="XEO99" s="0"/>
      <c r="XEP99" s="0"/>
      <c r="XEQ99" s="0"/>
      <c r="XER99" s="0"/>
      <c r="XES99" s="0"/>
      <c r="XET99" s="0"/>
      <c r="XEU99" s="0"/>
      <c r="XEV99" s="0"/>
      <c r="XEW99" s="0"/>
      <c r="XEX99" s="0"/>
      <c r="XEY99" s="0"/>
      <c r="XEZ99" s="0"/>
      <c r="XFA99" s="0"/>
      <c r="XFB99" s="0"/>
      <c r="XFC99" s="0"/>
    </row>
    <row r="100" s="43" customFormat="true" ht="73.5" hidden="false" customHeight="true" outlineLevel="0" collapsed="false">
      <c r="A100" s="205" t="n">
        <v>94</v>
      </c>
      <c r="B100" s="206" t="s">
        <v>789</v>
      </c>
      <c r="C100" s="207" t="s">
        <v>679</v>
      </c>
      <c r="D100" s="208" t="n">
        <v>12</v>
      </c>
      <c r="XDE100" s="0"/>
      <c r="XDF100" s="0"/>
      <c r="XDG100" s="0"/>
      <c r="XDH100" s="0"/>
      <c r="XDI100" s="0"/>
      <c r="XDJ100" s="0"/>
      <c r="XDK100" s="0"/>
      <c r="XDL100" s="0"/>
      <c r="XDM100" s="0"/>
      <c r="XDN100" s="0"/>
      <c r="XDO100" s="0"/>
      <c r="XDP100" s="0"/>
      <c r="XDQ100" s="0"/>
      <c r="XDR100" s="0"/>
      <c r="XDS100" s="0"/>
      <c r="XDT100" s="0"/>
      <c r="XDU100" s="0"/>
      <c r="XDV100" s="0"/>
      <c r="XDW100" s="0"/>
      <c r="XDX100" s="0"/>
      <c r="XDY100" s="0"/>
      <c r="XDZ100" s="0"/>
      <c r="XEA100" s="0"/>
      <c r="XEB100" s="0"/>
      <c r="XEC100" s="0"/>
      <c r="XED100" s="0"/>
      <c r="XEE100" s="0"/>
      <c r="XEF100" s="0"/>
      <c r="XEG100" s="0"/>
      <c r="XEH100" s="0"/>
      <c r="XEI100" s="0"/>
      <c r="XEJ100" s="0"/>
      <c r="XEK100" s="0"/>
      <c r="XEL100" s="0"/>
      <c r="XEM100" s="0"/>
      <c r="XEN100" s="0"/>
      <c r="XEO100" s="0"/>
      <c r="XEP100" s="0"/>
      <c r="XEQ100" s="0"/>
      <c r="XER100" s="0"/>
      <c r="XES100" s="0"/>
      <c r="XET100" s="0"/>
      <c r="XEU100" s="0"/>
      <c r="XEV100" s="0"/>
      <c r="XEW100" s="0"/>
      <c r="XEX100" s="0"/>
      <c r="XEY100" s="0"/>
      <c r="XEZ100" s="0"/>
      <c r="XFA100" s="0"/>
      <c r="XFB100" s="0"/>
      <c r="XFC100" s="0"/>
    </row>
    <row r="101" s="43" customFormat="true" ht="73.5" hidden="false" customHeight="true" outlineLevel="0" collapsed="false">
      <c r="A101" s="205" t="n">
        <v>95</v>
      </c>
      <c r="B101" s="206" t="s">
        <v>790</v>
      </c>
      <c r="C101" s="207" t="s">
        <v>679</v>
      </c>
      <c r="D101" s="208" t="n">
        <v>6</v>
      </c>
      <c r="XDE101" s="0"/>
      <c r="XDF101" s="0"/>
      <c r="XDG101" s="0"/>
      <c r="XDH101" s="0"/>
      <c r="XDI101" s="0"/>
      <c r="XDJ101" s="0"/>
      <c r="XDK101" s="0"/>
      <c r="XDL101" s="0"/>
      <c r="XDM101" s="0"/>
      <c r="XDN101" s="0"/>
      <c r="XDO101" s="0"/>
      <c r="XDP101" s="0"/>
      <c r="XDQ101" s="0"/>
      <c r="XDR101" s="0"/>
      <c r="XDS101" s="0"/>
      <c r="XDT101" s="0"/>
      <c r="XDU101" s="0"/>
      <c r="XDV101" s="0"/>
      <c r="XDW101" s="0"/>
      <c r="XDX101" s="0"/>
      <c r="XDY101" s="0"/>
      <c r="XDZ101" s="0"/>
      <c r="XEA101" s="0"/>
      <c r="XEB101" s="0"/>
      <c r="XEC101" s="0"/>
      <c r="XED101" s="0"/>
      <c r="XEE101" s="0"/>
      <c r="XEF101" s="0"/>
      <c r="XEG101" s="0"/>
      <c r="XEH101" s="0"/>
      <c r="XEI101" s="0"/>
      <c r="XEJ101" s="0"/>
      <c r="XEK101" s="0"/>
      <c r="XEL101" s="0"/>
      <c r="XEM101" s="0"/>
      <c r="XEN101" s="0"/>
      <c r="XEO101" s="0"/>
      <c r="XEP101" s="0"/>
      <c r="XEQ101" s="0"/>
      <c r="XER101" s="0"/>
      <c r="XES101" s="0"/>
      <c r="XET101" s="0"/>
      <c r="XEU101" s="0"/>
      <c r="XEV101" s="0"/>
      <c r="XEW101" s="0"/>
      <c r="XEX101" s="0"/>
      <c r="XEY101" s="0"/>
      <c r="XEZ101" s="0"/>
      <c r="XFA101" s="0"/>
      <c r="XFB101" s="0"/>
      <c r="XFC101" s="0"/>
    </row>
    <row r="102" s="43" customFormat="true" ht="73.5" hidden="false" customHeight="true" outlineLevel="0" collapsed="false">
      <c r="A102" s="205" t="n">
        <v>96</v>
      </c>
      <c r="B102" s="206" t="s">
        <v>791</v>
      </c>
      <c r="C102" s="207" t="s">
        <v>679</v>
      </c>
      <c r="D102" s="208" t="n">
        <v>4</v>
      </c>
      <c r="XDE102" s="0"/>
      <c r="XDF102" s="0"/>
      <c r="XDG102" s="0"/>
      <c r="XDH102" s="0"/>
      <c r="XDI102" s="0"/>
      <c r="XDJ102" s="0"/>
      <c r="XDK102" s="0"/>
      <c r="XDL102" s="0"/>
      <c r="XDM102" s="0"/>
      <c r="XDN102" s="0"/>
      <c r="XDO102" s="0"/>
      <c r="XDP102" s="0"/>
      <c r="XDQ102" s="0"/>
      <c r="XDR102" s="0"/>
      <c r="XDS102" s="0"/>
      <c r="XDT102" s="0"/>
      <c r="XDU102" s="0"/>
      <c r="XDV102" s="0"/>
      <c r="XDW102" s="0"/>
      <c r="XDX102" s="0"/>
      <c r="XDY102" s="0"/>
      <c r="XDZ102" s="0"/>
      <c r="XEA102" s="0"/>
      <c r="XEB102" s="0"/>
      <c r="XEC102" s="0"/>
      <c r="XED102" s="0"/>
      <c r="XEE102" s="0"/>
      <c r="XEF102" s="0"/>
      <c r="XEG102" s="0"/>
      <c r="XEH102" s="0"/>
      <c r="XEI102" s="0"/>
      <c r="XEJ102" s="0"/>
      <c r="XEK102" s="0"/>
      <c r="XEL102" s="0"/>
      <c r="XEM102" s="0"/>
      <c r="XEN102" s="0"/>
      <c r="XEO102" s="0"/>
      <c r="XEP102" s="0"/>
      <c r="XEQ102" s="0"/>
      <c r="XER102" s="0"/>
      <c r="XES102" s="0"/>
      <c r="XET102" s="0"/>
      <c r="XEU102" s="0"/>
      <c r="XEV102" s="0"/>
      <c r="XEW102" s="0"/>
      <c r="XEX102" s="0"/>
      <c r="XEY102" s="0"/>
      <c r="XEZ102" s="0"/>
      <c r="XFA102" s="0"/>
      <c r="XFB102" s="0"/>
      <c r="XFC102" s="0"/>
    </row>
    <row r="103" s="43" customFormat="true" ht="73.5" hidden="false" customHeight="true" outlineLevel="0" collapsed="false">
      <c r="A103" s="205" t="n">
        <v>97</v>
      </c>
      <c r="B103" s="206" t="s">
        <v>792</v>
      </c>
      <c r="C103" s="207" t="s">
        <v>679</v>
      </c>
      <c r="D103" s="208" t="n">
        <v>2</v>
      </c>
      <c r="XDE103" s="0"/>
      <c r="XDF103" s="0"/>
      <c r="XDG103" s="0"/>
      <c r="XDH103" s="0"/>
      <c r="XDI103" s="0"/>
      <c r="XDJ103" s="0"/>
      <c r="XDK103" s="0"/>
      <c r="XDL103" s="0"/>
      <c r="XDM103" s="0"/>
      <c r="XDN103" s="0"/>
      <c r="XDO103" s="0"/>
      <c r="XDP103" s="0"/>
      <c r="XDQ103" s="0"/>
      <c r="XDR103" s="0"/>
      <c r="XDS103" s="0"/>
      <c r="XDT103" s="0"/>
      <c r="XDU103" s="0"/>
      <c r="XDV103" s="0"/>
      <c r="XDW103" s="0"/>
      <c r="XDX103" s="0"/>
      <c r="XDY103" s="0"/>
      <c r="XDZ103" s="0"/>
      <c r="XEA103" s="0"/>
      <c r="XEB103" s="0"/>
      <c r="XEC103" s="0"/>
      <c r="XED103" s="0"/>
      <c r="XEE103" s="0"/>
      <c r="XEF103" s="0"/>
      <c r="XEG103" s="0"/>
      <c r="XEH103" s="0"/>
      <c r="XEI103" s="0"/>
      <c r="XEJ103" s="0"/>
      <c r="XEK103" s="0"/>
      <c r="XEL103" s="0"/>
      <c r="XEM103" s="0"/>
      <c r="XEN103" s="0"/>
      <c r="XEO103" s="0"/>
      <c r="XEP103" s="0"/>
      <c r="XEQ103" s="0"/>
      <c r="XER103" s="0"/>
      <c r="XES103" s="0"/>
      <c r="XET103" s="0"/>
      <c r="XEU103" s="0"/>
      <c r="XEV103" s="0"/>
      <c r="XEW103" s="0"/>
      <c r="XEX103" s="0"/>
      <c r="XEY103" s="0"/>
      <c r="XEZ103" s="0"/>
      <c r="XFA103" s="0"/>
      <c r="XFB103" s="0"/>
      <c r="XFC103" s="0"/>
    </row>
    <row r="104" s="43" customFormat="true" ht="73.5" hidden="false" customHeight="true" outlineLevel="0" collapsed="false">
      <c r="A104" s="205" t="n">
        <v>98</v>
      </c>
      <c r="B104" s="206" t="s">
        <v>793</v>
      </c>
      <c r="C104" s="207" t="s">
        <v>679</v>
      </c>
      <c r="D104" s="208" t="n">
        <v>1</v>
      </c>
      <c r="XDE104" s="0"/>
      <c r="XDF104" s="0"/>
      <c r="XDG104" s="0"/>
      <c r="XDH104" s="0"/>
      <c r="XDI104" s="0"/>
      <c r="XDJ104" s="0"/>
      <c r="XDK104" s="0"/>
      <c r="XDL104" s="0"/>
      <c r="XDM104" s="0"/>
      <c r="XDN104" s="0"/>
      <c r="XDO104" s="0"/>
      <c r="XDP104" s="0"/>
      <c r="XDQ104" s="0"/>
      <c r="XDR104" s="0"/>
      <c r="XDS104" s="0"/>
      <c r="XDT104" s="0"/>
      <c r="XDU104" s="0"/>
      <c r="XDV104" s="0"/>
      <c r="XDW104" s="0"/>
      <c r="XDX104" s="0"/>
      <c r="XDY104" s="0"/>
      <c r="XDZ104" s="0"/>
      <c r="XEA104" s="0"/>
      <c r="XEB104" s="0"/>
      <c r="XEC104" s="0"/>
      <c r="XED104" s="0"/>
      <c r="XEE104" s="0"/>
      <c r="XEF104" s="0"/>
      <c r="XEG104" s="0"/>
      <c r="XEH104" s="0"/>
      <c r="XEI104" s="0"/>
      <c r="XEJ104" s="0"/>
      <c r="XEK104" s="0"/>
      <c r="XEL104" s="0"/>
      <c r="XEM104" s="0"/>
      <c r="XEN104" s="0"/>
      <c r="XEO104" s="0"/>
      <c r="XEP104" s="0"/>
      <c r="XEQ104" s="0"/>
      <c r="XER104" s="0"/>
      <c r="XES104" s="0"/>
      <c r="XET104" s="0"/>
      <c r="XEU104" s="0"/>
      <c r="XEV104" s="0"/>
      <c r="XEW104" s="0"/>
      <c r="XEX104" s="0"/>
      <c r="XEY104" s="0"/>
      <c r="XEZ104" s="0"/>
      <c r="XFA104" s="0"/>
      <c r="XFB104" s="0"/>
      <c r="XFC104" s="0"/>
    </row>
    <row r="105" s="43" customFormat="true" ht="73.5" hidden="false" customHeight="true" outlineLevel="0" collapsed="false">
      <c r="A105" s="205" t="n">
        <v>99</v>
      </c>
      <c r="B105" s="206" t="s">
        <v>794</v>
      </c>
      <c r="C105" s="207" t="s">
        <v>679</v>
      </c>
      <c r="D105" s="208" t="n">
        <v>6</v>
      </c>
      <c r="XDE105" s="0"/>
      <c r="XDF105" s="0"/>
      <c r="XDG105" s="0"/>
      <c r="XDH105" s="0"/>
      <c r="XDI105" s="0"/>
      <c r="XDJ105" s="0"/>
      <c r="XDK105" s="0"/>
      <c r="XDL105" s="0"/>
      <c r="XDM105" s="0"/>
      <c r="XDN105" s="0"/>
      <c r="XDO105" s="0"/>
      <c r="XDP105" s="0"/>
      <c r="XDQ105" s="0"/>
      <c r="XDR105" s="0"/>
      <c r="XDS105" s="0"/>
      <c r="XDT105" s="0"/>
      <c r="XDU105" s="0"/>
      <c r="XDV105" s="0"/>
      <c r="XDW105" s="0"/>
      <c r="XDX105" s="0"/>
      <c r="XDY105" s="0"/>
      <c r="XDZ105" s="0"/>
      <c r="XEA105" s="0"/>
      <c r="XEB105" s="0"/>
      <c r="XEC105" s="0"/>
      <c r="XED105" s="0"/>
      <c r="XEE105" s="0"/>
      <c r="XEF105" s="0"/>
      <c r="XEG105" s="0"/>
      <c r="XEH105" s="0"/>
      <c r="XEI105" s="0"/>
      <c r="XEJ105" s="0"/>
      <c r="XEK105" s="0"/>
      <c r="XEL105" s="0"/>
      <c r="XEM105" s="0"/>
      <c r="XEN105" s="0"/>
      <c r="XEO105" s="0"/>
      <c r="XEP105" s="0"/>
      <c r="XEQ105" s="0"/>
      <c r="XER105" s="0"/>
      <c r="XES105" s="0"/>
      <c r="XET105" s="0"/>
      <c r="XEU105" s="0"/>
      <c r="XEV105" s="0"/>
      <c r="XEW105" s="0"/>
      <c r="XEX105" s="0"/>
      <c r="XEY105" s="0"/>
      <c r="XEZ105" s="0"/>
      <c r="XFA105" s="0"/>
      <c r="XFB105" s="0"/>
      <c r="XFC105" s="0"/>
    </row>
    <row r="106" s="43" customFormat="true" ht="73.5" hidden="false" customHeight="true" outlineLevel="0" collapsed="false">
      <c r="A106" s="205" t="n">
        <v>100</v>
      </c>
      <c r="B106" s="206" t="s">
        <v>795</v>
      </c>
      <c r="C106" s="207" t="s">
        <v>679</v>
      </c>
      <c r="D106" s="208" t="n">
        <v>27</v>
      </c>
      <c r="XDE106" s="0"/>
      <c r="XDF106" s="0"/>
      <c r="XDG106" s="0"/>
      <c r="XDH106" s="0"/>
      <c r="XDI106" s="0"/>
      <c r="XDJ106" s="0"/>
      <c r="XDK106" s="0"/>
      <c r="XDL106" s="0"/>
      <c r="XDM106" s="0"/>
      <c r="XDN106" s="0"/>
      <c r="XDO106" s="0"/>
      <c r="XDP106" s="0"/>
      <c r="XDQ106" s="0"/>
      <c r="XDR106" s="0"/>
      <c r="XDS106" s="0"/>
      <c r="XDT106" s="0"/>
      <c r="XDU106" s="0"/>
      <c r="XDV106" s="0"/>
      <c r="XDW106" s="0"/>
      <c r="XDX106" s="0"/>
      <c r="XDY106" s="0"/>
      <c r="XDZ106" s="0"/>
      <c r="XEA106" s="0"/>
      <c r="XEB106" s="0"/>
      <c r="XEC106" s="0"/>
      <c r="XED106" s="0"/>
      <c r="XEE106" s="0"/>
      <c r="XEF106" s="0"/>
      <c r="XEG106" s="0"/>
      <c r="XEH106" s="0"/>
      <c r="XEI106" s="0"/>
      <c r="XEJ106" s="0"/>
      <c r="XEK106" s="0"/>
      <c r="XEL106" s="0"/>
      <c r="XEM106" s="0"/>
      <c r="XEN106" s="0"/>
      <c r="XEO106" s="0"/>
      <c r="XEP106" s="0"/>
      <c r="XEQ106" s="0"/>
      <c r="XER106" s="0"/>
      <c r="XES106" s="0"/>
      <c r="XET106" s="0"/>
      <c r="XEU106" s="0"/>
      <c r="XEV106" s="0"/>
      <c r="XEW106" s="0"/>
      <c r="XEX106" s="0"/>
      <c r="XEY106" s="0"/>
      <c r="XEZ106" s="0"/>
      <c r="XFA106" s="0"/>
      <c r="XFB106" s="0"/>
      <c r="XFC106" s="0"/>
    </row>
    <row r="107" s="43" customFormat="true" ht="73.5" hidden="false" customHeight="true" outlineLevel="0" collapsed="false">
      <c r="A107" s="205" t="n">
        <v>101</v>
      </c>
      <c r="B107" s="206" t="s">
        <v>796</v>
      </c>
      <c r="C107" s="207" t="s">
        <v>679</v>
      </c>
      <c r="D107" s="208" t="n">
        <v>2</v>
      </c>
      <c r="XDE107" s="0"/>
      <c r="XDF107" s="0"/>
      <c r="XDG107" s="0"/>
      <c r="XDH107" s="0"/>
      <c r="XDI107" s="0"/>
      <c r="XDJ107" s="0"/>
      <c r="XDK107" s="0"/>
      <c r="XDL107" s="0"/>
      <c r="XDM107" s="0"/>
      <c r="XDN107" s="0"/>
      <c r="XDO107" s="0"/>
      <c r="XDP107" s="0"/>
      <c r="XDQ107" s="0"/>
      <c r="XDR107" s="0"/>
      <c r="XDS107" s="0"/>
      <c r="XDT107" s="0"/>
      <c r="XDU107" s="0"/>
      <c r="XDV107" s="0"/>
      <c r="XDW107" s="0"/>
      <c r="XDX107" s="0"/>
      <c r="XDY107" s="0"/>
      <c r="XDZ107" s="0"/>
      <c r="XEA107" s="0"/>
      <c r="XEB107" s="0"/>
      <c r="XEC107" s="0"/>
      <c r="XED107" s="0"/>
      <c r="XEE107" s="0"/>
      <c r="XEF107" s="0"/>
      <c r="XEG107" s="0"/>
      <c r="XEH107" s="0"/>
      <c r="XEI107" s="0"/>
      <c r="XEJ107" s="0"/>
      <c r="XEK107" s="0"/>
      <c r="XEL107" s="0"/>
      <c r="XEM107" s="0"/>
      <c r="XEN107" s="0"/>
      <c r="XEO107" s="0"/>
      <c r="XEP107" s="0"/>
      <c r="XEQ107" s="0"/>
      <c r="XER107" s="0"/>
      <c r="XES107" s="0"/>
      <c r="XET107" s="0"/>
      <c r="XEU107" s="0"/>
      <c r="XEV107" s="0"/>
      <c r="XEW107" s="0"/>
      <c r="XEX107" s="0"/>
      <c r="XEY107" s="0"/>
      <c r="XEZ107" s="0"/>
      <c r="XFA107" s="0"/>
      <c r="XFB107" s="0"/>
      <c r="XFC107" s="0"/>
    </row>
    <row r="108" s="43" customFormat="true" ht="60" hidden="false" customHeight="true" outlineLevel="0" collapsed="false">
      <c r="A108" s="205" t="n">
        <v>102</v>
      </c>
      <c r="B108" s="206" t="s">
        <v>797</v>
      </c>
      <c r="C108" s="207" t="s">
        <v>679</v>
      </c>
      <c r="D108" s="208" t="n">
        <v>29</v>
      </c>
      <c r="XDE108" s="0"/>
      <c r="XDF108" s="0"/>
      <c r="XDG108" s="0"/>
      <c r="XDH108" s="0"/>
      <c r="XDI108" s="0"/>
      <c r="XDJ108" s="0"/>
      <c r="XDK108" s="0"/>
      <c r="XDL108" s="0"/>
      <c r="XDM108" s="0"/>
      <c r="XDN108" s="0"/>
      <c r="XDO108" s="0"/>
      <c r="XDP108" s="0"/>
      <c r="XDQ108" s="0"/>
      <c r="XDR108" s="0"/>
      <c r="XDS108" s="0"/>
      <c r="XDT108" s="0"/>
      <c r="XDU108" s="0"/>
      <c r="XDV108" s="0"/>
      <c r="XDW108" s="0"/>
      <c r="XDX108" s="0"/>
      <c r="XDY108" s="0"/>
      <c r="XDZ108" s="0"/>
      <c r="XEA108" s="0"/>
      <c r="XEB108" s="0"/>
      <c r="XEC108" s="0"/>
      <c r="XED108" s="0"/>
      <c r="XEE108" s="0"/>
      <c r="XEF108" s="0"/>
      <c r="XEG108" s="0"/>
      <c r="XEH108" s="0"/>
      <c r="XEI108" s="0"/>
      <c r="XEJ108" s="0"/>
      <c r="XEK108" s="0"/>
      <c r="XEL108" s="0"/>
      <c r="XEM108" s="0"/>
      <c r="XEN108" s="0"/>
      <c r="XEO108" s="0"/>
      <c r="XEP108" s="0"/>
      <c r="XEQ108" s="0"/>
      <c r="XER108" s="0"/>
      <c r="XES108" s="0"/>
      <c r="XET108" s="0"/>
      <c r="XEU108" s="0"/>
      <c r="XEV108" s="0"/>
      <c r="XEW108" s="0"/>
      <c r="XEX108" s="0"/>
      <c r="XEY108" s="0"/>
      <c r="XEZ108" s="0"/>
      <c r="XFA108" s="0"/>
      <c r="XFB108" s="0"/>
      <c r="XFC108" s="0"/>
    </row>
    <row r="109" s="43" customFormat="true" ht="73.5" hidden="false" customHeight="true" outlineLevel="0" collapsed="false">
      <c r="A109" s="205" t="n">
        <v>103</v>
      </c>
      <c r="B109" s="206" t="s">
        <v>798</v>
      </c>
      <c r="C109" s="207" t="s">
        <v>679</v>
      </c>
      <c r="D109" s="208" t="n">
        <v>6</v>
      </c>
      <c r="XDE109" s="0"/>
      <c r="XDF109" s="0"/>
      <c r="XDG109" s="0"/>
      <c r="XDH109" s="0"/>
      <c r="XDI109" s="0"/>
      <c r="XDJ109" s="0"/>
      <c r="XDK109" s="0"/>
      <c r="XDL109" s="0"/>
      <c r="XDM109" s="0"/>
      <c r="XDN109" s="0"/>
      <c r="XDO109" s="0"/>
      <c r="XDP109" s="0"/>
      <c r="XDQ109" s="0"/>
      <c r="XDR109" s="0"/>
      <c r="XDS109" s="0"/>
      <c r="XDT109" s="0"/>
      <c r="XDU109" s="0"/>
      <c r="XDV109" s="0"/>
      <c r="XDW109" s="0"/>
      <c r="XDX109" s="0"/>
      <c r="XDY109" s="0"/>
      <c r="XDZ109" s="0"/>
      <c r="XEA109" s="0"/>
      <c r="XEB109" s="0"/>
      <c r="XEC109" s="0"/>
      <c r="XED109" s="0"/>
      <c r="XEE109" s="0"/>
      <c r="XEF109" s="0"/>
      <c r="XEG109" s="0"/>
      <c r="XEH109" s="0"/>
      <c r="XEI109" s="0"/>
      <c r="XEJ109" s="0"/>
      <c r="XEK109" s="0"/>
      <c r="XEL109" s="0"/>
      <c r="XEM109" s="0"/>
      <c r="XEN109" s="0"/>
      <c r="XEO109" s="0"/>
      <c r="XEP109" s="0"/>
      <c r="XEQ109" s="0"/>
      <c r="XER109" s="0"/>
      <c r="XES109" s="0"/>
      <c r="XET109" s="0"/>
      <c r="XEU109" s="0"/>
      <c r="XEV109" s="0"/>
      <c r="XEW109" s="0"/>
      <c r="XEX109" s="0"/>
      <c r="XEY109" s="0"/>
      <c r="XEZ109" s="0"/>
      <c r="XFA109" s="0"/>
      <c r="XFB109" s="0"/>
      <c r="XFC109" s="0"/>
    </row>
    <row r="110" s="43" customFormat="true" ht="71.25" hidden="false" customHeight="true" outlineLevel="0" collapsed="false">
      <c r="A110" s="205" t="n">
        <v>104</v>
      </c>
      <c r="B110" s="206" t="s">
        <v>799</v>
      </c>
      <c r="C110" s="207" t="s">
        <v>679</v>
      </c>
      <c r="D110" s="208" t="n">
        <v>25</v>
      </c>
      <c r="XDE110" s="0"/>
      <c r="XDF110" s="0"/>
      <c r="XDG110" s="0"/>
      <c r="XDH110" s="0"/>
      <c r="XDI110" s="0"/>
      <c r="XDJ110" s="0"/>
      <c r="XDK110" s="0"/>
      <c r="XDL110" s="0"/>
      <c r="XDM110" s="0"/>
      <c r="XDN110" s="0"/>
      <c r="XDO110" s="0"/>
      <c r="XDP110" s="0"/>
      <c r="XDQ110" s="0"/>
      <c r="XDR110" s="0"/>
      <c r="XDS110" s="0"/>
      <c r="XDT110" s="0"/>
      <c r="XDU110" s="0"/>
      <c r="XDV110" s="0"/>
      <c r="XDW110" s="0"/>
      <c r="XDX110" s="0"/>
      <c r="XDY110" s="0"/>
      <c r="XDZ110" s="0"/>
      <c r="XEA110" s="0"/>
      <c r="XEB110" s="0"/>
      <c r="XEC110" s="0"/>
      <c r="XED110" s="0"/>
      <c r="XEE110" s="0"/>
      <c r="XEF110" s="0"/>
      <c r="XEG110" s="0"/>
      <c r="XEH110" s="0"/>
      <c r="XEI110" s="0"/>
      <c r="XEJ110" s="0"/>
      <c r="XEK110" s="0"/>
      <c r="XEL110" s="0"/>
      <c r="XEM110" s="0"/>
      <c r="XEN110" s="0"/>
      <c r="XEO110" s="0"/>
      <c r="XEP110" s="0"/>
      <c r="XEQ110" s="0"/>
      <c r="XER110" s="0"/>
      <c r="XES110" s="0"/>
      <c r="XET110" s="0"/>
      <c r="XEU110" s="0"/>
      <c r="XEV110" s="0"/>
      <c r="XEW110" s="0"/>
      <c r="XEX110" s="0"/>
      <c r="XEY110" s="0"/>
      <c r="XEZ110" s="0"/>
      <c r="XFA110" s="0"/>
      <c r="XFB110" s="0"/>
      <c r="XFC110" s="0"/>
    </row>
    <row r="111" s="43" customFormat="true" ht="73.5" hidden="false" customHeight="true" outlineLevel="0" collapsed="false">
      <c r="A111" s="205" t="n">
        <v>105</v>
      </c>
      <c r="B111" s="206" t="s">
        <v>800</v>
      </c>
      <c r="C111" s="207" t="s">
        <v>679</v>
      </c>
      <c r="D111" s="208" t="n">
        <v>27</v>
      </c>
      <c r="XDE111" s="0"/>
      <c r="XDF111" s="0"/>
      <c r="XDG111" s="0"/>
      <c r="XDH111" s="0"/>
      <c r="XDI111" s="0"/>
      <c r="XDJ111" s="0"/>
      <c r="XDK111" s="0"/>
      <c r="XDL111" s="0"/>
      <c r="XDM111" s="0"/>
      <c r="XDN111" s="0"/>
      <c r="XDO111" s="0"/>
      <c r="XDP111" s="0"/>
      <c r="XDQ111" s="0"/>
      <c r="XDR111" s="0"/>
      <c r="XDS111" s="0"/>
      <c r="XDT111" s="0"/>
      <c r="XDU111" s="0"/>
      <c r="XDV111" s="0"/>
      <c r="XDW111" s="0"/>
      <c r="XDX111" s="0"/>
      <c r="XDY111" s="0"/>
      <c r="XDZ111" s="0"/>
      <c r="XEA111" s="0"/>
      <c r="XEB111" s="0"/>
      <c r="XEC111" s="0"/>
      <c r="XED111" s="0"/>
      <c r="XEE111" s="0"/>
      <c r="XEF111" s="0"/>
      <c r="XEG111" s="0"/>
      <c r="XEH111" s="0"/>
      <c r="XEI111" s="0"/>
      <c r="XEJ111" s="0"/>
      <c r="XEK111" s="0"/>
      <c r="XEL111" s="0"/>
      <c r="XEM111" s="0"/>
      <c r="XEN111" s="0"/>
      <c r="XEO111" s="0"/>
      <c r="XEP111" s="0"/>
      <c r="XEQ111" s="0"/>
      <c r="XER111" s="0"/>
      <c r="XES111" s="0"/>
      <c r="XET111" s="0"/>
      <c r="XEU111" s="0"/>
      <c r="XEV111" s="0"/>
      <c r="XEW111" s="0"/>
      <c r="XEX111" s="0"/>
      <c r="XEY111" s="0"/>
      <c r="XEZ111" s="0"/>
      <c r="XFA111" s="0"/>
      <c r="XFB111" s="0"/>
      <c r="XFC111" s="0"/>
    </row>
    <row r="112" s="43" customFormat="true" ht="73.5" hidden="false" customHeight="true" outlineLevel="0" collapsed="false">
      <c r="A112" s="205" t="n">
        <v>106</v>
      </c>
      <c r="B112" s="206" t="s">
        <v>801</v>
      </c>
      <c r="C112" s="207" t="s">
        <v>679</v>
      </c>
      <c r="D112" s="208" t="n">
        <v>120</v>
      </c>
      <c r="XDE112" s="0"/>
      <c r="XDF112" s="0"/>
      <c r="XDG112" s="0"/>
      <c r="XDH112" s="0"/>
      <c r="XDI112" s="0"/>
      <c r="XDJ112" s="0"/>
      <c r="XDK112" s="0"/>
      <c r="XDL112" s="0"/>
      <c r="XDM112" s="0"/>
      <c r="XDN112" s="0"/>
      <c r="XDO112" s="0"/>
      <c r="XDP112" s="0"/>
      <c r="XDQ112" s="0"/>
      <c r="XDR112" s="0"/>
      <c r="XDS112" s="0"/>
      <c r="XDT112" s="0"/>
      <c r="XDU112" s="0"/>
      <c r="XDV112" s="0"/>
      <c r="XDW112" s="0"/>
      <c r="XDX112" s="0"/>
      <c r="XDY112" s="0"/>
      <c r="XDZ112" s="0"/>
      <c r="XEA112" s="0"/>
      <c r="XEB112" s="0"/>
      <c r="XEC112" s="0"/>
      <c r="XED112" s="0"/>
      <c r="XEE112" s="0"/>
      <c r="XEF112" s="0"/>
      <c r="XEG112" s="0"/>
      <c r="XEH112" s="0"/>
      <c r="XEI112" s="0"/>
      <c r="XEJ112" s="0"/>
      <c r="XEK112" s="0"/>
      <c r="XEL112" s="0"/>
      <c r="XEM112" s="0"/>
      <c r="XEN112" s="0"/>
      <c r="XEO112" s="0"/>
      <c r="XEP112" s="0"/>
      <c r="XEQ112" s="0"/>
      <c r="XER112" s="0"/>
      <c r="XES112" s="0"/>
      <c r="XET112" s="0"/>
      <c r="XEU112" s="0"/>
      <c r="XEV112" s="0"/>
      <c r="XEW112" s="0"/>
      <c r="XEX112" s="0"/>
      <c r="XEY112" s="0"/>
      <c r="XEZ112" s="0"/>
      <c r="XFA112" s="0"/>
      <c r="XFB112" s="0"/>
      <c r="XFC112" s="0"/>
    </row>
    <row r="113" s="43" customFormat="true" ht="73.5" hidden="false" customHeight="true" outlineLevel="0" collapsed="false">
      <c r="A113" s="205" t="n">
        <v>107</v>
      </c>
      <c r="B113" s="206" t="s">
        <v>802</v>
      </c>
      <c r="C113" s="207" t="s">
        <v>679</v>
      </c>
      <c r="D113" s="208" t="n">
        <v>2</v>
      </c>
      <c r="XDE113" s="0"/>
      <c r="XDF113" s="0"/>
      <c r="XDG113" s="0"/>
      <c r="XDH113" s="0"/>
      <c r="XDI113" s="0"/>
      <c r="XDJ113" s="0"/>
      <c r="XDK113" s="0"/>
      <c r="XDL113" s="0"/>
      <c r="XDM113" s="0"/>
      <c r="XDN113" s="0"/>
      <c r="XDO113" s="0"/>
      <c r="XDP113" s="0"/>
      <c r="XDQ113" s="0"/>
      <c r="XDR113" s="0"/>
      <c r="XDS113" s="0"/>
      <c r="XDT113" s="0"/>
      <c r="XDU113" s="0"/>
      <c r="XDV113" s="0"/>
      <c r="XDW113" s="0"/>
      <c r="XDX113" s="0"/>
      <c r="XDY113" s="0"/>
      <c r="XDZ113" s="0"/>
      <c r="XEA113" s="0"/>
      <c r="XEB113" s="0"/>
      <c r="XEC113" s="0"/>
      <c r="XED113" s="0"/>
      <c r="XEE113" s="0"/>
      <c r="XEF113" s="0"/>
      <c r="XEG113" s="0"/>
      <c r="XEH113" s="0"/>
      <c r="XEI113" s="0"/>
      <c r="XEJ113" s="0"/>
      <c r="XEK113" s="0"/>
      <c r="XEL113" s="0"/>
      <c r="XEM113" s="0"/>
      <c r="XEN113" s="0"/>
      <c r="XEO113" s="0"/>
      <c r="XEP113" s="0"/>
      <c r="XEQ113" s="0"/>
      <c r="XER113" s="0"/>
      <c r="XES113" s="0"/>
      <c r="XET113" s="0"/>
      <c r="XEU113" s="0"/>
      <c r="XEV113" s="0"/>
      <c r="XEW113" s="0"/>
      <c r="XEX113" s="0"/>
      <c r="XEY113" s="0"/>
      <c r="XEZ113" s="0"/>
      <c r="XFA113" s="0"/>
      <c r="XFB113" s="0"/>
      <c r="XFC113" s="0"/>
    </row>
    <row r="114" s="43" customFormat="true" ht="73.5" hidden="false" customHeight="true" outlineLevel="0" collapsed="false">
      <c r="A114" s="205" t="n">
        <v>108</v>
      </c>
      <c r="B114" s="206" t="s">
        <v>803</v>
      </c>
      <c r="C114" s="207" t="s">
        <v>25</v>
      </c>
      <c r="D114" s="208" t="n">
        <v>2</v>
      </c>
      <c r="XDE114" s="0"/>
      <c r="XDF114" s="0"/>
      <c r="XDG114" s="0"/>
      <c r="XDH114" s="0"/>
      <c r="XDI114" s="0"/>
      <c r="XDJ114" s="0"/>
      <c r="XDK114" s="0"/>
      <c r="XDL114" s="0"/>
      <c r="XDM114" s="0"/>
      <c r="XDN114" s="0"/>
      <c r="XDO114" s="0"/>
      <c r="XDP114" s="0"/>
      <c r="XDQ114" s="0"/>
      <c r="XDR114" s="0"/>
      <c r="XDS114" s="0"/>
      <c r="XDT114" s="0"/>
      <c r="XDU114" s="0"/>
      <c r="XDV114" s="0"/>
      <c r="XDW114" s="0"/>
      <c r="XDX114" s="0"/>
      <c r="XDY114" s="0"/>
      <c r="XDZ114" s="0"/>
      <c r="XEA114" s="0"/>
      <c r="XEB114" s="0"/>
      <c r="XEC114" s="0"/>
      <c r="XED114" s="0"/>
      <c r="XEE114" s="0"/>
      <c r="XEF114" s="0"/>
      <c r="XEG114" s="0"/>
      <c r="XEH114" s="0"/>
      <c r="XEI114" s="0"/>
      <c r="XEJ114" s="0"/>
      <c r="XEK114" s="0"/>
      <c r="XEL114" s="0"/>
      <c r="XEM114" s="0"/>
      <c r="XEN114" s="0"/>
      <c r="XEO114" s="0"/>
      <c r="XEP114" s="0"/>
      <c r="XEQ114" s="0"/>
      <c r="XER114" s="0"/>
      <c r="XES114" s="0"/>
      <c r="XET114" s="0"/>
      <c r="XEU114" s="0"/>
      <c r="XEV114" s="0"/>
      <c r="XEW114" s="0"/>
      <c r="XEX114" s="0"/>
      <c r="XEY114" s="0"/>
      <c r="XEZ114" s="0"/>
      <c r="XFA114" s="0"/>
      <c r="XFB114" s="0"/>
      <c r="XFC114" s="0"/>
    </row>
    <row r="115" s="43" customFormat="true" ht="73.5" hidden="false" customHeight="true" outlineLevel="0" collapsed="false">
      <c r="A115" s="205" t="n">
        <v>109</v>
      </c>
      <c r="B115" s="206" t="s">
        <v>804</v>
      </c>
      <c r="C115" s="207" t="s">
        <v>679</v>
      </c>
      <c r="D115" s="208" t="n">
        <v>1</v>
      </c>
      <c r="XDE115" s="0"/>
      <c r="XDF115" s="0"/>
      <c r="XDG115" s="0"/>
      <c r="XDH115" s="0"/>
      <c r="XDI115" s="0"/>
      <c r="XDJ115" s="0"/>
      <c r="XDK115" s="0"/>
      <c r="XDL115" s="0"/>
      <c r="XDM115" s="0"/>
      <c r="XDN115" s="0"/>
      <c r="XDO115" s="0"/>
      <c r="XDP115" s="0"/>
      <c r="XDQ115" s="0"/>
      <c r="XDR115" s="0"/>
      <c r="XDS115" s="0"/>
      <c r="XDT115" s="0"/>
      <c r="XDU115" s="0"/>
      <c r="XDV115" s="0"/>
      <c r="XDW115" s="0"/>
      <c r="XDX115" s="0"/>
      <c r="XDY115" s="0"/>
      <c r="XDZ115" s="0"/>
      <c r="XEA115" s="0"/>
      <c r="XEB115" s="0"/>
      <c r="XEC115" s="0"/>
      <c r="XED115" s="0"/>
      <c r="XEE115" s="0"/>
      <c r="XEF115" s="0"/>
      <c r="XEG115" s="0"/>
      <c r="XEH115" s="0"/>
      <c r="XEI115" s="0"/>
      <c r="XEJ115" s="0"/>
      <c r="XEK115" s="0"/>
      <c r="XEL115" s="0"/>
      <c r="XEM115" s="0"/>
      <c r="XEN115" s="0"/>
      <c r="XEO115" s="0"/>
      <c r="XEP115" s="0"/>
      <c r="XEQ115" s="0"/>
      <c r="XER115" s="0"/>
      <c r="XES115" s="0"/>
      <c r="XET115" s="0"/>
      <c r="XEU115" s="0"/>
      <c r="XEV115" s="0"/>
      <c r="XEW115" s="0"/>
      <c r="XEX115" s="0"/>
      <c r="XEY115" s="0"/>
      <c r="XEZ115" s="0"/>
      <c r="XFA115" s="0"/>
      <c r="XFB115" s="0"/>
      <c r="XFC115" s="0"/>
    </row>
    <row r="116" s="43" customFormat="true" ht="73.5" hidden="false" customHeight="true" outlineLevel="0" collapsed="false">
      <c r="A116" s="205" t="n">
        <v>110</v>
      </c>
      <c r="B116" s="206" t="s">
        <v>805</v>
      </c>
      <c r="C116" s="207" t="s">
        <v>679</v>
      </c>
      <c r="D116" s="208" t="n">
        <v>12</v>
      </c>
      <c r="XDE116" s="0"/>
      <c r="XDF116" s="0"/>
      <c r="XDG116" s="0"/>
      <c r="XDH116" s="0"/>
      <c r="XDI116" s="0"/>
      <c r="XDJ116" s="0"/>
      <c r="XDK116" s="0"/>
      <c r="XDL116" s="0"/>
      <c r="XDM116" s="0"/>
      <c r="XDN116" s="0"/>
      <c r="XDO116" s="0"/>
      <c r="XDP116" s="0"/>
      <c r="XDQ116" s="0"/>
      <c r="XDR116" s="0"/>
      <c r="XDS116" s="0"/>
      <c r="XDT116" s="0"/>
      <c r="XDU116" s="0"/>
      <c r="XDV116" s="0"/>
      <c r="XDW116" s="0"/>
      <c r="XDX116" s="0"/>
      <c r="XDY116" s="0"/>
      <c r="XDZ116" s="0"/>
      <c r="XEA116" s="0"/>
      <c r="XEB116" s="0"/>
      <c r="XEC116" s="0"/>
      <c r="XED116" s="0"/>
      <c r="XEE116" s="0"/>
      <c r="XEF116" s="0"/>
      <c r="XEG116" s="0"/>
      <c r="XEH116" s="0"/>
      <c r="XEI116" s="0"/>
      <c r="XEJ116" s="0"/>
      <c r="XEK116" s="0"/>
      <c r="XEL116" s="0"/>
      <c r="XEM116" s="0"/>
      <c r="XEN116" s="0"/>
      <c r="XEO116" s="0"/>
      <c r="XEP116" s="0"/>
      <c r="XEQ116" s="0"/>
      <c r="XER116" s="0"/>
      <c r="XES116" s="0"/>
      <c r="XET116" s="0"/>
      <c r="XEU116" s="0"/>
      <c r="XEV116" s="0"/>
      <c r="XEW116" s="0"/>
      <c r="XEX116" s="0"/>
      <c r="XEY116" s="0"/>
      <c r="XEZ116" s="0"/>
      <c r="XFA116" s="0"/>
      <c r="XFB116" s="0"/>
      <c r="XFC116" s="0"/>
    </row>
    <row r="117" s="43" customFormat="true" ht="73.5" hidden="false" customHeight="true" outlineLevel="0" collapsed="false">
      <c r="A117" s="205" t="n">
        <v>111</v>
      </c>
      <c r="B117" s="206" t="s">
        <v>806</v>
      </c>
      <c r="C117" s="207" t="s">
        <v>679</v>
      </c>
      <c r="D117" s="208" t="n">
        <f aca="false">22+5</f>
        <v>27</v>
      </c>
      <c r="XDE117" s="0"/>
      <c r="XDF117" s="0"/>
      <c r="XDG117" s="0"/>
      <c r="XDH117" s="0"/>
      <c r="XDI117" s="0"/>
      <c r="XDJ117" s="0"/>
      <c r="XDK117" s="0"/>
      <c r="XDL117" s="0"/>
      <c r="XDM117" s="0"/>
      <c r="XDN117" s="0"/>
      <c r="XDO117" s="0"/>
      <c r="XDP117" s="0"/>
      <c r="XDQ117" s="0"/>
      <c r="XDR117" s="0"/>
      <c r="XDS117" s="0"/>
      <c r="XDT117" s="0"/>
      <c r="XDU117" s="0"/>
      <c r="XDV117" s="0"/>
      <c r="XDW117" s="0"/>
      <c r="XDX117" s="0"/>
      <c r="XDY117" s="0"/>
      <c r="XDZ117" s="0"/>
      <c r="XEA117" s="0"/>
      <c r="XEB117" s="0"/>
      <c r="XEC117" s="0"/>
      <c r="XED117" s="0"/>
      <c r="XEE117" s="0"/>
      <c r="XEF117" s="0"/>
      <c r="XEG117" s="0"/>
      <c r="XEH117" s="0"/>
      <c r="XEI117" s="0"/>
      <c r="XEJ117" s="0"/>
      <c r="XEK117" s="0"/>
      <c r="XEL117" s="0"/>
      <c r="XEM117" s="0"/>
      <c r="XEN117" s="0"/>
      <c r="XEO117" s="0"/>
      <c r="XEP117" s="0"/>
      <c r="XEQ117" s="0"/>
      <c r="XER117" s="0"/>
      <c r="XES117" s="0"/>
      <c r="XET117" s="0"/>
      <c r="XEU117" s="0"/>
      <c r="XEV117" s="0"/>
      <c r="XEW117" s="0"/>
      <c r="XEX117" s="0"/>
      <c r="XEY117" s="0"/>
      <c r="XEZ117" s="0"/>
      <c r="XFA117" s="0"/>
      <c r="XFB117" s="0"/>
      <c r="XFC117" s="0"/>
    </row>
    <row r="118" s="43" customFormat="true" ht="73.5" hidden="false" customHeight="true" outlineLevel="0" collapsed="false">
      <c r="A118" s="205" t="n">
        <v>112</v>
      </c>
      <c r="B118" s="206" t="s">
        <v>807</v>
      </c>
      <c r="C118" s="207" t="s">
        <v>679</v>
      </c>
      <c r="D118" s="208" t="n">
        <v>2</v>
      </c>
      <c r="XDE118" s="0"/>
      <c r="XDF118" s="0"/>
      <c r="XDG118" s="0"/>
      <c r="XDH118" s="0"/>
      <c r="XDI118" s="0"/>
      <c r="XDJ118" s="0"/>
      <c r="XDK118" s="0"/>
      <c r="XDL118" s="0"/>
      <c r="XDM118" s="0"/>
      <c r="XDN118" s="0"/>
      <c r="XDO118" s="0"/>
      <c r="XDP118" s="0"/>
      <c r="XDQ118" s="0"/>
      <c r="XDR118" s="0"/>
      <c r="XDS118" s="0"/>
      <c r="XDT118" s="0"/>
      <c r="XDU118" s="0"/>
      <c r="XDV118" s="0"/>
      <c r="XDW118" s="0"/>
      <c r="XDX118" s="0"/>
      <c r="XDY118" s="0"/>
      <c r="XDZ118" s="0"/>
      <c r="XEA118" s="0"/>
      <c r="XEB118" s="0"/>
      <c r="XEC118" s="0"/>
      <c r="XED118" s="0"/>
      <c r="XEE118" s="0"/>
      <c r="XEF118" s="0"/>
      <c r="XEG118" s="0"/>
      <c r="XEH118" s="0"/>
      <c r="XEI118" s="0"/>
      <c r="XEJ118" s="0"/>
      <c r="XEK118" s="0"/>
      <c r="XEL118" s="0"/>
      <c r="XEM118" s="0"/>
      <c r="XEN118" s="0"/>
      <c r="XEO118" s="0"/>
      <c r="XEP118" s="0"/>
      <c r="XEQ118" s="0"/>
      <c r="XER118" s="0"/>
      <c r="XES118" s="0"/>
      <c r="XET118" s="0"/>
      <c r="XEU118" s="0"/>
      <c r="XEV118" s="0"/>
      <c r="XEW118" s="0"/>
      <c r="XEX118" s="0"/>
      <c r="XEY118" s="0"/>
      <c r="XEZ118" s="0"/>
      <c r="XFA118" s="0"/>
      <c r="XFB118" s="0"/>
      <c r="XFC118" s="0"/>
    </row>
    <row r="119" s="43" customFormat="true" ht="73.5" hidden="false" customHeight="true" outlineLevel="0" collapsed="false">
      <c r="A119" s="205" t="n">
        <v>113</v>
      </c>
      <c r="B119" s="206" t="s">
        <v>808</v>
      </c>
      <c r="C119" s="207" t="s">
        <v>679</v>
      </c>
      <c r="D119" s="208" t="n">
        <v>10</v>
      </c>
      <c r="XDE119" s="0"/>
      <c r="XDF119" s="0"/>
      <c r="XDG119" s="0"/>
      <c r="XDH119" s="0"/>
      <c r="XDI119" s="0"/>
      <c r="XDJ119" s="0"/>
      <c r="XDK119" s="0"/>
      <c r="XDL119" s="0"/>
      <c r="XDM119" s="0"/>
      <c r="XDN119" s="0"/>
      <c r="XDO119" s="0"/>
      <c r="XDP119" s="0"/>
      <c r="XDQ119" s="0"/>
      <c r="XDR119" s="0"/>
      <c r="XDS119" s="0"/>
      <c r="XDT119" s="0"/>
      <c r="XDU119" s="0"/>
      <c r="XDV119" s="0"/>
      <c r="XDW119" s="0"/>
      <c r="XDX119" s="0"/>
      <c r="XDY119" s="0"/>
      <c r="XDZ119" s="0"/>
      <c r="XEA119" s="0"/>
      <c r="XEB119" s="0"/>
      <c r="XEC119" s="0"/>
      <c r="XED119" s="0"/>
      <c r="XEE119" s="0"/>
      <c r="XEF119" s="0"/>
      <c r="XEG119" s="0"/>
      <c r="XEH119" s="0"/>
      <c r="XEI119" s="0"/>
      <c r="XEJ119" s="0"/>
      <c r="XEK119" s="0"/>
      <c r="XEL119" s="0"/>
      <c r="XEM119" s="0"/>
      <c r="XEN119" s="0"/>
      <c r="XEO119" s="0"/>
      <c r="XEP119" s="0"/>
      <c r="XEQ119" s="0"/>
      <c r="XER119" s="0"/>
      <c r="XES119" s="0"/>
      <c r="XET119" s="0"/>
      <c r="XEU119" s="0"/>
      <c r="XEV119" s="0"/>
      <c r="XEW119" s="0"/>
      <c r="XEX119" s="0"/>
      <c r="XEY119" s="0"/>
      <c r="XEZ119" s="0"/>
      <c r="XFA119" s="0"/>
      <c r="XFB119" s="0"/>
      <c r="XFC119" s="0"/>
    </row>
    <row r="120" s="43" customFormat="true" ht="73.5" hidden="false" customHeight="true" outlineLevel="0" collapsed="false">
      <c r="A120" s="205" t="n">
        <v>114</v>
      </c>
      <c r="B120" s="209" t="s">
        <v>809</v>
      </c>
      <c r="C120" s="207" t="s">
        <v>679</v>
      </c>
      <c r="D120" s="208" t="n">
        <v>10</v>
      </c>
      <c r="XDE120" s="0"/>
      <c r="XDF120" s="0"/>
      <c r="XDG120" s="0"/>
      <c r="XDH120" s="0"/>
      <c r="XDI120" s="0"/>
      <c r="XDJ120" s="0"/>
      <c r="XDK120" s="0"/>
      <c r="XDL120" s="0"/>
      <c r="XDM120" s="0"/>
      <c r="XDN120" s="0"/>
      <c r="XDO120" s="0"/>
      <c r="XDP120" s="0"/>
      <c r="XDQ120" s="0"/>
      <c r="XDR120" s="0"/>
      <c r="XDS120" s="0"/>
      <c r="XDT120" s="0"/>
      <c r="XDU120" s="0"/>
      <c r="XDV120" s="0"/>
      <c r="XDW120" s="0"/>
      <c r="XDX120" s="0"/>
      <c r="XDY120" s="0"/>
      <c r="XDZ120" s="0"/>
      <c r="XEA120" s="0"/>
      <c r="XEB120" s="0"/>
      <c r="XEC120" s="0"/>
      <c r="XED120" s="0"/>
      <c r="XEE120" s="0"/>
      <c r="XEF120" s="0"/>
      <c r="XEG120" s="0"/>
      <c r="XEH120" s="0"/>
      <c r="XEI120" s="0"/>
      <c r="XEJ120" s="0"/>
      <c r="XEK120" s="0"/>
      <c r="XEL120" s="0"/>
      <c r="XEM120" s="0"/>
      <c r="XEN120" s="0"/>
      <c r="XEO120" s="0"/>
      <c r="XEP120" s="0"/>
      <c r="XEQ120" s="0"/>
      <c r="XER120" s="0"/>
      <c r="XES120" s="0"/>
      <c r="XET120" s="0"/>
      <c r="XEU120" s="0"/>
      <c r="XEV120" s="0"/>
      <c r="XEW120" s="0"/>
      <c r="XEX120" s="0"/>
      <c r="XEY120" s="0"/>
      <c r="XEZ120" s="0"/>
      <c r="XFA120" s="0"/>
      <c r="XFB120" s="0"/>
      <c r="XFC120" s="0"/>
    </row>
    <row r="121" s="43" customFormat="true" ht="73.5" hidden="false" customHeight="true" outlineLevel="0" collapsed="false">
      <c r="A121" s="205" t="n">
        <v>115</v>
      </c>
      <c r="B121" s="206" t="s">
        <v>810</v>
      </c>
      <c r="C121" s="207" t="s">
        <v>679</v>
      </c>
      <c r="D121" s="208" t="n">
        <v>26</v>
      </c>
      <c r="XDE121" s="0"/>
      <c r="XDF121" s="0"/>
      <c r="XDG121" s="0"/>
      <c r="XDH121" s="0"/>
      <c r="XDI121" s="0"/>
      <c r="XDJ121" s="0"/>
      <c r="XDK121" s="0"/>
      <c r="XDL121" s="0"/>
      <c r="XDM121" s="0"/>
      <c r="XDN121" s="0"/>
      <c r="XDO121" s="0"/>
      <c r="XDP121" s="0"/>
      <c r="XDQ121" s="0"/>
      <c r="XDR121" s="0"/>
      <c r="XDS121" s="0"/>
      <c r="XDT121" s="0"/>
      <c r="XDU121" s="0"/>
      <c r="XDV121" s="0"/>
      <c r="XDW121" s="0"/>
      <c r="XDX121" s="0"/>
      <c r="XDY121" s="0"/>
      <c r="XDZ121" s="0"/>
      <c r="XEA121" s="0"/>
      <c r="XEB121" s="0"/>
      <c r="XEC121" s="0"/>
      <c r="XED121" s="0"/>
      <c r="XEE121" s="0"/>
      <c r="XEF121" s="0"/>
      <c r="XEG121" s="0"/>
      <c r="XEH121" s="0"/>
      <c r="XEI121" s="0"/>
      <c r="XEJ121" s="0"/>
      <c r="XEK121" s="0"/>
      <c r="XEL121" s="0"/>
      <c r="XEM121" s="0"/>
      <c r="XEN121" s="0"/>
      <c r="XEO121" s="0"/>
      <c r="XEP121" s="0"/>
      <c r="XEQ121" s="0"/>
      <c r="XER121" s="0"/>
      <c r="XES121" s="0"/>
      <c r="XET121" s="0"/>
      <c r="XEU121" s="0"/>
      <c r="XEV121" s="0"/>
      <c r="XEW121" s="0"/>
      <c r="XEX121" s="0"/>
      <c r="XEY121" s="0"/>
      <c r="XEZ121" s="0"/>
      <c r="XFA121" s="0"/>
      <c r="XFB121" s="0"/>
      <c r="XFC121" s="0"/>
    </row>
    <row r="122" s="43" customFormat="true" ht="73.5" hidden="false" customHeight="true" outlineLevel="0" collapsed="false">
      <c r="A122" s="205" t="n">
        <v>116</v>
      </c>
      <c r="B122" s="206" t="s">
        <v>811</v>
      </c>
      <c r="C122" s="207" t="s">
        <v>679</v>
      </c>
      <c r="D122" s="208" t="n">
        <v>50</v>
      </c>
      <c r="XDE122" s="0"/>
      <c r="XDF122" s="0"/>
      <c r="XDG122" s="0"/>
      <c r="XDH122" s="0"/>
      <c r="XDI122" s="0"/>
      <c r="XDJ122" s="0"/>
      <c r="XDK122" s="0"/>
      <c r="XDL122" s="0"/>
      <c r="XDM122" s="0"/>
      <c r="XDN122" s="0"/>
      <c r="XDO122" s="0"/>
      <c r="XDP122" s="0"/>
      <c r="XDQ122" s="0"/>
      <c r="XDR122" s="0"/>
      <c r="XDS122" s="0"/>
      <c r="XDT122" s="0"/>
      <c r="XDU122" s="0"/>
      <c r="XDV122" s="0"/>
      <c r="XDW122" s="0"/>
      <c r="XDX122" s="0"/>
      <c r="XDY122" s="0"/>
      <c r="XDZ122" s="0"/>
      <c r="XEA122" s="0"/>
      <c r="XEB122" s="0"/>
      <c r="XEC122" s="0"/>
      <c r="XED122" s="0"/>
      <c r="XEE122" s="0"/>
      <c r="XEF122" s="0"/>
      <c r="XEG122" s="0"/>
      <c r="XEH122" s="0"/>
      <c r="XEI122" s="0"/>
      <c r="XEJ122" s="0"/>
      <c r="XEK122" s="0"/>
      <c r="XEL122" s="0"/>
      <c r="XEM122" s="0"/>
      <c r="XEN122" s="0"/>
      <c r="XEO122" s="0"/>
      <c r="XEP122" s="0"/>
      <c r="XEQ122" s="0"/>
      <c r="XER122" s="0"/>
      <c r="XES122" s="0"/>
      <c r="XET122" s="0"/>
      <c r="XEU122" s="0"/>
      <c r="XEV122" s="0"/>
      <c r="XEW122" s="0"/>
      <c r="XEX122" s="0"/>
      <c r="XEY122" s="0"/>
      <c r="XEZ122" s="0"/>
      <c r="XFA122" s="0"/>
      <c r="XFB122" s="0"/>
      <c r="XFC122" s="0"/>
    </row>
    <row r="123" s="43" customFormat="true" ht="73.5" hidden="false" customHeight="true" outlineLevel="0" collapsed="false">
      <c r="A123" s="205" t="n">
        <v>117</v>
      </c>
      <c r="B123" s="206" t="s">
        <v>812</v>
      </c>
      <c r="C123" s="207" t="s">
        <v>679</v>
      </c>
      <c r="D123" s="208" t="n">
        <v>145</v>
      </c>
      <c r="XDE123" s="0"/>
      <c r="XDF123" s="0"/>
      <c r="XDG123" s="0"/>
      <c r="XDH123" s="0"/>
      <c r="XDI123" s="0"/>
      <c r="XDJ123" s="0"/>
      <c r="XDK123" s="0"/>
      <c r="XDL123" s="0"/>
      <c r="XDM123" s="0"/>
      <c r="XDN123" s="0"/>
      <c r="XDO123" s="0"/>
      <c r="XDP123" s="0"/>
      <c r="XDQ123" s="0"/>
      <c r="XDR123" s="0"/>
      <c r="XDS123" s="0"/>
      <c r="XDT123" s="0"/>
      <c r="XDU123" s="0"/>
      <c r="XDV123" s="0"/>
      <c r="XDW123" s="0"/>
      <c r="XDX123" s="0"/>
      <c r="XDY123" s="0"/>
      <c r="XDZ123" s="0"/>
      <c r="XEA123" s="0"/>
      <c r="XEB123" s="0"/>
      <c r="XEC123" s="0"/>
      <c r="XED123" s="0"/>
      <c r="XEE123" s="0"/>
      <c r="XEF123" s="0"/>
      <c r="XEG123" s="0"/>
      <c r="XEH123" s="0"/>
      <c r="XEI123" s="0"/>
      <c r="XEJ123" s="0"/>
      <c r="XEK123" s="0"/>
      <c r="XEL123" s="0"/>
      <c r="XEM123" s="0"/>
      <c r="XEN123" s="0"/>
      <c r="XEO123" s="0"/>
      <c r="XEP123" s="0"/>
      <c r="XEQ123" s="0"/>
      <c r="XER123" s="0"/>
      <c r="XES123" s="0"/>
      <c r="XET123" s="0"/>
      <c r="XEU123" s="0"/>
      <c r="XEV123" s="0"/>
      <c r="XEW123" s="0"/>
      <c r="XEX123" s="0"/>
      <c r="XEY123" s="0"/>
      <c r="XEZ123" s="0"/>
      <c r="XFA123" s="0"/>
      <c r="XFB123" s="0"/>
      <c r="XFC123" s="0"/>
    </row>
    <row r="124" s="43" customFormat="true" ht="73.5" hidden="false" customHeight="true" outlineLevel="0" collapsed="false">
      <c r="A124" s="205" t="n">
        <v>118</v>
      </c>
      <c r="B124" s="206" t="s">
        <v>813</v>
      </c>
      <c r="C124" s="207" t="s">
        <v>679</v>
      </c>
      <c r="D124" s="208" t="n">
        <v>86</v>
      </c>
      <c r="XDE124" s="0"/>
      <c r="XDF124" s="0"/>
      <c r="XDG124" s="0"/>
      <c r="XDH124" s="0"/>
      <c r="XDI124" s="0"/>
      <c r="XDJ124" s="0"/>
      <c r="XDK124" s="0"/>
      <c r="XDL124" s="0"/>
      <c r="XDM124" s="0"/>
      <c r="XDN124" s="0"/>
      <c r="XDO124" s="0"/>
      <c r="XDP124" s="0"/>
      <c r="XDQ124" s="0"/>
      <c r="XDR124" s="0"/>
      <c r="XDS124" s="0"/>
      <c r="XDT124" s="0"/>
      <c r="XDU124" s="0"/>
      <c r="XDV124" s="0"/>
      <c r="XDW124" s="0"/>
      <c r="XDX124" s="0"/>
      <c r="XDY124" s="0"/>
      <c r="XDZ124" s="0"/>
      <c r="XEA124" s="0"/>
      <c r="XEB124" s="0"/>
      <c r="XEC124" s="0"/>
      <c r="XED124" s="0"/>
      <c r="XEE124" s="0"/>
      <c r="XEF124" s="0"/>
      <c r="XEG124" s="0"/>
      <c r="XEH124" s="0"/>
      <c r="XEI124" s="0"/>
      <c r="XEJ124" s="0"/>
      <c r="XEK124" s="0"/>
      <c r="XEL124" s="0"/>
      <c r="XEM124" s="0"/>
      <c r="XEN124" s="0"/>
      <c r="XEO124" s="0"/>
      <c r="XEP124" s="0"/>
      <c r="XEQ124" s="0"/>
      <c r="XER124" s="0"/>
      <c r="XES124" s="0"/>
      <c r="XET124" s="0"/>
      <c r="XEU124" s="0"/>
      <c r="XEV124" s="0"/>
      <c r="XEW124" s="0"/>
      <c r="XEX124" s="0"/>
      <c r="XEY124" s="0"/>
      <c r="XEZ124" s="0"/>
      <c r="XFA124" s="0"/>
      <c r="XFB124" s="0"/>
      <c r="XFC124" s="0"/>
    </row>
    <row r="125" s="43" customFormat="true" ht="73.5" hidden="false" customHeight="true" outlineLevel="0" collapsed="false">
      <c r="A125" s="205" t="n">
        <v>119</v>
      </c>
      <c r="B125" s="206" t="s">
        <v>814</v>
      </c>
      <c r="C125" s="207" t="s">
        <v>618</v>
      </c>
      <c r="D125" s="208" t="n">
        <v>1.5</v>
      </c>
      <c r="XDE125" s="0"/>
      <c r="XDF125" s="0"/>
      <c r="XDG125" s="0"/>
      <c r="XDH125" s="0"/>
      <c r="XDI125" s="0"/>
      <c r="XDJ125" s="0"/>
      <c r="XDK125" s="0"/>
      <c r="XDL125" s="0"/>
      <c r="XDM125" s="0"/>
      <c r="XDN125" s="0"/>
      <c r="XDO125" s="0"/>
      <c r="XDP125" s="0"/>
      <c r="XDQ125" s="0"/>
      <c r="XDR125" s="0"/>
      <c r="XDS125" s="0"/>
      <c r="XDT125" s="0"/>
      <c r="XDU125" s="0"/>
      <c r="XDV125" s="0"/>
      <c r="XDW125" s="0"/>
      <c r="XDX125" s="0"/>
      <c r="XDY125" s="0"/>
      <c r="XDZ125" s="0"/>
      <c r="XEA125" s="0"/>
      <c r="XEB125" s="0"/>
      <c r="XEC125" s="0"/>
      <c r="XED125" s="0"/>
      <c r="XEE125" s="0"/>
      <c r="XEF125" s="0"/>
      <c r="XEG125" s="0"/>
      <c r="XEH125" s="0"/>
      <c r="XEI125" s="0"/>
      <c r="XEJ125" s="0"/>
      <c r="XEK125" s="0"/>
      <c r="XEL125" s="0"/>
      <c r="XEM125" s="0"/>
      <c r="XEN125" s="0"/>
      <c r="XEO125" s="0"/>
      <c r="XEP125" s="0"/>
      <c r="XEQ125" s="0"/>
      <c r="XER125" s="0"/>
      <c r="XES125" s="0"/>
      <c r="XET125" s="0"/>
      <c r="XEU125" s="0"/>
      <c r="XEV125" s="0"/>
      <c r="XEW125" s="0"/>
      <c r="XEX125" s="0"/>
      <c r="XEY125" s="0"/>
      <c r="XEZ125" s="0"/>
      <c r="XFA125" s="0"/>
      <c r="XFB125" s="0"/>
      <c r="XFC125" s="0"/>
    </row>
    <row r="126" s="43" customFormat="true" ht="73.5" hidden="false" customHeight="true" outlineLevel="0" collapsed="false">
      <c r="A126" s="205" t="n">
        <v>120</v>
      </c>
      <c r="B126" s="206" t="s">
        <v>815</v>
      </c>
      <c r="C126" s="207" t="s">
        <v>679</v>
      </c>
      <c r="D126" s="208" t="n">
        <v>2</v>
      </c>
      <c r="XDE126" s="0"/>
      <c r="XDF126" s="0"/>
      <c r="XDG126" s="0"/>
      <c r="XDH126" s="0"/>
      <c r="XDI126" s="0"/>
      <c r="XDJ126" s="0"/>
      <c r="XDK126" s="0"/>
      <c r="XDL126" s="0"/>
      <c r="XDM126" s="0"/>
      <c r="XDN126" s="0"/>
      <c r="XDO126" s="0"/>
      <c r="XDP126" s="0"/>
      <c r="XDQ126" s="0"/>
      <c r="XDR126" s="0"/>
      <c r="XDS126" s="0"/>
      <c r="XDT126" s="0"/>
      <c r="XDU126" s="0"/>
      <c r="XDV126" s="0"/>
      <c r="XDW126" s="0"/>
      <c r="XDX126" s="0"/>
      <c r="XDY126" s="0"/>
      <c r="XDZ126" s="0"/>
      <c r="XEA126" s="0"/>
      <c r="XEB126" s="0"/>
      <c r="XEC126" s="0"/>
      <c r="XED126" s="0"/>
      <c r="XEE126" s="0"/>
      <c r="XEF126" s="0"/>
      <c r="XEG126" s="0"/>
      <c r="XEH126" s="0"/>
      <c r="XEI126" s="0"/>
      <c r="XEJ126" s="0"/>
      <c r="XEK126" s="0"/>
      <c r="XEL126" s="0"/>
      <c r="XEM126" s="0"/>
      <c r="XEN126" s="0"/>
      <c r="XEO126" s="0"/>
      <c r="XEP126" s="0"/>
      <c r="XEQ126" s="0"/>
      <c r="XER126" s="0"/>
      <c r="XES126" s="0"/>
      <c r="XET126" s="0"/>
      <c r="XEU126" s="0"/>
      <c r="XEV126" s="0"/>
      <c r="XEW126" s="0"/>
      <c r="XEX126" s="0"/>
      <c r="XEY126" s="0"/>
      <c r="XEZ126" s="0"/>
      <c r="XFA126" s="0"/>
      <c r="XFB126" s="0"/>
      <c r="XFC126" s="0"/>
    </row>
    <row r="127" s="43" customFormat="true" ht="73.5" hidden="false" customHeight="true" outlineLevel="0" collapsed="false">
      <c r="A127" s="205" t="n">
        <v>121</v>
      </c>
      <c r="B127" s="206" t="s">
        <v>816</v>
      </c>
      <c r="C127" s="207" t="s">
        <v>679</v>
      </c>
      <c r="D127" s="208" t="n">
        <v>3</v>
      </c>
      <c r="XDE127" s="0"/>
      <c r="XDF127" s="0"/>
      <c r="XDG127" s="0"/>
      <c r="XDH127" s="0"/>
      <c r="XDI127" s="0"/>
      <c r="XDJ127" s="0"/>
      <c r="XDK127" s="0"/>
      <c r="XDL127" s="0"/>
      <c r="XDM127" s="0"/>
      <c r="XDN127" s="0"/>
      <c r="XDO127" s="0"/>
      <c r="XDP127" s="0"/>
      <c r="XDQ127" s="0"/>
      <c r="XDR127" s="0"/>
      <c r="XDS127" s="0"/>
      <c r="XDT127" s="0"/>
      <c r="XDU127" s="0"/>
      <c r="XDV127" s="0"/>
      <c r="XDW127" s="0"/>
      <c r="XDX127" s="0"/>
      <c r="XDY127" s="0"/>
      <c r="XDZ127" s="0"/>
      <c r="XEA127" s="0"/>
      <c r="XEB127" s="0"/>
      <c r="XEC127" s="0"/>
      <c r="XED127" s="0"/>
      <c r="XEE127" s="0"/>
      <c r="XEF127" s="0"/>
      <c r="XEG127" s="0"/>
      <c r="XEH127" s="0"/>
      <c r="XEI127" s="0"/>
      <c r="XEJ127" s="0"/>
      <c r="XEK127" s="0"/>
      <c r="XEL127" s="0"/>
      <c r="XEM127" s="0"/>
      <c r="XEN127" s="0"/>
      <c r="XEO127" s="0"/>
      <c r="XEP127" s="0"/>
      <c r="XEQ127" s="0"/>
      <c r="XER127" s="0"/>
      <c r="XES127" s="0"/>
      <c r="XET127" s="0"/>
      <c r="XEU127" s="0"/>
      <c r="XEV127" s="0"/>
      <c r="XEW127" s="0"/>
      <c r="XEX127" s="0"/>
      <c r="XEY127" s="0"/>
      <c r="XEZ127" s="0"/>
      <c r="XFA127" s="0"/>
      <c r="XFB127" s="0"/>
      <c r="XFC127" s="0"/>
    </row>
    <row r="128" s="43" customFormat="true" ht="73.5" hidden="false" customHeight="true" outlineLevel="0" collapsed="false">
      <c r="A128" s="205" t="n">
        <v>122</v>
      </c>
      <c r="B128" s="206" t="s">
        <v>817</v>
      </c>
      <c r="C128" s="207" t="s">
        <v>679</v>
      </c>
      <c r="D128" s="208" t="n">
        <v>3</v>
      </c>
      <c r="XDE128" s="0"/>
      <c r="XDF128" s="0"/>
      <c r="XDG128" s="0"/>
      <c r="XDH128" s="0"/>
      <c r="XDI128" s="0"/>
      <c r="XDJ128" s="0"/>
      <c r="XDK128" s="0"/>
      <c r="XDL128" s="0"/>
      <c r="XDM128" s="0"/>
      <c r="XDN128" s="0"/>
      <c r="XDO128" s="0"/>
      <c r="XDP128" s="0"/>
      <c r="XDQ128" s="0"/>
      <c r="XDR128" s="0"/>
      <c r="XDS128" s="0"/>
      <c r="XDT128" s="0"/>
      <c r="XDU128" s="0"/>
      <c r="XDV128" s="0"/>
      <c r="XDW128" s="0"/>
      <c r="XDX128" s="0"/>
      <c r="XDY128" s="0"/>
      <c r="XDZ128" s="0"/>
      <c r="XEA128" s="0"/>
      <c r="XEB128" s="0"/>
      <c r="XEC128" s="0"/>
      <c r="XED128" s="0"/>
      <c r="XEE128" s="0"/>
      <c r="XEF128" s="0"/>
      <c r="XEG128" s="0"/>
      <c r="XEH128" s="0"/>
      <c r="XEI128" s="0"/>
      <c r="XEJ128" s="0"/>
      <c r="XEK128" s="0"/>
      <c r="XEL128" s="0"/>
      <c r="XEM128" s="0"/>
      <c r="XEN128" s="0"/>
      <c r="XEO128" s="0"/>
      <c r="XEP128" s="0"/>
      <c r="XEQ128" s="0"/>
      <c r="XER128" s="0"/>
      <c r="XES128" s="0"/>
      <c r="XET128" s="0"/>
      <c r="XEU128" s="0"/>
      <c r="XEV128" s="0"/>
      <c r="XEW128" s="0"/>
      <c r="XEX128" s="0"/>
      <c r="XEY128" s="0"/>
      <c r="XEZ128" s="0"/>
      <c r="XFA128" s="0"/>
      <c r="XFB128" s="0"/>
      <c r="XFC128" s="0"/>
    </row>
    <row r="129" s="43" customFormat="true" ht="73.5" hidden="false" customHeight="true" outlineLevel="0" collapsed="false">
      <c r="A129" s="205" t="n">
        <v>123</v>
      </c>
      <c r="B129" s="206" t="s">
        <v>818</v>
      </c>
      <c r="C129" s="207" t="s">
        <v>679</v>
      </c>
      <c r="D129" s="208" t="n">
        <v>11</v>
      </c>
      <c r="XDE129" s="0"/>
      <c r="XDF129" s="0"/>
      <c r="XDG129" s="0"/>
      <c r="XDH129" s="0"/>
      <c r="XDI129" s="0"/>
      <c r="XDJ129" s="0"/>
      <c r="XDK129" s="0"/>
      <c r="XDL129" s="0"/>
      <c r="XDM129" s="0"/>
      <c r="XDN129" s="0"/>
      <c r="XDO129" s="0"/>
      <c r="XDP129" s="0"/>
      <c r="XDQ129" s="0"/>
      <c r="XDR129" s="0"/>
      <c r="XDS129" s="0"/>
      <c r="XDT129" s="0"/>
      <c r="XDU129" s="0"/>
      <c r="XDV129" s="0"/>
      <c r="XDW129" s="0"/>
      <c r="XDX129" s="0"/>
      <c r="XDY129" s="0"/>
      <c r="XDZ129" s="0"/>
      <c r="XEA129" s="0"/>
      <c r="XEB129" s="0"/>
      <c r="XEC129" s="0"/>
      <c r="XED129" s="0"/>
      <c r="XEE129" s="0"/>
      <c r="XEF129" s="0"/>
      <c r="XEG129" s="0"/>
      <c r="XEH129" s="0"/>
      <c r="XEI129" s="0"/>
      <c r="XEJ129" s="0"/>
      <c r="XEK129" s="0"/>
      <c r="XEL129" s="0"/>
      <c r="XEM129" s="0"/>
      <c r="XEN129" s="0"/>
      <c r="XEO129" s="0"/>
      <c r="XEP129" s="0"/>
      <c r="XEQ129" s="0"/>
      <c r="XER129" s="0"/>
      <c r="XES129" s="0"/>
      <c r="XET129" s="0"/>
      <c r="XEU129" s="0"/>
      <c r="XEV129" s="0"/>
      <c r="XEW129" s="0"/>
      <c r="XEX129" s="0"/>
      <c r="XEY129" s="0"/>
      <c r="XEZ129" s="0"/>
      <c r="XFA129" s="0"/>
      <c r="XFB129" s="0"/>
      <c r="XFC129" s="0"/>
    </row>
    <row r="130" s="43" customFormat="true" ht="73.5" hidden="false" customHeight="true" outlineLevel="0" collapsed="false">
      <c r="A130" s="205" t="n">
        <v>124</v>
      </c>
      <c r="B130" s="206" t="s">
        <v>819</v>
      </c>
      <c r="C130" s="207" t="s">
        <v>679</v>
      </c>
      <c r="D130" s="208" t="n">
        <v>3</v>
      </c>
      <c r="XDE130" s="0"/>
      <c r="XDF130" s="0"/>
      <c r="XDG130" s="0"/>
      <c r="XDH130" s="0"/>
      <c r="XDI130" s="0"/>
      <c r="XDJ130" s="0"/>
      <c r="XDK130" s="0"/>
      <c r="XDL130" s="0"/>
      <c r="XDM130" s="0"/>
      <c r="XDN130" s="0"/>
      <c r="XDO130" s="0"/>
      <c r="XDP130" s="0"/>
      <c r="XDQ130" s="0"/>
      <c r="XDR130" s="0"/>
      <c r="XDS130" s="0"/>
      <c r="XDT130" s="0"/>
      <c r="XDU130" s="0"/>
      <c r="XDV130" s="0"/>
      <c r="XDW130" s="0"/>
      <c r="XDX130" s="0"/>
      <c r="XDY130" s="0"/>
      <c r="XDZ130" s="0"/>
      <c r="XEA130" s="0"/>
      <c r="XEB130" s="0"/>
      <c r="XEC130" s="0"/>
      <c r="XED130" s="0"/>
      <c r="XEE130" s="0"/>
      <c r="XEF130" s="0"/>
      <c r="XEG130" s="0"/>
      <c r="XEH130" s="0"/>
      <c r="XEI130" s="0"/>
      <c r="XEJ130" s="0"/>
      <c r="XEK130" s="0"/>
      <c r="XEL130" s="0"/>
      <c r="XEM130" s="0"/>
      <c r="XEN130" s="0"/>
      <c r="XEO130" s="0"/>
      <c r="XEP130" s="0"/>
      <c r="XEQ130" s="0"/>
      <c r="XER130" s="0"/>
      <c r="XES130" s="0"/>
      <c r="XET130" s="0"/>
      <c r="XEU130" s="0"/>
      <c r="XEV130" s="0"/>
      <c r="XEW130" s="0"/>
      <c r="XEX130" s="0"/>
      <c r="XEY130" s="0"/>
      <c r="XEZ130" s="0"/>
      <c r="XFA130" s="0"/>
      <c r="XFB130" s="0"/>
      <c r="XFC130" s="0"/>
    </row>
    <row r="131" s="43" customFormat="true" ht="73.5" hidden="false" customHeight="true" outlineLevel="0" collapsed="false">
      <c r="A131" s="205" t="n">
        <v>125</v>
      </c>
      <c r="B131" s="206" t="s">
        <v>820</v>
      </c>
      <c r="C131" s="207" t="s">
        <v>679</v>
      </c>
      <c r="D131" s="208" t="n">
        <v>20</v>
      </c>
      <c r="XDE131" s="0"/>
      <c r="XDF131" s="0"/>
      <c r="XDG131" s="0"/>
      <c r="XDH131" s="0"/>
      <c r="XDI131" s="0"/>
      <c r="XDJ131" s="0"/>
      <c r="XDK131" s="0"/>
      <c r="XDL131" s="0"/>
      <c r="XDM131" s="0"/>
      <c r="XDN131" s="0"/>
      <c r="XDO131" s="0"/>
      <c r="XDP131" s="0"/>
      <c r="XDQ131" s="0"/>
      <c r="XDR131" s="0"/>
      <c r="XDS131" s="0"/>
      <c r="XDT131" s="0"/>
      <c r="XDU131" s="0"/>
      <c r="XDV131" s="0"/>
      <c r="XDW131" s="0"/>
      <c r="XDX131" s="0"/>
      <c r="XDY131" s="0"/>
      <c r="XDZ131" s="0"/>
      <c r="XEA131" s="0"/>
      <c r="XEB131" s="0"/>
      <c r="XEC131" s="0"/>
      <c r="XED131" s="0"/>
      <c r="XEE131" s="0"/>
      <c r="XEF131" s="0"/>
      <c r="XEG131" s="0"/>
      <c r="XEH131" s="0"/>
      <c r="XEI131" s="0"/>
      <c r="XEJ131" s="0"/>
      <c r="XEK131" s="0"/>
      <c r="XEL131" s="0"/>
      <c r="XEM131" s="0"/>
      <c r="XEN131" s="0"/>
      <c r="XEO131" s="0"/>
      <c r="XEP131" s="0"/>
      <c r="XEQ131" s="0"/>
      <c r="XER131" s="0"/>
      <c r="XES131" s="0"/>
      <c r="XET131" s="0"/>
      <c r="XEU131" s="0"/>
      <c r="XEV131" s="0"/>
      <c r="XEW131" s="0"/>
      <c r="XEX131" s="0"/>
      <c r="XEY131" s="0"/>
      <c r="XEZ131" s="0"/>
      <c r="XFA131" s="0"/>
      <c r="XFB131" s="0"/>
      <c r="XFC131" s="0"/>
    </row>
    <row r="132" s="43" customFormat="true" ht="73.5" hidden="false" customHeight="true" outlineLevel="0" collapsed="false">
      <c r="A132" s="205" t="n">
        <v>126</v>
      </c>
      <c r="B132" s="206" t="s">
        <v>821</v>
      </c>
      <c r="C132" s="207" t="s">
        <v>822</v>
      </c>
      <c r="D132" s="208" t="n">
        <v>8</v>
      </c>
      <c r="XDE132" s="0"/>
      <c r="XDF132" s="0"/>
      <c r="XDG132" s="0"/>
      <c r="XDH132" s="0"/>
      <c r="XDI132" s="0"/>
      <c r="XDJ132" s="0"/>
      <c r="XDK132" s="0"/>
      <c r="XDL132" s="0"/>
      <c r="XDM132" s="0"/>
      <c r="XDN132" s="0"/>
      <c r="XDO132" s="0"/>
      <c r="XDP132" s="0"/>
      <c r="XDQ132" s="0"/>
      <c r="XDR132" s="0"/>
      <c r="XDS132" s="0"/>
      <c r="XDT132" s="0"/>
      <c r="XDU132" s="0"/>
      <c r="XDV132" s="0"/>
      <c r="XDW132" s="0"/>
      <c r="XDX132" s="0"/>
      <c r="XDY132" s="0"/>
      <c r="XDZ132" s="0"/>
      <c r="XEA132" s="0"/>
      <c r="XEB132" s="0"/>
      <c r="XEC132" s="0"/>
      <c r="XED132" s="0"/>
      <c r="XEE132" s="0"/>
      <c r="XEF132" s="0"/>
      <c r="XEG132" s="0"/>
      <c r="XEH132" s="0"/>
      <c r="XEI132" s="0"/>
      <c r="XEJ132" s="0"/>
      <c r="XEK132" s="0"/>
      <c r="XEL132" s="0"/>
      <c r="XEM132" s="0"/>
      <c r="XEN132" s="0"/>
      <c r="XEO132" s="0"/>
      <c r="XEP132" s="0"/>
      <c r="XEQ132" s="0"/>
      <c r="XER132" s="0"/>
      <c r="XES132" s="0"/>
      <c r="XET132" s="0"/>
      <c r="XEU132" s="0"/>
      <c r="XEV132" s="0"/>
      <c r="XEW132" s="0"/>
      <c r="XEX132" s="0"/>
      <c r="XEY132" s="0"/>
      <c r="XEZ132" s="0"/>
      <c r="XFA132" s="0"/>
      <c r="XFB132" s="0"/>
      <c r="XFC132" s="0"/>
    </row>
    <row r="133" s="43" customFormat="true" ht="73.5" hidden="false" customHeight="true" outlineLevel="0" collapsed="false">
      <c r="A133" s="205" t="n">
        <v>127</v>
      </c>
      <c r="B133" s="206" t="s">
        <v>823</v>
      </c>
      <c r="C133" s="207" t="s">
        <v>616</v>
      </c>
      <c r="D133" s="208" t="n">
        <v>720</v>
      </c>
      <c r="XDE133" s="0"/>
      <c r="XDF133" s="0"/>
      <c r="XDG133" s="0"/>
      <c r="XDH133" s="0"/>
      <c r="XDI133" s="0"/>
      <c r="XDJ133" s="0"/>
      <c r="XDK133" s="0"/>
      <c r="XDL133" s="0"/>
      <c r="XDM133" s="0"/>
      <c r="XDN133" s="0"/>
      <c r="XDO133" s="0"/>
      <c r="XDP133" s="0"/>
      <c r="XDQ133" s="0"/>
      <c r="XDR133" s="0"/>
      <c r="XDS133" s="0"/>
      <c r="XDT133" s="0"/>
      <c r="XDU133" s="0"/>
      <c r="XDV133" s="0"/>
      <c r="XDW133" s="0"/>
      <c r="XDX133" s="0"/>
      <c r="XDY133" s="0"/>
      <c r="XDZ133" s="0"/>
      <c r="XEA133" s="0"/>
      <c r="XEB133" s="0"/>
      <c r="XEC133" s="0"/>
      <c r="XED133" s="0"/>
      <c r="XEE133" s="0"/>
      <c r="XEF133" s="0"/>
      <c r="XEG133" s="0"/>
      <c r="XEH133" s="0"/>
      <c r="XEI133" s="0"/>
      <c r="XEJ133" s="0"/>
      <c r="XEK133" s="0"/>
      <c r="XEL133" s="0"/>
      <c r="XEM133" s="0"/>
      <c r="XEN133" s="0"/>
      <c r="XEO133" s="0"/>
      <c r="XEP133" s="0"/>
      <c r="XEQ133" s="0"/>
      <c r="XER133" s="0"/>
      <c r="XES133" s="0"/>
      <c r="XET133" s="0"/>
      <c r="XEU133" s="0"/>
      <c r="XEV133" s="0"/>
      <c r="XEW133" s="0"/>
      <c r="XEX133" s="0"/>
      <c r="XEY133" s="0"/>
      <c r="XEZ133" s="0"/>
      <c r="XFA133" s="0"/>
      <c r="XFB133" s="0"/>
      <c r="XFC133" s="0"/>
    </row>
    <row r="134" s="43" customFormat="true" ht="73.5" hidden="false" customHeight="true" outlineLevel="0" collapsed="false">
      <c r="A134" s="205" t="n">
        <v>128</v>
      </c>
      <c r="B134" s="206" t="s">
        <v>824</v>
      </c>
      <c r="C134" s="207" t="s">
        <v>679</v>
      </c>
      <c r="D134" s="208" t="n">
        <v>1</v>
      </c>
      <c r="XDE134" s="0"/>
      <c r="XDF134" s="0"/>
      <c r="XDG134" s="0"/>
      <c r="XDH134" s="0"/>
      <c r="XDI134" s="0"/>
      <c r="XDJ134" s="0"/>
      <c r="XDK134" s="0"/>
      <c r="XDL134" s="0"/>
      <c r="XDM134" s="0"/>
      <c r="XDN134" s="0"/>
      <c r="XDO134" s="0"/>
      <c r="XDP134" s="0"/>
      <c r="XDQ134" s="0"/>
      <c r="XDR134" s="0"/>
      <c r="XDS134" s="0"/>
      <c r="XDT134" s="0"/>
      <c r="XDU134" s="0"/>
      <c r="XDV134" s="0"/>
      <c r="XDW134" s="0"/>
      <c r="XDX134" s="0"/>
      <c r="XDY134" s="0"/>
      <c r="XDZ134" s="0"/>
      <c r="XEA134" s="0"/>
      <c r="XEB134" s="0"/>
      <c r="XEC134" s="0"/>
      <c r="XED134" s="0"/>
      <c r="XEE134" s="0"/>
      <c r="XEF134" s="0"/>
      <c r="XEG134" s="0"/>
      <c r="XEH134" s="0"/>
      <c r="XEI134" s="0"/>
      <c r="XEJ134" s="0"/>
      <c r="XEK134" s="0"/>
      <c r="XEL134" s="0"/>
      <c r="XEM134" s="0"/>
      <c r="XEN134" s="0"/>
      <c r="XEO134" s="0"/>
      <c r="XEP134" s="0"/>
      <c r="XEQ134" s="0"/>
      <c r="XER134" s="0"/>
      <c r="XES134" s="0"/>
      <c r="XET134" s="0"/>
      <c r="XEU134" s="0"/>
      <c r="XEV134" s="0"/>
      <c r="XEW134" s="0"/>
      <c r="XEX134" s="0"/>
      <c r="XEY134" s="0"/>
      <c r="XEZ134" s="0"/>
      <c r="XFA134" s="0"/>
      <c r="XFB134" s="0"/>
      <c r="XFC134" s="0"/>
    </row>
    <row r="135" s="43" customFormat="true" ht="82.5" hidden="false" customHeight="true" outlineLevel="0" collapsed="false">
      <c r="A135" s="205" t="n">
        <v>129</v>
      </c>
      <c r="B135" s="206" t="s">
        <v>825</v>
      </c>
      <c r="C135" s="207" t="s">
        <v>616</v>
      </c>
      <c r="D135" s="208" t="n">
        <v>1.2</v>
      </c>
      <c r="XDE135" s="0"/>
      <c r="XDF135" s="0"/>
      <c r="XDG135" s="0"/>
      <c r="XDH135" s="0"/>
      <c r="XDI135" s="0"/>
      <c r="XDJ135" s="0"/>
      <c r="XDK135" s="0"/>
      <c r="XDL135" s="0"/>
      <c r="XDM135" s="0"/>
      <c r="XDN135" s="0"/>
      <c r="XDO135" s="0"/>
      <c r="XDP135" s="0"/>
      <c r="XDQ135" s="0"/>
      <c r="XDR135" s="0"/>
      <c r="XDS135" s="0"/>
      <c r="XDT135" s="0"/>
      <c r="XDU135" s="0"/>
      <c r="XDV135" s="0"/>
      <c r="XDW135" s="0"/>
      <c r="XDX135" s="0"/>
      <c r="XDY135" s="0"/>
      <c r="XDZ135" s="0"/>
      <c r="XEA135" s="0"/>
      <c r="XEB135" s="0"/>
      <c r="XEC135" s="0"/>
      <c r="XED135" s="0"/>
      <c r="XEE135" s="0"/>
      <c r="XEF135" s="0"/>
      <c r="XEG135" s="0"/>
      <c r="XEH135" s="0"/>
      <c r="XEI135" s="0"/>
      <c r="XEJ135" s="0"/>
      <c r="XEK135" s="0"/>
      <c r="XEL135" s="0"/>
      <c r="XEM135" s="0"/>
      <c r="XEN135" s="0"/>
      <c r="XEO135" s="0"/>
      <c r="XEP135" s="0"/>
      <c r="XEQ135" s="0"/>
      <c r="XER135" s="0"/>
      <c r="XES135" s="0"/>
      <c r="XET135" s="0"/>
      <c r="XEU135" s="0"/>
      <c r="XEV135" s="0"/>
      <c r="XEW135" s="0"/>
      <c r="XEX135" s="0"/>
      <c r="XEY135" s="0"/>
      <c r="XEZ135" s="0"/>
      <c r="XFA135" s="0"/>
      <c r="XFB135" s="0"/>
      <c r="XFC135" s="0"/>
    </row>
    <row r="136" s="43" customFormat="true" ht="82.5" hidden="false" customHeight="true" outlineLevel="0" collapsed="false">
      <c r="A136" s="205" t="n">
        <v>130</v>
      </c>
      <c r="B136" s="206" t="s">
        <v>826</v>
      </c>
      <c r="C136" s="207" t="s">
        <v>616</v>
      </c>
      <c r="D136" s="208" t="n">
        <v>1.4</v>
      </c>
      <c r="XDE136" s="0"/>
      <c r="XDF136" s="0"/>
      <c r="XDG136" s="0"/>
      <c r="XDH136" s="0"/>
      <c r="XDI136" s="0"/>
      <c r="XDJ136" s="0"/>
      <c r="XDK136" s="0"/>
      <c r="XDL136" s="0"/>
      <c r="XDM136" s="0"/>
      <c r="XDN136" s="0"/>
      <c r="XDO136" s="0"/>
      <c r="XDP136" s="0"/>
      <c r="XDQ136" s="0"/>
      <c r="XDR136" s="0"/>
      <c r="XDS136" s="0"/>
      <c r="XDT136" s="0"/>
      <c r="XDU136" s="0"/>
      <c r="XDV136" s="0"/>
      <c r="XDW136" s="0"/>
      <c r="XDX136" s="0"/>
      <c r="XDY136" s="0"/>
      <c r="XDZ136" s="0"/>
      <c r="XEA136" s="0"/>
      <c r="XEB136" s="0"/>
      <c r="XEC136" s="0"/>
      <c r="XED136" s="0"/>
      <c r="XEE136" s="0"/>
      <c r="XEF136" s="0"/>
      <c r="XEG136" s="0"/>
      <c r="XEH136" s="0"/>
      <c r="XEI136" s="0"/>
      <c r="XEJ136" s="0"/>
      <c r="XEK136" s="0"/>
      <c r="XEL136" s="0"/>
      <c r="XEM136" s="0"/>
      <c r="XEN136" s="0"/>
      <c r="XEO136" s="0"/>
      <c r="XEP136" s="0"/>
      <c r="XEQ136" s="0"/>
      <c r="XER136" s="0"/>
      <c r="XES136" s="0"/>
      <c r="XET136" s="0"/>
      <c r="XEU136" s="0"/>
      <c r="XEV136" s="0"/>
      <c r="XEW136" s="0"/>
      <c r="XEX136" s="0"/>
      <c r="XEY136" s="0"/>
      <c r="XEZ136" s="0"/>
      <c r="XFA136" s="0"/>
      <c r="XFB136" s="0"/>
      <c r="XFC136" s="0"/>
    </row>
    <row r="137" s="43" customFormat="true" ht="73.5" hidden="false" customHeight="true" outlineLevel="0" collapsed="false">
      <c r="A137" s="205" t="n">
        <v>131</v>
      </c>
      <c r="B137" s="206" t="s">
        <v>827</v>
      </c>
      <c r="C137" s="207" t="s">
        <v>616</v>
      </c>
      <c r="D137" s="208" t="n">
        <v>0.9</v>
      </c>
      <c r="XDE137" s="0"/>
      <c r="XDF137" s="0"/>
      <c r="XDG137" s="0"/>
      <c r="XDH137" s="0"/>
      <c r="XDI137" s="0"/>
      <c r="XDJ137" s="0"/>
      <c r="XDK137" s="0"/>
      <c r="XDL137" s="0"/>
      <c r="XDM137" s="0"/>
      <c r="XDN137" s="0"/>
      <c r="XDO137" s="0"/>
      <c r="XDP137" s="0"/>
      <c r="XDQ137" s="0"/>
      <c r="XDR137" s="0"/>
      <c r="XDS137" s="0"/>
      <c r="XDT137" s="0"/>
      <c r="XDU137" s="0"/>
      <c r="XDV137" s="0"/>
      <c r="XDW137" s="0"/>
      <c r="XDX137" s="0"/>
      <c r="XDY137" s="0"/>
      <c r="XDZ137" s="0"/>
      <c r="XEA137" s="0"/>
      <c r="XEB137" s="0"/>
      <c r="XEC137" s="0"/>
      <c r="XED137" s="0"/>
      <c r="XEE137" s="0"/>
      <c r="XEF137" s="0"/>
      <c r="XEG137" s="0"/>
      <c r="XEH137" s="0"/>
      <c r="XEI137" s="0"/>
      <c r="XEJ137" s="0"/>
      <c r="XEK137" s="0"/>
      <c r="XEL137" s="0"/>
      <c r="XEM137" s="0"/>
      <c r="XEN137" s="0"/>
      <c r="XEO137" s="0"/>
      <c r="XEP137" s="0"/>
      <c r="XEQ137" s="0"/>
      <c r="XER137" s="0"/>
      <c r="XES137" s="0"/>
      <c r="XET137" s="0"/>
      <c r="XEU137" s="0"/>
      <c r="XEV137" s="0"/>
      <c r="XEW137" s="0"/>
      <c r="XEX137" s="0"/>
      <c r="XEY137" s="0"/>
      <c r="XEZ137" s="0"/>
      <c r="XFA137" s="0"/>
      <c r="XFB137" s="0"/>
      <c r="XFC137" s="0"/>
    </row>
    <row r="138" s="43" customFormat="true" ht="92.25" hidden="false" customHeight="true" outlineLevel="0" collapsed="false">
      <c r="A138" s="205" t="n">
        <v>132</v>
      </c>
      <c r="B138" s="206" t="s">
        <v>828</v>
      </c>
      <c r="C138" s="207" t="s">
        <v>616</v>
      </c>
      <c r="D138" s="208" t="n">
        <v>3.2</v>
      </c>
      <c r="XDE138" s="0"/>
      <c r="XDF138" s="0"/>
      <c r="XDG138" s="0"/>
      <c r="XDH138" s="0"/>
      <c r="XDI138" s="0"/>
      <c r="XDJ138" s="0"/>
      <c r="XDK138" s="0"/>
      <c r="XDL138" s="0"/>
      <c r="XDM138" s="0"/>
      <c r="XDN138" s="0"/>
      <c r="XDO138" s="0"/>
      <c r="XDP138" s="0"/>
      <c r="XDQ138" s="0"/>
      <c r="XDR138" s="0"/>
      <c r="XDS138" s="0"/>
      <c r="XDT138" s="0"/>
      <c r="XDU138" s="0"/>
      <c r="XDV138" s="0"/>
      <c r="XDW138" s="0"/>
      <c r="XDX138" s="0"/>
      <c r="XDY138" s="0"/>
      <c r="XDZ138" s="0"/>
      <c r="XEA138" s="0"/>
      <c r="XEB138" s="0"/>
      <c r="XEC138" s="0"/>
      <c r="XED138" s="0"/>
      <c r="XEE138" s="0"/>
      <c r="XEF138" s="0"/>
      <c r="XEG138" s="0"/>
      <c r="XEH138" s="0"/>
      <c r="XEI138" s="0"/>
      <c r="XEJ138" s="0"/>
      <c r="XEK138" s="0"/>
      <c r="XEL138" s="0"/>
      <c r="XEM138" s="0"/>
      <c r="XEN138" s="0"/>
      <c r="XEO138" s="0"/>
      <c r="XEP138" s="0"/>
      <c r="XEQ138" s="0"/>
      <c r="XER138" s="0"/>
      <c r="XES138" s="0"/>
      <c r="XET138" s="0"/>
      <c r="XEU138" s="0"/>
      <c r="XEV138" s="0"/>
      <c r="XEW138" s="0"/>
      <c r="XEX138" s="0"/>
      <c r="XEY138" s="0"/>
      <c r="XEZ138" s="0"/>
      <c r="XFA138" s="0"/>
      <c r="XFB138" s="0"/>
      <c r="XFC138" s="0"/>
    </row>
    <row r="139" s="43" customFormat="true" ht="73.5" hidden="false" customHeight="true" outlineLevel="0" collapsed="false">
      <c r="A139" s="205" t="n">
        <v>133</v>
      </c>
      <c r="B139" s="206" t="s">
        <v>829</v>
      </c>
      <c r="C139" s="207" t="s">
        <v>616</v>
      </c>
      <c r="D139" s="208" t="n">
        <v>20</v>
      </c>
      <c r="XDE139" s="0"/>
      <c r="XDF139" s="0"/>
      <c r="XDG139" s="0"/>
      <c r="XDH139" s="0"/>
      <c r="XDI139" s="0"/>
      <c r="XDJ139" s="0"/>
      <c r="XDK139" s="0"/>
      <c r="XDL139" s="0"/>
      <c r="XDM139" s="0"/>
      <c r="XDN139" s="0"/>
      <c r="XDO139" s="0"/>
      <c r="XDP139" s="0"/>
      <c r="XDQ139" s="0"/>
      <c r="XDR139" s="0"/>
      <c r="XDS139" s="0"/>
      <c r="XDT139" s="0"/>
      <c r="XDU139" s="0"/>
      <c r="XDV139" s="0"/>
      <c r="XDW139" s="0"/>
      <c r="XDX139" s="0"/>
      <c r="XDY139" s="0"/>
      <c r="XDZ139" s="0"/>
      <c r="XEA139" s="0"/>
      <c r="XEB139" s="0"/>
      <c r="XEC139" s="0"/>
      <c r="XED139" s="0"/>
      <c r="XEE139" s="0"/>
      <c r="XEF139" s="0"/>
      <c r="XEG139" s="0"/>
      <c r="XEH139" s="0"/>
      <c r="XEI139" s="0"/>
      <c r="XEJ139" s="0"/>
      <c r="XEK139" s="0"/>
      <c r="XEL139" s="0"/>
      <c r="XEM139" s="0"/>
      <c r="XEN139" s="0"/>
      <c r="XEO139" s="0"/>
      <c r="XEP139" s="0"/>
      <c r="XEQ139" s="0"/>
      <c r="XER139" s="0"/>
      <c r="XES139" s="0"/>
      <c r="XET139" s="0"/>
      <c r="XEU139" s="0"/>
      <c r="XEV139" s="0"/>
      <c r="XEW139" s="0"/>
      <c r="XEX139" s="0"/>
      <c r="XEY139" s="0"/>
      <c r="XEZ139" s="0"/>
      <c r="XFA139" s="0"/>
      <c r="XFB139" s="0"/>
      <c r="XFC139" s="0"/>
    </row>
    <row r="140" s="43" customFormat="true" ht="73.5" hidden="false" customHeight="true" outlineLevel="0" collapsed="false">
      <c r="A140" s="205" t="n">
        <v>134</v>
      </c>
      <c r="B140" s="210" t="s">
        <v>830</v>
      </c>
      <c r="C140" s="207" t="s">
        <v>679</v>
      </c>
      <c r="D140" s="208" t="n">
        <v>12</v>
      </c>
      <c r="XDE140" s="0"/>
      <c r="XDF140" s="0"/>
      <c r="XDG140" s="0"/>
      <c r="XDH140" s="0"/>
      <c r="XDI140" s="0"/>
      <c r="XDJ140" s="0"/>
      <c r="XDK140" s="0"/>
      <c r="XDL140" s="0"/>
      <c r="XDM140" s="0"/>
      <c r="XDN140" s="0"/>
      <c r="XDO140" s="0"/>
      <c r="XDP140" s="0"/>
      <c r="XDQ140" s="0"/>
      <c r="XDR140" s="0"/>
      <c r="XDS140" s="0"/>
      <c r="XDT140" s="0"/>
      <c r="XDU140" s="0"/>
      <c r="XDV140" s="0"/>
      <c r="XDW140" s="0"/>
      <c r="XDX140" s="0"/>
      <c r="XDY140" s="0"/>
      <c r="XDZ140" s="0"/>
      <c r="XEA140" s="0"/>
      <c r="XEB140" s="0"/>
      <c r="XEC140" s="0"/>
      <c r="XED140" s="0"/>
      <c r="XEE140" s="0"/>
      <c r="XEF140" s="0"/>
      <c r="XEG140" s="0"/>
      <c r="XEH140" s="0"/>
      <c r="XEI140" s="0"/>
      <c r="XEJ140" s="0"/>
      <c r="XEK140" s="0"/>
      <c r="XEL140" s="0"/>
      <c r="XEM140" s="0"/>
      <c r="XEN140" s="0"/>
      <c r="XEO140" s="0"/>
      <c r="XEP140" s="0"/>
      <c r="XEQ140" s="0"/>
      <c r="XER140" s="0"/>
      <c r="XES140" s="0"/>
      <c r="XET140" s="0"/>
      <c r="XEU140" s="0"/>
      <c r="XEV140" s="0"/>
      <c r="XEW140" s="0"/>
      <c r="XEX140" s="0"/>
      <c r="XEY140" s="0"/>
      <c r="XEZ140" s="0"/>
      <c r="XFA140" s="0"/>
      <c r="XFB140" s="0"/>
      <c r="XFC140" s="0"/>
    </row>
    <row r="141" s="43" customFormat="true" ht="73.5" hidden="false" customHeight="true" outlineLevel="0" collapsed="false">
      <c r="A141" s="205" t="n">
        <v>135</v>
      </c>
      <c r="B141" s="206" t="s">
        <v>831</v>
      </c>
      <c r="C141" s="207" t="s">
        <v>620</v>
      </c>
      <c r="D141" s="208" t="n">
        <v>27</v>
      </c>
      <c r="XDE141" s="0"/>
      <c r="XDF141" s="0"/>
      <c r="XDG141" s="0"/>
      <c r="XDH141" s="0"/>
      <c r="XDI141" s="0"/>
      <c r="XDJ141" s="0"/>
      <c r="XDK141" s="0"/>
      <c r="XDL141" s="0"/>
      <c r="XDM141" s="0"/>
      <c r="XDN141" s="0"/>
      <c r="XDO141" s="0"/>
      <c r="XDP141" s="0"/>
      <c r="XDQ141" s="0"/>
      <c r="XDR141" s="0"/>
      <c r="XDS141" s="0"/>
      <c r="XDT141" s="0"/>
      <c r="XDU141" s="0"/>
      <c r="XDV141" s="0"/>
      <c r="XDW141" s="0"/>
      <c r="XDX141" s="0"/>
      <c r="XDY141" s="0"/>
      <c r="XDZ141" s="0"/>
      <c r="XEA141" s="0"/>
      <c r="XEB141" s="0"/>
      <c r="XEC141" s="0"/>
      <c r="XED141" s="0"/>
      <c r="XEE141" s="0"/>
      <c r="XEF141" s="0"/>
      <c r="XEG141" s="0"/>
      <c r="XEH141" s="0"/>
      <c r="XEI141" s="0"/>
      <c r="XEJ141" s="0"/>
      <c r="XEK141" s="0"/>
      <c r="XEL141" s="0"/>
      <c r="XEM141" s="0"/>
      <c r="XEN141" s="0"/>
      <c r="XEO141" s="0"/>
      <c r="XEP141" s="0"/>
      <c r="XEQ141" s="0"/>
      <c r="XER141" s="0"/>
      <c r="XES141" s="0"/>
      <c r="XET141" s="0"/>
      <c r="XEU141" s="0"/>
      <c r="XEV141" s="0"/>
      <c r="XEW141" s="0"/>
      <c r="XEX141" s="0"/>
      <c r="XEY141" s="0"/>
      <c r="XEZ141" s="0"/>
      <c r="XFA141" s="0"/>
      <c r="XFB141" s="0"/>
      <c r="XFC141" s="0"/>
    </row>
    <row r="142" s="43" customFormat="true" ht="73.5" hidden="false" customHeight="true" outlineLevel="0" collapsed="false">
      <c r="A142" s="205" t="n">
        <v>136</v>
      </c>
      <c r="B142" s="206" t="s">
        <v>832</v>
      </c>
      <c r="C142" s="207" t="s">
        <v>679</v>
      </c>
      <c r="D142" s="208" t="n">
        <v>2</v>
      </c>
      <c r="XDE142" s="0"/>
      <c r="XDF142" s="0"/>
      <c r="XDG142" s="0"/>
      <c r="XDH142" s="0"/>
      <c r="XDI142" s="0"/>
      <c r="XDJ142" s="0"/>
      <c r="XDK142" s="0"/>
      <c r="XDL142" s="0"/>
      <c r="XDM142" s="0"/>
      <c r="XDN142" s="0"/>
      <c r="XDO142" s="0"/>
      <c r="XDP142" s="0"/>
      <c r="XDQ142" s="0"/>
      <c r="XDR142" s="0"/>
      <c r="XDS142" s="0"/>
      <c r="XDT142" s="0"/>
      <c r="XDU142" s="0"/>
      <c r="XDV142" s="0"/>
      <c r="XDW142" s="0"/>
      <c r="XDX142" s="0"/>
      <c r="XDY142" s="0"/>
      <c r="XDZ142" s="0"/>
      <c r="XEA142" s="0"/>
      <c r="XEB142" s="0"/>
      <c r="XEC142" s="0"/>
      <c r="XED142" s="0"/>
      <c r="XEE142" s="0"/>
      <c r="XEF142" s="0"/>
      <c r="XEG142" s="0"/>
      <c r="XEH142" s="0"/>
      <c r="XEI142" s="0"/>
      <c r="XEJ142" s="0"/>
      <c r="XEK142" s="0"/>
      <c r="XEL142" s="0"/>
      <c r="XEM142" s="0"/>
      <c r="XEN142" s="0"/>
      <c r="XEO142" s="0"/>
      <c r="XEP142" s="0"/>
      <c r="XEQ142" s="0"/>
      <c r="XER142" s="0"/>
      <c r="XES142" s="0"/>
      <c r="XET142" s="0"/>
      <c r="XEU142" s="0"/>
      <c r="XEV142" s="0"/>
      <c r="XEW142" s="0"/>
      <c r="XEX142" s="0"/>
      <c r="XEY142" s="0"/>
      <c r="XEZ142" s="0"/>
      <c r="XFA142" s="0"/>
      <c r="XFB142" s="0"/>
      <c r="XFC142" s="0"/>
    </row>
    <row r="143" s="43" customFormat="true" ht="73.5" hidden="false" customHeight="true" outlineLevel="0" collapsed="false">
      <c r="A143" s="205" t="n">
        <v>137</v>
      </c>
      <c r="B143" s="206" t="s">
        <v>833</v>
      </c>
      <c r="C143" s="207" t="s">
        <v>679</v>
      </c>
      <c r="D143" s="208" t="n">
        <v>2</v>
      </c>
      <c r="XDE143" s="0"/>
      <c r="XDF143" s="0"/>
      <c r="XDG143" s="0"/>
      <c r="XDH143" s="0"/>
      <c r="XDI143" s="0"/>
      <c r="XDJ143" s="0"/>
      <c r="XDK143" s="0"/>
      <c r="XDL143" s="0"/>
      <c r="XDM143" s="0"/>
      <c r="XDN143" s="0"/>
      <c r="XDO143" s="0"/>
      <c r="XDP143" s="0"/>
      <c r="XDQ143" s="0"/>
      <c r="XDR143" s="0"/>
      <c r="XDS143" s="0"/>
      <c r="XDT143" s="0"/>
      <c r="XDU143" s="0"/>
      <c r="XDV143" s="0"/>
      <c r="XDW143" s="0"/>
      <c r="XDX143" s="0"/>
      <c r="XDY143" s="0"/>
      <c r="XDZ143" s="0"/>
      <c r="XEA143" s="0"/>
      <c r="XEB143" s="0"/>
      <c r="XEC143" s="0"/>
      <c r="XED143" s="0"/>
      <c r="XEE143" s="0"/>
      <c r="XEF143" s="0"/>
      <c r="XEG143" s="0"/>
      <c r="XEH143" s="0"/>
      <c r="XEI143" s="0"/>
      <c r="XEJ143" s="0"/>
      <c r="XEK143" s="0"/>
      <c r="XEL143" s="0"/>
      <c r="XEM143" s="0"/>
      <c r="XEN143" s="0"/>
      <c r="XEO143" s="0"/>
      <c r="XEP143" s="0"/>
      <c r="XEQ143" s="0"/>
      <c r="XER143" s="0"/>
      <c r="XES143" s="0"/>
      <c r="XET143" s="0"/>
      <c r="XEU143" s="0"/>
      <c r="XEV143" s="0"/>
      <c r="XEW143" s="0"/>
      <c r="XEX143" s="0"/>
      <c r="XEY143" s="0"/>
      <c r="XEZ143" s="0"/>
      <c r="XFA143" s="0"/>
      <c r="XFB143" s="0"/>
      <c r="XFC143" s="0"/>
    </row>
    <row r="144" s="43" customFormat="true" ht="73.5" hidden="false" customHeight="true" outlineLevel="0" collapsed="false">
      <c r="A144" s="205" t="n">
        <v>138</v>
      </c>
      <c r="B144" s="206" t="s">
        <v>834</v>
      </c>
      <c r="C144" s="207" t="s">
        <v>679</v>
      </c>
      <c r="D144" s="208" t="n">
        <v>2</v>
      </c>
      <c r="XDE144" s="0"/>
      <c r="XDF144" s="0"/>
      <c r="XDG144" s="0"/>
      <c r="XDH144" s="0"/>
      <c r="XDI144" s="0"/>
      <c r="XDJ144" s="0"/>
      <c r="XDK144" s="0"/>
      <c r="XDL144" s="0"/>
      <c r="XDM144" s="0"/>
      <c r="XDN144" s="0"/>
      <c r="XDO144" s="0"/>
      <c r="XDP144" s="0"/>
      <c r="XDQ144" s="0"/>
      <c r="XDR144" s="0"/>
      <c r="XDS144" s="0"/>
      <c r="XDT144" s="0"/>
      <c r="XDU144" s="0"/>
      <c r="XDV144" s="0"/>
      <c r="XDW144" s="0"/>
      <c r="XDX144" s="0"/>
      <c r="XDY144" s="0"/>
      <c r="XDZ144" s="0"/>
      <c r="XEA144" s="0"/>
      <c r="XEB144" s="0"/>
      <c r="XEC144" s="0"/>
      <c r="XED144" s="0"/>
      <c r="XEE144" s="0"/>
      <c r="XEF144" s="0"/>
      <c r="XEG144" s="0"/>
      <c r="XEH144" s="0"/>
      <c r="XEI144" s="0"/>
      <c r="XEJ144" s="0"/>
      <c r="XEK144" s="0"/>
      <c r="XEL144" s="0"/>
      <c r="XEM144" s="0"/>
      <c r="XEN144" s="0"/>
      <c r="XEO144" s="0"/>
      <c r="XEP144" s="0"/>
      <c r="XEQ144" s="0"/>
      <c r="XER144" s="0"/>
      <c r="XES144" s="0"/>
      <c r="XET144" s="0"/>
      <c r="XEU144" s="0"/>
      <c r="XEV144" s="0"/>
      <c r="XEW144" s="0"/>
      <c r="XEX144" s="0"/>
      <c r="XEY144" s="0"/>
      <c r="XEZ144" s="0"/>
      <c r="XFA144" s="0"/>
      <c r="XFB144" s="0"/>
      <c r="XFC144" s="0"/>
    </row>
    <row r="145" s="43" customFormat="true" ht="73.5" hidden="false" customHeight="true" outlineLevel="0" collapsed="false">
      <c r="A145" s="205" t="n">
        <v>139</v>
      </c>
      <c r="B145" s="206" t="s">
        <v>835</v>
      </c>
      <c r="C145" s="207" t="s">
        <v>836</v>
      </c>
      <c r="D145" s="208" t="n">
        <v>600</v>
      </c>
      <c r="XDE145" s="0"/>
      <c r="XDF145" s="0"/>
      <c r="XDG145" s="0"/>
      <c r="XDH145" s="0"/>
      <c r="XDI145" s="0"/>
      <c r="XDJ145" s="0"/>
      <c r="XDK145" s="0"/>
      <c r="XDL145" s="0"/>
      <c r="XDM145" s="0"/>
      <c r="XDN145" s="0"/>
      <c r="XDO145" s="0"/>
      <c r="XDP145" s="0"/>
      <c r="XDQ145" s="0"/>
      <c r="XDR145" s="0"/>
      <c r="XDS145" s="0"/>
      <c r="XDT145" s="0"/>
      <c r="XDU145" s="0"/>
      <c r="XDV145" s="0"/>
      <c r="XDW145" s="0"/>
      <c r="XDX145" s="0"/>
      <c r="XDY145" s="0"/>
      <c r="XDZ145" s="0"/>
      <c r="XEA145" s="0"/>
      <c r="XEB145" s="0"/>
      <c r="XEC145" s="0"/>
      <c r="XED145" s="0"/>
      <c r="XEE145" s="0"/>
      <c r="XEF145" s="0"/>
      <c r="XEG145" s="0"/>
      <c r="XEH145" s="0"/>
      <c r="XEI145" s="0"/>
      <c r="XEJ145" s="0"/>
      <c r="XEK145" s="0"/>
      <c r="XEL145" s="0"/>
      <c r="XEM145" s="0"/>
      <c r="XEN145" s="0"/>
      <c r="XEO145" s="0"/>
      <c r="XEP145" s="0"/>
      <c r="XEQ145" s="0"/>
      <c r="XER145" s="0"/>
      <c r="XES145" s="0"/>
      <c r="XET145" s="0"/>
      <c r="XEU145" s="0"/>
      <c r="XEV145" s="0"/>
      <c r="XEW145" s="0"/>
      <c r="XEX145" s="0"/>
      <c r="XEY145" s="0"/>
      <c r="XEZ145" s="0"/>
      <c r="XFA145" s="0"/>
      <c r="XFB145" s="0"/>
      <c r="XFC145" s="0"/>
    </row>
    <row r="146" s="43" customFormat="true" ht="73.5" hidden="false" customHeight="true" outlineLevel="0" collapsed="false">
      <c r="A146" s="205" t="n">
        <v>140</v>
      </c>
      <c r="B146" s="206" t="s">
        <v>837</v>
      </c>
      <c r="C146" s="207" t="s">
        <v>679</v>
      </c>
      <c r="D146" s="208" t="n">
        <v>4</v>
      </c>
      <c r="XDE146" s="0"/>
      <c r="XDF146" s="0"/>
      <c r="XDG146" s="0"/>
      <c r="XDH146" s="0"/>
      <c r="XDI146" s="0"/>
      <c r="XDJ146" s="0"/>
      <c r="XDK146" s="0"/>
      <c r="XDL146" s="0"/>
      <c r="XDM146" s="0"/>
      <c r="XDN146" s="0"/>
      <c r="XDO146" s="0"/>
      <c r="XDP146" s="0"/>
      <c r="XDQ146" s="0"/>
      <c r="XDR146" s="0"/>
      <c r="XDS146" s="0"/>
      <c r="XDT146" s="0"/>
      <c r="XDU146" s="0"/>
      <c r="XDV146" s="0"/>
      <c r="XDW146" s="0"/>
      <c r="XDX146" s="0"/>
      <c r="XDY146" s="0"/>
      <c r="XDZ146" s="0"/>
      <c r="XEA146" s="0"/>
      <c r="XEB146" s="0"/>
      <c r="XEC146" s="0"/>
      <c r="XED146" s="0"/>
      <c r="XEE146" s="0"/>
      <c r="XEF146" s="0"/>
      <c r="XEG146" s="0"/>
      <c r="XEH146" s="0"/>
      <c r="XEI146" s="0"/>
      <c r="XEJ146" s="0"/>
      <c r="XEK146" s="0"/>
      <c r="XEL146" s="0"/>
      <c r="XEM146" s="0"/>
      <c r="XEN146" s="0"/>
      <c r="XEO146" s="0"/>
      <c r="XEP146" s="0"/>
      <c r="XEQ146" s="0"/>
      <c r="XER146" s="0"/>
      <c r="XES146" s="0"/>
      <c r="XET146" s="0"/>
      <c r="XEU146" s="0"/>
      <c r="XEV146" s="0"/>
      <c r="XEW146" s="0"/>
      <c r="XEX146" s="0"/>
      <c r="XEY146" s="0"/>
      <c r="XEZ146" s="0"/>
      <c r="XFA146" s="0"/>
      <c r="XFB146" s="0"/>
      <c r="XFC146" s="0"/>
    </row>
    <row r="147" s="43" customFormat="true" ht="73.5" hidden="false" customHeight="true" outlineLevel="0" collapsed="false">
      <c r="A147" s="205" t="n">
        <v>141</v>
      </c>
      <c r="B147" s="206" t="s">
        <v>838</v>
      </c>
      <c r="C147" s="207" t="s">
        <v>25</v>
      </c>
      <c r="D147" s="208" t="n">
        <v>1</v>
      </c>
      <c r="XDE147" s="0"/>
      <c r="XDF147" s="0"/>
      <c r="XDG147" s="0"/>
      <c r="XDH147" s="0"/>
      <c r="XDI147" s="0"/>
      <c r="XDJ147" s="0"/>
      <c r="XDK147" s="0"/>
      <c r="XDL147" s="0"/>
      <c r="XDM147" s="0"/>
      <c r="XDN147" s="0"/>
      <c r="XDO147" s="0"/>
      <c r="XDP147" s="0"/>
      <c r="XDQ147" s="0"/>
      <c r="XDR147" s="0"/>
      <c r="XDS147" s="0"/>
      <c r="XDT147" s="0"/>
      <c r="XDU147" s="0"/>
      <c r="XDV147" s="0"/>
      <c r="XDW147" s="0"/>
      <c r="XDX147" s="0"/>
      <c r="XDY147" s="0"/>
      <c r="XDZ147" s="0"/>
      <c r="XEA147" s="0"/>
      <c r="XEB147" s="0"/>
      <c r="XEC147" s="0"/>
      <c r="XED147" s="0"/>
      <c r="XEE147" s="0"/>
      <c r="XEF147" s="0"/>
      <c r="XEG147" s="0"/>
      <c r="XEH147" s="0"/>
      <c r="XEI147" s="0"/>
      <c r="XEJ147" s="0"/>
      <c r="XEK147" s="0"/>
      <c r="XEL147" s="0"/>
      <c r="XEM147" s="0"/>
      <c r="XEN147" s="0"/>
      <c r="XEO147" s="0"/>
      <c r="XEP147" s="0"/>
      <c r="XEQ147" s="0"/>
      <c r="XER147" s="0"/>
      <c r="XES147" s="0"/>
      <c r="XET147" s="0"/>
      <c r="XEU147" s="0"/>
      <c r="XEV147" s="0"/>
      <c r="XEW147" s="0"/>
      <c r="XEX147" s="0"/>
      <c r="XEY147" s="0"/>
      <c r="XEZ147" s="0"/>
      <c r="XFA147" s="0"/>
      <c r="XFB147" s="0"/>
      <c r="XFC147" s="0"/>
    </row>
    <row r="148" s="43" customFormat="true" ht="73.5" hidden="false" customHeight="true" outlineLevel="0" collapsed="false">
      <c r="A148" s="205" t="n">
        <v>142</v>
      </c>
      <c r="B148" s="206" t="s">
        <v>839</v>
      </c>
      <c r="C148" s="207" t="s">
        <v>25</v>
      </c>
      <c r="D148" s="208" t="n">
        <v>1</v>
      </c>
      <c r="XDE148" s="0"/>
      <c r="XDF148" s="0"/>
      <c r="XDG148" s="0"/>
      <c r="XDH148" s="0"/>
      <c r="XDI148" s="0"/>
      <c r="XDJ148" s="0"/>
      <c r="XDK148" s="0"/>
      <c r="XDL148" s="0"/>
      <c r="XDM148" s="0"/>
      <c r="XDN148" s="0"/>
      <c r="XDO148" s="0"/>
      <c r="XDP148" s="0"/>
      <c r="XDQ148" s="0"/>
      <c r="XDR148" s="0"/>
      <c r="XDS148" s="0"/>
      <c r="XDT148" s="0"/>
      <c r="XDU148" s="0"/>
      <c r="XDV148" s="0"/>
      <c r="XDW148" s="0"/>
      <c r="XDX148" s="0"/>
      <c r="XDY148" s="0"/>
      <c r="XDZ148" s="0"/>
      <c r="XEA148" s="0"/>
      <c r="XEB148" s="0"/>
      <c r="XEC148" s="0"/>
      <c r="XED148" s="0"/>
      <c r="XEE148" s="0"/>
      <c r="XEF148" s="0"/>
      <c r="XEG148" s="0"/>
      <c r="XEH148" s="0"/>
      <c r="XEI148" s="0"/>
      <c r="XEJ148" s="0"/>
      <c r="XEK148" s="0"/>
      <c r="XEL148" s="0"/>
      <c r="XEM148" s="0"/>
      <c r="XEN148" s="0"/>
      <c r="XEO148" s="0"/>
      <c r="XEP148" s="0"/>
      <c r="XEQ148" s="0"/>
      <c r="XER148" s="0"/>
      <c r="XES148" s="0"/>
      <c r="XET148" s="0"/>
      <c r="XEU148" s="0"/>
      <c r="XEV148" s="0"/>
      <c r="XEW148" s="0"/>
      <c r="XEX148" s="0"/>
      <c r="XEY148" s="0"/>
      <c r="XEZ148" s="0"/>
      <c r="XFA148" s="0"/>
      <c r="XFB148" s="0"/>
      <c r="XFC148" s="0"/>
    </row>
    <row r="149" s="43" customFormat="true" ht="73.5" hidden="false" customHeight="true" outlineLevel="0" collapsed="false">
      <c r="A149" s="205" t="n">
        <v>143</v>
      </c>
      <c r="B149" s="206" t="s">
        <v>840</v>
      </c>
      <c r="C149" s="207" t="s">
        <v>25</v>
      </c>
      <c r="D149" s="208" t="n">
        <v>1</v>
      </c>
      <c r="XDE149" s="0"/>
      <c r="XDF149" s="0"/>
      <c r="XDG149" s="0"/>
      <c r="XDH149" s="0"/>
      <c r="XDI149" s="0"/>
      <c r="XDJ149" s="0"/>
      <c r="XDK149" s="0"/>
      <c r="XDL149" s="0"/>
      <c r="XDM149" s="0"/>
      <c r="XDN149" s="0"/>
      <c r="XDO149" s="0"/>
      <c r="XDP149" s="0"/>
      <c r="XDQ149" s="0"/>
      <c r="XDR149" s="0"/>
      <c r="XDS149" s="0"/>
      <c r="XDT149" s="0"/>
      <c r="XDU149" s="0"/>
      <c r="XDV149" s="0"/>
      <c r="XDW149" s="0"/>
      <c r="XDX149" s="0"/>
      <c r="XDY149" s="0"/>
      <c r="XDZ149" s="0"/>
      <c r="XEA149" s="0"/>
      <c r="XEB149" s="0"/>
      <c r="XEC149" s="0"/>
      <c r="XED149" s="0"/>
      <c r="XEE149" s="0"/>
      <c r="XEF149" s="0"/>
      <c r="XEG149" s="0"/>
      <c r="XEH149" s="0"/>
      <c r="XEI149" s="0"/>
      <c r="XEJ149" s="0"/>
      <c r="XEK149" s="0"/>
      <c r="XEL149" s="0"/>
      <c r="XEM149" s="0"/>
      <c r="XEN149" s="0"/>
      <c r="XEO149" s="0"/>
      <c r="XEP149" s="0"/>
      <c r="XEQ149" s="0"/>
      <c r="XER149" s="0"/>
      <c r="XES149" s="0"/>
      <c r="XET149" s="0"/>
      <c r="XEU149" s="0"/>
      <c r="XEV149" s="0"/>
      <c r="XEW149" s="0"/>
      <c r="XEX149" s="0"/>
      <c r="XEY149" s="0"/>
      <c r="XEZ149" s="0"/>
      <c r="XFA149" s="0"/>
      <c r="XFB149" s="0"/>
      <c r="XFC149" s="0"/>
    </row>
    <row r="150" s="43" customFormat="true" ht="73.5" hidden="false" customHeight="true" outlineLevel="0" collapsed="false">
      <c r="A150" s="205" t="n">
        <v>144</v>
      </c>
      <c r="B150" s="206" t="s">
        <v>841</v>
      </c>
      <c r="C150" s="207" t="s">
        <v>25</v>
      </c>
      <c r="D150" s="208" t="n">
        <v>2</v>
      </c>
      <c r="XDE150" s="0"/>
      <c r="XDF150" s="0"/>
      <c r="XDG150" s="0"/>
      <c r="XDH150" s="0"/>
      <c r="XDI150" s="0"/>
      <c r="XDJ150" s="0"/>
      <c r="XDK150" s="0"/>
      <c r="XDL150" s="0"/>
      <c r="XDM150" s="0"/>
      <c r="XDN150" s="0"/>
      <c r="XDO150" s="0"/>
      <c r="XDP150" s="0"/>
      <c r="XDQ150" s="0"/>
      <c r="XDR150" s="0"/>
      <c r="XDS150" s="0"/>
      <c r="XDT150" s="0"/>
      <c r="XDU150" s="0"/>
      <c r="XDV150" s="0"/>
      <c r="XDW150" s="0"/>
      <c r="XDX150" s="0"/>
      <c r="XDY150" s="0"/>
      <c r="XDZ150" s="0"/>
      <c r="XEA150" s="0"/>
      <c r="XEB150" s="0"/>
      <c r="XEC150" s="0"/>
      <c r="XED150" s="0"/>
      <c r="XEE150" s="0"/>
      <c r="XEF150" s="0"/>
      <c r="XEG150" s="0"/>
      <c r="XEH150" s="0"/>
      <c r="XEI150" s="0"/>
      <c r="XEJ150" s="0"/>
      <c r="XEK150" s="0"/>
      <c r="XEL150" s="0"/>
      <c r="XEM150" s="0"/>
      <c r="XEN150" s="0"/>
      <c r="XEO150" s="0"/>
      <c r="XEP150" s="0"/>
      <c r="XEQ150" s="0"/>
      <c r="XER150" s="0"/>
      <c r="XES150" s="0"/>
      <c r="XET150" s="0"/>
      <c r="XEU150" s="0"/>
      <c r="XEV150" s="0"/>
      <c r="XEW150" s="0"/>
      <c r="XEX150" s="0"/>
      <c r="XEY150" s="0"/>
      <c r="XEZ150" s="0"/>
      <c r="XFA150" s="0"/>
      <c r="XFB150" s="0"/>
      <c r="XFC150" s="0"/>
    </row>
    <row r="151" s="43" customFormat="true" ht="73.5" hidden="false" customHeight="true" outlineLevel="0" collapsed="false">
      <c r="A151" s="205" t="n">
        <v>145</v>
      </c>
      <c r="B151" s="206" t="s">
        <v>842</v>
      </c>
      <c r="C151" s="207" t="s">
        <v>620</v>
      </c>
      <c r="D151" s="208" t="n">
        <v>0.04</v>
      </c>
      <c r="XDE151" s="0"/>
      <c r="XDF151" s="0"/>
      <c r="XDG151" s="0"/>
      <c r="XDH151" s="0"/>
      <c r="XDI151" s="0"/>
      <c r="XDJ151" s="0"/>
      <c r="XDK151" s="0"/>
      <c r="XDL151" s="0"/>
      <c r="XDM151" s="0"/>
      <c r="XDN151" s="0"/>
      <c r="XDO151" s="0"/>
      <c r="XDP151" s="0"/>
      <c r="XDQ151" s="0"/>
      <c r="XDR151" s="0"/>
      <c r="XDS151" s="0"/>
      <c r="XDT151" s="0"/>
      <c r="XDU151" s="0"/>
      <c r="XDV151" s="0"/>
      <c r="XDW151" s="0"/>
      <c r="XDX151" s="0"/>
      <c r="XDY151" s="0"/>
      <c r="XDZ151" s="0"/>
      <c r="XEA151" s="0"/>
      <c r="XEB151" s="0"/>
      <c r="XEC151" s="0"/>
      <c r="XED151" s="0"/>
      <c r="XEE151" s="0"/>
      <c r="XEF151" s="0"/>
      <c r="XEG151" s="0"/>
      <c r="XEH151" s="0"/>
      <c r="XEI151" s="0"/>
      <c r="XEJ151" s="0"/>
      <c r="XEK151" s="0"/>
      <c r="XEL151" s="0"/>
      <c r="XEM151" s="0"/>
      <c r="XEN151" s="0"/>
      <c r="XEO151" s="0"/>
      <c r="XEP151" s="0"/>
      <c r="XEQ151" s="0"/>
      <c r="XER151" s="0"/>
      <c r="XES151" s="0"/>
      <c r="XET151" s="0"/>
      <c r="XEU151" s="0"/>
      <c r="XEV151" s="0"/>
      <c r="XEW151" s="0"/>
      <c r="XEX151" s="0"/>
      <c r="XEY151" s="0"/>
      <c r="XEZ151" s="0"/>
      <c r="XFA151" s="0"/>
      <c r="XFB151" s="0"/>
      <c r="XFC151" s="0"/>
    </row>
    <row r="152" s="43" customFormat="true" ht="73.5" hidden="false" customHeight="true" outlineLevel="0" collapsed="false">
      <c r="A152" s="205" t="n">
        <v>146</v>
      </c>
      <c r="B152" s="206" t="s">
        <v>843</v>
      </c>
      <c r="C152" s="207" t="s">
        <v>620</v>
      </c>
      <c r="D152" s="208" t="n">
        <v>0.3405</v>
      </c>
      <c r="XDE152" s="0"/>
      <c r="XDF152" s="0"/>
      <c r="XDG152" s="0"/>
      <c r="XDH152" s="0"/>
      <c r="XDI152" s="0"/>
      <c r="XDJ152" s="0"/>
      <c r="XDK152" s="0"/>
      <c r="XDL152" s="0"/>
      <c r="XDM152" s="0"/>
      <c r="XDN152" s="0"/>
      <c r="XDO152" s="0"/>
      <c r="XDP152" s="0"/>
      <c r="XDQ152" s="0"/>
      <c r="XDR152" s="0"/>
      <c r="XDS152" s="0"/>
      <c r="XDT152" s="0"/>
      <c r="XDU152" s="0"/>
      <c r="XDV152" s="0"/>
      <c r="XDW152" s="0"/>
      <c r="XDX152" s="0"/>
      <c r="XDY152" s="0"/>
      <c r="XDZ152" s="0"/>
      <c r="XEA152" s="0"/>
      <c r="XEB152" s="0"/>
      <c r="XEC152" s="0"/>
      <c r="XED152" s="0"/>
      <c r="XEE152" s="0"/>
      <c r="XEF152" s="0"/>
      <c r="XEG152" s="0"/>
      <c r="XEH152" s="0"/>
      <c r="XEI152" s="0"/>
      <c r="XEJ152" s="0"/>
      <c r="XEK152" s="0"/>
      <c r="XEL152" s="0"/>
      <c r="XEM152" s="0"/>
      <c r="XEN152" s="0"/>
      <c r="XEO152" s="0"/>
      <c r="XEP152" s="0"/>
      <c r="XEQ152" s="0"/>
      <c r="XER152" s="0"/>
      <c r="XES152" s="0"/>
      <c r="XET152" s="0"/>
      <c r="XEU152" s="0"/>
      <c r="XEV152" s="0"/>
      <c r="XEW152" s="0"/>
      <c r="XEX152" s="0"/>
      <c r="XEY152" s="0"/>
      <c r="XEZ152" s="0"/>
      <c r="XFA152" s="0"/>
      <c r="XFB152" s="0"/>
      <c r="XFC152" s="0"/>
    </row>
    <row r="153" s="43" customFormat="true" ht="73.5" hidden="false" customHeight="true" outlineLevel="0" collapsed="false">
      <c r="A153" s="205" t="n">
        <v>147</v>
      </c>
      <c r="B153" s="206" t="s">
        <v>844</v>
      </c>
      <c r="C153" s="207" t="s">
        <v>618</v>
      </c>
      <c r="D153" s="208" t="n">
        <v>12</v>
      </c>
      <c r="XDE153" s="0"/>
      <c r="XDF153" s="0"/>
      <c r="XDG153" s="0"/>
      <c r="XDH153" s="0"/>
      <c r="XDI153" s="0"/>
      <c r="XDJ153" s="0"/>
      <c r="XDK153" s="0"/>
      <c r="XDL153" s="0"/>
      <c r="XDM153" s="0"/>
      <c r="XDN153" s="0"/>
      <c r="XDO153" s="0"/>
      <c r="XDP153" s="0"/>
      <c r="XDQ153" s="0"/>
      <c r="XDR153" s="0"/>
      <c r="XDS153" s="0"/>
      <c r="XDT153" s="0"/>
      <c r="XDU153" s="0"/>
      <c r="XDV153" s="0"/>
      <c r="XDW153" s="0"/>
      <c r="XDX153" s="0"/>
      <c r="XDY153" s="0"/>
      <c r="XDZ153" s="0"/>
      <c r="XEA153" s="0"/>
      <c r="XEB153" s="0"/>
      <c r="XEC153" s="0"/>
      <c r="XED153" s="0"/>
      <c r="XEE153" s="0"/>
      <c r="XEF153" s="0"/>
      <c r="XEG153" s="0"/>
      <c r="XEH153" s="0"/>
      <c r="XEI153" s="0"/>
      <c r="XEJ153" s="0"/>
      <c r="XEK153" s="0"/>
      <c r="XEL153" s="0"/>
      <c r="XEM153" s="0"/>
      <c r="XEN153" s="0"/>
      <c r="XEO153" s="0"/>
      <c r="XEP153" s="0"/>
      <c r="XEQ153" s="0"/>
      <c r="XER153" s="0"/>
      <c r="XES153" s="0"/>
      <c r="XET153" s="0"/>
      <c r="XEU153" s="0"/>
      <c r="XEV153" s="0"/>
      <c r="XEW153" s="0"/>
      <c r="XEX153" s="0"/>
      <c r="XEY153" s="0"/>
      <c r="XEZ153" s="0"/>
      <c r="XFA153" s="0"/>
      <c r="XFB153" s="0"/>
      <c r="XFC153" s="0"/>
    </row>
    <row r="154" s="43" customFormat="true" ht="73.5" hidden="false" customHeight="true" outlineLevel="0" collapsed="false">
      <c r="A154" s="205" t="n">
        <v>148</v>
      </c>
      <c r="B154" s="206" t="s">
        <v>845</v>
      </c>
      <c r="C154" s="207" t="s">
        <v>679</v>
      </c>
      <c r="D154" s="208" t="n">
        <v>88</v>
      </c>
      <c r="XDE154" s="0"/>
      <c r="XDF154" s="0"/>
      <c r="XDG154" s="0"/>
      <c r="XDH154" s="0"/>
      <c r="XDI154" s="0"/>
      <c r="XDJ154" s="0"/>
      <c r="XDK154" s="0"/>
      <c r="XDL154" s="0"/>
      <c r="XDM154" s="0"/>
      <c r="XDN154" s="0"/>
      <c r="XDO154" s="0"/>
      <c r="XDP154" s="0"/>
      <c r="XDQ154" s="0"/>
      <c r="XDR154" s="0"/>
      <c r="XDS154" s="0"/>
      <c r="XDT154" s="0"/>
      <c r="XDU154" s="0"/>
      <c r="XDV154" s="0"/>
      <c r="XDW154" s="0"/>
      <c r="XDX154" s="0"/>
      <c r="XDY154" s="0"/>
      <c r="XDZ154" s="0"/>
      <c r="XEA154" s="0"/>
      <c r="XEB154" s="0"/>
      <c r="XEC154" s="0"/>
      <c r="XED154" s="0"/>
      <c r="XEE154" s="0"/>
      <c r="XEF154" s="0"/>
      <c r="XEG154" s="0"/>
      <c r="XEH154" s="0"/>
      <c r="XEI154" s="0"/>
      <c r="XEJ154" s="0"/>
      <c r="XEK154" s="0"/>
      <c r="XEL154" s="0"/>
      <c r="XEM154" s="0"/>
      <c r="XEN154" s="0"/>
      <c r="XEO154" s="0"/>
      <c r="XEP154" s="0"/>
      <c r="XEQ154" s="0"/>
      <c r="XER154" s="0"/>
      <c r="XES154" s="0"/>
      <c r="XET154" s="0"/>
      <c r="XEU154" s="0"/>
      <c r="XEV154" s="0"/>
      <c r="XEW154" s="0"/>
      <c r="XEX154" s="0"/>
      <c r="XEY154" s="0"/>
      <c r="XEZ154" s="0"/>
      <c r="XFA154" s="0"/>
      <c r="XFB154" s="0"/>
      <c r="XFC154" s="0"/>
    </row>
    <row r="155" s="43" customFormat="true" ht="73.5" hidden="false" customHeight="true" outlineLevel="0" collapsed="false">
      <c r="A155" s="205" t="n">
        <v>149</v>
      </c>
      <c r="B155" s="206" t="s">
        <v>846</v>
      </c>
      <c r="C155" s="207" t="s">
        <v>616</v>
      </c>
      <c r="D155" s="208" t="n">
        <v>18</v>
      </c>
      <c r="XDE155" s="0"/>
      <c r="XDF155" s="0"/>
      <c r="XDG155" s="0"/>
      <c r="XDH155" s="0"/>
      <c r="XDI155" s="0"/>
      <c r="XDJ155" s="0"/>
      <c r="XDK155" s="0"/>
      <c r="XDL155" s="0"/>
      <c r="XDM155" s="0"/>
      <c r="XDN155" s="0"/>
      <c r="XDO155" s="0"/>
      <c r="XDP155" s="0"/>
      <c r="XDQ155" s="0"/>
      <c r="XDR155" s="0"/>
      <c r="XDS155" s="0"/>
      <c r="XDT155" s="0"/>
      <c r="XDU155" s="0"/>
      <c r="XDV155" s="0"/>
      <c r="XDW155" s="0"/>
      <c r="XDX155" s="0"/>
      <c r="XDY155" s="0"/>
      <c r="XDZ155" s="0"/>
      <c r="XEA155" s="0"/>
      <c r="XEB155" s="0"/>
      <c r="XEC155" s="0"/>
      <c r="XED155" s="0"/>
      <c r="XEE155" s="0"/>
      <c r="XEF155" s="0"/>
      <c r="XEG155" s="0"/>
      <c r="XEH155" s="0"/>
      <c r="XEI155" s="0"/>
      <c r="XEJ155" s="0"/>
      <c r="XEK155" s="0"/>
      <c r="XEL155" s="0"/>
      <c r="XEM155" s="0"/>
      <c r="XEN155" s="0"/>
      <c r="XEO155" s="0"/>
      <c r="XEP155" s="0"/>
      <c r="XEQ155" s="0"/>
      <c r="XER155" s="0"/>
      <c r="XES155" s="0"/>
      <c r="XET155" s="0"/>
      <c r="XEU155" s="0"/>
      <c r="XEV155" s="0"/>
      <c r="XEW155" s="0"/>
      <c r="XEX155" s="0"/>
      <c r="XEY155" s="0"/>
      <c r="XEZ155" s="0"/>
      <c r="XFA155" s="0"/>
      <c r="XFB155" s="0"/>
      <c r="XFC155" s="0"/>
    </row>
    <row r="156" s="215" customFormat="true" ht="73.5" hidden="false" customHeight="true" outlineLevel="0" collapsed="false">
      <c r="A156" s="211" t="n">
        <v>150</v>
      </c>
      <c r="B156" s="212" t="s">
        <v>847</v>
      </c>
      <c r="C156" s="213" t="s">
        <v>25</v>
      </c>
      <c r="D156" s="214" t="n">
        <v>6</v>
      </c>
      <c r="XDE156" s="0"/>
      <c r="XDF156" s="0"/>
      <c r="XDG156" s="0"/>
      <c r="XDH156" s="0"/>
      <c r="XDI156" s="0"/>
      <c r="XDJ156" s="0"/>
      <c r="XDK156" s="0"/>
      <c r="XDL156" s="0"/>
      <c r="XDM156" s="0"/>
      <c r="XDN156" s="0"/>
      <c r="XDO156" s="0"/>
      <c r="XDP156" s="0"/>
      <c r="XDQ156" s="0"/>
      <c r="XDR156" s="0"/>
      <c r="XDS156" s="0"/>
      <c r="XDT156" s="0"/>
      <c r="XDU156" s="0"/>
      <c r="XDV156" s="0"/>
      <c r="XDW156" s="0"/>
      <c r="XDX156" s="0"/>
      <c r="XDY156" s="0"/>
      <c r="XDZ156" s="0"/>
      <c r="XEA156" s="0"/>
      <c r="XEB156" s="0"/>
      <c r="XEC156" s="0"/>
      <c r="XED156" s="0"/>
      <c r="XEE156" s="0"/>
      <c r="XEF156" s="0"/>
      <c r="XEG156" s="0"/>
      <c r="XEH156" s="0"/>
      <c r="XEI156" s="0"/>
      <c r="XEJ156" s="0"/>
      <c r="XEK156" s="0"/>
      <c r="XEL156" s="0"/>
      <c r="XEM156" s="0"/>
      <c r="XEN156" s="0"/>
      <c r="XEO156" s="0"/>
      <c r="XEP156" s="0"/>
      <c r="XEQ156" s="0"/>
      <c r="XER156" s="0"/>
      <c r="XES156" s="0"/>
      <c r="XET156" s="0"/>
      <c r="XEU156" s="0"/>
      <c r="XEV156" s="0"/>
      <c r="XEW156" s="0"/>
      <c r="XEX156" s="0"/>
      <c r="XEY156" s="0"/>
      <c r="XEZ156" s="0"/>
      <c r="XFA156" s="0"/>
      <c r="XFB156" s="0"/>
      <c r="XFC156" s="0"/>
      <c r="XFD156" s="43"/>
    </row>
    <row r="157" s="215" customFormat="true" ht="73.5" hidden="false" customHeight="true" outlineLevel="0" collapsed="false">
      <c r="A157" s="211" t="n">
        <v>151</v>
      </c>
      <c r="B157" s="212" t="s">
        <v>848</v>
      </c>
      <c r="C157" s="213" t="s">
        <v>25</v>
      </c>
      <c r="D157" s="214" t="n">
        <v>6</v>
      </c>
      <c r="XDE157" s="0"/>
      <c r="XDF157" s="0"/>
      <c r="XDG157" s="0"/>
      <c r="XDH157" s="0"/>
      <c r="XDI157" s="0"/>
      <c r="XDJ157" s="0"/>
      <c r="XDK157" s="0"/>
      <c r="XDL157" s="0"/>
      <c r="XDM157" s="0"/>
      <c r="XDN157" s="0"/>
      <c r="XDO157" s="0"/>
      <c r="XDP157" s="0"/>
      <c r="XDQ157" s="0"/>
      <c r="XDR157" s="0"/>
      <c r="XDS157" s="0"/>
      <c r="XDT157" s="0"/>
      <c r="XDU157" s="0"/>
      <c r="XDV157" s="0"/>
      <c r="XDW157" s="0"/>
      <c r="XDX157" s="0"/>
      <c r="XDY157" s="0"/>
      <c r="XDZ157" s="0"/>
      <c r="XEA157" s="0"/>
      <c r="XEB157" s="0"/>
      <c r="XEC157" s="0"/>
      <c r="XED157" s="0"/>
      <c r="XEE157" s="0"/>
      <c r="XEF157" s="0"/>
      <c r="XEG157" s="0"/>
      <c r="XEH157" s="0"/>
      <c r="XEI157" s="0"/>
      <c r="XEJ157" s="0"/>
      <c r="XEK157" s="0"/>
      <c r="XEL157" s="0"/>
      <c r="XEM157" s="0"/>
      <c r="XEN157" s="0"/>
      <c r="XEO157" s="0"/>
      <c r="XEP157" s="0"/>
      <c r="XEQ157" s="0"/>
      <c r="XER157" s="0"/>
      <c r="XES157" s="0"/>
      <c r="XET157" s="0"/>
      <c r="XEU157" s="0"/>
      <c r="XEV157" s="0"/>
      <c r="XEW157" s="0"/>
      <c r="XEX157" s="0"/>
      <c r="XEY157" s="0"/>
      <c r="XEZ157" s="0"/>
      <c r="XFA157" s="0"/>
      <c r="XFB157" s="0"/>
      <c r="XFC157" s="0"/>
      <c r="XFD157" s="43"/>
    </row>
    <row r="158" s="43" customFormat="true" ht="73.5" hidden="false" customHeight="true" outlineLevel="0" collapsed="false">
      <c r="A158" s="205" t="n">
        <v>152</v>
      </c>
      <c r="B158" s="206" t="s">
        <v>849</v>
      </c>
      <c r="C158" s="207" t="s">
        <v>25</v>
      </c>
      <c r="D158" s="208" t="n">
        <v>2</v>
      </c>
      <c r="XDE158" s="0"/>
      <c r="XDF158" s="0"/>
      <c r="XDG158" s="0"/>
      <c r="XDH158" s="0"/>
      <c r="XDI158" s="0"/>
      <c r="XDJ158" s="0"/>
      <c r="XDK158" s="0"/>
      <c r="XDL158" s="0"/>
      <c r="XDM158" s="0"/>
      <c r="XDN158" s="0"/>
      <c r="XDO158" s="0"/>
      <c r="XDP158" s="0"/>
      <c r="XDQ158" s="0"/>
      <c r="XDR158" s="0"/>
      <c r="XDS158" s="0"/>
      <c r="XDT158" s="0"/>
      <c r="XDU158" s="0"/>
      <c r="XDV158" s="0"/>
      <c r="XDW158" s="0"/>
      <c r="XDX158" s="0"/>
      <c r="XDY158" s="0"/>
      <c r="XDZ158" s="0"/>
      <c r="XEA158" s="0"/>
      <c r="XEB158" s="0"/>
      <c r="XEC158" s="0"/>
      <c r="XED158" s="0"/>
      <c r="XEE158" s="0"/>
      <c r="XEF158" s="0"/>
      <c r="XEG158" s="0"/>
      <c r="XEH158" s="0"/>
      <c r="XEI158" s="0"/>
      <c r="XEJ158" s="0"/>
      <c r="XEK158" s="0"/>
      <c r="XEL158" s="0"/>
      <c r="XEM158" s="0"/>
      <c r="XEN158" s="0"/>
      <c r="XEO158" s="0"/>
      <c r="XEP158" s="0"/>
      <c r="XEQ158" s="0"/>
      <c r="XER158" s="0"/>
      <c r="XES158" s="0"/>
      <c r="XET158" s="0"/>
      <c r="XEU158" s="0"/>
      <c r="XEV158" s="0"/>
      <c r="XEW158" s="0"/>
      <c r="XEX158" s="0"/>
      <c r="XEY158" s="0"/>
      <c r="XEZ158" s="0"/>
      <c r="XFA158" s="0"/>
      <c r="XFB158" s="0"/>
      <c r="XFC158" s="0"/>
    </row>
    <row r="159" s="43" customFormat="true" ht="73.5" hidden="false" customHeight="true" outlineLevel="0" collapsed="false">
      <c r="A159" s="205" t="n">
        <v>153</v>
      </c>
      <c r="B159" s="206" t="s">
        <v>850</v>
      </c>
      <c r="C159" s="207" t="s">
        <v>679</v>
      </c>
      <c r="D159" s="208" t="n">
        <v>8</v>
      </c>
      <c r="XDE159" s="0"/>
      <c r="XDF159" s="0"/>
      <c r="XDG159" s="0"/>
      <c r="XDH159" s="0"/>
      <c r="XDI159" s="0"/>
      <c r="XDJ159" s="0"/>
      <c r="XDK159" s="0"/>
      <c r="XDL159" s="0"/>
      <c r="XDM159" s="0"/>
      <c r="XDN159" s="0"/>
      <c r="XDO159" s="0"/>
      <c r="XDP159" s="0"/>
      <c r="XDQ159" s="0"/>
      <c r="XDR159" s="0"/>
      <c r="XDS159" s="0"/>
      <c r="XDT159" s="0"/>
      <c r="XDU159" s="0"/>
      <c r="XDV159" s="0"/>
      <c r="XDW159" s="0"/>
      <c r="XDX159" s="0"/>
      <c r="XDY159" s="0"/>
      <c r="XDZ159" s="0"/>
      <c r="XEA159" s="0"/>
      <c r="XEB159" s="0"/>
      <c r="XEC159" s="0"/>
      <c r="XED159" s="0"/>
      <c r="XEE159" s="0"/>
      <c r="XEF159" s="0"/>
      <c r="XEG159" s="0"/>
      <c r="XEH159" s="0"/>
      <c r="XEI159" s="0"/>
      <c r="XEJ159" s="0"/>
      <c r="XEK159" s="0"/>
      <c r="XEL159" s="0"/>
      <c r="XEM159" s="0"/>
      <c r="XEN159" s="0"/>
      <c r="XEO159" s="0"/>
      <c r="XEP159" s="0"/>
      <c r="XEQ159" s="0"/>
      <c r="XER159" s="0"/>
      <c r="XES159" s="0"/>
      <c r="XET159" s="0"/>
      <c r="XEU159" s="0"/>
      <c r="XEV159" s="0"/>
      <c r="XEW159" s="0"/>
      <c r="XEX159" s="0"/>
      <c r="XEY159" s="0"/>
      <c r="XEZ159" s="0"/>
      <c r="XFA159" s="0"/>
      <c r="XFB159" s="0"/>
      <c r="XFC159" s="0"/>
    </row>
    <row r="160" s="43" customFormat="true" ht="73.5" hidden="false" customHeight="true" outlineLevel="0" collapsed="false">
      <c r="A160" s="205" t="n">
        <v>154</v>
      </c>
      <c r="B160" s="206" t="s">
        <v>851</v>
      </c>
      <c r="C160" s="207" t="s">
        <v>616</v>
      </c>
      <c r="D160" s="208" t="n">
        <v>174.865</v>
      </c>
      <c r="XDE160" s="0"/>
      <c r="XDF160" s="0"/>
      <c r="XDG160" s="0"/>
      <c r="XDH160" s="0"/>
      <c r="XDI160" s="0"/>
      <c r="XDJ160" s="0"/>
      <c r="XDK160" s="0"/>
      <c r="XDL160" s="0"/>
      <c r="XDM160" s="0"/>
      <c r="XDN160" s="0"/>
      <c r="XDO160" s="0"/>
      <c r="XDP160" s="0"/>
      <c r="XDQ160" s="0"/>
      <c r="XDR160" s="0"/>
      <c r="XDS160" s="0"/>
      <c r="XDT160" s="0"/>
      <c r="XDU160" s="0"/>
      <c r="XDV160" s="0"/>
      <c r="XDW160" s="0"/>
      <c r="XDX160" s="0"/>
      <c r="XDY160" s="0"/>
      <c r="XDZ160" s="0"/>
      <c r="XEA160" s="0"/>
      <c r="XEB160" s="0"/>
      <c r="XEC160" s="0"/>
      <c r="XED160" s="0"/>
      <c r="XEE160" s="0"/>
      <c r="XEF160" s="0"/>
      <c r="XEG160" s="0"/>
      <c r="XEH160" s="0"/>
      <c r="XEI160" s="0"/>
      <c r="XEJ160" s="0"/>
      <c r="XEK160" s="0"/>
      <c r="XEL160" s="0"/>
      <c r="XEM160" s="0"/>
      <c r="XEN160" s="0"/>
      <c r="XEO160" s="0"/>
      <c r="XEP160" s="0"/>
      <c r="XEQ160" s="0"/>
      <c r="XER160" s="0"/>
      <c r="XES160" s="0"/>
      <c r="XET160" s="0"/>
      <c r="XEU160" s="0"/>
      <c r="XEV160" s="0"/>
      <c r="XEW160" s="0"/>
      <c r="XEX160" s="0"/>
      <c r="XEY160" s="0"/>
      <c r="XEZ160" s="0"/>
      <c r="XFA160" s="0"/>
      <c r="XFB160" s="0"/>
      <c r="XFC160" s="0"/>
    </row>
    <row r="161" s="43" customFormat="true" ht="73.5" hidden="false" customHeight="true" outlineLevel="0" collapsed="false">
      <c r="A161" s="205" t="n">
        <v>155</v>
      </c>
      <c r="B161" s="206" t="s">
        <v>852</v>
      </c>
      <c r="C161" s="207" t="s">
        <v>679</v>
      </c>
      <c r="D161" s="208" t="n">
        <v>3</v>
      </c>
      <c r="XDE161" s="0"/>
      <c r="XDF161" s="0"/>
      <c r="XDG161" s="0"/>
      <c r="XDH161" s="0"/>
      <c r="XDI161" s="0"/>
      <c r="XDJ161" s="0"/>
      <c r="XDK161" s="0"/>
      <c r="XDL161" s="0"/>
      <c r="XDM161" s="0"/>
      <c r="XDN161" s="0"/>
      <c r="XDO161" s="0"/>
      <c r="XDP161" s="0"/>
      <c r="XDQ161" s="0"/>
      <c r="XDR161" s="0"/>
      <c r="XDS161" s="0"/>
      <c r="XDT161" s="0"/>
      <c r="XDU161" s="0"/>
      <c r="XDV161" s="0"/>
      <c r="XDW161" s="0"/>
      <c r="XDX161" s="0"/>
      <c r="XDY161" s="0"/>
      <c r="XDZ161" s="0"/>
      <c r="XEA161" s="0"/>
      <c r="XEB161" s="0"/>
      <c r="XEC161" s="0"/>
      <c r="XED161" s="0"/>
      <c r="XEE161" s="0"/>
      <c r="XEF161" s="0"/>
      <c r="XEG161" s="0"/>
      <c r="XEH161" s="0"/>
      <c r="XEI161" s="0"/>
      <c r="XEJ161" s="0"/>
      <c r="XEK161" s="0"/>
      <c r="XEL161" s="0"/>
      <c r="XEM161" s="0"/>
      <c r="XEN161" s="0"/>
      <c r="XEO161" s="0"/>
      <c r="XEP161" s="0"/>
      <c r="XEQ161" s="0"/>
      <c r="XER161" s="0"/>
      <c r="XES161" s="0"/>
      <c r="XET161" s="0"/>
      <c r="XEU161" s="0"/>
      <c r="XEV161" s="0"/>
      <c r="XEW161" s="0"/>
      <c r="XEX161" s="0"/>
      <c r="XEY161" s="0"/>
      <c r="XEZ161" s="0"/>
      <c r="XFA161" s="0"/>
      <c r="XFB161" s="0"/>
      <c r="XFC161" s="0"/>
      <c r="XFD161" s="215"/>
    </row>
    <row r="162" s="43" customFormat="true" ht="73.5" hidden="false" customHeight="true" outlineLevel="0" collapsed="false">
      <c r="A162" s="205" t="n">
        <v>156</v>
      </c>
      <c r="B162" s="206" t="s">
        <v>853</v>
      </c>
      <c r="C162" s="207" t="s">
        <v>679</v>
      </c>
      <c r="D162" s="208" t="n">
        <v>1</v>
      </c>
      <c r="XDE162" s="0"/>
      <c r="XDF162" s="0"/>
      <c r="XDG162" s="0"/>
      <c r="XDH162" s="0"/>
      <c r="XDI162" s="0"/>
      <c r="XDJ162" s="0"/>
      <c r="XDK162" s="0"/>
      <c r="XDL162" s="0"/>
      <c r="XDM162" s="0"/>
      <c r="XDN162" s="0"/>
      <c r="XDO162" s="0"/>
      <c r="XDP162" s="0"/>
      <c r="XDQ162" s="0"/>
      <c r="XDR162" s="0"/>
      <c r="XDS162" s="0"/>
      <c r="XDT162" s="0"/>
      <c r="XDU162" s="0"/>
      <c r="XDV162" s="0"/>
      <c r="XDW162" s="0"/>
      <c r="XDX162" s="0"/>
      <c r="XDY162" s="0"/>
      <c r="XDZ162" s="0"/>
      <c r="XEA162" s="0"/>
      <c r="XEB162" s="0"/>
      <c r="XEC162" s="0"/>
      <c r="XED162" s="0"/>
      <c r="XEE162" s="0"/>
      <c r="XEF162" s="0"/>
      <c r="XEG162" s="0"/>
      <c r="XEH162" s="0"/>
      <c r="XEI162" s="0"/>
      <c r="XEJ162" s="0"/>
      <c r="XEK162" s="0"/>
      <c r="XEL162" s="0"/>
      <c r="XEM162" s="0"/>
      <c r="XEN162" s="0"/>
      <c r="XEO162" s="0"/>
      <c r="XEP162" s="0"/>
      <c r="XEQ162" s="0"/>
      <c r="XER162" s="0"/>
      <c r="XES162" s="0"/>
      <c r="XET162" s="0"/>
      <c r="XEU162" s="0"/>
      <c r="XEV162" s="0"/>
      <c r="XEW162" s="0"/>
      <c r="XEX162" s="0"/>
      <c r="XEY162" s="0"/>
      <c r="XEZ162" s="0"/>
      <c r="XFA162" s="0"/>
      <c r="XFB162" s="0"/>
      <c r="XFC162" s="0"/>
      <c r="XFD162" s="215"/>
    </row>
    <row r="163" s="43" customFormat="true" ht="73.5" hidden="false" customHeight="true" outlineLevel="0" collapsed="false">
      <c r="A163" s="205" t="n">
        <v>157</v>
      </c>
      <c r="B163" s="206" t="s">
        <v>854</v>
      </c>
      <c r="C163" s="207" t="s">
        <v>618</v>
      </c>
      <c r="D163" s="208" t="n">
        <v>15</v>
      </c>
      <c r="XDE163" s="0"/>
      <c r="XDF163" s="0"/>
      <c r="XDG163" s="0"/>
      <c r="XDH163" s="0"/>
      <c r="XDI163" s="0"/>
      <c r="XDJ163" s="0"/>
      <c r="XDK163" s="0"/>
      <c r="XDL163" s="0"/>
      <c r="XDM163" s="0"/>
      <c r="XDN163" s="0"/>
      <c r="XDO163" s="0"/>
      <c r="XDP163" s="0"/>
      <c r="XDQ163" s="0"/>
      <c r="XDR163" s="0"/>
      <c r="XDS163" s="0"/>
      <c r="XDT163" s="0"/>
      <c r="XDU163" s="0"/>
      <c r="XDV163" s="0"/>
      <c r="XDW163" s="0"/>
      <c r="XDX163" s="0"/>
      <c r="XDY163" s="0"/>
      <c r="XDZ163" s="0"/>
      <c r="XEA163" s="0"/>
      <c r="XEB163" s="0"/>
      <c r="XEC163" s="0"/>
      <c r="XED163" s="0"/>
      <c r="XEE163" s="0"/>
      <c r="XEF163" s="0"/>
      <c r="XEG163" s="0"/>
      <c r="XEH163" s="0"/>
      <c r="XEI163" s="0"/>
      <c r="XEJ163" s="0"/>
      <c r="XEK163" s="0"/>
      <c r="XEL163" s="0"/>
      <c r="XEM163" s="0"/>
      <c r="XEN163" s="0"/>
      <c r="XEO163" s="0"/>
      <c r="XEP163" s="0"/>
      <c r="XEQ163" s="0"/>
      <c r="XER163" s="0"/>
      <c r="XES163" s="0"/>
      <c r="XET163" s="0"/>
      <c r="XEU163" s="0"/>
      <c r="XEV163" s="0"/>
      <c r="XEW163" s="0"/>
      <c r="XEX163" s="0"/>
      <c r="XEY163" s="0"/>
      <c r="XEZ163" s="0"/>
      <c r="XFA163" s="0"/>
      <c r="XFB163" s="0"/>
      <c r="XFC163" s="0"/>
    </row>
    <row r="164" s="43" customFormat="true" ht="82.5" hidden="false" customHeight="true" outlineLevel="0" collapsed="false">
      <c r="A164" s="205" t="n">
        <v>158</v>
      </c>
      <c r="B164" s="206" t="s">
        <v>855</v>
      </c>
      <c r="C164" s="207" t="s">
        <v>616</v>
      </c>
      <c r="D164" s="208" t="n">
        <v>1</v>
      </c>
      <c r="XDE164" s="0"/>
      <c r="XDF164" s="0"/>
      <c r="XDG164" s="0"/>
      <c r="XDH164" s="0"/>
      <c r="XDI164" s="0"/>
      <c r="XDJ164" s="0"/>
      <c r="XDK164" s="0"/>
      <c r="XDL164" s="0"/>
      <c r="XDM164" s="0"/>
      <c r="XDN164" s="0"/>
      <c r="XDO164" s="0"/>
      <c r="XDP164" s="0"/>
      <c r="XDQ164" s="0"/>
      <c r="XDR164" s="0"/>
      <c r="XDS164" s="0"/>
      <c r="XDT164" s="0"/>
      <c r="XDU164" s="0"/>
      <c r="XDV164" s="0"/>
      <c r="XDW164" s="0"/>
      <c r="XDX164" s="0"/>
      <c r="XDY164" s="0"/>
      <c r="XDZ164" s="0"/>
      <c r="XEA164" s="0"/>
      <c r="XEB164" s="0"/>
      <c r="XEC164" s="0"/>
      <c r="XED164" s="0"/>
      <c r="XEE164" s="0"/>
      <c r="XEF164" s="0"/>
      <c r="XEG164" s="0"/>
      <c r="XEH164" s="0"/>
      <c r="XEI164" s="0"/>
      <c r="XEJ164" s="0"/>
      <c r="XEK164" s="0"/>
      <c r="XEL164" s="0"/>
      <c r="XEM164" s="0"/>
      <c r="XEN164" s="0"/>
      <c r="XEO164" s="0"/>
      <c r="XEP164" s="0"/>
      <c r="XEQ164" s="0"/>
      <c r="XER164" s="0"/>
      <c r="XES164" s="0"/>
      <c r="XET164" s="0"/>
      <c r="XEU164" s="0"/>
      <c r="XEV164" s="0"/>
      <c r="XEW164" s="0"/>
      <c r="XEX164" s="0"/>
      <c r="XEY164" s="0"/>
      <c r="XEZ164" s="0"/>
      <c r="XFA164" s="0"/>
      <c r="XFB164" s="0"/>
      <c r="XFC164" s="0"/>
    </row>
    <row r="165" s="43" customFormat="true" ht="72" hidden="false" customHeight="true" outlineLevel="0" collapsed="false">
      <c r="A165" s="205" t="n">
        <v>159</v>
      </c>
      <c r="B165" s="206" t="s">
        <v>856</v>
      </c>
      <c r="C165" s="207" t="s">
        <v>616</v>
      </c>
      <c r="D165" s="208" t="n">
        <v>5</v>
      </c>
      <c r="XDE165" s="0"/>
      <c r="XDF165" s="0"/>
      <c r="XDG165" s="0"/>
      <c r="XDH165" s="0"/>
      <c r="XDI165" s="0"/>
      <c r="XDJ165" s="0"/>
      <c r="XDK165" s="0"/>
      <c r="XDL165" s="0"/>
      <c r="XDM165" s="0"/>
      <c r="XDN165" s="0"/>
      <c r="XDO165" s="0"/>
      <c r="XDP165" s="0"/>
      <c r="XDQ165" s="0"/>
      <c r="XDR165" s="0"/>
      <c r="XDS165" s="0"/>
      <c r="XDT165" s="0"/>
      <c r="XDU165" s="0"/>
      <c r="XDV165" s="0"/>
      <c r="XDW165" s="0"/>
      <c r="XDX165" s="0"/>
      <c r="XDY165" s="0"/>
      <c r="XDZ165" s="0"/>
      <c r="XEA165" s="0"/>
      <c r="XEB165" s="0"/>
      <c r="XEC165" s="0"/>
      <c r="XED165" s="0"/>
      <c r="XEE165" s="0"/>
      <c r="XEF165" s="0"/>
      <c r="XEG165" s="0"/>
      <c r="XEH165" s="0"/>
      <c r="XEI165" s="0"/>
      <c r="XEJ165" s="0"/>
      <c r="XEK165" s="0"/>
      <c r="XEL165" s="0"/>
      <c r="XEM165" s="0"/>
      <c r="XEN165" s="0"/>
      <c r="XEO165" s="0"/>
      <c r="XEP165" s="0"/>
      <c r="XEQ165" s="0"/>
      <c r="XER165" s="0"/>
      <c r="XES165" s="0"/>
      <c r="XET165" s="0"/>
      <c r="XEU165" s="0"/>
      <c r="XEV165" s="0"/>
      <c r="XEW165" s="0"/>
      <c r="XEX165" s="0"/>
      <c r="XEY165" s="0"/>
      <c r="XEZ165" s="0"/>
      <c r="XFA165" s="0"/>
      <c r="XFB165" s="0"/>
      <c r="XFC165" s="0"/>
    </row>
    <row r="166" s="43" customFormat="true" ht="73.5" hidden="false" customHeight="true" outlineLevel="0" collapsed="false">
      <c r="A166" s="205" t="n">
        <v>160</v>
      </c>
      <c r="B166" s="206" t="s">
        <v>857</v>
      </c>
      <c r="C166" s="207" t="s">
        <v>679</v>
      </c>
      <c r="D166" s="208" t="n">
        <v>10</v>
      </c>
      <c r="XDE166" s="0"/>
      <c r="XDF166" s="0"/>
      <c r="XDG166" s="0"/>
      <c r="XDH166" s="0"/>
      <c r="XDI166" s="0"/>
      <c r="XDJ166" s="0"/>
      <c r="XDK166" s="0"/>
      <c r="XDL166" s="0"/>
      <c r="XDM166" s="0"/>
      <c r="XDN166" s="0"/>
      <c r="XDO166" s="0"/>
      <c r="XDP166" s="0"/>
      <c r="XDQ166" s="0"/>
      <c r="XDR166" s="0"/>
      <c r="XDS166" s="0"/>
      <c r="XDT166" s="0"/>
      <c r="XDU166" s="0"/>
      <c r="XDV166" s="0"/>
      <c r="XDW166" s="0"/>
      <c r="XDX166" s="0"/>
      <c r="XDY166" s="0"/>
      <c r="XDZ166" s="0"/>
      <c r="XEA166" s="0"/>
      <c r="XEB166" s="0"/>
      <c r="XEC166" s="0"/>
      <c r="XED166" s="0"/>
      <c r="XEE166" s="0"/>
      <c r="XEF166" s="0"/>
      <c r="XEG166" s="0"/>
      <c r="XEH166" s="0"/>
      <c r="XEI166" s="0"/>
      <c r="XEJ166" s="0"/>
      <c r="XEK166" s="0"/>
      <c r="XEL166" s="0"/>
      <c r="XEM166" s="0"/>
      <c r="XEN166" s="0"/>
      <c r="XEO166" s="0"/>
      <c r="XEP166" s="0"/>
      <c r="XEQ166" s="0"/>
      <c r="XER166" s="0"/>
      <c r="XES166" s="0"/>
      <c r="XET166" s="0"/>
      <c r="XEU166" s="0"/>
      <c r="XEV166" s="0"/>
      <c r="XEW166" s="0"/>
      <c r="XEX166" s="0"/>
      <c r="XEY166" s="0"/>
      <c r="XEZ166" s="0"/>
      <c r="XFA166" s="0"/>
      <c r="XFB166" s="0"/>
      <c r="XFC166" s="0"/>
    </row>
    <row r="167" s="43" customFormat="true" ht="73.5" hidden="false" customHeight="true" outlineLevel="0" collapsed="false">
      <c r="A167" s="205" t="n">
        <v>161</v>
      </c>
      <c r="B167" s="206" t="s">
        <v>858</v>
      </c>
      <c r="C167" s="207" t="s">
        <v>616</v>
      </c>
      <c r="D167" s="208" t="n">
        <v>300</v>
      </c>
      <c r="XDE167" s="0"/>
      <c r="XDF167" s="0"/>
      <c r="XDG167" s="0"/>
      <c r="XDH167" s="0"/>
      <c r="XDI167" s="0"/>
      <c r="XDJ167" s="0"/>
      <c r="XDK167" s="0"/>
      <c r="XDL167" s="0"/>
      <c r="XDM167" s="0"/>
      <c r="XDN167" s="0"/>
      <c r="XDO167" s="0"/>
      <c r="XDP167" s="0"/>
      <c r="XDQ167" s="0"/>
      <c r="XDR167" s="0"/>
      <c r="XDS167" s="0"/>
      <c r="XDT167" s="0"/>
      <c r="XDU167" s="0"/>
      <c r="XDV167" s="0"/>
      <c r="XDW167" s="0"/>
      <c r="XDX167" s="0"/>
      <c r="XDY167" s="0"/>
      <c r="XDZ167" s="0"/>
      <c r="XEA167" s="0"/>
      <c r="XEB167" s="0"/>
      <c r="XEC167" s="0"/>
      <c r="XED167" s="0"/>
      <c r="XEE167" s="0"/>
      <c r="XEF167" s="0"/>
      <c r="XEG167" s="0"/>
      <c r="XEH167" s="0"/>
      <c r="XEI167" s="0"/>
      <c r="XEJ167" s="0"/>
      <c r="XEK167" s="0"/>
      <c r="XEL167" s="0"/>
      <c r="XEM167" s="0"/>
      <c r="XEN167" s="0"/>
      <c r="XEO167" s="0"/>
      <c r="XEP167" s="0"/>
      <c r="XEQ167" s="0"/>
      <c r="XER167" s="0"/>
      <c r="XES167" s="0"/>
      <c r="XET167" s="0"/>
      <c r="XEU167" s="0"/>
      <c r="XEV167" s="0"/>
      <c r="XEW167" s="0"/>
      <c r="XEX167" s="0"/>
      <c r="XEY167" s="0"/>
      <c r="XEZ167" s="0"/>
      <c r="XFA167" s="0"/>
      <c r="XFB167" s="0"/>
      <c r="XFC167" s="0"/>
    </row>
    <row r="168" s="43" customFormat="true" ht="73.5" hidden="false" customHeight="true" outlineLevel="0" collapsed="false">
      <c r="A168" s="205" t="n">
        <v>162</v>
      </c>
      <c r="B168" s="206" t="s">
        <v>859</v>
      </c>
      <c r="C168" s="207" t="s">
        <v>616</v>
      </c>
      <c r="D168" s="208" t="n">
        <v>12</v>
      </c>
      <c r="XDE168" s="0"/>
      <c r="XDF168" s="0"/>
      <c r="XDG168" s="0"/>
      <c r="XDH168" s="0"/>
      <c r="XDI168" s="0"/>
      <c r="XDJ168" s="0"/>
      <c r="XDK168" s="0"/>
      <c r="XDL168" s="0"/>
      <c r="XDM168" s="0"/>
      <c r="XDN168" s="0"/>
      <c r="XDO168" s="0"/>
      <c r="XDP168" s="0"/>
      <c r="XDQ168" s="0"/>
      <c r="XDR168" s="0"/>
      <c r="XDS168" s="0"/>
      <c r="XDT168" s="0"/>
      <c r="XDU168" s="0"/>
      <c r="XDV168" s="0"/>
      <c r="XDW168" s="0"/>
      <c r="XDX168" s="0"/>
      <c r="XDY168" s="0"/>
      <c r="XDZ168" s="0"/>
      <c r="XEA168" s="0"/>
      <c r="XEB168" s="0"/>
      <c r="XEC168" s="0"/>
      <c r="XED168" s="0"/>
      <c r="XEE168" s="0"/>
      <c r="XEF168" s="0"/>
      <c r="XEG168" s="0"/>
      <c r="XEH168" s="0"/>
      <c r="XEI168" s="0"/>
      <c r="XEJ168" s="0"/>
      <c r="XEK168" s="0"/>
      <c r="XEL168" s="0"/>
      <c r="XEM168" s="0"/>
      <c r="XEN168" s="0"/>
      <c r="XEO168" s="0"/>
      <c r="XEP168" s="0"/>
      <c r="XEQ168" s="0"/>
      <c r="XER168" s="0"/>
      <c r="XES168" s="0"/>
      <c r="XET168" s="0"/>
      <c r="XEU168" s="0"/>
      <c r="XEV168" s="0"/>
      <c r="XEW168" s="0"/>
      <c r="XEX168" s="0"/>
      <c r="XEY168" s="0"/>
      <c r="XEZ168" s="0"/>
      <c r="XFA168" s="0"/>
      <c r="XFB168" s="0"/>
      <c r="XFC168" s="0"/>
    </row>
    <row r="169" s="43" customFormat="true" ht="73.5" hidden="false" customHeight="true" outlineLevel="0" collapsed="false">
      <c r="A169" s="205" t="n">
        <v>163</v>
      </c>
      <c r="B169" s="206" t="s">
        <v>860</v>
      </c>
      <c r="C169" s="207" t="s">
        <v>679</v>
      </c>
      <c r="D169" s="208" t="n">
        <v>4</v>
      </c>
      <c r="XDE169" s="0"/>
      <c r="XDF169" s="0"/>
      <c r="XDG169" s="0"/>
      <c r="XDH169" s="0"/>
      <c r="XDI169" s="0"/>
      <c r="XDJ169" s="0"/>
      <c r="XDK169" s="0"/>
      <c r="XDL169" s="0"/>
      <c r="XDM169" s="0"/>
      <c r="XDN169" s="0"/>
      <c r="XDO169" s="0"/>
      <c r="XDP169" s="0"/>
      <c r="XDQ169" s="0"/>
      <c r="XDR169" s="0"/>
      <c r="XDS169" s="0"/>
      <c r="XDT169" s="0"/>
      <c r="XDU169" s="0"/>
      <c r="XDV169" s="0"/>
      <c r="XDW169" s="0"/>
      <c r="XDX169" s="0"/>
      <c r="XDY169" s="0"/>
      <c r="XDZ169" s="0"/>
      <c r="XEA169" s="0"/>
      <c r="XEB169" s="0"/>
      <c r="XEC169" s="0"/>
      <c r="XED169" s="0"/>
      <c r="XEE169" s="0"/>
      <c r="XEF169" s="0"/>
      <c r="XEG169" s="0"/>
      <c r="XEH169" s="0"/>
      <c r="XEI169" s="0"/>
      <c r="XEJ169" s="0"/>
      <c r="XEK169" s="0"/>
      <c r="XEL169" s="0"/>
      <c r="XEM169" s="0"/>
      <c r="XEN169" s="0"/>
      <c r="XEO169" s="0"/>
      <c r="XEP169" s="0"/>
      <c r="XEQ169" s="0"/>
      <c r="XER169" s="0"/>
      <c r="XES169" s="0"/>
      <c r="XET169" s="0"/>
      <c r="XEU169" s="0"/>
      <c r="XEV169" s="0"/>
      <c r="XEW169" s="0"/>
      <c r="XEX169" s="0"/>
      <c r="XEY169" s="0"/>
      <c r="XEZ169" s="0"/>
      <c r="XFA169" s="0"/>
      <c r="XFB169" s="0"/>
      <c r="XFC169" s="0"/>
    </row>
    <row r="170" s="43" customFormat="true" ht="73.5" hidden="false" customHeight="true" outlineLevel="0" collapsed="false">
      <c r="A170" s="205" t="n">
        <v>164</v>
      </c>
      <c r="B170" s="206" t="s">
        <v>861</v>
      </c>
      <c r="C170" s="207" t="s">
        <v>618</v>
      </c>
      <c r="D170" s="208" t="n">
        <f aca="false">73.5+217.5</f>
        <v>291</v>
      </c>
      <c r="XDE170" s="0"/>
      <c r="XDF170" s="0"/>
      <c r="XDG170" s="0"/>
      <c r="XDH170" s="0"/>
      <c r="XDI170" s="0"/>
      <c r="XDJ170" s="0"/>
      <c r="XDK170" s="0"/>
      <c r="XDL170" s="0"/>
      <c r="XDM170" s="0"/>
      <c r="XDN170" s="0"/>
      <c r="XDO170" s="0"/>
      <c r="XDP170" s="0"/>
      <c r="XDQ170" s="0"/>
      <c r="XDR170" s="0"/>
      <c r="XDS170" s="0"/>
      <c r="XDT170" s="0"/>
      <c r="XDU170" s="0"/>
      <c r="XDV170" s="0"/>
      <c r="XDW170" s="0"/>
      <c r="XDX170" s="0"/>
      <c r="XDY170" s="0"/>
      <c r="XDZ170" s="0"/>
      <c r="XEA170" s="0"/>
      <c r="XEB170" s="0"/>
      <c r="XEC170" s="0"/>
      <c r="XED170" s="0"/>
      <c r="XEE170" s="0"/>
      <c r="XEF170" s="0"/>
      <c r="XEG170" s="0"/>
      <c r="XEH170" s="0"/>
      <c r="XEI170" s="0"/>
      <c r="XEJ170" s="0"/>
      <c r="XEK170" s="0"/>
      <c r="XEL170" s="0"/>
      <c r="XEM170" s="0"/>
      <c r="XEN170" s="0"/>
      <c r="XEO170" s="0"/>
      <c r="XEP170" s="0"/>
      <c r="XEQ170" s="0"/>
      <c r="XER170" s="0"/>
      <c r="XES170" s="0"/>
      <c r="XET170" s="0"/>
      <c r="XEU170" s="0"/>
      <c r="XEV170" s="0"/>
      <c r="XEW170" s="0"/>
      <c r="XEX170" s="0"/>
      <c r="XEY170" s="0"/>
      <c r="XEZ170" s="0"/>
      <c r="XFA170" s="0"/>
      <c r="XFB170" s="0"/>
      <c r="XFC170" s="0"/>
    </row>
    <row r="171" s="43" customFormat="true" ht="73.5" hidden="false" customHeight="true" outlineLevel="0" collapsed="false">
      <c r="A171" s="205" t="n">
        <v>165</v>
      </c>
      <c r="B171" s="206" t="s">
        <v>862</v>
      </c>
      <c r="C171" s="207" t="s">
        <v>679</v>
      </c>
      <c r="D171" s="208" t="n">
        <v>1</v>
      </c>
      <c r="XDE171" s="0"/>
      <c r="XDF171" s="0"/>
      <c r="XDG171" s="0"/>
      <c r="XDH171" s="0"/>
      <c r="XDI171" s="0"/>
      <c r="XDJ171" s="0"/>
      <c r="XDK171" s="0"/>
      <c r="XDL171" s="0"/>
      <c r="XDM171" s="0"/>
      <c r="XDN171" s="0"/>
      <c r="XDO171" s="0"/>
      <c r="XDP171" s="0"/>
      <c r="XDQ171" s="0"/>
      <c r="XDR171" s="0"/>
      <c r="XDS171" s="0"/>
      <c r="XDT171" s="0"/>
      <c r="XDU171" s="0"/>
      <c r="XDV171" s="0"/>
      <c r="XDW171" s="0"/>
      <c r="XDX171" s="0"/>
      <c r="XDY171" s="0"/>
      <c r="XDZ171" s="0"/>
      <c r="XEA171" s="0"/>
      <c r="XEB171" s="0"/>
      <c r="XEC171" s="0"/>
      <c r="XED171" s="0"/>
      <c r="XEE171" s="0"/>
      <c r="XEF171" s="0"/>
      <c r="XEG171" s="0"/>
      <c r="XEH171" s="0"/>
      <c r="XEI171" s="0"/>
      <c r="XEJ171" s="0"/>
      <c r="XEK171" s="0"/>
      <c r="XEL171" s="0"/>
      <c r="XEM171" s="0"/>
      <c r="XEN171" s="0"/>
      <c r="XEO171" s="0"/>
      <c r="XEP171" s="0"/>
      <c r="XEQ171" s="0"/>
      <c r="XER171" s="0"/>
      <c r="XES171" s="0"/>
      <c r="XET171" s="0"/>
      <c r="XEU171" s="0"/>
      <c r="XEV171" s="0"/>
      <c r="XEW171" s="0"/>
      <c r="XEX171" s="0"/>
      <c r="XEY171" s="0"/>
      <c r="XEZ171" s="0"/>
      <c r="XFA171" s="0"/>
      <c r="XFB171" s="0"/>
      <c r="XFC171" s="0"/>
    </row>
    <row r="172" s="43" customFormat="true" ht="73.5" hidden="false" customHeight="true" outlineLevel="0" collapsed="false">
      <c r="A172" s="205" t="n">
        <v>166</v>
      </c>
      <c r="B172" s="206" t="s">
        <v>863</v>
      </c>
      <c r="C172" s="207" t="s">
        <v>392</v>
      </c>
      <c r="D172" s="208" t="n">
        <v>40</v>
      </c>
      <c r="XDE172" s="0"/>
      <c r="XDF172" s="0"/>
      <c r="XDG172" s="0"/>
      <c r="XDH172" s="0"/>
      <c r="XDI172" s="0"/>
      <c r="XDJ172" s="0"/>
      <c r="XDK172" s="0"/>
      <c r="XDL172" s="0"/>
      <c r="XDM172" s="0"/>
      <c r="XDN172" s="0"/>
      <c r="XDO172" s="0"/>
      <c r="XDP172" s="0"/>
      <c r="XDQ172" s="0"/>
      <c r="XDR172" s="0"/>
      <c r="XDS172" s="0"/>
      <c r="XDT172" s="0"/>
      <c r="XDU172" s="0"/>
      <c r="XDV172" s="0"/>
      <c r="XDW172" s="0"/>
      <c r="XDX172" s="0"/>
      <c r="XDY172" s="0"/>
      <c r="XDZ172" s="0"/>
      <c r="XEA172" s="0"/>
      <c r="XEB172" s="0"/>
      <c r="XEC172" s="0"/>
      <c r="XED172" s="0"/>
      <c r="XEE172" s="0"/>
      <c r="XEF172" s="0"/>
      <c r="XEG172" s="0"/>
      <c r="XEH172" s="0"/>
      <c r="XEI172" s="0"/>
      <c r="XEJ172" s="0"/>
      <c r="XEK172" s="0"/>
      <c r="XEL172" s="0"/>
      <c r="XEM172" s="0"/>
      <c r="XEN172" s="0"/>
      <c r="XEO172" s="0"/>
      <c r="XEP172" s="0"/>
      <c r="XEQ172" s="0"/>
      <c r="XER172" s="0"/>
      <c r="XES172" s="0"/>
      <c r="XET172" s="0"/>
      <c r="XEU172" s="0"/>
      <c r="XEV172" s="0"/>
      <c r="XEW172" s="0"/>
      <c r="XEX172" s="0"/>
      <c r="XEY172" s="0"/>
      <c r="XEZ172" s="0"/>
      <c r="XFA172" s="0"/>
      <c r="XFB172" s="0"/>
      <c r="XFC172" s="0"/>
    </row>
    <row r="173" s="43" customFormat="true" ht="73.5" hidden="false" customHeight="true" outlineLevel="0" collapsed="false">
      <c r="A173" s="205" t="n">
        <v>167</v>
      </c>
      <c r="B173" s="206" t="s">
        <v>864</v>
      </c>
      <c r="C173" s="207" t="s">
        <v>679</v>
      </c>
      <c r="D173" s="208" t="n">
        <v>1</v>
      </c>
      <c r="XDE173" s="0"/>
      <c r="XDF173" s="0"/>
      <c r="XDG173" s="0"/>
      <c r="XDH173" s="0"/>
      <c r="XDI173" s="0"/>
      <c r="XDJ173" s="0"/>
      <c r="XDK173" s="0"/>
      <c r="XDL173" s="0"/>
      <c r="XDM173" s="0"/>
      <c r="XDN173" s="0"/>
      <c r="XDO173" s="0"/>
      <c r="XDP173" s="0"/>
      <c r="XDQ173" s="0"/>
      <c r="XDR173" s="0"/>
      <c r="XDS173" s="0"/>
      <c r="XDT173" s="0"/>
      <c r="XDU173" s="0"/>
      <c r="XDV173" s="0"/>
      <c r="XDW173" s="0"/>
      <c r="XDX173" s="0"/>
      <c r="XDY173" s="0"/>
      <c r="XDZ173" s="0"/>
      <c r="XEA173" s="0"/>
      <c r="XEB173" s="0"/>
      <c r="XEC173" s="0"/>
      <c r="XED173" s="0"/>
      <c r="XEE173" s="0"/>
      <c r="XEF173" s="0"/>
      <c r="XEG173" s="0"/>
      <c r="XEH173" s="0"/>
      <c r="XEI173" s="0"/>
      <c r="XEJ173" s="0"/>
      <c r="XEK173" s="0"/>
      <c r="XEL173" s="0"/>
      <c r="XEM173" s="0"/>
      <c r="XEN173" s="0"/>
      <c r="XEO173" s="0"/>
      <c r="XEP173" s="0"/>
      <c r="XEQ173" s="0"/>
      <c r="XER173" s="0"/>
      <c r="XES173" s="0"/>
      <c r="XET173" s="0"/>
      <c r="XEU173" s="0"/>
      <c r="XEV173" s="0"/>
      <c r="XEW173" s="0"/>
      <c r="XEX173" s="0"/>
      <c r="XEY173" s="0"/>
      <c r="XEZ173" s="0"/>
      <c r="XFA173" s="0"/>
      <c r="XFB173" s="0"/>
      <c r="XFC173" s="0"/>
    </row>
    <row r="174" s="43" customFormat="true" ht="73.5" hidden="false" customHeight="true" outlineLevel="0" collapsed="false">
      <c r="A174" s="205" t="n">
        <v>168</v>
      </c>
      <c r="B174" s="206" t="s">
        <v>865</v>
      </c>
      <c r="C174" s="207" t="s">
        <v>679</v>
      </c>
      <c r="D174" s="208" t="n">
        <v>18</v>
      </c>
      <c r="XDE174" s="0"/>
      <c r="XDF174" s="0"/>
      <c r="XDG174" s="0"/>
      <c r="XDH174" s="0"/>
      <c r="XDI174" s="0"/>
      <c r="XDJ174" s="0"/>
      <c r="XDK174" s="0"/>
      <c r="XDL174" s="0"/>
      <c r="XDM174" s="0"/>
      <c r="XDN174" s="0"/>
      <c r="XDO174" s="0"/>
      <c r="XDP174" s="0"/>
      <c r="XDQ174" s="0"/>
      <c r="XDR174" s="0"/>
      <c r="XDS174" s="0"/>
      <c r="XDT174" s="0"/>
      <c r="XDU174" s="0"/>
      <c r="XDV174" s="0"/>
      <c r="XDW174" s="0"/>
      <c r="XDX174" s="0"/>
      <c r="XDY174" s="0"/>
      <c r="XDZ174" s="0"/>
      <c r="XEA174" s="0"/>
      <c r="XEB174" s="0"/>
      <c r="XEC174" s="0"/>
      <c r="XED174" s="0"/>
      <c r="XEE174" s="0"/>
      <c r="XEF174" s="0"/>
      <c r="XEG174" s="0"/>
      <c r="XEH174" s="0"/>
      <c r="XEI174" s="0"/>
      <c r="XEJ174" s="0"/>
      <c r="XEK174" s="0"/>
      <c r="XEL174" s="0"/>
      <c r="XEM174" s="0"/>
      <c r="XEN174" s="0"/>
      <c r="XEO174" s="0"/>
      <c r="XEP174" s="0"/>
      <c r="XEQ174" s="0"/>
      <c r="XER174" s="0"/>
      <c r="XES174" s="0"/>
      <c r="XET174" s="0"/>
      <c r="XEU174" s="0"/>
      <c r="XEV174" s="0"/>
      <c r="XEW174" s="0"/>
      <c r="XEX174" s="0"/>
      <c r="XEY174" s="0"/>
      <c r="XEZ174" s="0"/>
      <c r="XFA174" s="0"/>
      <c r="XFB174" s="0"/>
      <c r="XFC174" s="0"/>
    </row>
    <row r="175" s="43" customFormat="true" ht="73.5" hidden="false" customHeight="true" outlineLevel="0" collapsed="false">
      <c r="A175" s="205" t="n">
        <v>169</v>
      </c>
      <c r="B175" s="206" t="s">
        <v>866</v>
      </c>
      <c r="C175" s="207" t="s">
        <v>679</v>
      </c>
      <c r="D175" s="208" t="n">
        <v>45</v>
      </c>
      <c r="XDE175" s="0"/>
      <c r="XDF175" s="0"/>
      <c r="XDG175" s="0"/>
      <c r="XDH175" s="0"/>
      <c r="XDI175" s="0"/>
      <c r="XDJ175" s="0"/>
      <c r="XDK175" s="0"/>
      <c r="XDL175" s="0"/>
      <c r="XDM175" s="0"/>
      <c r="XDN175" s="0"/>
      <c r="XDO175" s="0"/>
      <c r="XDP175" s="0"/>
      <c r="XDQ175" s="0"/>
      <c r="XDR175" s="0"/>
      <c r="XDS175" s="0"/>
      <c r="XDT175" s="0"/>
      <c r="XDU175" s="0"/>
      <c r="XDV175" s="0"/>
      <c r="XDW175" s="0"/>
      <c r="XDX175" s="0"/>
      <c r="XDY175" s="0"/>
      <c r="XDZ175" s="0"/>
      <c r="XEA175" s="0"/>
      <c r="XEB175" s="0"/>
      <c r="XEC175" s="0"/>
      <c r="XED175" s="0"/>
      <c r="XEE175" s="0"/>
      <c r="XEF175" s="0"/>
      <c r="XEG175" s="0"/>
      <c r="XEH175" s="0"/>
      <c r="XEI175" s="0"/>
      <c r="XEJ175" s="0"/>
      <c r="XEK175" s="0"/>
      <c r="XEL175" s="0"/>
      <c r="XEM175" s="0"/>
      <c r="XEN175" s="0"/>
      <c r="XEO175" s="0"/>
      <c r="XEP175" s="0"/>
      <c r="XEQ175" s="0"/>
      <c r="XER175" s="0"/>
      <c r="XES175" s="0"/>
      <c r="XET175" s="0"/>
      <c r="XEU175" s="0"/>
      <c r="XEV175" s="0"/>
      <c r="XEW175" s="0"/>
      <c r="XEX175" s="0"/>
      <c r="XEY175" s="0"/>
      <c r="XEZ175" s="0"/>
      <c r="XFA175" s="0"/>
      <c r="XFB175" s="0"/>
      <c r="XFC175" s="0"/>
    </row>
    <row r="176" s="43" customFormat="true" ht="73.5" hidden="false" customHeight="true" outlineLevel="0" collapsed="false">
      <c r="A176" s="205" t="n">
        <v>170</v>
      </c>
      <c r="B176" s="206" t="s">
        <v>867</v>
      </c>
      <c r="C176" s="207" t="s">
        <v>679</v>
      </c>
      <c r="D176" s="208" t="n">
        <f aca="false">29+10</f>
        <v>39</v>
      </c>
      <c r="XDE176" s="0"/>
      <c r="XDF176" s="0"/>
      <c r="XDG176" s="0"/>
      <c r="XDH176" s="0"/>
      <c r="XDI176" s="0"/>
      <c r="XDJ176" s="0"/>
      <c r="XDK176" s="0"/>
      <c r="XDL176" s="0"/>
      <c r="XDM176" s="0"/>
      <c r="XDN176" s="0"/>
      <c r="XDO176" s="0"/>
      <c r="XDP176" s="0"/>
      <c r="XDQ176" s="0"/>
      <c r="XDR176" s="0"/>
      <c r="XDS176" s="0"/>
      <c r="XDT176" s="0"/>
      <c r="XDU176" s="0"/>
      <c r="XDV176" s="0"/>
      <c r="XDW176" s="0"/>
      <c r="XDX176" s="0"/>
      <c r="XDY176" s="0"/>
      <c r="XDZ176" s="0"/>
      <c r="XEA176" s="0"/>
      <c r="XEB176" s="0"/>
      <c r="XEC176" s="0"/>
      <c r="XED176" s="0"/>
      <c r="XEE176" s="0"/>
      <c r="XEF176" s="0"/>
      <c r="XEG176" s="0"/>
      <c r="XEH176" s="0"/>
      <c r="XEI176" s="0"/>
      <c r="XEJ176" s="0"/>
      <c r="XEK176" s="0"/>
      <c r="XEL176" s="0"/>
      <c r="XEM176" s="0"/>
      <c r="XEN176" s="0"/>
      <c r="XEO176" s="0"/>
      <c r="XEP176" s="0"/>
      <c r="XEQ176" s="0"/>
      <c r="XER176" s="0"/>
      <c r="XES176" s="0"/>
      <c r="XET176" s="0"/>
      <c r="XEU176" s="0"/>
      <c r="XEV176" s="0"/>
      <c r="XEW176" s="0"/>
      <c r="XEX176" s="0"/>
      <c r="XEY176" s="0"/>
      <c r="XEZ176" s="0"/>
      <c r="XFA176" s="0"/>
      <c r="XFB176" s="0"/>
      <c r="XFC176" s="0"/>
    </row>
    <row r="177" s="43" customFormat="true" ht="73.5" hidden="false" customHeight="true" outlineLevel="0" collapsed="false">
      <c r="A177" s="205" t="n">
        <v>171</v>
      </c>
      <c r="B177" s="206" t="s">
        <v>868</v>
      </c>
      <c r="C177" s="207" t="s">
        <v>679</v>
      </c>
      <c r="D177" s="208" t="n">
        <v>1</v>
      </c>
      <c r="XDE177" s="0"/>
      <c r="XDF177" s="0"/>
      <c r="XDG177" s="0"/>
      <c r="XDH177" s="0"/>
      <c r="XDI177" s="0"/>
      <c r="XDJ177" s="0"/>
      <c r="XDK177" s="0"/>
      <c r="XDL177" s="0"/>
      <c r="XDM177" s="0"/>
      <c r="XDN177" s="0"/>
      <c r="XDO177" s="0"/>
      <c r="XDP177" s="0"/>
      <c r="XDQ177" s="0"/>
      <c r="XDR177" s="0"/>
      <c r="XDS177" s="0"/>
      <c r="XDT177" s="0"/>
      <c r="XDU177" s="0"/>
      <c r="XDV177" s="0"/>
      <c r="XDW177" s="0"/>
      <c r="XDX177" s="0"/>
      <c r="XDY177" s="0"/>
      <c r="XDZ177" s="0"/>
      <c r="XEA177" s="0"/>
      <c r="XEB177" s="0"/>
      <c r="XEC177" s="0"/>
      <c r="XED177" s="0"/>
      <c r="XEE177" s="0"/>
      <c r="XEF177" s="0"/>
      <c r="XEG177" s="0"/>
      <c r="XEH177" s="0"/>
      <c r="XEI177" s="0"/>
      <c r="XEJ177" s="0"/>
      <c r="XEK177" s="0"/>
      <c r="XEL177" s="0"/>
      <c r="XEM177" s="0"/>
      <c r="XEN177" s="0"/>
      <c r="XEO177" s="0"/>
      <c r="XEP177" s="0"/>
      <c r="XEQ177" s="0"/>
      <c r="XER177" s="0"/>
      <c r="XES177" s="0"/>
      <c r="XET177" s="0"/>
      <c r="XEU177" s="0"/>
      <c r="XEV177" s="0"/>
      <c r="XEW177" s="0"/>
      <c r="XEX177" s="0"/>
      <c r="XEY177" s="0"/>
      <c r="XEZ177" s="0"/>
      <c r="XFA177" s="0"/>
      <c r="XFB177" s="0"/>
      <c r="XFC177" s="0"/>
    </row>
    <row r="178" s="43" customFormat="true" ht="73.5" hidden="false" customHeight="true" outlineLevel="0" collapsed="false">
      <c r="A178" s="205" t="n">
        <v>172</v>
      </c>
      <c r="B178" s="206" t="s">
        <v>869</v>
      </c>
      <c r="C178" s="207" t="s">
        <v>679</v>
      </c>
      <c r="D178" s="208" t="n">
        <v>20</v>
      </c>
      <c r="XDE178" s="0"/>
      <c r="XDF178" s="0"/>
      <c r="XDG178" s="0"/>
      <c r="XDH178" s="0"/>
      <c r="XDI178" s="0"/>
      <c r="XDJ178" s="0"/>
      <c r="XDK178" s="0"/>
      <c r="XDL178" s="0"/>
      <c r="XDM178" s="0"/>
      <c r="XDN178" s="0"/>
      <c r="XDO178" s="0"/>
      <c r="XDP178" s="0"/>
      <c r="XDQ178" s="0"/>
      <c r="XDR178" s="0"/>
      <c r="XDS178" s="0"/>
      <c r="XDT178" s="0"/>
      <c r="XDU178" s="0"/>
      <c r="XDV178" s="0"/>
      <c r="XDW178" s="0"/>
      <c r="XDX178" s="0"/>
      <c r="XDY178" s="0"/>
      <c r="XDZ178" s="0"/>
      <c r="XEA178" s="0"/>
      <c r="XEB178" s="0"/>
      <c r="XEC178" s="0"/>
      <c r="XED178" s="0"/>
      <c r="XEE178" s="0"/>
      <c r="XEF178" s="0"/>
      <c r="XEG178" s="0"/>
      <c r="XEH178" s="0"/>
      <c r="XEI178" s="0"/>
      <c r="XEJ178" s="0"/>
      <c r="XEK178" s="0"/>
      <c r="XEL178" s="0"/>
      <c r="XEM178" s="0"/>
      <c r="XEN178" s="0"/>
      <c r="XEO178" s="0"/>
      <c r="XEP178" s="0"/>
      <c r="XEQ178" s="0"/>
      <c r="XER178" s="0"/>
      <c r="XES178" s="0"/>
      <c r="XET178" s="0"/>
      <c r="XEU178" s="0"/>
      <c r="XEV178" s="0"/>
      <c r="XEW178" s="0"/>
      <c r="XEX178" s="0"/>
      <c r="XEY178" s="0"/>
      <c r="XEZ178" s="0"/>
      <c r="XFA178" s="0"/>
      <c r="XFB178" s="0"/>
      <c r="XFC178" s="0"/>
    </row>
    <row r="179" s="43" customFormat="true" ht="73.5" hidden="false" customHeight="true" outlineLevel="0" collapsed="false">
      <c r="A179" s="205" t="n">
        <v>173</v>
      </c>
      <c r="B179" s="206" t="s">
        <v>870</v>
      </c>
      <c r="C179" s="207" t="s">
        <v>679</v>
      </c>
      <c r="D179" s="208" t="n">
        <v>7</v>
      </c>
      <c r="XDE179" s="0"/>
      <c r="XDF179" s="0"/>
      <c r="XDG179" s="0"/>
      <c r="XDH179" s="0"/>
      <c r="XDI179" s="0"/>
      <c r="XDJ179" s="0"/>
      <c r="XDK179" s="0"/>
      <c r="XDL179" s="0"/>
      <c r="XDM179" s="0"/>
      <c r="XDN179" s="0"/>
      <c r="XDO179" s="0"/>
      <c r="XDP179" s="0"/>
      <c r="XDQ179" s="0"/>
      <c r="XDR179" s="0"/>
      <c r="XDS179" s="0"/>
      <c r="XDT179" s="0"/>
      <c r="XDU179" s="0"/>
      <c r="XDV179" s="0"/>
      <c r="XDW179" s="0"/>
      <c r="XDX179" s="0"/>
      <c r="XDY179" s="0"/>
      <c r="XDZ179" s="0"/>
      <c r="XEA179" s="0"/>
      <c r="XEB179" s="0"/>
      <c r="XEC179" s="0"/>
      <c r="XED179" s="0"/>
      <c r="XEE179" s="0"/>
      <c r="XEF179" s="0"/>
      <c r="XEG179" s="0"/>
      <c r="XEH179" s="0"/>
      <c r="XEI179" s="0"/>
      <c r="XEJ179" s="0"/>
      <c r="XEK179" s="0"/>
      <c r="XEL179" s="0"/>
      <c r="XEM179" s="0"/>
      <c r="XEN179" s="0"/>
      <c r="XEO179" s="0"/>
      <c r="XEP179" s="0"/>
      <c r="XEQ179" s="0"/>
      <c r="XER179" s="0"/>
      <c r="XES179" s="0"/>
      <c r="XET179" s="0"/>
      <c r="XEU179" s="0"/>
      <c r="XEV179" s="0"/>
      <c r="XEW179" s="0"/>
      <c r="XEX179" s="0"/>
      <c r="XEY179" s="0"/>
      <c r="XEZ179" s="0"/>
      <c r="XFA179" s="0"/>
      <c r="XFB179" s="0"/>
      <c r="XFC179" s="0"/>
    </row>
    <row r="180" s="43" customFormat="true" ht="73.5" hidden="false" customHeight="true" outlineLevel="0" collapsed="false">
      <c r="A180" s="205" t="n">
        <v>174</v>
      </c>
      <c r="B180" s="206" t="s">
        <v>871</v>
      </c>
      <c r="C180" s="207" t="s">
        <v>679</v>
      </c>
      <c r="D180" s="208" t="n">
        <v>2</v>
      </c>
      <c r="XDE180" s="0"/>
      <c r="XDF180" s="0"/>
      <c r="XDG180" s="0"/>
      <c r="XDH180" s="0"/>
      <c r="XDI180" s="0"/>
      <c r="XDJ180" s="0"/>
      <c r="XDK180" s="0"/>
      <c r="XDL180" s="0"/>
      <c r="XDM180" s="0"/>
      <c r="XDN180" s="0"/>
      <c r="XDO180" s="0"/>
      <c r="XDP180" s="0"/>
      <c r="XDQ180" s="0"/>
      <c r="XDR180" s="0"/>
      <c r="XDS180" s="0"/>
      <c r="XDT180" s="0"/>
      <c r="XDU180" s="0"/>
      <c r="XDV180" s="0"/>
      <c r="XDW180" s="0"/>
      <c r="XDX180" s="0"/>
      <c r="XDY180" s="0"/>
      <c r="XDZ180" s="0"/>
      <c r="XEA180" s="0"/>
      <c r="XEB180" s="0"/>
      <c r="XEC180" s="0"/>
      <c r="XED180" s="0"/>
      <c r="XEE180" s="0"/>
      <c r="XEF180" s="0"/>
      <c r="XEG180" s="0"/>
      <c r="XEH180" s="0"/>
      <c r="XEI180" s="0"/>
      <c r="XEJ180" s="0"/>
      <c r="XEK180" s="0"/>
      <c r="XEL180" s="0"/>
      <c r="XEM180" s="0"/>
      <c r="XEN180" s="0"/>
      <c r="XEO180" s="0"/>
      <c r="XEP180" s="0"/>
      <c r="XEQ180" s="0"/>
      <c r="XER180" s="0"/>
      <c r="XES180" s="0"/>
      <c r="XET180" s="0"/>
      <c r="XEU180" s="0"/>
      <c r="XEV180" s="0"/>
      <c r="XEW180" s="0"/>
      <c r="XEX180" s="0"/>
      <c r="XEY180" s="0"/>
      <c r="XEZ180" s="0"/>
      <c r="XFA180" s="0"/>
      <c r="XFB180" s="0"/>
      <c r="XFC180" s="0"/>
    </row>
    <row r="181" s="43" customFormat="true" ht="73.5" hidden="false" customHeight="true" outlineLevel="0" collapsed="false">
      <c r="A181" s="205" t="n">
        <v>175</v>
      </c>
      <c r="B181" s="206" t="s">
        <v>872</v>
      </c>
      <c r="C181" s="207" t="s">
        <v>679</v>
      </c>
      <c r="D181" s="208" t="n">
        <v>9</v>
      </c>
      <c r="XDE181" s="0"/>
      <c r="XDF181" s="0"/>
      <c r="XDG181" s="0"/>
      <c r="XDH181" s="0"/>
      <c r="XDI181" s="0"/>
      <c r="XDJ181" s="0"/>
      <c r="XDK181" s="0"/>
      <c r="XDL181" s="0"/>
      <c r="XDM181" s="0"/>
      <c r="XDN181" s="0"/>
      <c r="XDO181" s="0"/>
      <c r="XDP181" s="0"/>
      <c r="XDQ181" s="0"/>
      <c r="XDR181" s="0"/>
      <c r="XDS181" s="0"/>
      <c r="XDT181" s="0"/>
      <c r="XDU181" s="0"/>
      <c r="XDV181" s="0"/>
      <c r="XDW181" s="0"/>
      <c r="XDX181" s="0"/>
      <c r="XDY181" s="0"/>
      <c r="XDZ181" s="0"/>
      <c r="XEA181" s="0"/>
      <c r="XEB181" s="0"/>
      <c r="XEC181" s="0"/>
      <c r="XED181" s="0"/>
      <c r="XEE181" s="0"/>
      <c r="XEF181" s="0"/>
      <c r="XEG181" s="0"/>
      <c r="XEH181" s="0"/>
      <c r="XEI181" s="0"/>
      <c r="XEJ181" s="0"/>
      <c r="XEK181" s="0"/>
      <c r="XEL181" s="0"/>
      <c r="XEM181" s="0"/>
      <c r="XEN181" s="0"/>
      <c r="XEO181" s="0"/>
      <c r="XEP181" s="0"/>
      <c r="XEQ181" s="0"/>
      <c r="XER181" s="0"/>
      <c r="XES181" s="0"/>
      <c r="XET181" s="0"/>
      <c r="XEU181" s="0"/>
      <c r="XEV181" s="0"/>
      <c r="XEW181" s="0"/>
      <c r="XEX181" s="0"/>
      <c r="XEY181" s="0"/>
      <c r="XEZ181" s="0"/>
      <c r="XFA181" s="0"/>
      <c r="XFB181" s="0"/>
      <c r="XFC181" s="0"/>
    </row>
    <row r="182" s="43" customFormat="true" ht="73.5" hidden="false" customHeight="true" outlineLevel="0" collapsed="false">
      <c r="A182" s="205" t="n">
        <v>176</v>
      </c>
      <c r="B182" s="206" t="s">
        <v>873</v>
      </c>
      <c r="C182" s="207" t="s">
        <v>679</v>
      </c>
      <c r="D182" s="208" t="n">
        <v>6</v>
      </c>
      <c r="XDE182" s="0"/>
      <c r="XDF182" s="0"/>
      <c r="XDG182" s="0"/>
      <c r="XDH182" s="0"/>
      <c r="XDI182" s="0"/>
      <c r="XDJ182" s="0"/>
      <c r="XDK182" s="0"/>
      <c r="XDL182" s="0"/>
      <c r="XDM182" s="0"/>
      <c r="XDN182" s="0"/>
      <c r="XDO182" s="0"/>
      <c r="XDP182" s="0"/>
      <c r="XDQ182" s="0"/>
      <c r="XDR182" s="0"/>
      <c r="XDS182" s="0"/>
      <c r="XDT182" s="0"/>
      <c r="XDU182" s="0"/>
      <c r="XDV182" s="0"/>
      <c r="XDW182" s="0"/>
      <c r="XDX182" s="0"/>
      <c r="XDY182" s="0"/>
      <c r="XDZ182" s="0"/>
      <c r="XEA182" s="0"/>
      <c r="XEB182" s="0"/>
      <c r="XEC182" s="0"/>
      <c r="XED182" s="0"/>
      <c r="XEE182" s="0"/>
      <c r="XEF182" s="0"/>
      <c r="XEG182" s="0"/>
      <c r="XEH182" s="0"/>
      <c r="XEI182" s="0"/>
      <c r="XEJ182" s="0"/>
      <c r="XEK182" s="0"/>
      <c r="XEL182" s="0"/>
      <c r="XEM182" s="0"/>
      <c r="XEN182" s="0"/>
      <c r="XEO182" s="0"/>
      <c r="XEP182" s="0"/>
      <c r="XEQ182" s="0"/>
      <c r="XER182" s="0"/>
      <c r="XES182" s="0"/>
      <c r="XET182" s="0"/>
      <c r="XEU182" s="0"/>
      <c r="XEV182" s="0"/>
      <c r="XEW182" s="0"/>
      <c r="XEX182" s="0"/>
      <c r="XEY182" s="0"/>
      <c r="XEZ182" s="0"/>
      <c r="XFA182" s="0"/>
      <c r="XFB182" s="0"/>
      <c r="XFC182" s="0"/>
    </row>
    <row r="183" s="43" customFormat="true" ht="82.5" hidden="false" customHeight="true" outlineLevel="0" collapsed="false">
      <c r="A183" s="205" t="n">
        <v>177</v>
      </c>
      <c r="B183" s="206" t="s">
        <v>874</v>
      </c>
      <c r="C183" s="207" t="s">
        <v>679</v>
      </c>
      <c r="D183" s="208" t="n">
        <v>9</v>
      </c>
      <c r="XDE183" s="0"/>
      <c r="XDF183" s="0"/>
      <c r="XDG183" s="0"/>
      <c r="XDH183" s="0"/>
      <c r="XDI183" s="0"/>
      <c r="XDJ183" s="0"/>
      <c r="XDK183" s="0"/>
      <c r="XDL183" s="0"/>
      <c r="XDM183" s="0"/>
      <c r="XDN183" s="0"/>
      <c r="XDO183" s="0"/>
      <c r="XDP183" s="0"/>
      <c r="XDQ183" s="0"/>
      <c r="XDR183" s="0"/>
      <c r="XDS183" s="0"/>
      <c r="XDT183" s="0"/>
      <c r="XDU183" s="0"/>
      <c r="XDV183" s="0"/>
      <c r="XDW183" s="0"/>
      <c r="XDX183" s="0"/>
      <c r="XDY183" s="0"/>
      <c r="XDZ183" s="0"/>
      <c r="XEA183" s="0"/>
      <c r="XEB183" s="0"/>
      <c r="XEC183" s="0"/>
      <c r="XED183" s="0"/>
      <c r="XEE183" s="0"/>
      <c r="XEF183" s="0"/>
      <c r="XEG183" s="0"/>
      <c r="XEH183" s="0"/>
      <c r="XEI183" s="0"/>
      <c r="XEJ183" s="0"/>
      <c r="XEK183" s="0"/>
      <c r="XEL183" s="0"/>
      <c r="XEM183" s="0"/>
      <c r="XEN183" s="0"/>
      <c r="XEO183" s="0"/>
      <c r="XEP183" s="0"/>
      <c r="XEQ183" s="0"/>
      <c r="XER183" s="0"/>
      <c r="XES183" s="0"/>
      <c r="XET183" s="0"/>
      <c r="XEU183" s="0"/>
      <c r="XEV183" s="0"/>
      <c r="XEW183" s="0"/>
      <c r="XEX183" s="0"/>
      <c r="XEY183" s="0"/>
      <c r="XEZ183" s="0"/>
      <c r="XFA183" s="0"/>
      <c r="XFB183" s="0"/>
      <c r="XFC183" s="0"/>
    </row>
    <row r="184" s="43" customFormat="true" ht="87" hidden="false" customHeight="true" outlineLevel="0" collapsed="false">
      <c r="A184" s="205" t="n">
        <v>178</v>
      </c>
      <c r="B184" s="206" t="s">
        <v>875</v>
      </c>
      <c r="C184" s="207" t="s">
        <v>679</v>
      </c>
      <c r="D184" s="208" t="n">
        <v>10</v>
      </c>
      <c r="XDE184" s="0"/>
      <c r="XDF184" s="0"/>
      <c r="XDG184" s="0"/>
      <c r="XDH184" s="0"/>
      <c r="XDI184" s="0"/>
      <c r="XDJ184" s="0"/>
      <c r="XDK184" s="0"/>
      <c r="XDL184" s="0"/>
      <c r="XDM184" s="0"/>
      <c r="XDN184" s="0"/>
      <c r="XDO184" s="0"/>
      <c r="XDP184" s="0"/>
      <c r="XDQ184" s="0"/>
      <c r="XDR184" s="0"/>
      <c r="XDS184" s="0"/>
      <c r="XDT184" s="0"/>
      <c r="XDU184" s="0"/>
      <c r="XDV184" s="0"/>
      <c r="XDW184" s="0"/>
      <c r="XDX184" s="0"/>
      <c r="XDY184" s="0"/>
      <c r="XDZ184" s="0"/>
      <c r="XEA184" s="0"/>
      <c r="XEB184" s="0"/>
      <c r="XEC184" s="0"/>
      <c r="XED184" s="0"/>
      <c r="XEE184" s="0"/>
      <c r="XEF184" s="0"/>
      <c r="XEG184" s="0"/>
      <c r="XEH184" s="0"/>
      <c r="XEI184" s="0"/>
      <c r="XEJ184" s="0"/>
      <c r="XEK184" s="0"/>
      <c r="XEL184" s="0"/>
      <c r="XEM184" s="0"/>
      <c r="XEN184" s="0"/>
      <c r="XEO184" s="0"/>
      <c r="XEP184" s="0"/>
      <c r="XEQ184" s="0"/>
      <c r="XER184" s="0"/>
      <c r="XES184" s="0"/>
      <c r="XET184" s="0"/>
      <c r="XEU184" s="0"/>
      <c r="XEV184" s="0"/>
      <c r="XEW184" s="0"/>
      <c r="XEX184" s="0"/>
      <c r="XEY184" s="0"/>
      <c r="XEZ184" s="0"/>
      <c r="XFA184" s="0"/>
      <c r="XFB184" s="0"/>
      <c r="XFC184" s="0"/>
    </row>
    <row r="185" s="43" customFormat="true" ht="73.5" hidden="false" customHeight="true" outlineLevel="0" collapsed="false">
      <c r="A185" s="205" t="n">
        <v>179</v>
      </c>
      <c r="B185" s="206" t="s">
        <v>876</v>
      </c>
      <c r="C185" s="207" t="s">
        <v>616</v>
      </c>
      <c r="D185" s="208" t="n">
        <v>12</v>
      </c>
      <c r="XDE185" s="0"/>
      <c r="XDF185" s="0"/>
      <c r="XDG185" s="0"/>
      <c r="XDH185" s="0"/>
      <c r="XDI185" s="0"/>
      <c r="XDJ185" s="0"/>
      <c r="XDK185" s="0"/>
      <c r="XDL185" s="0"/>
      <c r="XDM185" s="0"/>
      <c r="XDN185" s="0"/>
      <c r="XDO185" s="0"/>
      <c r="XDP185" s="0"/>
      <c r="XDQ185" s="0"/>
      <c r="XDR185" s="0"/>
      <c r="XDS185" s="0"/>
      <c r="XDT185" s="0"/>
      <c r="XDU185" s="0"/>
      <c r="XDV185" s="0"/>
      <c r="XDW185" s="0"/>
      <c r="XDX185" s="0"/>
      <c r="XDY185" s="0"/>
      <c r="XDZ185" s="0"/>
      <c r="XEA185" s="0"/>
      <c r="XEB185" s="0"/>
      <c r="XEC185" s="0"/>
      <c r="XED185" s="0"/>
      <c r="XEE185" s="0"/>
      <c r="XEF185" s="0"/>
      <c r="XEG185" s="0"/>
      <c r="XEH185" s="0"/>
      <c r="XEI185" s="0"/>
      <c r="XEJ185" s="0"/>
      <c r="XEK185" s="0"/>
      <c r="XEL185" s="0"/>
      <c r="XEM185" s="0"/>
      <c r="XEN185" s="0"/>
      <c r="XEO185" s="0"/>
      <c r="XEP185" s="0"/>
      <c r="XEQ185" s="0"/>
      <c r="XER185" s="0"/>
      <c r="XES185" s="0"/>
      <c r="XET185" s="0"/>
      <c r="XEU185" s="0"/>
      <c r="XEV185" s="0"/>
      <c r="XEW185" s="0"/>
      <c r="XEX185" s="0"/>
      <c r="XEY185" s="0"/>
      <c r="XEZ185" s="0"/>
      <c r="XFA185" s="0"/>
      <c r="XFB185" s="0"/>
      <c r="XFC185" s="0"/>
    </row>
    <row r="186" s="43" customFormat="true" ht="73.5" hidden="false" customHeight="true" outlineLevel="0" collapsed="false">
      <c r="A186" s="205" t="n">
        <v>180</v>
      </c>
      <c r="B186" s="206" t="s">
        <v>877</v>
      </c>
      <c r="C186" s="207" t="s">
        <v>616</v>
      </c>
      <c r="D186" s="208" t="n">
        <v>12</v>
      </c>
      <c r="XDE186" s="0"/>
      <c r="XDF186" s="0"/>
      <c r="XDG186" s="0"/>
      <c r="XDH186" s="0"/>
      <c r="XDI186" s="0"/>
      <c r="XDJ186" s="0"/>
      <c r="XDK186" s="0"/>
      <c r="XDL186" s="0"/>
      <c r="XDM186" s="0"/>
      <c r="XDN186" s="0"/>
      <c r="XDO186" s="0"/>
      <c r="XDP186" s="0"/>
      <c r="XDQ186" s="0"/>
      <c r="XDR186" s="0"/>
      <c r="XDS186" s="0"/>
      <c r="XDT186" s="0"/>
      <c r="XDU186" s="0"/>
      <c r="XDV186" s="0"/>
      <c r="XDW186" s="0"/>
      <c r="XDX186" s="0"/>
      <c r="XDY186" s="0"/>
      <c r="XDZ186" s="0"/>
      <c r="XEA186" s="0"/>
      <c r="XEB186" s="0"/>
      <c r="XEC186" s="0"/>
      <c r="XED186" s="0"/>
      <c r="XEE186" s="0"/>
      <c r="XEF186" s="0"/>
      <c r="XEG186" s="0"/>
      <c r="XEH186" s="0"/>
      <c r="XEI186" s="0"/>
      <c r="XEJ186" s="0"/>
      <c r="XEK186" s="0"/>
      <c r="XEL186" s="0"/>
      <c r="XEM186" s="0"/>
      <c r="XEN186" s="0"/>
      <c r="XEO186" s="0"/>
      <c r="XEP186" s="0"/>
      <c r="XEQ186" s="0"/>
      <c r="XER186" s="0"/>
      <c r="XES186" s="0"/>
      <c r="XET186" s="0"/>
      <c r="XEU186" s="0"/>
      <c r="XEV186" s="0"/>
      <c r="XEW186" s="0"/>
      <c r="XEX186" s="0"/>
      <c r="XEY186" s="0"/>
      <c r="XEZ186" s="0"/>
      <c r="XFA186" s="0"/>
      <c r="XFB186" s="0"/>
      <c r="XFC186" s="0"/>
    </row>
    <row r="187" s="43" customFormat="true" ht="64.5" hidden="false" customHeight="true" outlineLevel="0" collapsed="false">
      <c r="A187" s="205" t="n">
        <v>181</v>
      </c>
      <c r="B187" s="206" t="s">
        <v>878</v>
      </c>
      <c r="C187" s="207" t="s">
        <v>616</v>
      </c>
      <c r="D187" s="208" t="n">
        <v>12</v>
      </c>
      <c r="XDE187" s="0"/>
      <c r="XDF187" s="0"/>
      <c r="XDG187" s="0"/>
      <c r="XDH187" s="0"/>
      <c r="XDI187" s="0"/>
      <c r="XDJ187" s="0"/>
      <c r="XDK187" s="0"/>
      <c r="XDL187" s="0"/>
      <c r="XDM187" s="0"/>
      <c r="XDN187" s="0"/>
      <c r="XDO187" s="0"/>
      <c r="XDP187" s="0"/>
      <c r="XDQ187" s="0"/>
      <c r="XDR187" s="0"/>
      <c r="XDS187" s="0"/>
      <c r="XDT187" s="0"/>
      <c r="XDU187" s="0"/>
      <c r="XDV187" s="0"/>
      <c r="XDW187" s="0"/>
      <c r="XDX187" s="0"/>
      <c r="XDY187" s="0"/>
      <c r="XDZ187" s="0"/>
      <c r="XEA187" s="0"/>
      <c r="XEB187" s="0"/>
      <c r="XEC187" s="0"/>
      <c r="XED187" s="0"/>
      <c r="XEE187" s="0"/>
      <c r="XEF187" s="0"/>
      <c r="XEG187" s="0"/>
      <c r="XEH187" s="0"/>
      <c r="XEI187" s="0"/>
      <c r="XEJ187" s="0"/>
      <c r="XEK187" s="0"/>
      <c r="XEL187" s="0"/>
      <c r="XEM187" s="0"/>
      <c r="XEN187" s="0"/>
      <c r="XEO187" s="0"/>
      <c r="XEP187" s="0"/>
      <c r="XEQ187" s="0"/>
      <c r="XER187" s="0"/>
      <c r="XES187" s="0"/>
      <c r="XET187" s="0"/>
      <c r="XEU187" s="0"/>
      <c r="XEV187" s="0"/>
      <c r="XEW187" s="0"/>
      <c r="XEX187" s="0"/>
      <c r="XEY187" s="0"/>
      <c r="XEZ187" s="0"/>
      <c r="XFA187" s="0"/>
      <c r="XFB187" s="0"/>
      <c r="XFC187" s="0"/>
    </row>
    <row r="188" s="43" customFormat="true" ht="73.5" hidden="false" customHeight="true" outlineLevel="0" collapsed="false">
      <c r="A188" s="205" t="n">
        <v>182</v>
      </c>
      <c r="B188" s="206" t="s">
        <v>879</v>
      </c>
      <c r="C188" s="207" t="s">
        <v>616</v>
      </c>
      <c r="D188" s="208" t="n">
        <v>12</v>
      </c>
      <c r="XDE188" s="0"/>
      <c r="XDF188" s="0"/>
      <c r="XDG188" s="0"/>
      <c r="XDH188" s="0"/>
      <c r="XDI188" s="0"/>
      <c r="XDJ188" s="0"/>
      <c r="XDK188" s="0"/>
      <c r="XDL188" s="0"/>
      <c r="XDM188" s="0"/>
      <c r="XDN188" s="0"/>
      <c r="XDO188" s="0"/>
      <c r="XDP188" s="0"/>
      <c r="XDQ188" s="0"/>
      <c r="XDR188" s="0"/>
      <c r="XDS188" s="0"/>
      <c r="XDT188" s="0"/>
      <c r="XDU188" s="0"/>
      <c r="XDV188" s="0"/>
      <c r="XDW188" s="0"/>
      <c r="XDX188" s="0"/>
      <c r="XDY188" s="0"/>
      <c r="XDZ188" s="0"/>
      <c r="XEA188" s="0"/>
      <c r="XEB188" s="0"/>
      <c r="XEC188" s="0"/>
      <c r="XED188" s="0"/>
      <c r="XEE188" s="0"/>
      <c r="XEF188" s="0"/>
      <c r="XEG188" s="0"/>
      <c r="XEH188" s="0"/>
      <c r="XEI188" s="0"/>
      <c r="XEJ188" s="0"/>
      <c r="XEK188" s="0"/>
      <c r="XEL188" s="0"/>
      <c r="XEM188" s="0"/>
      <c r="XEN188" s="0"/>
      <c r="XEO188" s="0"/>
      <c r="XEP188" s="0"/>
      <c r="XEQ188" s="0"/>
      <c r="XER188" s="0"/>
      <c r="XES188" s="0"/>
      <c r="XET188" s="0"/>
      <c r="XEU188" s="0"/>
      <c r="XEV188" s="0"/>
      <c r="XEW188" s="0"/>
      <c r="XEX188" s="0"/>
      <c r="XEY188" s="0"/>
      <c r="XEZ188" s="0"/>
      <c r="XFA188" s="0"/>
      <c r="XFB188" s="0"/>
      <c r="XFC188" s="0"/>
    </row>
    <row r="189" s="43" customFormat="true" ht="73.5" hidden="false" customHeight="true" outlineLevel="0" collapsed="false">
      <c r="A189" s="205" t="n">
        <v>183</v>
      </c>
      <c r="B189" s="206" t="s">
        <v>880</v>
      </c>
      <c r="C189" s="207" t="s">
        <v>679</v>
      </c>
      <c r="D189" s="208" t="n">
        <v>108</v>
      </c>
      <c r="XDE189" s="0"/>
      <c r="XDF189" s="0"/>
      <c r="XDG189" s="0"/>
      <c r="XDH189" s="0"/>
      <c r="XDI189" s="0"/>
      <c r="XDJ189" s="0"/>
      <c r="XDK189" s="0"/>
      <c r="XDL189" s="0"/>
      <c r="XDM189" s="0"/>
      <c r="XDN189" s="0"/>
      <c r="XDO189" s="0"/>
      <c r="XDP189" s="0"/>
      <c r="XDQ189" s="0"/>
      <c r="XDR189" s="0"/>
      <c r="XDS189" s="0"/>
      <c r="XDT189" s="0"/>
      <c r="XDU189" s="0"/>
      <c r="XDV189" s="0"/>
      <c r="XDW189" s="0"/>
      <c r="XDX189" s="0"/>
      <c r="XDY189" s="0"/>
      <c r="XDZ189" s="0"/>
      <c r="XEA189" s="0"/>
      <c r="XEB189" s="0"/>
      <c r="XEC189" s="0"/>
      <c r="XED189" s="0"/>
      <c r="XEE189" s="0"/>
      <c r="XEF189" s="0"/>
      <c r="XEG189" s="0"/>
      <c r="XEH189" s="0"/>
      <c r="XEI189" s="0"/>
      <c r="XEJ189" s="0"/>
      <c r="XEK189" s="0"/>
      <c r="XEL189" s="0"/>
      <c r="XEM189" s="0"/>
      <c r="XEN189" s="0"/>
      <c r="XEO189" s="0"/>
      <c r="XEP189" s="0"/>
      <c r="XEQ189" s="0"/>
      <c r="XER189" s="0"/>
      <c r="XES189" s="0"/>
      <c r="XET189" s="0"/>
      <c r="XEU189" s="0"/>
      <c r="XEV189" s="0"/>
      <c r="XEW189" s="0"/>
      <c r="XEX189" s="0"/>
      <c r="XEY189" s="0"/>
      <c r="XEZ189" s="0"/>
      <c r="XFA189" s="0"/>
      <c r="XFB189" s="0"/>
      <c r="XFC189" s="0"/>
    </row>
    <row r="190" s="43" customFormat="true" ht="73.5" hidden="false" customHeight="true" outlineLevel="0" collapsed="false">
      <c r="A190" s="205" t="n">
        <v>184</v>
      </c>
      <c r="B190" s="206" t="s">
        <v>881</v>
      </c>
      <c r="C190" s="207" t="s">
        <v>25</v>
      </c>
      <c r="D190" s="208" t="n">
        <v>24</v>
      </c>
      <c r="XDE190" s="0"/>
      <c r="XDF190" s="0"/>
      <c r="XDG190" s="0"/>
      <c r="XDH190" s="0"/>
      <c r="XDI190" s="0"/>
      <c r="XDJ190" s="0"/>
      <c r="XDK190" s="0"/>
      <c r="XDL190" s="0"/>
      <c r="XDM190" s="0"/>
      <c r="XDN190" s="0"/>
      <c r="XDO190" s="0"/>
      <c r="XDP190" s="0"/>
      <c r="XDQ190" s="0"/>
      <c r="XDR190" s="0"/>
      <c r="XDS190" s="0"/>
      <c r="XDT190" s="0"/>
      <c r="XDU190" s="0"/>
      <c r="XDV190" s="0"/>
      <c r="XDW190" s="0"/>
      <c r="XDX190" s="0"/>
      <c r="XDY190" s="0"/>
      <c r="XDZ190" s="0"/>
      <c r="XEA190" s="0"/>
      <c r="XEB190" s="0"/>
      <c r="XEC190" s="0"/>
      <c r="XED190" s="0"/>
      <c r="XEE190" s="0"/>
      <c r="XEF190" s="0"/>
      <c r="XEG190" s="0"/>
      <c r="XEH190" s="0"/>
      <c r="XEI190" s="0"/>
      <c r="XEJ190" s="0"/>
      <c r="XEK190" s="0"/>
      <c r="XEL190" s="0"/>
      <c r="XEM190" s="0"/>
      <c r="XEN190" s="0"/>
      <c r="XEO190" s="0"/>
      <c r="XEP190" s="0"/>
      <c r="XEQ190" s="0"/>
      <c r="XER190" s="0"/>
      <c r="XES190" s="0"/>
      <c r="XET190" s="0"/>
      <c r="XEU190" s="0"/>
      <c r="XEV190" s="0"/>
      <c r="XEW190" s="0"/>
      <c r="XEX190" s="0"/>
      <c r="XEY190" s="0"/>
      <c r="XEZ190" s="0"/>
      <c r="XFA190" s="0"/>
      <c r="XFB190" s="0"/>
      <c r="XFC190" s="0"/>
    </row>
    <row r="191" s="43" customFormat="true" ht="73.5" hidden="false" customHeight="true" outlineLevel="0" collapsed="false">
      <c r="A191" s="205" t="n">
        <v>185</v>
      </c>
      <c r="B191" s="206" t="s">
        <v>882</v>
      </c>
      <c r="C191" s="207" t="s">
        <v>679</v>
      </c>
      <c r="D191" s="208" t="n">
        <v>80</v>
      </c>
      <c r="XDE191" s="0"/>
      <c r="XDF191" s="0"/>
      <c r="XDG191" s="0"/>
      <c r="XDH191" s="0"/>
      <c r="XDI191" s="0"/>
      <c r="XDJ191" s="0"/>
      <c r="XDK191" s="0"/>
      <c r="XDL191" s="0"/>
      <c r="XDM191" s="0"/>
      <c r="XDN191" s="0"/>
      <c r="XDO191" s="0"/>
      <c r="XDP191" s="0"/>
      <c r="XDQ191" s="0"/>
      <c r="XDR191" s="0"/>
      <c r="XDS191" s="0"/>
      <c r="XDT191" s="0"/>
      <c r="XDU191" s="0"/>
      <c r="XDV191" s="0"/>
      <c r="XDW191" s="0"/>
      <c r="XDX191" s="0"/>
      <c r="XDY191" s="0"/>
      <c r="XDZ191" s="0"/>
      <c r="XEA191" s="0"/>
      <c r="XEB191" s="0"/>
      <c r="XEC191" s="0"/>
      <c r="XED191" s="0"/>
      <c r="XEE191" s="0"/>
      <c r="XEF191" s="0"/>
      <c r="XEG191" s="0"/>
      <c r="XEH191" s="0"/>
      <c r="XEI191" s="0"/>
      <c r="XEJ191" s="0"/>
      <c r="XEK191" s="0"/>
      <c r="XEL191" s="0"/>
      <c r="XEM191" s="0"/>
      <c r="XEN191" s="0"/>
      <c r="XEO191" s="0"/>
      <c r="XEP191" s="0"/>
      <c r="XEQ191" s="0"/>
      <c r="XER191" s="0"/>
      <c r="XES191" s="0"/>
      <c r="XET191" s="0"/>
      <c r="XEU191" s="0"/>
      <c r="XEV191" s="0"/>
      <c r="XEW191" s="0"/>
      <c r="XEX191" s="0"/>
      <c r="XEY191" s="0"/>
      <c r="XEZ191" s="0"/>
      <c r="XFA191" s="0"/>
      <c r="XFB191" s="0"/>
      <c r="XFC191" s="0"/>
    </row>
    <row r="192" s="43" customFormat="true" ht="73.5" hidden="false" customHeight="true" outlineLevel="0" collapsed="false">
      <c r="A192" s="205" t="n">
        <v>186</v>
      </c>
      <c r="B192" s="206" t="s">
        <v>883</v>
      </c>
      <c r="C192" s="207" t="s">
        <v>616</v>
      </c>
      <c r="D192" s="208" t="n">
        <v>1.76364</v>
      </c>
      <c r="XDE192" s="0"/>
      <c r="XDF192" s="0"/>
      <c r="XDG192" s="0"/>
      <c r="XDH192" s="0"/>
      <c r="XDI192" s="0"/>
      <c r="XDJ192" s="0"/>
      <c r="XDK192" s="0"/>
      <c r="XDL192" s="0"/>
      <c r="XDM192" s="0"/>
      <c r="XDN192" s="0"/>
      <c r="XDO192" s="0"/>
      <c r="XDP192" s="0"/>
      <c r="XDQ192" s="0"/>
      <c r="XDR192" s="0"/>
      <c r="XDS192" s="0"/>
      <c r="XDT192" s="0"/>
      <c r="XDU192" s="0"/>
      <c r="XDV192" s="0"/>
      <c r="XDW192" s="0"/>
      <c r="XDX192" s="0"/>
      <c r="XDY192" s="0"/>
      <c r="XDZ192" s="0"/>
      <c r="XEA192" s="0"/>
      <c r="XEB192" s="0"/>
      <c r="XEC192" s="0"/>
      <c r="XED192" s="0"/>
      <c r="XEE192" s="0"/>
      <c r="XEF192" s="0"/>
      <c r="XEG192" s="0"/>
      <c r="XEH192" s="0"/>
      <c r="XEI192" s="0"/>
      <c r="XEJ192" s="0"/>
      <c r="XEK192" s="0"/>
      <c r="XEL192" s="0"/>
      <c r="XEM192" s="0"/>
      <c r="XEN192" s="0"/>
      <c r="XEO192" s="0"/>
      <c r="XEP192" s="0"/>
      <c r="XEQ192" s="0"/>
      <c r="XER192" s="0"/>
      <c r="XES192" s="0"/>
      <c r="XET192" s="0"/>
      <c r="XEU192" s="0"/>
      <c r="XEV192" s="0"/>
      <c r="XEW192" s="0"/>
      <c r="XEX192" s="0"/>
      <c r="XEY192" s="0"/>
      <c r="XEZ192" s="0"/>
      <c r="XFA192" s="0"/>
      <c r="XFB192" s="0"/>
      <c r="XFC192" s="0"/>
    </row>
    <row r="193" s="43" customFormat="true" ht="73.5" hidden="false" customHeight="true" outlineLevel="0" collapsed="false">
      <c r="A193" s="205" t="n">
        <v>187</v>
      </c>
      <c r="B193" s="206" t="s">
        <v>884</v>
      </c>
      <c r="C193" s="207" t="s">
        <v>679</v>
      </c>
      <c r="D193" s="208" t="n">
        <v>96</v>
      </c>
      <c r="XDE193" s="0"/>
      <c r="XDF193" s="0"/>
      <c r="XDG193" s="0"/>
      <c r="XDH193" s="0"/>
      <c r="XDI193" s="0"/>
      <c r="XDJ193" s="0"/>
      <c r="XDK193" s="0"/>
      <c r="XDL193" s="0"/>
      <c r="XDM193" s="0"/>
      <c r="XDN193" s="0"/>
      <c r="XDO193" s="0"/>
      <c r="XDP193" s="0"/>
      <c r="XDQ193" s="0"/>
      <c r="XDR193" s="0"/>
      <c r="XDS193" s="0"/>
      <c r="XDT193" s="0"/>
      <c r="XDU193" s="0"/>
      <c r="XDV193" s="0"/>
      <c r="XDW193" s="0"/>
      <c r="XDX193" s="0"/>
      <c r="XDY193" s="0"/>
      <c r="XDZ193" s="0"/>
      <c r="XEA193" s="0"/>
      <c r="XEB193" s="0"/>
      <c r="XEC193" s="0"/>
      <c r="XED193" s="0"/>
      <c r="XEE193" s="0"/>
      <c r="XEF193" s="0"/>
      <c r="XEG193" s="0"/>
      <c r="XEH193" s="0"/>
      <c r="XEI193" s="0"/>
      <c r="XEJ193" s="0"/>
      <c r="XEK193" s="0"/>
      <c r="XEL193" s="0"/>
      <c r="XEM193" s="0"/>
      <c r="XEN193" s="0"/>
      <c r="XEO193" s="0"/>
      <c r="XEP193" s="0"/>
      <c r="XEQ193" s="0"/>
      <c r="XER193" s="0"/>
      <c r="XES193" s="0"/>
      <c r="XET193" s="0"/>
      <c r="XEU193" s="0"/>
      <c r="XEV193" s="0"/>
      <c r="XEW193" s="0"/>
      <c r="XEX193" s="0"/>
      <c r="XEY193" s="0"/>
      <c r="XEZ193" s="0"/>
      <c r="XFA193" s="0"/>
      <c r="XFB193" s="0"/>
      <c r="XFC193" s="0"/>
    </row>
    <row r="194" s="43" customFormat="true" ht="73.5" hidden="false" customHeight="true" outlineLevel="0" collapsed="false">
      <c r="A194" s="205" t="n">
        <v>188</v>
      </c>
      <c r="B194" s="206" t="s">
        <v>885</v>
      </c>
      <c r="C194" s="207" t="s">
        <v>679</v>
      </c>
      <c r="D194" s="208" t="n">
        <v>144</v>
      </c>
      <c r="XDE194" s="0"/>
      <c r="XDF194" s="0"/>
      <c r="XDG194" s="0"/>
      <c r="XDH194" s="0"/>
      <c r="XDI194" s="0"/>
      <c r="XDJ194" s="0"/>
      <c r="XDK194" s="0"/>
      <c r="XDL194" s="0"/>
      <c r="XDM194" s="0"/>
      <c r="XDN194" s="0"/>
      <c r="XDO194" s="0"/>
      <c r="XDP194" s="0"/>
      <c r="XDQ194" s="0"/>
      <c r="XDR194" s="0"/>
      <c r="XDS194" s="0"/>
      <c r="XDT194" s="0"/>
      <c r="XDU194" s="0"/>
      <c r="XDV194" s="0"/>
      <c r="XDW194" s="0"/>
      <c r="XDX194" s="0"/>
      <c r="XDY194" s="0"/>
      <c r="XDZ194" s="0"/>
      <c r="XEA194" s="0"/>
      <c r="XEB194" s="0"/>
      <c r="XEC194" s="0"/>
      <c r="XED194" s="0"/>
      <c r="XEE194" s="0"/>
      <c r="XEF194" s="0"/>
      <c r="XEG194" s="0"/>
      <c r="XEH194" s="0"/>
      <c r="XEI194" s="0"/>
      <c r="XEJ194" s="0"/>
      <c r="XEK194" s="0"/>
      <c r="XEL194" s="0"/>
      <c r="XEM194" s="0"/>
      <c r="XEN194" s="0"/>
      <c r="XEO194" s="0"/>
      <c r="XEP194" s="0"/>
      <c r="XEQ194" s="0"/>
      <c r="XER194" s="0"/>
      <c r="XES194" s="0"/>
      <c r="XET194" s="0"/>
      <c r="XEU194" s="0"/>
      <c r="XEV194" s="0"/>
      <c r="XEW194" s="0"/>
      <c r="XEX194" s="0"/>
      <c r="XEY194" s="0"/>
      <c r="XEZ194" s="0"/>
      <c r="XFA194" s="0"/>
      <c r="XFB194" s="0"/>
      <c r="XFC194" s="0"/>
    </row>
    <row r="195" s="43" customFormat="true" ht="73.5" hidden="false" customHeight="true" outlineLevel="0" collapsed="false">
      <c r="A195" s="205" t="n">
        <v>189</v>
      </c>
      <c r="B195" s="206" t="s">
        <v>886</v>
      </c>
      <c r="C195" s="207" t="s">
        <v>679</v>
      </c>
      <c r="D195" s="208" t="n">
        <v>174</v>
      </c>
      <c r="XDE195" s="0"/>
      <c r="XDF195" s="0"/>
      <c r="XDG195" s="0"/>
      <c r="XDH195" s="0"/>
      <c r="XDI195" s="0"/>
      <c r="XDJ195" s="0"/>
      <c r="XDK195" s="0"/>
      <c r="XDL195" s="0"/>
      <c r="XDM195" s="0"/>
      <c r="XDN195" s="0"/>
      <c r="XDO195" s="0"/>
      <c r="XDP195" s="0"/>
      <c r="XDQ195" s="0"/>
      <c r="XDR195" s="0"/>
      <c r="XDS195" s="0"/>
      <c r="XDT195" s="0"/>
      <c r="XDU195" s="0"/>
      <c r="XDV195" s="0"/>
      <c r="XDW195" s="0"/>
      <c r="XDX195" s="0"/>
      <c r="XDY195" s="0"/>
      <c r="XDZ195" s="0"/>
      <c r="XEA195" s="0"/>
      <c r="XEB195" s="0"/>
      <c r="XEC195" s="0"/>
      <c r="XED195" s="0"/>
      <c r="XEE195" s="0"/>
      <c r="XEF195" s="0"/>
      <c r="XEG195" s="0"/>
      <c r="XEH195" s="0"/>
      <c r="XEI195" s="0"/>
      <c r="XEJ195" s="0"/>
      <c r="XEK195" s="0"/>
      <c r="XEL195" s="0"/>
      <c r="XEM195" s="0"/>
      <c r="XEN195" s="0"/>
      <c r="XEO195" s="0"/>
      <c r="XEP195" s="0"/>
      <c r="XEQ195" s="0"/>
      <c r="XER195" s="0"/>
      <c r="XES195" s="0"/>
      <c r="XET195" s="0"/>
      <c r="XEU195" s="0"/>
      <c r="XEV195" s="0"/>
      <c r="XEW195" s="0"/>
      <c r="XEX195" s="0"/>
      <c r="XEY195" s="0"/>
      <c r="XEZ195" s="0"/>
      <c r="XFA195" s="0"/>
      <c r="XFB195" s="0"/>
      <c r="XFC195" s="0"/>
    </row>
    <row r="196" s="43" customFormat="true" ht="73.5" hidden="false" customHeight="true" outlineLevel="0" collapsed="false">
      <c r="A196" s="205" t="n">
        <v>190</v>
      </c>
      <c r="B196" s="206" t="s">
        <v>887</v>
      </c>
      <c r="C196" s="207" t="s">
        <v>679</v>
      </c>
      <c r="D196" s="208" t="n">
        <v>240</v>
      </c>
      <c r="XDE196" s="0"/>
      <c r="XDF196" s="0"/>
      <c r="XDG196" s="0"/>
      <c r="XDH196" s="0"/>
      <c r="XDI196" s="0"/>
      <c r="XDJ196" s="0"/>
      <c r="XDK196" s="0"/>
      <c r="XDL196" s="0"/>
      <c r="XDM196" s="0"/>
      <c r="XDN196" s="0"/>
      <c r="XDO196" s="0"/>
      <c r="XDP196" s="0"/>
      <c r="XDQ196" s="0"/>
      <c r="XDR196" s="0"/>
      <c r="XDS196" s="0"/>
      <c r="XDT196" s="0"/>
      <c r="XDU196" s="0"/>
      <c r="XDV196" s="0"/>
      <c r="XDW196" s="0"/>
      <c r="XDX196" s="0"/>
      <c r="XDY196" s="0"/>
      <c r="XDZ196" s="0"/>
      <c r="XEA196" s="0"/>
      <c r="XEB196" s="0"/>
      <c r="XEC196" s="0"/>
      <c r="XED196" s="0"/>
      <c r="XEE196" s="0"/>
      <c r="XEF196" s="0"/>
      <c r="XEG196" s="0"/>
      <c r="XEH196" s="0"/>
      <c r="XEI196" s="0"/>
      <c r="XEJ196" s="0"/>
      <c r="XEK196" s="0"/>
      <c r="XEL196" s="0"/>
      <c r="XEM196" s="0"/>
      <c r="XEN196" s="0"/>
      <c r="XEO196" s="0"/>
      <c r="XEP196" s="0"/>
      <c r="XEQ196" s="0"/>
      <c r="XER196" s="0"/>
      <c r="XES196" s="0"/>
      <c r="XET196" s="0"/>
      <c r="XEU196" s="0"/>
      <c r="XEV196" s="0"/>
      <c r="XEW196" s="0"/>
      <c r="XEX196" s="0"/>
      <c r="XEY196" s="0"/>
      <c r="XEZ196" s="0"/>
      <c r="XFA196" s="0"/>
      <c r="XFB196" s="0"/>
      <c r="XFC196" s="0"/>
    </row>
    <row r="197" s="43" customFormat="true" ht="73.5" hidden="false" customHeight="true" outlineLevel="0" collapsed="false">
      <c r="A197" s="205" t="n">
        <v>191</v>
      </c>
      <c r="B197" s="206" t="s">
        <v>888</v>
      </c>
      <c r="C197" s="207" t="s">
        <v>679</v>
      </c>
      <c r="D197" s="208" t="n">
        <v>48</v>
      </c>
      <c r="XDE197" s="0"/>
      <c r="XDF197" s="0"/>
      <c r="XDG197" s="0"/>
      <c r="XDH197" s="0"/>
      <c r="XDI197" s="0"/>
      <c r="XDJ197" s="0"/>
      <c r="XDK197" s="0"/>
      <c r="XDL197" s="0"/>
      <c r="XDM197" s="0"/>
      <c r="XDN197" s="0"/>
      <c r="XDO197" s="0"/>
      <c r="XDP197" s="0"/>
      <c r="XDQ197" s="0"/>
      <c r="XDR197" s="0"/>
      <c r="XDS197" s="0"/>
      <c r="XDT197" s="0"/>
      <c r="XDU197" s="0"/>
      <c r="XDV197" s="0"/>
      <c r="XDW197" s="0"/>
      <c r="XDX197" s="0"/>
      <c r="XDY197" s="0"/>
      <c r="XDZ197" s="0"/>
      <c r="XEA197" s="0"/>
      <c r="XEB197" s="0"/>
      <c r="XEC197" s="0"/>
      <c r="XED197" s="0"/>
      <c r="XEE197" s="0"/>
      <c r="XEF197" s="0"/>
      <c r="XEG197" s="0"/>
      <c r="XEH197" s="0"/>
      <c r="XEI197" s="0"/>
      <c r="XEJ197" s="0"/>
      <c r="XEK197" s="0"/>
      <c r="XEL197" s="0"/>
      <c r="XEM197" s="0"/>
      <c r="XEN197" s="0"/>
      <c r="XEO197" s="0"/>
      <c r="XEP197" s="0"/>
      <c r="XEQ197" s="0"/>
      <c r="XER197" s="0"/>
      <c r="XES197" s="0"/>
      <c r="XET197" s="0"/>
      <c r="XEU197" s="0"/>
      <c r="XEV197" s="0"/>
      <c r="XEW197" s="0"/>
      <c r="XEX197" s="0"/>
      <c r="XEY197" s="0"/>
      <c r="XEZ197" s="0"/>
      <c r="XFA197" s="0"/>
      <c r="XFB197" s="0"/>
      <c r="XFC197" s="0"/>
    </row>
    <row r="198" s="43" customFormat="true" ht="73.5" hidden="false" customHeight="true" outlineLevel="0" collapsed="false">
      <c r="A198" s="205" t="n">
        <v>192</v>
      </c>
      <c r="B198" s="206" t="s">
        <v>889</v>
      </c>
      <c r="C198" s="207" t="s">
        <v>25</v>
      </c>
      <c r="D198" s="208" t="n">
        <v>2</v>
      </c>
      <c r="XDE198" s="0"/>
      <c r="XDF198" s="0"/>
      <c r="XDG198" s="0"/>
      <c r="XDH198" s="0"/>
      <c r="XDI198" s="0"/>
      <c r="XDJ198" s="0"/>
      <c r="XDK198" s="0"/>
      <c r="XDL198" s="0"/>
      <c r="XDM198" s="0"/>
      <c r="XDN198" s="0"/>
      <c r="XDO198" s="0"/>
      <c r="XDP198" s="0"/>
      <c r="XDQ198" s="0"/>
      <c r="XDR198" s="0"/>
      <c r="XDS198" s="0"/>
      <c r="XDT198" s="0"/>
      <c r="XDU198" s="0"/>
      <c r="XDV198" s="0"/>
      <c r="XDW198" s="0"/>
      <c r="XDX198" s="0"/>
      <c r="XDY198" s="0"/>
      <c r="XDZ198" s="0"/>
      <c r="XEA198" s="0"/>
      <c r="XEB198" s="0"/>
      <c r="XEC198" s="0"/>
      <c r="XED198" s="0"/>
      <c r="XEE198" s="0"/>
      <c r="XEF198" s="0"/>
      <c r="XEG198" s="0"/>
      <c r="XEH198" s="0"/>
      <c r="XEI198" s="0"/>
      <c r="XEJ198" s="0"/>
      <c r="XEK198" s="0"/>
      <c r="XEL198" s="0"/>
      <c r="XEM198" s="0"/>
      <c r="XEN198" s="0"/>
      <c r="XEO198" s="0"/>
      <c r="XEP198" s="0"/>
      <c r="XEQ198" s="0"/>
      <c r="XER198" s="0"/>
      <c r="XES198" s="0"/>
      <c r="XET198" s="0"/>
      <c r="XEU198" s="0"/>
      <c r="XEV198" s="0"/>
      <c r="XEW198" s="0"/>
      <c r="XEX198" s="0"/>
      <c r="XEY198" s="0"/>
      <c r="XEZ198" s="0"/>
      <c r="XFA198" s="0"/>
      <c r="XFB198" s="0"/>
      <c r="XFC198" s="0"/>
    </row>
    <row r="199" s="43" customFormat="true" ht="73.5" hidden="false" customHeight="true" outlineLevel="0" collapsed="false">
      <c r="A199" s="205" t="n">
        <v>193</v>
      </c>
      <c r="B199" s="206" t="s">
        <v>890</v>
      </c>
      <c r="C199" s="207" t="s">
        <v>679</v>
      </c>
      <c r="D199" s="208" t="n">
        <v>4</v>
      </c>
      <c r="XDE199" s="0"/>
      <c r="XDF199" s="0"/>
      <c r="XDG199" s="0"/>
      <c r="XDH199" s="0"/>
      <c r="XDI199" s="0"/>
      <c r="XDJ199" s="0"/>
      <c r="XDK199" s="0"/>
      <c r="XDL199" s="0"/>
      <c r="XDM199" s="0"/>
      <c r="XDN199" s="0"/>
      <c r="XDO199" s="0"/>
      <c r="XDP199" s="0"/>
      <c r="XDQ199" s="0"/>
      <c r="XDR199" s="0"/>
      <c r="XDS199" s="0"/>
      <c r="XDT199" s="0"/>
      <c r="XDU199" s="0"/>
      <c r="XDV199" s="0"/>
      <c r="XDW199" s="0"/>
      <c r="XDX199" s="0"/>
      <c r="XDY199" s="0"/>
      <c r="XDZ199" s="0"/>
      <c r="XEA199" s="0"/>
      <c r="XEB199" s="0"/>
      <c r="XEC199" s="0"/>
      <c r="XED199" s="0"/>
      <c r="XEE199" s="0"/>
      <c r="XEF199" s="0"/>
      <c r="XEG199" s="0"/>
      <c r="XEH199" s="0"/>
      <c r="XEI199" s="0"/>
      <c r="XEJ199" s="0"/>
      <c r="XEK199" s="0"/>
      <c r="XEL199" s="0"/>
      <c r="XEM199" s="0"/>
      <c r="XEN199" s="0"/>
      <c r="XEO199" s="0"/>
      <c r="XEP199" s="0"/>
      <c r="XEQ199" s="0"/>
      <c r="XER199" s="0"/>
      <c r="XES199" s="0"/>
      <c r="XET199" s="0"/>
      <c r="XEU199" s="0"/>
      <c r="XEV199" s="0"/>
      <c r="XEW199" s="0"/>
      <c r="XEX199" s="0"/>
      <c r="XEY199" s="0"/>
      <c r="XEZ199" s="0"/>
      <c r="XFA199" s="0"/>
      <c r="XFB199" s="0"/>
      <c r="XFC199" s="0"/>
    </row>
    <row r="200" s="43" customFormat="true" ht="88.5" hidden="false" customHeight="true" outlineLevel="0" collapsed="false">
      <c r="A200" s="205" t="n">
        <v>194</v>
      </c>
      <c r="B200" s="206" t="s">
        <v>891</v>
      </c>
      <c r="C200" s="207" t="s">
        <v>616</v>
      </c>
      <c r="D200" s="208" t="n">
        <v>1.565</v>
      </c>
      <c r="XDE200" s="0"/>
      <c r="XDF200" s="0"/>
      <c r="XDG200" s="0"/>
      <c r="XDH200" s="0"/>
      <c r="XDI200" s="0"/>
      <c r="XDJ200" s="0"/>
      <c r="XDK200" s="0"/>
      <c r="XDL200" s="0"/>
      <c r="XDM200" s="0"/>
      <c r="XDN200" s="0"/>
      <c r="XDO200" s="0"/>
      <c r="XDP200" s="0"/>
      <c r="XDQ200" s="0"/>
      <c r="XDR200" s="0"/>
      <c r="XDS200" s="0"/>
      <c r="XDT200" s="0"/>
      <c r="XDU200" s="0"/>
      <c r="XDV200" s="0"/>
      <c r="XDW200" s="0"/>
      <c r="XDX200" s="0"/>
      <c r="XDY200" s="0"/>
      <c r="XDZ200" s="0"/>
      <c r="XEA200" s="0"/>
      <c r="XEB200" s="0"/>
      <c r="XEC200" s="0"/>
      <c r="XED200" s="0"/>
      <c r="XEE200" s="0"/>
      <c r="XEF200" s="0"/>
      <c r="XEG200" s="0"/>
      <c r="XEH200" s="0"/>
      <c r="XEI200" s="0"/>
      <c r="XEJ200" s="0"/>
      <c r="XEK200" s="0"/>
      <c r="XEL200" s="0"/>
      <c r="XEM200" s="0"/>
      <c r="XEN200" s="0"/>
      <c r="XEO200" s="0"/>
      <c r="XEP200" s="0"/>
      <c r="XEQ200" s="0"/>
      <c r="XER200" s="0"/>
      <c r="XES200" s="0"/>
      <c r="XET200" s="0"/>
      <c r="XEU200" s="0"/>
      <c r="XEV200" s="0"/>
      <c r="XEW200" s="0"/>
      <c r="XEX200" s="0"/>
      <c r="XEY200" s="0"/>
      <c r="XEZ200" s="0"/>
      <c r="XFA200" s="0"/>
      <c r="XFB200" s="0"/>
      <c r="XFC200" s="0"/>
    </row>
    <row r="201" s="43" customFormat="true" ht="73.5" hidden="false" customHeight="true" outlineLevel="0" collapsed="false">
      <c r="A201" s="205" t="n">
        <v>195</v>
      </c>
      <c r="B201" s="206" t="s">
        <v>892</v>
      </c>
      <c r="C201" s="207" t="s">
        <v>392</v>
      </c>
      <c r="D201" s="208" t="n">
        <v>44</v>
      </c>
      <c r="XDE201" s="0"/>
      <c r="XDF201" s="0"/>
      <c r="XDG201" s="0"/>
      <c r="XDH201" s="0"/>
      <c r="XDI201" s="0"/>
      <c r="XDJ201" s="0"/>
      <c r="XDK201" s="0"/>
      <c r="XDL201" s="0"/>
      <c r="XDM201" s="0"/>
      <c r="XDN201" s="0"/>
      <c r="XDO201" s="0"/>
      <c r="XDP201" s="0"/>
      <c r="XDQ201" s="0"/>
      <c r="XDR201" s="0"/>
      <c r="XDS201" s="0"/>
      <c r="XDT201" s="0"/>
      <c r="XDU201" s="0"/>
      <c r="XDV201" s="0"/>
      <c r="XDW201" s="0"/>
      <c r="XDX201" s="0"/>
      <c r="XDY201" s="0"/>
      <c r="XDZ201" s="0"/>
      <c r="XEA201" s="0"/>
      <c r="XEB201" s="0"/>
      <c r="XEC201" s="0"/>
      <c r="XED201" s="0"/>
      <c r="XEE201" s="0"/>
      <c r="XEF201" s="0"/>
      <c r="XEG201" s="0"/>
      <c r="XEH201" s="0"/>
      <c r="XEI201" s="0"/>
      <c r="XEJ201" s="0"/>
      <c r="XEK201" s="0"/>
      <c r="XEL201" s="0"/>
      <c r="XEM201" s="0"/>
      <c r="XEN201" s="0"/>
      <c r="XEO201" s="0"/>
      <c r="XEP201" s="0"/>
      <c r="XEQ201" s="0"/>
      <c r="XER201" s="0"/>
      <c r="XES201" s="0"/>
      <c r="XET201" s="0"/>
      <c r="XEU201" s="0"/>
      <c r="XEV201" s="0"/>
      <c r="XEW201" s="0"/>
      <c r="XEX201" s="0"/>
      <c r="XEY201" s="0"/>
      <c r="XEZ201" s="0"/>
      <c r="XFA201" s="0"/>
      <c r="XFB201" s="0"/>
      <c r="XFC201" s="0"/>
    </row>
    <row r="202" s="43" customFormat="true" ht="73.5" hidden="false" customHeight="true" outlineLevel="0" collapsed="false">
      <c r="A202" s="205" t="n">
        <v>196</v>
      </c>
      <c r="B202" s="206" t="s">
        <v>893</v>
      </c>
      <c r="C202" s="207" t="s">
        <v>616</v>
      </c>
      <c r="D202" s="208" t="n">
        <v>43.6</v>
      </c>
      <c r="XDE202" s="0"/>
      <c r="XDF202" s="0"/>
      <c r="XDG202" s="0"/>
      <c r="XDH202" s="0"/>
      <c r="XDI202" s="0"/>
      <c r="XDJ202" s="0"/>
      <c r="XDK202" s="0"/>
      <c r="XDL202" s="0"/>
      <c r="XDM202" s="0"/>
      <c r="XDN202" s="0"/>
      <c r="XDO202" s="0"/>
      <c r="XDP202" s="0"/>
      <c r="XDQ202" s="0"/>
      <c r="XDR202" s="0"/>
      <c r="XDS202" s="0"/>
      <c r="XDT202" s="0"/>
      <c r="XDU202" s="0"/>
      <c r="XDV202" s="0"/>
      <c r="XDW202" s="0"/>
      <c r="XDX202" s="0"/>
      <c r="XDY202" s="0"/>
      <c r="XDZ202" s="0"/>
      <c r="XEA202" s="0"/>
      <c r="XEB202" s="0"/>
      <c r="XEC202" s="0"/>
      <c r="XED202" s="0"/>
      <c r="XEE202" s="0"/>
      <c r="XEF202" s="0"/>
      <c r="XEG202" s="0"/>
      <c r="XEH202" s="0"/>
      <c r="XEI202" s="0"/>
      <c r="XEJ202" s="0"/>
      <c r="XEK202" s="0"/>
      <c r="XEL202" s="0"/>
      <c r="XEM202" s="0"/>
      <c r="XEN202" s="0"/>
      <c r="XEO202" s="0"/>
      <c r="XEP202" s="0"/>
      <c r="XEQ202" s="0"/>
      <c r="XER202" s="0"/>
      <c r="XES202" s="0"/>
      <c r="XET202" s="0"/>
      <c r="XEU202" s="0"/>
      <c r="XEV202" s="0"/>
      <c r="XEW202" s="0"/>
      <c r="XEX202" s="0"/>
      <c r="XEY202" s="0"/>
      <c r="XEZ202" s="0"/>
      <c r="XFA202" s="0"/>
      <c r="XFB202" s="0"/>
      <c r="XFC202" s="0"/>
    </row>
    <row r="203" s="43" customFormat="true" ht="73.5" hidden="false" customHeight="true" outlineLevel="0" collapsed="false">
      <c r="A203" s="205" t="n">
        <v>197</v>
      </c>
      <c r="B203" s="206" t="s">
        <v>894</v>
      </c>
      <c r="C203" s="207" t="s">
        <v>616</v>
      </c>
      <c r="D203" s="208" t="n">
        <f aca="false">26.4+2.4</f>
        <v>28.8</v>
      </c>
      <c r="XDE203" s="0"/>
      <c r="XDF203" s="0"/>
      <c r="XDG203" s="0"/>
      <c r="XDH203" s="0"/>
      <c r="XDI203" s="0"/>
      <c r="XDJ203" s="0"/>
      <c r="XDK203" s="0"/>
      <c r="XDL203" s="0"/>
      <c r="XDM203" s="0"/>
      <c r="XDN203" s="0"/>
      <c r="XDO203" s="0"/>
      <c r="XDP203" s="0"/>
      <c r="XDQ203" s="0"/>
      <c r="XDR203" s="0"/>
      <c r="XDS203" s="0"/>
      <c r="XDT203" s="0"/>
      <c r="XDU203" s="0"/>
      <c r="XDV203" s="0"/>
      <c r="XDW203" s="0"/>
      <c r="XDX203" s="0"/>
      <c r="XDY203" s="0"/>
      <c r="XDZ203" s="0"/>
      <c r="XEA203" s="0"/>
      <c r="XEB203" s="0"/>
      <c r="XEC203" s="0"/>
      <c r="XED203" s="0"/>
      <c r="XEE203" s="0"/>
      <c r="XEF203" s="0"/>
      <c r="XEG203" s="0"/>
      <c r="XEH203" s="0"/>
      <c r="XEI203" s="0"/>
      <c r="XEJ203" s="0"/>
      <c r="XEK203" s="0"/>
      <c r="XEL203" s="0"/>
      <c r="XEM203" s="0"/>
      <c r="XEN203" s="0"/>
      <c r="XEO203" s="0"/>
      <c r="XEP203" s="0"/>
      <c r="XEQ203" s="0"/>
      <c r="XER203" s="0"/>
      <c r="XES203" s="0"/>
      <c r="XET203" s="0"/>
      <c r="XEU203" s="0"/>
      <c r="XEV203" s="0"/>
      <c r="XEW203" s="0"/>
      <c r="XEX203" s="0"/>
      <c r="XEY203" s="0"/>
      <c r="XEZ203" s="0"/>
      <c r="XFA203" s="0"/>
      <c r="XFB203" s="0"/>
      <c r="XFC203" s="0"/>
    </row>
    <row r="204" s="43" customFormat="true" ht="75" hidden="false" customHeight="true" outlineLevel="0" collapsed="false">
      <c r="A204" s="205" t="n">
        <v>198</v>
      </c>
      <c r="B204" s="206" t="s">
        <v>895</v>
      </c>
      <c r="C204" s="207" t="s">
        <v>616</v>
      </c>
      <c r="D204" s="208" t="n">
        <v>10</v>
      </c>
      <c r="XDE204" s="0"/>
      <c r="XDF204" s="0"/>
      <c r="XDG204" s="0"/>
      <c r="XDH204" s="0"/>
      <c r="XDI204" s="0"/>
      <c r="XDJ204" s="0"/>
      <c r="XDK204" s="0"/>
      <c r="XDL204" s="0"/>
      <c r="XDM204" s="0"/>
      <c r="XDN204" s="0"/>
      <c r="XDO204" s="0"/>
      <c r="XDP204" s="0"/>
      <c r="XDQ204" s="0"/>
      <c r="XDR204" s="0"/>
      <c r="XDS204" s="0"/>
      <c r="XDT204" s="0"/>
      <c r="XDU204" s="0"/>
      <c r="XDV204" s="0"/>
      <c r="XDW204" s="0"/>
      <c r="XDX204" s="0"/>
      <c r="XDY204" s="0"/>
      <c r="XDZ204" s="0"/>
      <c r="XEA204" s="0"/>
      <c r="XEB204" s="0"/>
      <c r="XEC204" s="0"/>
      <c r="XED204" s="0"/>
      <c r="XEE204" s="0"/>
      <c r="XEF204" s="0"/>
      <c r="XEG204" s="0"/>
      <c r="XEH204" s="0"/>
      <c r="XEI204" s="0"/>
      <c r="XEJ204" s="0"/>
      <c r="XEK204" s="0"/>
      <c r="XEL204" s="0"/>
      <c r="XEM204" s="0"/>
      <c r="XEN204" s="0"/>
      <c r="XEO204" s="0"/>
      <c r="XEP204" s="0"/>
      <c r="XEQ204" s="0"/>
      <c r="XER204" s="0"/>
      <c r="XES204" s="0"/>
      <c r="XET204" s="0"/>
      <c r="XEU204" s="0"/>
      <c r="XEV204" s="0"/>
      <c r="XEW204" s="0"/>
      <c r="XEX204" s="0"/>
      <c r="XEY204" s="0"/>
      <c r="XEZ204" s="0"/>
      <c r="XFA204" s="0"/>
      <c r="XFB204" s="0"/>
      <c r="XFC204" s="0"/>
    </row>
    <row r="205" s="43" customFormat="true" ht="73.5" hidden="false" customHeight="true" outlineLevel="0" collapsed="false">
      <c r="A205" s="205" t="n">
        <v>199</v>
      </c>
      <c r="B205" s="206" t="s">
        <v>896</v>
      </c>
      <c r="C205" s="207" t="s">
        <v>616</v>
      </c>
      <c r="D205" s="208" t="n">
        <v>1</v>
      </c>
      <c r="XDE205" s="0"/>
      <c r="XDF205" s="0"/>
      <c r="XDG205" s="0"/>
      <c r="XDH205" s="0"/>
      <c r="XDI205" s="0"/>
      <c r="XDJ205" s="0"/>
      <c r="XDK205" s="0"/>
      <c r="XDL205" s="0"/>
      <c r="XDM205" s="0"/>
      <c r="XDN205" s="0"/>
      <c r="XDO205" s="0"/>
      <c r="XDP205" s="0"/>
      <c r="XDQ205" s="0"/>
      <c r="XDR205" s="0"/>
      <c r="XDS205" s="0"/>
      <c r="XDT205" s="0"/>
      <c r="XDU205" s="0"/>
      <c r="XDV205" s="0"/>
      <c r="XDW205" s="0"/>
      <c r="XDX205" s="0"/>
      <c r="XDY205" s="0"/>
      <c r="XDZ205" s="0"/>
      <c r="XEA205" s="0"/>
      <c r="XEB205" s="0"/>
      <c r="XEC205" s="0"/>
      <c r="XED205" s="0"/>
      <c r="XEE205" s="0"/>
      <c r="XEF205" s="0"/>
      <c r="XEG205" s="0"/>
      <c r="XEH205" s="0"/>
      <c r="XEI205" s="0"/>
      <c r="XEJ205" s="0"/>
      <c r="XEK205" s="0"/>
      <c r="XEL205" s="0"/>
      <c r="XEM205" s="0"/>
      <c r="XEN205" s="0"/>
      <c r="XEO205" s="0"/>
      <c r="XEP205" s="0"/>
      <c r="XEQ205" s="0"/>
      <c r="XER205" s="0"/>
      <c r="XES205" s="0"/>
      <c r="XET205" s="0"/>
      <c r="XEU205" s="0"/>
      <c r="XEV205" s="0"/>
      <c r="XEW205" s="0"/>
      <c r="XEX205" s="0"/>
      <c r="XEY205" s="0"/>
      <c r="XEZ205" s="0"/>
      <c r="XFA205" s="0"/>
      <c r="XFB205" s="0"/>
      <c r="XFC205" s="0"/>
    </row>
    <row r="206" s="43" customFormat="true" ht="73.5" hidden="false" customHeight="true" outlineLevel="0" collapsed="false">
      <c r="A206" s="205" t="n">
        <v>200</v>
      </c>
      <c r="B206" s="206" t="s">
        <v>897</v>
      </c>
      <c r="C206" s="207" t="s">
        <v>616</v>
      </c>
      <c r="D206" s="208" t="n">
        <v>2</v>
      </c>
      <c r="XDE206" s="0"/>
      <c r="XDF206" s="0"/>
      <c r="XDG206" s="0"/>
      <c r="XDH206" s="0"/>
      <c r="XDI206" s="0"/>
      <c r="XDJ206" s="0"/>
      <c r="XDK206" s="0"/>
      <c r="XDL206" s="0"/>
      <c r="XDM206" s="0"/>
      <c r="XDN206" s="0"/>
      <c r="XDO206" s="0"/>
      <c r="XDP206" s="0"/>
      <c r="XDQ206" s="0"/>
      <c r="XDR206" s="0"/>
      <c r="XDS206" s="0"/>
      <c r="XDT206" s="0"/>
      <c r="XDU206" s="0"/>
      <c r="XDV206" s="0"/>
      <c r="XDW206" s="0"/>
      <c r="XDX206" s="0"/>
      <c r="XDY206" s="0"/>
      <c r="XDZ206" s="0"/>
      <c r="XEA206" s="0"/>
      <c r="XEB206" s="0"/>
      <c r="XEC206" s="0"/>
      <c r="XED206" s="0"/>
      <c r="XEE206" s="0"/>
      <c r="XEF206" s="0"/>
      <c r="XEG206" s="0"/>
      <c r="XEH206" s="0"/>
      <c r="XEI206" s="0"/>
      <c r="XEJ206" s="0"/>
      <c r="XEK206" s="0"/>
      <c r="XEL206" s="0"/>
      <c r="XEM206" s="0"/>
      <c r="XEN206" s="0"/>
      <c r="XEO206" s="0"/>
      <c r="XEP206" s="0"/>
      <c r="XEQ206" s="0"/>
      <c r="XER206" s="0"/>
      <c r="XES206" s="0"/>
      <c r="XET206" s="0"/>
      <c r="XEU206" s="0"/>
      <c r="XEV206" s="0"/>
      <c r="XEW206" s="0"/>
      <c r="XEX206" s="0"/>
      <c r="XEY206" s="0"/>
      <c r="XEZ206" s="0"/>
      <c r="XFA206" s="0"/>
      <c r="XFB206" s="0"/>
      <c r="XFC206" s="0"/>
    </row>
    <row r="207" s="43" customFormat="true" ht="73.5" hidden="false" customHeight="true" outlineLevel="0" collapsed="false">
      <c r="A207" s="205" t="n">
        <v>201</v>
      </c>
      <c r="B207" s="206" t="s">
        <v>898</v>
      </c>
      <c r="C207" s="207" t="s">
        <v>616</v>
      </c>
      <c r="D207" s="208" t="n">
        <v>0.5</v>
      </c>
      <c r="XDE207" s="0"/>
      <c r="XDF207" s="0"/>
      <c r="XDG207" s="0"/>
      <c r="XDH207" s="0"/>
      <c r="XDI207" s="0"/>
      <c r="XDJ207" s="0"/>
      <c r="XDK207" s="0"/>
      <c r="XDL207" s="0"/>
      <c r="XDM207" s="0"/>
      <c r="XDN207" s="0"/>
      <c r="XDO207" s="0"/>
      <c r="XDP207" s="0"/>
      <c r="XDQ207" s="0"/>
      <c r="XDR207" s="0"/>
      <c r="XDS207" s="0"/>
      <c r="XDT207" s="0"/>
      <c r="XDU207" s="0"/>
      <c r="XDV207" s="0"/>
      <c r="XDW207" s="0"/>
      <c r="XDX207" s="0"/>
      <c r="XDY207" s="0"/>
      <c r="XDZ207" s="0"/>
      <c r="XEA207" s="0"/>
      <c r="XEB207" s="0"/>
      <c r="XEC207" s="0"/>
      <c r="XED207" s="0"/>
      <c r="XEE207" s="0"/>
      <c r="XEF207" s="0"/>
      <c r="XEG207" s="0"/>
      <c r="XEH207" s="0"/>
      <c r="XEI207" s="0"/>
      <c r="XEJ207" s="0"/>
      <c r="XEK207" s="0"/>
      <c r="XEL207" s="0"/>
      <c r="XEM207" s="0"/>
      <c r="XEN207" s="0"/>
      <c r="XEO207" s="0"/>
      <c r="XEP207" s="0"/>
      <c r="XEQ207" s="0"/>
      <c r="XER207" s="0"/>
      <c r="XES207" s="0"/>
      <c r="XET207" s="0"/>
      <c r="XEU207" s="0"/>
      <c r="XEV207" s="0"/>
      <c r="XEW207" s="0"/>
      <c r="XEX207" s="0"/>
      <c r="XEY207" s="0"/>
      <c r="XEZ207" s="0"/>
      <c r="XFA207" s="0"/>
      <c r="XFB207" s="0"/>
      <c r="XFC207" s="0"/>
    </row>
    <row r="208" s="43" customFormat="true" ht="73.5" hidden="false" customHeight="true" outlineLevel="0" collapsed="false">
      <c r="A208" s="205" t="n">
        <v>202</v>
      </c>
      <c r="B208" s="206" t="s">
        <v>899</v>
      </c>
      <c r="C208" s="207" t="s">
        <v>616</v>
      </c>
      <c r="D208" s="208" t="n">
        <v>0.8</v>
      </c>
      <c r="XDE208" s="0"/>
      <c r="XDF208" s="0"/>
      <c r="XDG208" s="0"/>
      <c r="XDH208" s="0"/>
      <c r="XDI208" s="0"/>
      <c r="XDJ208" s="0"/>
      <c r="XDK208" s="0"/>
      <c r="XDL208" s="0"/>
      <c r="XDM208" s="0"/>
      <c r="XDN208" s="0"/>
      <c r="XDO208" s="0"/>
      <c r="XDP208" s="0"/>
      <c r="XDQ208" s="0"/>
      <c r="XDR208" s="0"/>
      <c r="XDS208" s="0"/>
      <c r="XDT208" s="0"/>
      <c r="XDU208" s="0"/>
      <c r="XDV208" s="0"/>
      <c r="XDW208" s="0"/>
      <c r="XDX208" s="0"/>
      <c r="XDY208" s="0"/>
      <c r="XDZ208" s="0"/>
      <c r="XEA208" s="0"/>
      <c r="XEB208" s="0"/>
      <c r="XEC208" s="0"/>
      <c r="XED208" s="0"/>
      <c r="XEE208" s="0"/>
      <c r="XEF208" s="0"/>
      <c r="XEG208" s="0"/>
      <c r="XEH208" s="0"/>
      <c r="XEI208" s="0"/>
      <c r="XEJ208" s="0"/>
      <c r="XEK208" s="0"/>
      <c r="XEL208" s="0"/>
      <c r="XEM208" s="0"/>
      <c r="XEN208" s="0"/>
      <c r="XEO208" s="0"/>
      <c r="XEP208" s="0"/>
      <c r="XEQ208" s="0"/>
      <c r="XER208" s="0"/>
      <c r="XES208" s="0"/>
      <c r="XET208" s="0"/>
      <c r="XEU208" s="0"/>
      <c r="XEV208" s="0"/>
      <c r="XEW208" s="0"/>
      <c r="XEX208" s="0"/>
      <c r="XEY208" s="0"/>
      <c r="XEZ208" s="0"/>
      <c r="XFA208" s="0"/>
      <c r="XFB208" s="0"/>
      <c r="XFC208" s="0"/>
    </row>
    <row r="209" s="43" customFormat="true" ht="73.5" hidden="false" customHeight="true" outlineLevel="0" collapsed="false">
      <c r="A209" s="205" t="n">
        <v>203</v>
      </c>
      <c r="B209" s="206" t="s">
        <v>900</v>
      </c>
      <c r="C209" s="207" t="s">
        <v>616</v>
      </c>
      <c r="D209" s="208" t="n">
        <v>2.4</v>
      </c>
      <c r="XDE209" s="0"/>
      <c r="XDF209" s="0"/>
      <c r="XDG209" s="0"/>
      <c r="XDH209" s="0"/>
      <c r="XDI209" s="0"/>
      <c r="XDJ209" s="0"/>
      <c r="XDK209" s="0"/>
      <c r="XDL209" s="0"/>
      <c r="XDM209" s="0"/>
      <c r="XDN209" s="0"/>
      <c r="XDO209" s="0"/>
      <c r="XDP209" s="0"/>
      <c r="XDQ209" s="0"/>
      <c r="XDR209" s="0"/>
      <c r="XDS209" s="0"/>
      <c r="XDT209" s="0"/>
      <c r="XDU209" s="0"/>
      <c r="XDV209" s="0"/>
      <c r="XDW209" s="0"/>
      <c r="XDX209" s="0"/>
      <c r="XDY209" s="0"/>
      <c r="XDZ209" s="0"/>
      <c r="XEA209" s="0"/>
      <c r="XEB209" s="0"/>
      <c r="XEC209" s="0"/>
      <c r="XED209" s="0"/>
      <c r="XEE209" s="0"/>
      <c r="XEF209" s="0"/>
      <c r="XEG209" s="0"/>
      <c r="XEH209" s="0"/>
      <c r="XEI209" s="0"/>
      <c r="XEJ209" s="0"/>
      <c r="XEK209" s="0"/>
      <c r="XEL209" s="0"/>
      <c r="XEM209" s="0"/>
      <c r="XEN209" s="0"/>
      <c r="XEO209" s="0"/>
      <c r="XEP209" s="0"/>
      <c r="XEQ209" s="0"/>
      <c r="XER209" s="0"/>
      <c r="XES209" s="0"/>
      <c r="XET209" s="0"/>
      <c r="XEU209" s="0"/>
      <c r="XEV209" s="0"/>
      <c r="XEW209" s="0"/>
      <c r="XEX209" s="0"/>
      <c r="XEY209" s="0"/>
      <c r="XEZ209" s="0"/>
      <c r="XFA209" s="0"/>
      <c r="XFB209" s="0"/>
      <c r="XFC209" s="0"/>
    </row>
    <row r="210" s="43" customFormat="true" ht="73.5" hidden="false" customHeight="true" outlineLevel="0" collapsed="false">
      <c r="A210" s="205" t="n">
        <v>204</v>
      </c>
      <c r="B210" s="206" t="s">
        <v>901</v>
      </c>
      <c r="C210" s="207" t="s">
        <v>679</v>
      </c>
      <c r="D210" s="208" t="n">
        <v>108</v>
      </c>
      <c r="XDE210" s="0"/>
      <c r="XDF210" s="0"/>
      <c r="XDG210" s="0"/>
      <c r="XDH210" s="0"/>
      <c r="XDI210" s="0"/>
      <c r="XDJ210" s="0"/>
      <c r="XDK210" s="0"/>
      <c r="XDL210" s="0"/>
      <c r="XDM210" s="0"/>
      <c r="XDN210" s="0"/>
      <c r="XDO210" s="0"/>
      <c r="XDP210" s="0"/>
      <c r="XDQ210" s="0"/>
      <c r="XDR210" s="0"/>
      <c r="XDS210" s="0"/>
      <c r="XDT210" s="0"/>
      <c r="XDU210" s="0"/>
      <c r="XDV210" s="0"/>
      <c r="XDW210" s="0"/>
      <c r="XDX210" s="0"/>
      <c r="XDY210" s="0"/>
      <c r="XDZ210" s="0"/>
      <c r="XEA210" s="0"/>
      <c r="XEB210" s="0"/>
      <c r="XEC210" s="0"/>
      <c r="XED210" s="0"/>
      <c r="XEE210" s="0"/>
      <c r="XEF210" s="0"/>
      <c r="XEG210" s="0"/>
      <c r="XEH210" s="0"/>
      <c r="XEI210" s="0"/>
      <c r="XEJ210" s="0"/>
      <c r="XEK210" s="0"/>
      <c r="XEL210" s="0"/>
      <c r="XEM210" s="0"/>
      <c r="XEN210" s="0"/>
      <c r="XEO210" s="0"/>
      <c r="XEP210" s="0"/>
      <c r="XEQ210" s="0"/>
      <c r="XER210" s="0"/>
      <c r="XES210" s="0"/>
      <c r="XET210" s="0"/>
      <c r="XEU210" s="0"/>
      <c r="XEV210" s="0"/>
      <c r="XEW210" s="0"/>
      <c r="XEX210" s="0"/>
      <c r="XEY210" s="0"/>
      <c r="XEZ210" s="0"/>
      <c r="XFA210" s="0"/>
      <c r="XFB210" s="0"/>
      <c r="XFC210" s="0"/>
    </row>
    <row r="211" s="43" customFormat="true" ht="73.5" hidden="false" customHeight="true" outlineLevel="0" collapsed="false">
      <c r="A211" s="205" t="n">
        <v>205</v>
      </c>
      <c r="B211" s="206" t="s">
        <v>902</v>
      </c>
      <c r="C211" s="207" t="s">
        <v>679</v>
      </c>
      <c r="D211" s="208" t="n">
        <v>144</v>
      </c>
      <c r="XDE211" s="0"/>
      <c r="XDF211" s="0"/>
      <c r="XDG211" s="0"/>
      <c r="XDH211" s="0"/>
      <c r="XDI211" s="0"/>
      <c r="XDJ211" s="0"/>
      <c r="XDK211" s="0"/>
      <c r="XDL211" s="0"/>
      <c r="XDM211" s="0"/>
      <c r="XDN211" s="0"/>
      <c r="XDO211" s="0"/>
      <c r="XDP211" s="0"/>
      <c r="XDQ211" s="0"/>
      <c r="XDR211" s="0"/>
      <c r="XDS211" s="0"/>
      <c r="XDT211" s="0"/>
      <c r="XDU211" s="0"/>
      <c r="XDV211" s="0"/>
      <c r="XDW211" s="0"/>
      <c r="XDX211" s="0"/>
      <c r="XDY211" s="0"/>
      <c r="XDZ211" s="0"/>
      <c r="XEA211" s="0"/>
      <c r="XEB211" s="0"/>
      <c r="XEC211" s="0"/>
      <c r="XED211" s="0"/>
      <c r="XEE211" s="0"/>
      <c r="XEF211" s="0"/>
      <c r="XEG211" s="0"/>
      <c r="XEH211" s="0"/>
      <c r="XEI211" s="0"/>
      <c r="XEJ211" s="0"/>
      <c r="XEK211" s="0"/>
      <c r="XEL211" s="0"/>
      <c r="XEM211" s="0"/>
      <c r="XEN211" s="0"/>
      <c r="XEO211" s="0"/>
      <c r="XEP211" s="0"/>
      <c r="XEQ211" s="0"/>
      <c r="XER211" s="0"/>
      <c r="XES211" s="0"/>
      <c r="XET211" s="0"/>
      <c r="XEU211" s="0"/>
      <c r="XEV211" s="0"/>
      <c r="XEW211" s="0"/>
      <c r="XEX211" s="0"/>
      <c r="XEY211" s="0"/>
      <c r="XEZ211" s="0"/>
      <c r="XFA211" s="0"/>
      <c r="XFB211" s="0"/>
      <c r="XFC211" s="0"/>
    </row>
    <row r="212" s="43" customFormat="true" ht="73.5" hidden="false" customHeight="true" outlineLevel="0" collapsed="false">
      <c r="A212" s="205" t="n">
        <v>206</v>
      </c>
      <c r="B212" s="206" t="s">
        <v>903</v>
      </c>
      <c r="C212" s="207" t="s">
        <v>616</v>
      </c>
      <c r="D212" s="208" t="n">
        <f aca="false">5.2+12.8</f>
        <v>18</v>
      </c>
      <c r="XDE212" s="0"/>
      <c r="XDF212" s="0"/>
      <c r="XDG212" s="0"/>
      <c r="XDH212" s="0"/>
      <c r="XDI212" s="0"/>
      <c r="XDJ212" s="0"/>
      <c r="XDK212" s="0"/>
      <c r="XDL212" s="0"/>
      <c r="XDM212" s="0"/>
      <c r="XDN212" s="0"/>
      <c r="XDO212" s="0"/>
      <c r="XDP212" s="0"/>
      <c r="XDQ212" s="0"/>
      <c r="XDR212" s="0"/>
      <c r="XDS212" s="0"/>
      <c r="XDT212" s="0"/>
      <c r="XDU212" s="0"/>
      <c r="XDV212" s="0"/>
      <c r="XDW212" s="0"/>
      <c r="XDX212" s="0"/>
      <c r="XDY212" s="0"/>
      <c r="XDZ212" s="0"/>
      <c r="XEA212" s="0"/>
      <c r="XEB212" s="0"/>
      <c r="XEC212" s="0"/>
      <c r="XED212" s="0"/>
      <c r="XEE212" s="0"/>
      <c r="XEF212" s="0"/>
      <c r="XEG212" s="0"/>
      <c r="XEH212" s="0"/>
      <c r="XEI212" s="0"/>
      <c r="XEJ212" s="0"/>
      <c r="XEK212" s="0"/>
      <c r="XEL212" s="0"/>
      <c r="XEM212" s="0"/>
      <c r="XEN212" s="0"/>
      <c r="XEO212" s="0"/>
      <c r="XEP212" s="0"/>
      <c r="XEQ212" s="0"/>
      <c r="XER212" s="0"/>
      <c r="XES212" s="0"/>
      <c r="XET212" s="0"/>
      <c r="XEU212" s="0"/>
      <c r="XEV212" s="0"/>
      <c r="XEW212" s="0"/>
      <c r="XEX212" s="0"/>
      <c r="XEY212" s="0"/>
      <c r="XEZ212" s="0"/>
      <c r="XFA212" s="0"/>
      <c r="XFB212" s="0"/>
      <c r="XFC212" s="0"/>
    </row>
    <row r="213" s="43" customFormat="true" ht="73.5" hidden="false" customHeight="true" outlineLevel="0" collapsed="false">
      <c r="A213" s="205" t="n">
        <v>207</v>
      </c>
      <c r="B213" s="206" t="s">
        <v>904</v>
      </c>
      <c r="C213" s="207" t="s">
        <v>616</v>
      </c>
      <c r="D213" s="208" t="n">
        <v>14.4</v>
      </c>
      <c r="XDE213" s="0"/>
      <c r="XDF213" s="0"/>
      <c r="XDG213" s="0"/>
      <c r="XDH213" s="0"/>
      <c r="XDI213" s="0"/>
      <c r="XDJ213" s="0"/>
      <c r="XDK213" s="0"/>
      <c r="XDL213" s="0"/>
      <c r="XDM213" s="0"/>
      <c r="XDN213" s="0"/>
      <c r="XDO213" s="0"/>
      <c r="XDP213" s="0"/>
      <c r="XDQ213" s="0"/>
      <c r="XDR213" s="0"/>
      <c r="XDS213" s="0"/>
      <c r="XDT213" s="0"/>
      <c r="XDU213" s="0"/>
      <c r="XDV213" s="0"/>
      <c r="XDW213" s="0"/>
      <c r="XDX213" s="0"/>
      <c r="XDY213" s="0"/>
      <c r="XDZ213" s="0"/>
      <c r="XEA213" s="0"/>
      <c r="XEB213" s="0"/>
      <c r="XEC213" s="0"/>
      <c r="XED213" s="0"/>
      <c r="XEE213" s="0"/>
      <c r="XEF213" s="0"/>
      <c r="XEG213" s="0"/>
      <c r="XEH213" s="0"/>
      <c r="XEI213" s="0"/>
      <c r="XEJ213" s="0"/>
      <c r="XEK213" s="0"/>
      <c r="XEL213" s="0"/>
      <c r="XEM213" s="0"/>
      <c r="XEN213" s="0"/>
      <c r="XEO213" s="0"/>
      <c r="XEP213" s="0"/>
      <c r="XEQ213" s="0"/>
      <c r="XER213" s="0"/>
      <c r="XES213" s="0"/>
      <c r="XET213" s="0"/>
      <c r="XEU213" s="0"/>
      <c r="XEV213" s="0"/>
      <c r="XEW213" s="0"/>
      <c r="XEX213" s="0"/>
      <c r="XEY213" s="0"/>
      <c r="XEZ213" s="0"/>
      <c r="XFA213" s="0"/>
      <c r="XFB213" s="0"/>
      <c r="XFC213" s="0"/>
    </row>
    <row r="214" s="43" customFormat="true" ht="73.5" hidden="false" customHeight="true" outlineLevel="0" collapsed="false">
      <c r="A214" s="205" t="n">
        <v>208</v>
      </c>
      <c r="B214" s="206" t="s">
        <v>905</v>
      </c>
      <c r="C214" s="207" t="s">
        <v>616</v>
      </c>
      <c r="D214" s="208" t="n">
        <v>166.4</v>
      </c>
      <c r="XDE214" s="0"/>
      <c r="XDF214" s="0"/>
      <c r="XDG214" s="0"/>
      <c r="XDH214" s="0"/>
      <c r="XDI214" s="0"/>
      <c r="XDJ214" s="0"/>
      <c r="XDK214" s="0"/>
      <c r="XDL214" s="0"/>
      <c r="XDM214" s="0"/>
      <c r="XDN214" s="0"/>
      <c r="XDO214" s="0"/>
      <c r="XDP214" s="0"/>
      <c r="XDQ214" s="0"/>
      <c r="XDR214" s="0"/>
      <c r="XDS214" s="0"/>
      <c r="XDT214" s="0"/>
      <c r="XDU214" s="0"/>
      <c r="XDV214" s="0"/>
      <c r="XDW214" s="0"/>
      <c r="XDX214" s="0"/>
      <c r="XDY214" s="0"/>
      <c r="XDZ214" s="0"/>
      <c r="XEA214" s="0"/>
      <c r="XEB214" s="0"/>
      <c r="XEC214" s="0"/>
      <c r="XED214" s="0"/>
      <c r="XEE214" s="0"/>
      <c r="XEF214" s="0"/>
      <c r="XEG214" s="0"/>
      <c r="XEH214" s="0"/>
      <c r="XEI214" s="0"/>
      <c r="XEJ214" s="0"/>
      <c r="XEK214" s="0"/>
      <c r="XEL214" s="0"/>
      <c r="XEM214" s="0"/>
      <c r="XEN214" s="0"/>
      <c r="XEO214" s="0"/>
      <c r="XEP214" s="0"/>
      <c r="XEQ214" s="0"/>
      <c r="XER214" s="0"/>
      <c r="XES214" s="0"/>
      <c r="XET214" s="0"/>
      <c r="XEU214" s="0"/>
      <c r="XEV214" s="0"/>
      <c r="XEW214" s="0"/>
      <c r="XEX214" s="0"/>
      <c r="XEY214" s="0"/>
      <c r="XEZ214" s="0"/>
      <c r="XFA214" s="0"/>
      <c r="XFB214" s="0"/>
      <c r="XFC214" s="0"/>
    </row>
    <row r="215" s="43" customFormat="true" ht="73.5" hidden="false" customHeight="true" outlineLevel="0" collapsed="false">
      <c r="A215" s="205" t="n">
        <v>209</v>
      </c>
      <c r="B215" s="206" t="s">
        <v>906</v>
      </c>
      <c r="C215" s="207" t="s">
        <v>616</v>
      </c>
      <c r="D215" s="208" t="n">
        <v>35.2</v>
      </c>
      <c r="XDE215" s="0"/>
      <c r="XDF215" s="0"/>
      <c r="XDG215" s="0"/>
      <c r="XDH215" s="0"/>
      <c r="XDI215" s="0"/>
      <c r="XDJ215" s="0"/>
      <c r="XDK215" s="0"/>
      <c r="XDL215" s="0"/>
      <c r="XDM215" s="0"/>
      <c r="XDN215" s="0"/>
      <c r="XDO215" s="0"/>
      <c r="XDP215" s="0"/>
      <c r="XDQ215" s="0"/>
      <c r="XDR215" s="0"/>
      <c r="XDS215" s="0"/>
      <c r="XDT215" s="0"/>
      <c r="XDU215" s="0"/>
      <c r="XDV215" s="0"/>
      <c r="XDW215" s="0"/>
      <c r="XDX215" s="0"/>
      <c r="XDY215" s="0"/>
      <c r="XDZ215" s="0"/>
      <c r="XEA215" s="0"/>
      <c r="XEB215" s="0"/>
      <c r="XEC215" s="0"/>
      <c r="XED215" s="0"/>
      <c r="XEE215" s="0"/>
      <c r="XEF215" s="0"/>
      <c r="XEG215" s="0"/>
      <c r="XEH215" s="0"/>
      <c r="XEI215" s="0"/>
      <c r="XEJ215" s="0"/>
      <c r="XEK215" s="0"/>
      <c r="XEL215" s="0"/>
      <c r="XEM215" s="0"/>
      <c r="XEN215" s="0"/>
      <c r="XEO215" s="0"/>
      <c r="XEP215" s="0"/>
      <c r="XEQ215" s="0"/>
      <c r="XER215" s="0"/>
      <c r="XES215" s="0"/>
      <c r="XET215" s="0"/>
      <c r="XEU215" s="0"/>
      <c r="XEV215" s="0"/>
      <c r="XEW215" s="0"/>
      <c r="XEX215" s="0"/>
      <c r="XEY215" s="0"/>
      <c r="XEZ215" s="0"/>
      <c r="XFA215" s="0"/>
      <c r="XFB215" s="0"/>
      <c r="XFC215" s="0"/>
    </row>
    <row r="216" s="43" customFormat="true" ht="73.5" hidden="false" customHeight="true" outlineLevel="0" collapsed="false">
      <c r="A216" s="205" t="n">
        <v>210</v>
      </c>
      <c r="B216" s="206" t="s">
        <v>907</v>
      </c>
      <c r="C216" s="207" t="s">
        <v>679</v>
      </c>
      <c r="D216" s="208" t="n">
        <v>4</v>
      </c>
      <c r="XDE216" s="0"/>
      <c r="XDF216" s="0"/>
      <c r="XDG216" s="0"/>
      <c r="XDH216" s="0"/>
      <c r="XDI216" s="0"/>
      <c r="XDJ216" s="0"/>
      <c r="XDK216" s="0"/>
      <c r="XDL216" s="0"/>
      <c r="XDM216" s="0"/>
      <c r="XDN216" s="0"/>
      <c r="XDO216" s="0"/>
      <c r="XDP216" s="0"/>
      <c r="XDQ216" s="0"/>
      <c r="XDR216" s="0"/>
      <c r="XDS216" s="0"/>
      <c r="XDT216" s="0"/>
      <c r="XDU216" s="0"/>
      <c r="XDV216" s="0"/>
      <c r="XDW216" s="0"/>
      <c r="XDX216" s="0"/>
      <c r="XDY216" s="0"/>
      <c r="XDZ216" s="0"/>
      <c r="XEA216" s="0"/>
      <c r="XEB216" s="0"/>
      <c r="XEC216" s="0"/>
      <c r="XED216" s="0"/>
      <c r="XEE216" s="0"/>
      <c r="XEF216" s="0"/>
      <c r="XEG216" s="0"/>
      <c r="XEH216" s="0"/>
      <c r="XEI216" s="0"/>
      <c r="XEJ216" s="0"/>
      <c r="XEK216" s="0"/>
      <c r="XEL216" s="0"/>
      <c r="XEM216" s="0"/>
      <c r="XEN216" s="0"/>
      <c r="XEO216" s="0"/>
      <c r="XEP216" s="0"/>
      <c r="XEQ216" s="0"/>
      <c r="XER216" s="0"/>
      <c r="XES216" s="0"/>
      <c r="XET216" s="0"/>
      <c r="XEU216" s="0"/>
      <c r="XEV216" s="0"/>
      <c r="XEW216" s="0"/>
      <c r="XEX216" s="0"/>
      <c r="XEY216" s="0"/>
      <c r="XEZ216" s="0"/>
      <c r="XFA216" s="0"/>
      <c r="XFB216" s="0"/>
      <c r="XFC216" s="0"/>
    </row>
    <row r="217" s="43" customFormat="true" ht="93" hidden="false" customHeight="true" outlineLevel="0" collapsed="false">
      <c r="A217" s="205" t="n">
        <v>211</v>
      </c>
      <c r="B217" s="206" t="s">
        <v>908</v>
      </c>
      <c r="C217" s="207" t="s">
        <v>679</v>
      </c>
      <c r="D217" s="208" t="n">
        <v>4</v>
      </c>
      <c r="XDE217" s="0"/>
      <c r="XDF217" s="0"/>
      <c r="XDG217" s="0"/>
      <c r="XDH217" s="0"/>
      <c r="XDI217" s="0"/>
      <c r="XDJ217" s="0"/>
      <c r="XDK217" s="0"/>
      <c r="XDL217" s="0"/>
      <c r="XDM217" s="0"/>
      <c r="XDN217" s="0"/>
      <c r="XDO217" s="0"/>
      <c r="XDP217" s="0"/>
      <c r="XDQ217" s="0"/>
      <c r="XDR217" s="0"/>
      <c r="XDS217" s="0"/>
      <c r="XDT217" s="0"/>
      <c r="XDU217" s="0"/>
      <c r="XDV217" s="0"/>
      <c r="XDW217" s="0"/>
      <c r="XDX217" s="0"/>
      <c r="XDY217" s="0"/>
      <c r="XDZ217" s="0"/>
      <c r="XEA217" s="0"/>
      <c r="XEB217" s="0"/>
      <c r="XEC217" s="0"/>
      <c r="XED217" s="0"/>
      <c r="XEE217" s="0"/>
      <c r="XEF217" s="0"/>
      <c r="XEG217" s="0"/>
      <c r="XEH217" s="0"/>
      <c r="XEI217" s="0"/>
      <c r="XEJ217" s="0"/>
      <c r="XEK217" s="0"/>
      <c r="XEL217" s="0"/>
      <c r="XEM217" s="0"/>
      <c r="XEN217" s="0"/>
      <c r="XEO217" s="0"/>
      <c r="XEP217" s="0"/>
      <c r="XEQ217" s="0"/>
      <c r="XER217" s="0"/>
      <c r="XES217" s="0"/>
      <c r="XET217" s="0"/>
      <c r="XEU217" s="0"/>
      <c r="XEV217" s="0"/>
      <c r="XEW217" s="0"/>
      <c r="XEX217" s="0"/>
      <c r="XEY217" s="0"/>
      <c r="XEZ217" s="0"/>
      <c r="XFA217" s="0"/>
      <c r="XFB217" s="0"/>
      <c r="XFC217" s="0"/>
    </row>
    <row r="218" s="43" customFormat="true" ht="73.5" hidden="false" customHeight="true" outlineLevel="0" collapsed="false">
      <c r="A218" s="205" t="n">
        <v>212</v>
      </c>
      <c r="B218" s="206" t="s">
        <v>909</v>
      </c>
      <c r="C218" s="207" t="s">
        <v>679</v>
      </c>
      <c r="D218" s="208" t="n">
        <v>1</v>
      </c>
      <c r="XDE218" s="0"/>
      <c r="XDF218" s="0"/>
      <c r="XDG218" s="0"/>
      <c r="XDH218" s="0"/>
      <c r="XDI218" s="0"/>
      <c r="XDJ218" s="0"/>
      <c r="XDK218" s="0"/>
      <c r="XDL218" s="0"/>
      <c r="XDM218" s="0"/>
      <c r="XDN218" s="0"/>
      <c r="XDO218" s="0"/>
      <c r="XDP218" s="0"/>
      <c r="XDQ218" s="0"/>
      <c r="XDR218" s="0"/>
      <c r="XDS218" s="0"/>
      <c r="XDT218" s="0"/>
      <c r="XDU218" s="0"/>
      <c r="XDV218" s="0"/>
      <c r="XDW218" s="0"/>
      <c r="XDX218" s="0"/>
      <c r="XDY218" s="0"/>
      <c r="XDZ218" s="0"/>
      <c r="XEA218" s="0"/>
      <c r="XEB218" s="0"/>
      <c r="XEC218" s="0"/>
      <c r="XED218" s="0"/>
      <c r="XEE218" s="0"/>
      <c r="XEF218" s="0"/>
      <c r="XEG218" s="0"/>
      <c r="XEH218" s="0"/>
      <c r="XEI218" s="0"/>
      <c r="XEJ218" s="0"/>
      <c r="XEK218" s="0"/>
      <c r="XEL218" s="0"/>
      <c r="XEM218" s="0"/>
      <c r="XEN218" s="0"/>
      <c r="XEO218" s="0"/>
      <c r="XEP218" s="0"/>
      <c r="XEQ218" s="0"/>
      <c r="XER218" s="0"/>
      <c r="XES218" s="0"/>
      <c r="XET218" s="0"/>
      <c r="XEU218" s="0"/>
      <c r="XEV218" s="0"/>
      <c r="XEW218" s="0"/>
      <c r="XEX218" s="0"/>
      <c r="XEY218" s="0"/>
      <c r="XEZ218" s="0"/>
      <c r="XFA218" s="0"/>
      <c r="XFB218" s="0"/>
      <c r="XFC218" s="0"/>
    </row>
    <row r="219" s="43" customFormat="true" ht="73.5" hidden="false" customHeight="true" outlineLevel="0" collapsed="false">
      <c r="A219" s="205" t="n">
        <v>213</v>
      </c>
      <c r="B219" s="206" t="s">
        <v>910</v>
      </c>
      <c r="C219" s="207" t="s">
        <v>679</v>
      </c>
      <c r="D219" s="208" t="n">
        <v>20</v>
      </c>
      <c r="XDE219" s="0"/>
      <c r="XDF219" s="0"/>
      <c r="XDG219" s="0"/>
      <c r="XDH219" s="0"/>
      <c r="XDI219" s="0"/>
      <c r="XDJ219" s="0"/>
      <c r="XDK219" s="0"/>
      <c r="XDL219" s="0"/>
      <c r="XDM219" s="0"/>
      <c r="XDN219" s="0"/>
      <c r="XDO219" s="0"/>
      <c r="XDP219" s="0"/>
      <c r="XDQ219" s="0"/>
      <c r="XDR219" s="0"/>
      <c r="XDS219" s="0"/>
      <c r="XDT219" s="0"/>
      <c r="XDU219" s="0"/>
      <c r="XDV219" s="0"/>
      <c r="XDW219" s="0"/>
      <c r="XDX219" s="0"/>
      <c r="XDY219" s="0"/>
      <c r="XDZ219" s="0"/>
      <c r="XEA219" s="0"/>
      <c r="XEB219" s="0"/>
      <c r="XEC219" s="0"/>
      <c r="XED219" s="0"/>
      <c r="XEE219" s="0"/>
      <c r="XEF219" s="0"/>
      <c r="XEG219" s="0"/>
      <c r="XEH219" s="0"/>
      <c r="XEI219" s="0"/>
      <c r="XEJ219" s="0"/>
      <c r="XEK219" s="0"/>
      <c r="XEL219" s="0"/>
      <c r="XEM219" s="0"/>
      <c r="XEN219" s="0"/>
      <c r="XEO219" s="0"/>
      <c r="XEP219" s="0"/>
      <c r="XEQ219" s="0"/>
      <c r="XER219" s="0"/>
      <c r="XES219" s="0"/>
      <c r="XET219" s="0"/>
      <c r="XEU219" s="0"/>
      <c r="XEV219" s="0"/>
      <c r="XEW219" s="0"/>
      <c r="XEX219" s="0"/>
      <c r="XEY219" s="0"/>
      <c r="XEZ219" s="0"/>
      <c r="XFA219" s="0"/>
      <c r="XFB219" s="0"/>
      <c r="XFC219" s="0"/>
    </row>
    <row r="220" s="43" customFormat="true" ht="73.5" hidden="false" customHeight="true" outlineLevel="0" collapsed="false">
      <c r="A220" s="205" t="n">
        <v>214</v>
      </c>
      <c r="B220" s="206" t="s">
        <v>911</v>
      </c>
      <c r="C220" s="207" t="s">
        <v>620</v>
      </c>
      <c r="D220" s="208" t="n">
        <v>0.0072</v>
      </c>
      <c r="XDE220" s="0"/>
      <c r="XDF220" s="0"/>
      <c r="XDG220" s="0"/>
      <c r="XDH220" s="0"/>
      <c r="XDI220" s="0"/>
      <c r="XDJ220" s="0"/>
      <c r="XDK220" s="0"/>
      <c r="XDL220" s="0"/>
      <c r="XDM220" s="0"/>
      <c r="XDN220" s="0"/>
      <c r="XDO220" s="0"/>
      <c r="XDP220" s="0"/>
      <c r="XDQ220" s="0"/>
      <c r="XDR220" s="0"/>
      <c r="XDS220" s="0"/>
      <c r="XDT220" s="0"/>
      <c r="XDU220" s="0"/>
      <c r="XDV220" s="0"/>
      <c r="XDW220" s="0"/>
      <c r="XDX220" s="0"/>
      <c r="XDY220" s="0"/>
      <c r="XDZ220" s="0"/>
      <c r="XEA220" s="0"/>
      <c r="XEB220" s="0"/>
      <c r="XEC220" s="0"/>
      <c r="XED220" s="0"/>
      <c r="XEE220" s="0"/>
      <c r="XEF220" s="0"/>
      <c r="XEG220" s="0"/>
      <c r="XEH220" s="0"/>
      <c r="XEI220" s="0"/>
      <c r="XEJ220" s="0"/>
      <c r="XEK220" s="0"/>
      <c r="XEL220" s="0"/>
      <c r="XEM220" s="0"/>
      <c r="XEN220" s="0"/>
      <c r="XEO220" s="0"/>
      <c r="XEP220" s="0"/>
      <c r="XEQ220" s="0"/>
      <c r="XER220" s="0"/>
      <c r="XES220" s="0"/>
      <c r="XET220" s="0"/>
      <c r="XEU220" s="0"/>
      <c r="XEV220" s="0"/>
      <c r="XEW220" s="0"/>
      <c r="XEX220" s="0"/>
      <c r="XEY220" s="0"/>
      <c r="XEZ220" s="0"/>
      <c r="XFA220" s="0"/>
      <c r="XFB220" s="0"/>
      <c r="XFC220" s="0"/>
    </row>
    <row r="221" s="43" customFormat="true" ht="73.5" hidden="false" customHeight="true" outlineLevel="0" collapsed="false">
      <c r="A221" s="205" t="n">
        <v>215</v>
      </c>
      <c r="B221" s="206" t="s">
        <v>912</v>
      </c>
      <c r="C221" s="207" t="s">
        <v>620</v>
      </c>
      <c r="D221" s="208" t="n">
        <v>0.0261</v>
      </c>
      <c r="XDE221" s="0"/>
      <c r="XDF221" s="0"/>
      <c r="XDG221" s="0"/>
      <c r="XDH221" s="0"/>
      <c r="XDI221" s="0"/>
      <c r="XDJ221" s="0"/>
      <c r="XDK221" s="0"/>
      <c r="XDL221" s="0"/>
      <c r="XDM221" s="0"/>
      <c r="XDN221" s="0"/>
      <c r="XDO221" s="0"/>
      <c r="XDP221" s="0"/>
      <c r="XDQ221" s="0"/>
      <c r="XDR221" s="0"/>
      <c r="XDS221" s="0"/>
      <c r="XDT221" s="0"/>
      <c r="XDU221" s="0"/>
      <c r="XDV221" s="0"/>
      <c r="XDW221" s="0"/>
      <c r="XDX221" s="0"/>
      <c r="XDY221" s="0"/>
      <c r="XDZ221" s="0"/>
      <c r="XEA221" s="0"/>
      <c r="XEB221" s="0"/>
      <c r="XEC221" s="0"/>
      <c r="XED221" s="0"/>
      <c r="XEE221" s="0"/>
      <c r="XEF221" s="0"/>
      <c r="XEG221" s="0"/>
      <c r="XEH221" s="0"/>
      <c r="XEI221" s="0"/>
      <c r="XEJ221" s="0"/>
      <c r="XEK221" s="0"/>
      <c r="XEL221" s="0"/>
      <c r="XEM221" s="0"/>
      <c r="XEN221" s="0"/>
      <c r="XEO221" s="0"/>
      <c r="XEP221" s="0"/>
      <c r="XEQ221" s="0"/>
      <c r="XER221" s="0"/>
      <c r="XES221" s="0"/>
      <c r="XET221" s="0"/>
      <c r="XEU221" s="0"/>
      <c r="XEV221" s="0"/>
      <c r="XEW221" s="0"/>
      <c r="XEX221" s="0"/>
      <c r="XEY221" s="0"/>
      <c r="XEZ221" s="0"/>
      <c r="XFA221" s="0"/>
      <c r="XFB221" s="0"/>
      <c r="XFC221" s="0"/>
    </row>
    <row r="222" s="43" customFormat="true" ht="73.5" hidden="false" customHeight="true" outlineLevel="0" collapsed="false">
      <c r="A222" s="205" t="n">
        <v>216</v>
      </c>
      <c r="B222" s="206" t="s">
        <v>913</v>
      </c>
      <c r="C222" s="207" t="s">
        <v>679</v>
      </c>
      <c r="D222" s="208" t="n">
        <v>14</v>
      </c>
      <c r="XDE222" s="0"/>
      <c r="XDF222" s="0"/>
      <c r="XDG222" s="0"/>
      <c r="XDH222" s="0"/>
      <c r="XDI222" s="0"/>
      <c r="XDJ222" s="0"/>
      <c r="XDK222" s="0"/>
      <c r="XDL222" s="0"/>
      <c r="XDM222" s="0"/>
      <c r="XDN222" s="0"/>
      <c r="XDO222" s="0"/>
      <c r="XDP222" s="0"/>
      <c r="XDQ222" s="0"/>
      <c r="XDR222" s="0"/>
      <c r="XDS222" s="0"/>
      <c r="XDT222" s="0"/>
      <c r="XDU222" s="0"/>
      <c r="XDV222" s="0"/>
      <c r="XDW222" s="0"/>
      <c r="XDX222" s="0"/>
      <c r="XDY222" s="0"/>
      <c r="XDZ222" s="0"/>
      <c r="XEA222" s="0"/>
      <c r="XEB222" s="0"/>
      <c r="XEC222" s="0"/>
      <c r="XED222" s="0"/>
      <c r="XEE222" s="0"/>
      <c r="XEF222" s="0"/>
      <c r="XEG222" s="0"/>
      <c r="XEH222" s="0"/>
      <c r="XEI222" s="0"/>
      <c r="XEJ222" s="0"/>
      <c r="XEK222" s="0"/>
      <c r="XEL222" s="0"/>
      <c r="XEM222" s="0"/>
      <c r="XEN222" s="0"/>
      <c r="XEO222" s="0"/>
      <c r="XEP222" s="0"/>
      <c r="XEQ222" s="0"/>
      <c r="XER222" s="0"/>
      <c r="XES222" s="0"/>
      <c r="XET222" s="0"/>
      <c r="XEU222" s="0"/>
      <c r="XEV222" s="0"/>
      <c r="XEW222" s="0"/>
      <c r="XEX222" s="0"/>
      <c r="XEY222" s="0"/>
      <c r="XEZ222" s="0"/>
      <c r="XFA222" s="0"/>
      <c r="XFB222" s="0"/>
      <c r="XFC222" s="0"/>
    </row>
    <row r="223" s="43" customFormat="true" ht="73.5" hidden="false" customHeight="true" outlineLevel="0" collapsed="false">
      <c r="A223" s="205" t="n">
        <v>217</v>
      </c>
      <c r="B223" s="206" t="s">
        <v>914</v>
      </c>
      <c r="C223" s="207" t="s">
        <v>679</v>
      </c>
      <c r="D223" s="208" t="n">
        <v>15</v>
      </c>
      <c r="XDE223" s="0"/>
      <c r="XDF223" s="0"/>
      <c r="XDG223" s="0"/>
      <c r="XDH223" s="0"/>
      <c r="XDI223" s="0"/>
      <c r="XDJ223" s="0"/>
      <c r="XDK223" s="0"/>
      <c r="XDL223" s="0"/>
      <c r="XDM223" s="0"/>
      <c r="XDN223" s="0"/>
      <c r="XDO223" s="0"/>
      <c r="XDP223" s="0"/>
      <c r="XDQ223" s="0"/>
      <c r="XDR223" s="0"/>
      <c r="XDS223" s="0"/>
      <c r="XDT223" s="0"/>
      <c r="XDU223" s="0"/>
      <c r="XDV223" s="0"/>
      <c r="XDW223" s="0"/>
      <c r="XDX223" s="0"/>
      <c r="XDY223" s="0"/>
      <c r="XDZ223" s="0"/>
      <c r="XEA223" s="0"/>
      <c r="XEB223" s="0"/>
      <c r="XEC223" s="0"/>
      <c r="XED223" s="0"/>
      <c r="XEE223" s="0"/>
      <c r="XEF223" s="0"/>
      <c r="XEG223" s="0"/>
      <c r="XEH223" s="0"/>
      <c r="XEI223" s="0"/>
      <c r="XEJ223" s="0"/>
      <c r="XEK223" s="0"/>
      <c r="XEL223" s="0"/>
      <c r="XEM223" s="0"/>
      <c r="XEN223" s="0"/>
      <c r="XEO223" s="0"/>
      <c r="XEP223" s="0"/>
      <c r="XEQ223" s="0"/>
      <c r="XER223" s="0"/>
      <c r="XES223" s="0"/>
      <c r="XET223" s="0"/>
      <c r="XEU223" s="0"/>
      <c r="XEV223" s="0"/>
      <c r="XEW223" s="0"/>
      <c r="XEX223" s="0"/>
      <c r="XEY223" s="0"/>
      <c r="XEZ223" s="0"/>
      <c r="XFA223" s="0"/>
      <c r="XFB223" s="0"/>
      <c r="XFC223" s="0"/>
    </row>
    <row r="224" s="43" customFormat="true" ht="73.5" hidden="false" customHeight="true" outlineLevel="0" collapsed="false">
      <c r="A224" s="205" t="n">
        <v>218</v>
      </c>
      <c r="B224" s="206" t="s">
        <v>915</v>
      </c>
      <c r="C224" s="207" t="s">
        <v>616</v>
      </c>
      <c r="D224" s="208" t="n">
        <v>8.56</v>
      </c>
      <c r="XDE224" s="0"/>
      <c r="XDF224" s="0"/>
      <c r="XDG224" s="0"/>
      <c r="XDH224" s="0"/>
      <c r="XDI224" s="0"/>
      <c r="XDJ224" s="0"/>
      <c r="XDK224" s="0"/>
      <c r="XDL224" s="0"/>
      <c r="XDM224" s="0"/>
      <c r="XDN224" s="0"/>
      <c r="XDO224" s="0"/>
      <c r="XDP224" s="0"/>
      <c r="XDQ224" s="0"/>
      <c r="XDR224" s="0"/>
      <c r="XDS224" s="0"/>
      <c r="XDT224" s="0"/>
      <c r="XDU224" s="0"/>
      <c r="XDV224" s="0"/>
      <c r="XDW224" s="0"/>
      <c r="XDX224" s="0"/>
      <c r="XDY224" s="0"/>
      <c r="XDZ224" s="0"/>
      <c r="XEA224" s="0"/>
      <c r="XEB224" s="0"/>
      <c r="XEC224" s="0"/>
      <c r="XED224" s="0"/>
      <c r="XEE224" s="0"/>
      <c r="XEF224" s="0"/>
      <c r="XEG224" s="0"/>
      <c r="XEH224" s="0"/>
      <c r="XEI224" s="0"/>
      <c r="XEJ224" s="0"/>
      <c r="XEK224" s="0"/>
      <c r="XEL224" s="0"/>
      <c r="XEM224" s="0"/>
      <c r="XEN224" s="0"/>
      <c r="XEO224" s="0"/>
      <c r="XEP224" s="0"/>
      <c r="XEQ224" s="0"/>
      <c r="XER224" s="0"/>
      <c r="XES224" s="0"/>
      <c r="XET224" s="0"/>
      <c r="XEU224" s="0"/>
      <c r="XEV224" s="0"/>
      <c r="XEW224" s="0"/>
      <c r="XEX224" s="0"/>
      <c r="XEY224" s="0"/>
      <c r="XEZ224" s="0"/>
      <c r="XFA224" s="0"/>
      <c r="XFB224" s="0"/>
      <c r="XFC224" s="0"/>
    </row>
    <row r="225" s="43" customFormat="true" ht="73.5" hidden="false" customHeight="true" outlineLevel="0" collapsed="false">
      <c r="A225" s="205" t="n">
        <v>219</v>
      </c>
      <c r="B225" s="206" t="s">
        <v>916</v>
      </c>
      <c r="C225" s="207" t="s">
        <v>616</v>
      </c>
      <c r="D225" s="208" t="n">
        <v>7.2</v>
      </c>
      <c r="XDE225" s="0"/>
      <c r="XDF225" s="0"/>
      <c r="XDG225" s="0"/>
      <c r="XDH225" s="0"/>
      <c r="XDI225" s="0"/>
      <c r="XDJ225" s="0"/>
      <c r="XDK225" s="0"/>
      <c r="XDL225" s="0"/>
      <c r="XDM225" s="0"/>
      <c r="XDN225" s="0"/>
      <c r="XDO225" s="0"/>
      <c r="XDP225" s="0"/>
      <c r="XDQ225" s="0"/>
      <c r="XDR225" s="0"/>
      <c r="XDS225" s="0"/>
      <c r="XDT225" s="0"/>
      <c r="XDU225" s="0"/>
      <c r="XDV225" s="0"/>
      <c r="XDW225" s="0"/>
      <c r="XDX225" s="0"/>
      <c r="XDY225" s="0"/>
      <c r="XDZ225" s="0"/>
      <c r="XEA225" s="0"/>
      <c r="XEB225" s="0"/>
      <c r="XEC225" s="0"/>
      <c r="XED225" s="0"/>
      <c r="XEE225" s="0"/>
      <c r="XEF225" s="0"/>
      <c r="XEG225" s="0"/>
      <c r="XEH225" s="0"/>
      <c r="XEI225" s="0"/>
      <c r="XEJ225" s="0"/>
      <c r="XEK225" s="0"/>
      <c r="XEL225" s="0"/>
      <c r="XEM225" s="0"/>
      <c r="XEN225" s="0"/>
      <c r="XEO225" s="0"/>
      <c r="XEP225" s="0"/>
      <c r="XEQ225" s="0"/>
      <c r="XER225" s="0"/>
      <c r="XES225" s="0"/>
      <c r="XET225" s="0"/>
      <c r="XEU225" s="0"/>
      <c r="XEV225" s="0"/>
      <c r="XEW225" s="0"/>
      <c r="XEX225" s="0"/>
      <c r="XEY225" s="0"/>
      <c r="XEZ225" s="0"/>
      <c r="XFA225" s="0"/>
      <c r="XFB225" s="0"/>
      <c r="XFC225" s="0"/>
    </row>
    <row r="226" s="43" customFormat="true" ht="80.25" hidden="false" customHeight="true" outlineLevel="0" collapsed="false">
      <c r="A226" s="205" t="n">
        <v>220</v>
      </c>
      <c r="B226" s="206" t="s">
        <v>917</v>
      </c>
      <c r="C226" s="207" t="s">
        <v>616</v>
      </c>
      <c r="D226" s="208" t="n">
        <v>15</v>
      </c>
      <c r="XDE226" s="0"/>
      <c r="XDF226" s="0"/>
      <c r="XDG226" s="0"/>
      <c r="XDH226" s="0"/>
      <c r="XDI226" s="0"/>
      <c r="XDJ226" s="0"/>
      <c r="XDK226" s="0"/>
      <c r="XDL226" s="0"/>
      <c r="XDM226" s="0"/>
      <c r="XDN226" s="0"/>
      <c r="XDO226" s="0"/>
      <c r="XDP226" s="0"/>
      <c r="XDQ226" s="0"/>
      <c r="XDR226" s="0"/>
      <c r="XDS226" s="0"/>
      <c r="XDT226" s="0"/>
      <c r="XDU226" s="0"/>
      <c r="XDV226" s="0"/>
      <c r="XDW226" s="0"/>
      <c r="XDX226" s="0"/>
      <c r="XDY226" s="0"/>
      <c r="XDZ226" s="0"/>
      <c r="XEA226" s="0"/>
      <c r="XEB226" s="0"/>
      <c r="XEC226" s="0"/>
      <c r="XED226" s="0"/>
      <c r="XEE226" s="0"/>
      <c r="XEF226" s="0"/>
      <c r="XEG226" s="0"/>
      <c r="XEH226" s="0"/>
      <c r="XEI226" s="0"/>
      <c r="XEJ226" s="0"/>
      <c r="XEK226" s="0"/>
      <c r="XEL226" s="0"/>
      <c r="XEM226" s="0"/>
      <c r="XEN226" s="0"/>
      <c r="XEO226" s="0"/>
      <c r="XEP226" s="0"/>
      <c r="XEQ226" s="0"/>
      <c r="XER226" s="0"/>
      <c r="XES226" s="0"/>
      <c r="XET226" s="0"/>
      <c r="XEU226" s="0"/>
      <c r="XEV226" s="0"/>
      <c r="XEW226" s="0"/>
      <c r="XEX226" s="0"/>
      <c r="XEY226" s="0"/>
      <c r="XEZ226" s="0"/>
      <c r="XFA226" s="0"/>
      <c r="XFB226" s="0"/>
      <c r="XFC226" s="0"/>
    </row>
    <row r="227" s="43" customFormat="true" ht="73.5" hidden="false" customHeight="true" outlineLevel="0" collapsed="false">
      <c r="A227" s="205" t="n">
        <v>221</v>
      </c>
      <c r="B227" s="206" t="s">
        <v>918</v>
      </c>
      <c r="C227" s="207" t="s">
        <v>616</v>
      </c>
      <c r="D227" s="208" t="n">
        <v>30</v>
      </c>
      <c r="XDE227" s="0"/>
      <c r="XDF227" s="0"/>
      <c r="XDG227" s="0"/>
      <c r="XDH227" s="0"/>
      <c r="XDI227" s="0"/>
      <c r="XDJ227" s="0"/>
      <c r="XDK227" s="0"/>
      <c r="XDL227" s="0"/>
      <c r="XDM227" s="0"/>
      <c r="XDN227" s="0"/>
      <c r="XDO227" s="0"/>
      <c r="XDP227" s="0"/>
      <c r="XDQ227" s="0"/>
      <c r="XDR227" s="0"/>
      <c r="XDS227" s="0"/>
      <c r="XDT227" s="0"/>
      <c r="XDU227" s="0"/>
      <c r="XDV227" s="0"/>
      <c r="XDW227" s="0"/>
      <c r="XDX227" s="0"/>
      <c r="XDY227" s="0"/>
      <c r="XDZ227" s="0"/>
      <c r="XEA227" s="0"/>
      <c r="XEB227" s="0"/>
      <c r="XEC227" s="0"/>
      <c r="XED227" s="0"/>
      <c r="XEE227" s="0"/>
      <c r="XEF227" s="0"/>
      <c r="XEG227" s="0"/>
      <c r="XEH227" s="0"/>
      <c r="XEI227" s="0"/>
      <c r="XEJ227" s="0"/>
      <c r="XEK227" s="0"/>
      <c r="XEL227" s="0"/>
      <c r="XEM227" s="0"/>
      <c r="XEN227" s="0"/>
      <c r="XEO227" s="0"/>
      <c r="XEP227" s="0"/>
      <c r="XEQ227" s="0"/>
      <c r="XER227" s="0"/>
      <c r="XES227" s="0"/>
      <c r="XET227" s="0"/>
      <c r="XEU227" s="0"/>
      <c r="XEV227" s="0"/>
      <c r="XEW227" s="0"/>
      <c r="XEX227" s="0"/>
      <c r="XEY227" s="0"/>
      <c r="XEZ227" s="0"/>
      <c r="XFA227" s="0"/>
      <c r="XFB227" s="0"/>
      <c r="XFC227" s="0"/>
    </row>
    <row r="228" s="43" customFormat="true" ht="73.5" hidden="false" customHeight="true" outlineLevel="0" collapsed="false">
      <c r="A228" s="205" t="n">
        <v>222</v>
      </c>
      <c r="B228" s="206" t="s">
        <v>919</v>
      </c>
      <c r="C228" s="207" t="s">
        <v>616</v>
      </c>
      <c r="D228" s="208" t="n">
        <v>120</v>
      </c>
      <c r="XDE228" s="0"/>
      <c r="XDF228" s="0"/>
      <c r="XDG228" s="0"/>
      <c r="XDH228" s="0"/>
      <c r="XDI228" s="0"/>
      <c r="XDJ228" s="0"/>
      <c r="XDK228" s="0"/>
      <c r="XDL228" s="0"/>
      <c r="XDM228" s="0"/>
      <c r="XDN228" s="0"/>
      <c r="XDO228" s="0"/>
      <c r="XDP228" s="0"/>
      <c r="XDQ228" s="0"/>
      <c r="XDR228" s="0"/>
      <c r="XDS228" s="0"/>
      <c r="XDT228" s="0"/>
      <c r="XDU228" s="0"/>
      <c r="XDV228" s="0"/>
      <c r="XDW228" s="0"/>
      <c r="XDX228" s="0"/>
      <c r="XDY228" s="0"/>
      <c r="XDZ228" s="0"/>
      <c r="XEA228" s="0"/>
      <c r="XEB228" s="0"/>
      <c r="XEC228" s="0"/>
      <c r="XED228" s="0"/>
      <c r="XEE228" s="0"/>
      <c r="XEF228" s="0"/>
      <c r="XEG228" s="0"/>
      <c r="XEH228" s="0"/>
      <c r="XEI228" s="0"/>
      <c r="XEJ228" s="0"/>
      <c r="XEK228" s="0"/>
      <c r="XEL228" s="0"/>
      <c r="XEM228" s="0"/>
      <c r="XEN228" s="0"/>
      <c r="XEO228" s="0"/>
      <c r="XEP228" s="0"/>
      <c r="XEQ228" s="0"/>
      <c r="XER228" s="0"/>
      <c r="XES228" s="0"/>
      <c r="XET228" s="0"/>
      <c r="XEU228" s="0"/>
      <c r="XEV228" s="0"/>
      <c r="XEW228" s="0"/>
      <c r="XEX228" s="0"/>
      <c r="XEY228" s="0"/>
      <c r="XEZ228" s="0"/>
      <c r="XFA228" s="0"/>
      <c r="XFB228" s="0"/>
      <c r="XFC228" s="0"/>
    </row>
    <row r="229" s="43" customFormat="true" ht="73.5" hidden="false" customHeight="true" outlineLevel="0" collapsed="false">
      <c r="A229" s="205" t="n">
        <v>223</v>
      </c>
      <c r="B229" s="206" t="s">
        <v>920</v>
      </c>
      <c r="C229" s="207" t="s">
        <v>616</v>
      </c>
      <c r="D229" s="208" t="n">
        <v>21</v>
      </c>
      <c r="XDE229" s="0"/>
      <c r="XDF229" s="0"/>
      <c r="XDG229" s="0"/>
      <c r="XDH229" s="0"/>
      <c r="XDI229" s="0"/>
      <c r="XDJ229" s="0"/>
      <c r="XDK229" s="0"/>
      <c r="XDL229" s="0"/>
      <c r="XDM229" s="0"/>
      <c r="XDN229" s="0"/>
      <c r="XDO229" s="0"/>
      <c r="XDP229" s="0"/>
      <c r="XDQ229" s="0"/>
      <c r="XDR229" s="0"/>
      <c r="XDS229" s="0"/>
      <c r="XDT229" s="0"/>
      <c r="XDU229" s="0"/>
      <c r="XDV229" s="0"/>
      <c r="XDW229" s="0"/>
      <c r="XDX229" s="0"/>
      <c r="XDY229" s="0"/>
      <c r="XDZ229" s="0"/>
      <c r="XEA229" s="0"/>
      <c r="XEB229" s="0"/>
      <c r="XEC229" s="0"/>
      <c r="XED229" s="0"/>
      <c r="XEE229" s="0"/>
      <c r="XEF229" s="0"/>
      <c r="XEG229" s="0"/>
      <c r="XEH229" s="0"/>
      <c r="XEI229" s="0"/>
      <c r="XEJ229" s="0"/>
      <c r="XEK229" s="0"/>
      <c r="XEL229" s="0"/>
      <c r="XEM229" s="0"/>
      <c r="XEN229" s="0"/>
      <c r="XEO229" s="0"/>
      <c r="XEP229" s="0"/>
      <c r="XEQ229" s="0"/>
      <c r="XER229" s="0"/>
      <c r="XES229" s="0"/>
      <c r="XET229" s="0"/>
      <c r="XEU229" s="0"/>
      <c r="XEV229" s="0"/>
      <c r="XEW229" s="0"/>
      <c r="XEX229" s="0"/>
      <c r="XEY229" s="0"/>
      <c r="XEZ229" s="0"/>
      <c r="XFA229" s="0"/>
      <c r="XFB229" s="0"/>
      <c r="XFC229" s="0"/>
    </row>
    <row r="230" s="43" customFormat="true" ht="73.5" hidden="false" customHeight="true" outlineLevel="0" collapsed="false">
      <c r="A230" s="205" t="n">
        <v>224</v>
      </c>
      <c r="B230" s="206" t="s">
        <v>921</v>
      </c>
      <c r="C230" s="207" t="s">
        <v>616</v>
      </c>
      <c r="D230" s="208" t="n">
        <v>1</v>
      </c>
      <c r="XDE230" s="0"/>
      <c r="XDF230" s="0"/>
      <c r="XDG230" s="0"/>
      <c r="XDH230" s="0"/>
      <c r="XDI230" s="0"/>
      <c r="XDJ230" s="0"/>
      <c r="XDK230" s="0"/>
      <c r="XDL230" s="0"/>
      <c r="XDM230" s="0"/>
      <c r="XDN230" s="0"/>
      <c r="XDO230" s="0"/>
      <c r="XDP230" s="0"/>
      <c r="XDQ230" s="0"/>
      <c r="XDR230" s="0"/>
      <c r="XDS230" s="0"/>
      <c r="XDT230" s="0"/>
      <c r="XDU230" s="0"/>
      <c r="XDV230" s="0"/>
      <c r="XDW230" s="0"/>
      <c r="XDX230" s="0"/>
      <c r="XDY230" s="0"/>
      <c r="XDZ230" s="0"/>
      <c r="XEA230" s="0"/>
      <c r="XEB230" s="0"/>
      <c r="XEC230" s="0"/>
      <c r="XED230" s="0"/>
      <c r="XEE230" s="0"/>
      <c r="XEF230" s="0"/>
      <c r="XEG230" s="0"/>
      <c r="XEH230" s="0"/>
      <c r="XEI230" s="0"/>
      <c r="XEJ230" s="0"/>
      <c r="XEK230" s="0"/>
      <c r="XEL230" s="0"/>
      <c r="XEM230" s="0"/>
      <c r="XEN230" s="0"/>
      <c r="XEO230" s="0"/>
      <c r="XEP230" s="0"/>
      <c r="XEQ230" s="0"/>
      <c r="XER230" s="0"/>
      <c r="XES230" s="0"/>
      <c r="XET230" s="0"/>
      <c r="XEU230" s="0"/>
      <c r="XEV230" s="0"/>
      <c r="XEW230" s="0"/>
      <c r="XEX230" s="0"/>
      <c r="XEY230" s="0"/>
      <c r="XEZ230" s="0"/>
      <c r="XFA230" s="0"/>
      <c r="XFB230" s="0"/>
      <c r="XFC230" s="0"/>
    </row>
    <row r="231" s="43" customFormat="true" ht="73.5" hidden="false" customHeight="true" outlineLevel="0" collapsed="false">
      <c r="A231" s="205" t="n">
        <v>225</v>
      </c>
      <c r="B231" s="206" t="s">
        <v>922</v>
      </c>
      <c r="C231" s="207" t="s">
        <v>616</v>
      </c>
      <c r="D231" s="208" t="n">
        <v>31</v>
      </c>
      <c r="XDE231" s="0"/>
      <c r="XDF231" s="0"/>
      <c r="XDG231" s="0"/>
      <c r="XDH231" s="0"/>
      <c r="XDI231" s="0"/>
      <c r="XDJ231" s="0"/>
      <c r="XDK231" s="0"/>
      <c r="XDL231" s="0"/>
      <c r="XDM231" s="0"/>
      <c r="XDN231" s="0"/>
      <c r="XDO231" s="0"/>
      <c r="XDP231" s="0"/>
      <c r="XDQ231" s="0"/>
      <c r="XDR231" s="0"/>
      <c r="XDS231" s="0"/>
      <c r="XDT231" s="0"/>
      <c r="XDU231" s="0"/>
      <c r="XDV231" s="0"/>
      <c r="XDW231" s="0"/>
      <c r="XDX231" s="0"/>
      <c r="XDY231" s="0"/>
      <c r="XDZ231" s="0"/>
      <c r="XEA231" s="0"/>
      <c r="XEB231" s="0"/>
      <c r="XEC231" s="0"/>
      <c r="XED231" s="0"/>
      <c r="XEE231" s="0"/>
      <c r="XEF231" s="0"/>
      <c r="XEG231" s="0"/>
      <c r="XEH231" s="0"/>
      <c r="XEI231" s="0"/>
      <c r="XEJ231" s="0"/>
      <c r="XEK231" s="0"/>
      <c r="XEL231" s="0"/>
      <c r="XEM231" s="0"/>
      <c r="XEN231" s="0"/>
      <c r="XEO231" s="0"/>
      <c r="XEP231" s="0"/>
      <c r="XEQ231" s="0"/>
      <c r="XER231" s="0"/>
      <c r="XES231" s="0"/>
      <c r="XET231" s="0"/>
      <c r="XEU231" s="0"/>
      <c r="XEV231" s="0"/>
      <c r="XEW231" s="0"/>
      <c r="XEX231" s="0"/>
      <c r="XEY231" s="0"/>
      <c r="XEZ231" s="0"/>
      <c r="XFA231" s="0"/>
      <c r="XFB231" s="0"/>
      <c r="XFC231" s="0"/>
    </row>
    <row r="232" s="43" customFormat="true" ht="73.5" hidden="false" customHeight="true" outlineLevel="0" collapsed="false">
      <c r="A232" s="205" t="n">
        <v>226</v>
      </c>
      <c r="B232" s="206" t="s">
        <v>923</v>
      </c>
      <c r="C232" s="207" t="s">
        <v>616</v>
      </c>
      <c r="D232" s="208" t="n">
        <v>50</v>
      </c>
      <c r="XDE232" s="0"/>
      <c r="XDF232" s="0"/>
      <c r="XDG232" s="0"/>
      <c r="XDH232" s="0"/>
      <c r="XDI232" s="0"/>
      <c r="XDJ232" s="0"/>
      <c r="XDK232" s="0"/>
      <c r="XDL232" s="0"/>
      <c r="XDM232" s="0"/>
      <c r="XDN232" s="0"/>
      <c r="XDO232" s="0"/>
      <c r="XDP232" s="0"/>
      <c r="XDQ232" s="0"/>
      <c r="XDR232" s="0"/>
      <c r="XDS232" s="0"/>
      <c r="XDT232" s="0"/>
      <c r="XDU232" s="0"/>
      <c r="XDV232" s="0"/>
      <c r="XDW232" s="0"/>
      <c r="XDX232" s="0"/>
      <c r="XDY232" s="0"/>
      <c r="XDZ232" s="0"/>
      <c r="XEA232" s="0"/>
      <c r="XEB232" s="0"/>
      <c r="XEC232" s="0"/>
      <c r="XED232" s="0"/>
      <c r="XEE232" s="0"/>
      <c r="XEF232" s="0"/>
      <c r="XEG232" s="0"/>
      <c r="XEH232" s="0"/>
      <c r="XEI232" s="0"/>
      <c r="XEJ232" s="0"/>
      <c r="XEK232" s="0"/>
      <c r="XEL232" s="0"/>
      <c r="XEM232" s="0"/>
      <c r="XEN232" s="0"/>
      <c r="XEO232" s="0"/>
      <c r="XEP232" s="0"/>
      <c r="XEQ232" s="0"/>
      <c r="XER232" s="0"/>
      <c r="XES232" s="0"/>
      <c r="XET232" s="0"/>
      <c r="XEU232" s="0"/>
      <c r="XEV232" s="0"/>
      <c r="XEW232" s="0"/>
      <c r="XEX232" s="0"/>
      <c r="XEY232" s="0"/>
      <c r="XEZ232" s="0"/>
      <c r="XFA232" s="0"/>
      <c r="XFB232" s="0"/>
      <c r="XFC232" s="0"/>
    </row>
    <row r="233" s="43" customFormat="true" ht="73.5" hidden="false" customHeight="true" outlineLevel="0" collapsed="false">
      <c r="A233" s="205" t="n">
        <v>227</v>
      </c>
      <c r="B233" s="206" t="s">
        <v>924</v>
      </c>
      <c r="C233" s="207" t="s">
        <v>616</v>
      </c>
      <c r="D233" s="208" t="n">
        <v>39</v>
      </c>
      <c r="XDE233" s="0"/>
      <c r="XDF233" s="0"/>
      <c r="XDG233" s="0"/>
      <c r="XDH233" s="0"/>
      <c r="XDI233" s="0"/>
      <c r="XDJ233" s="0"/>
      <c r="XDK233" s="0"/>
      <c r="XDL233" s="0"/>
      <c r="XDM233" s="0"/>
      <c r="XDN233" s="0"/>
      <c r="XDO233" s="0"/>
      <c r="XDP233" s="0"/>
      <c r="XDQ233" s="0"/>
      <c r="XDR233" s="0"/>
      <c r="XDS233" s="0"/>
      <c r="XDT233" s="0"/>
      <c r="XDU233" s="0"/>
      <c r="XDV233" s="0"/>
      <c r="XDW233" s="0"/>
      <c r="XDX233" s="0"/>
      <c r="XDY233" s="0"/>
      <c r="XDZ233" s="0"/>
      <c r="XEA233" s="0"/>
      <c r="XEB233" s="0"/>
      <c r="XEC233" s="0"/>
      <c r="XED233" s="0"/>
      <c r="XEE233" s="0"/>
      <c r="XEF233" s="0"/>
      <c r="XEG233" s="0"/>
      <c r="XEH233" s="0"/>
      <c r="XEI233" s="0"/>
      <c r="XEJ233" s="0"/>
      <c r="XEK233" s="0"/>
      <c r="XEL233" s="0"/>
      <c r="XEM233" s="0"/>
      <c r="XEN233" s="0"/>
      <c r="XEO233" s="0"/>
      <c r="XEP233" s="0"/>
      <c r="XEQ233" s="0"/>
      <c r="XER233" s="0"/>
      <c r="XES233" s="0"/>
      <c r="XET233" s="0"/>
      <c r="XEU233" s="0"/>
      <c r="XEV233" s="0"/>
      <c r="XEW233" s="0"/>
      <c r="XEX233" s="0"/>
      <c r="XEY233" s="0"/>
      <c r="XEZ233" s="0"/>
      <c r="XFA233" s="0"/>
      <c r="XFB233" s="0"/>
      <c r="XFC233" s="0"/>
    </row>
    <row r="234" s="43" customFormat="true" ht="73.5" hidden="false" customHeight="true" outlineLevel="0" collapsed="false">
      <c r="A234" s="205" t="n">
        <v>230</v>
      </c>
      <c r="B234" s="206" t="s">
        <v>925</v>
      </c>
      <c r="C234" s="207" t="s">
        <v>679</v>
      </c>
      <c r="D234" s="208" t="n">
        <v>1</v>
      </c>
      <c r="XDE234" s="0"/>
      <c r="XDF234" s="0"/>
      <c r="XDG234" s="0"/>
      <c r="XDH234" s="0"/>
      <c r="XDI234" s="0"/>
      <c r="XDJ234" s="0"/>
      <c r="XDK234" s="0"/>
      <c r="XDL234" s="0"/>
      <c r="XDM234" s="0"/>
      <c r="XDN234" s="0"/>
      <c r="XDO234" s="0"/>
      <c r="XDP234" s="0"/>
      <c r="XDQ234" s="0"/>
      <c r="XDR234" s="0"/>
      <c r="XDS234" s="0"/>
      <c r="XDT234" s="0"/>
      <c r="XDU234" s="0"/>
      <c r="XDV234" s="0"/>
      <c r="XDW234" s="0"/>
      <c r="XDX234" s="0"/>
      <c r="XDY234" s="0"/>
      <c r="XDZ234" s="0"/>
      <c r="XEA234" s="0"/>
      <c r="XEB234" s="0"/>
      <c r="XEC234" s="0"/>
      <c r="XED234" s="0"/>
      <c r="XEE234" s="0"/>
      <c r="XEF234" s="0"/>
      <c r="XEG234" s="0"/>
      <c r="XEH234" s="0"/>
      <c r="XEI234" s="0"/>
      <c r="XEJ234" s="0"/>
      <c r="XEK234" s="0"/>
      <c r="XEL234" s="0"/>
      <c r="XEM234" s="0"/>
      <c r="XEN234" s="0"/>
      <c r="XEO234" s="0"/>
      <c r="XEP234" s="0"/>
      <c r="XEQ234" s="0"/>
      <c r="XER234" s="0"/>
      <c r="XES234" s="0"/>
      <c r="XET234" s="0"/>
      <c r="XEU234" s="0"/>
      <c r="XEV234" s="0"/>
      <c r="XEW234" s="0"/>
      <c r="XEX234" s="0"/>
      <c r="XEY234" s="0"/>
      <c r="XEZ234" s="0"/>
      <c r="XFA234" s="0"/>
      <c r="XFB234" s="0"/>
      <c r="XFC234" s="0"/>
    </row>
    <row r="235" s="43" customFormat="true" ht="64.5" hidden="false" customHeight="true" outlineLevel="0" collapsed="false">
      <c r="A235" s="205" t="n">
        <v>231</v>
      </c>
      <c r="B235" s="206" t="s">
        <v>926</v>
      </c>
      <c r="C235" s="207" t="s">
        <v>679</v>
      </c>
      <c r="D235" s="208" t="n">
        <v>1</v>
      </c>
      <c r="XDE235" s="0"/>
      <c r="XDF235" s="0"/>
      <c r="XDG235" s="0"/>
      <c r="XDH235" s="0"/>
      <c r="XDI235" s="0"/>
      <c r="XDJ235" s="0"/>
      <c r="XDK235" s="0"/>
      <c r="XDL235" s="0"/>
      <c r="XDM235" s="0"/>
      <c r="XDN235" s="0"/>
      <c r="XDO235" s="0"/>
      <c r="XDP235" s="0"/>
      <c r="XDQ235" s="0"/>
      <c r="XDR235" s="0"/>
      <c r="XDS235" s="0"/>
      <c r="XDT235" s="0"/>
      <c r="XDU235" s="0"/>
      <c r="XDV235" s="0"/>
      <c r="XDW235" s="0"/>
      <c r="XDX235" s="0"/>
      <c r="XDY235" s="0"/>
      <c r="XDZ235" s="0"/>
      <c r="XEA235" s="0"/>
      <c r="XEB235" s="0"/>
      <c r="XEC235" s="0"/>
      <c r="XED235" s="0"/>
      <c r="XEE235" s="0"/>
      <c r="XEF235" s="0"/>
      <c r="XEG235" s="0"/>
      <c r="XEH235" s="0"/>
      <c r="XEI235" s="0"/>
      <c r="XEJ235" s="0"/>
      <c r="XEK235" s="0"/>
      <c r="XEL235" s="0"/>
      <c r="XEM235" s="0"/>
      <c r="XEN235" s="0"/>
      <c r="XEO235" s="0"/>
      <c r="XEP235" s="0"/>
      <c r="XEQ235" s="0"/>
      <c r="XER235" s="0"/>
      <c r="XES235" s="0"/>
      <c r="XET235" s="0"/>
      <c r="XEU235" s="0"/>
      <c r="XEV235" s="0"/>
      <c r="XEW235" s="0"/>
      <c r="XEX235" s="0"/>
      <c r="XEY235" s="0"/>
      <c r="XEZ235" s="0"/>
      <c r="XFA235" s="0"/>
      <c r="XFB235" s="0"/>
      <c r="XFC235" s="0"/>
    </row>
    <row r="236" s="43" customFormat="true" ht="73.5" hidden="false" customHeight="true" outlineLevel="0" collapsed="false">
      <c r="A236" s="205" t="n">
        <v>236</v>
      </c>
      <c r="B236" s="206" t="s">
        <v>927</v>
      </c>
      <c r="C236" s="207" t="s">
        <v>679</v>
      </c>
      <c r="D236" s="208" t="n">
        <v>1</v>
      </c>
      <c r="XDE236" s="0"/>
      <c r="XDF236" s="0"/>
      <c r="XDG236" s="0"/>
      <c r="XDH236" s="0"/>
      <c r="XDI236" s="0"/>
      <c r="XDJ236" s="0"/>
      <c r="XDK236" s="0"/>
      <c r="XDL236" s="0"/>
      <c r="XDM236" s="0"/>
      <c r="XDN236" s="0"/>
      <c r="XDO236" s="0"/>
      <c r="XDP236" s="0"/>
      <c r="XDQ236" s="0"/>
      <c r="XDR236" s="0"/>
      <c r="XDS236" s="0"/>
      <c r="XDT236" s="0"/>
      <c r="XDU236" s="0"/>
      <c r="XDV236" s="0"/>
      <c r="XDW236" s="0"/>
      <c r="XDX236" s="0"/>
      <c r="XDY236" s="0"/>
      <c r="XDZ236" s="0"/>
      <c r="XEA236" s="0"/>
      <c r="XEB236" s="0"/>
      <c r="XEC236" s="0"/>
      <c r="XED236" s="0"/>
      <c r="XEE236" s="0"/>
      <c r="XEF236" s="0"/>
      <c r="XEG236" s="0"/>
      <c r="XEH236" s="0"/>
      <c r="XEI236" s="0"/>
      <c r="XEJ236" s="0"/>
      <c r="XEK236" s="0"/>
      <c r="XEL236" s="0"/>
      <c r="XEM236" s="0"/>
      <c r="XEN236" s="0"/>
      <c r="XEO236" s="0"/>
      <c r="XEP236" s="0"/>
      <c r="XEQ236" s="0"/>
      <c r="XER236" s="0"/>
      <c r="XES236" s="0"/>
      <c r="XET236" s="0"/>
      <c r="XEU236" s="0"/>
      <c r="XEV236" s="0"/>
      <c r="XEW236" s="0"/>
      <c r="XEX236" s="0"/>
      <c r="XEY236" s="0"/>
      <c r="XEZ236" s="0"/>
      <c r="XFA236" s="0"/>
      <c r="XFB236" s="0"/>
      <c r="XFC236" s="0"/>
    </row>
    <row r="237" s="43" customFormat="true" ht="73.5" hidden="false" customHeight="true" outlineLevel="0" collapsed="false">
      <c r="A237" s="205" t="n">
        <v>237</v>
      </c>
      <c r="B237" s="206" t="s">
        <v>928</v>
      </c>
      <c r="C237" s="207" t="s">
        <v>679</v>
      </c>
      <c r="D237" s="208" t="n">
        <v>1</v>
      </c>
      <c r="XDE237" s="0"/>
      <c r="XDF237" s="0"/>
      <c r="XDG237" s="0"/>
      <c r="XDH237" s="0"/>
      <c r="XDI237" s="0"/>
      <c r="XDJ237" s="0"/>
      <c r="XDK237" s="0"/>
      <c r="XDL237" s="0"/>
      <c r="XDM237" s="0"/>
      <c r="XDN237" s="0"/>
      <c r="XDO237" s="0"/>
      <c r="XDP237" s="0"/>
      <c r="XDQ237" s="0"/>
      <c r="XDR237" s="0"/>
      <c r="XDS237" s="0"/>
      <c r="XDT237" s="0"/>
      <c r="XDU237" s="0"/>
      <c r="XDV237" s="0"/>
      <c r="XDW237" s="0"/>
      <c r="XDX237" s="0"/>
      <c r="XDY237" s="0"/>
      <c r="XDZ237" s="0"/>
      <c r="XEA237" s="0"/>
      <c r="XEB237" s="0"/>
      <c r="XEC237" s="0"/>
      <c r="XED237" s="0"/>
      <c r="XEE237" s="0"/>
      <c r="XEF237" s="0"/>
      <c r="XEG237" s="0"/>
      <c r="XEH237" s="0"/>
      <c r="XEI237" s="0"/>
      <c r="XEJ237" s="0"/>
      <c r="XEK237" s="0"/>
      <c r="XEL237" s="0"/>
      <c r="XEM237" s="0"/>
      <c r="XEN237" s="0"/>
      <c r="XEO237" s="0"/>
      <c r="XEP237" s="0"/>
      <c r="XEQ237" s="0"/>
      <c r="XER237" s="0"/>
      <c r="XES237" s="0"/>
      <c r="XET237" s="0"/>
      <c r="XEU237" s="0"/>
      <c r="XEV237" s="0"/>
      <c r="XEW237" s="0"/>
      <c r="XEX237" s="0"/>
      <c r="XEY237" s="0"/>
      <c r="XEZ237" s="0"/>
      <c r="XFA237" s="0"/>
      <c r="XFB237" s="0"/>
      <c r="XFC237" s="0"/>
    </row>
    <row r="238" s="43" customFormat="true" ht="73.5" hidden="false" customHeight="true" outlineLevel="0" collapsed="false">
      <c r="A238" s="205" t="n">
        <v>238</v>
      </c>
      <c r="B238" s="206" t="s">
        <v>929</v>
      </c>
      <c r="C238" s="207" t="s">
        <v>25</v>
      </c>
      <c r="D238" s="208" t="n">
        <v>2</v>
      </c>
      <c r="XDE238" s="0"/>
      <c r="XDF238" s="0"/>
      <c r="XDG238" s="0"/>
      <c r="XDH238" s="0"/>
      <c r="XDI238" s="0"/>
      <c r="XDJ238" s="0"/>
      <c r="XDK238" s="0"/>
      <c r="XDL238" s="0"/>
      <c r="XDM238" s="0"/>
      <c r="XDN238" s="0"/>
      <c r="XDO238" s="0"/>
      <c r="XDP238" s="0"/>
      <c r="XDQ238" s="0"/>
      <c r="XDR238" s="0"/>
      <c r="XDS238" s="0"/>
      <c r="XDT238" s="0"/>
      <c r="XDU238" s="0"/>
      <c r="XDV238" s="0"/>
      <c r="XDW238" s="0"/>
      <c r="XDX238" s="0"/>
      <c r="XDY238" s="0"/>
      <c r="XDZ238" s="0"/>
      <c r="XEA238" s="0"/>
      <c r="XEB238" s="0"/>
      <c r="XEC238" s="0"/>
      <c r="XED238" s="0"/>
      <c r="XEE238" s="0"/>
      <c r="XEF238" s="0"/>
      <c r="XEG238" s="0"/>
      <c r="XEH238" s="0"/>
      <c r="XEI238" s="0"/>
      <c r="XEJ238" s="0"/>
      <c r="XEK238" s="0"/>
      <c r="XEL238" s="0"/>
      <c r="XEM238" s="0"/>
      <c r="XEN238" s="0"/>
      <c r="XEO238" s="0"/>
      <c r="XEP238" s="0"/>
      <c r="XEQ238" s="0"/>
      <c r="XER238" s="0"/>
      <c r="XES238" s="0"/>
      <c r="XET238" s="0"/>
      <c r="XEU238" s="0"/>
      <c r="XEV238" s="0"/>
      <c r="XEW238" s="0"/>
      <c r="XEX238" s="0"/>
      <c r="XEY238" s="0"/>
      <c r="XEZ238" s="0"/>
      <c r="XFA238" s="0"/>
      <c r="XFB238" s="0"/>
      <c r="XFC238" s="0"/>
    </row>
    <row r="239" customFormat="false" ht="16.15" hidden="false" customHeight="false" outlineLevel="0" collapsed="false">
      <c r="XFD239" s="43"/>
    </row>
    <row r="240" customFormat="false" ht="16.15" hidden="false" customHeight="false" outlineLevel="0" collapsed="false">
      <c r="XFD240" s="43"/>
    </row>
    <row r="241" customFormat="false" ht="16.15" hidden="false" customHeight="false" outlineLevel="0" collapsed="false">
      <c r="XFD241" s="215"/>
    </row>
    <row r="242" customFormat="false" ht="16.15" hidden="false" customHeight="false" outlineLevel="0" collapsed="false">
      <c r="XFD242" s="43"/>
    </row>
    <row r="243" customFormat="false" ht="16.15" hidden="false" customHeight="false" outlineLevel="0" collapsed="false">
      <c r="XFD243" s="43"/>
    </row>
    <row r="244" customFormat="false" ht="16.15" hidden="false" customHeight="false" outlineLevel="0" collapsed="false">
      <c r="XFD244" s="215"/>
    </row>
    <row r="245" customFormat="false" ht="16.15" hidden="false" customHeight="false" outlineLevel="0" collapsed="false">
      <c r="XFD245" s="43"/>
    </row>
    <row r="246" customFormat="false" ht="16.15" hidden="false" customHeight="false" outlineLevel="0" collapsed="false">
      <c r="XFD246" s="43"/>
    </row>
    <row r="247" customFormat="false" ht="16.15" hidden="false" customHeight="false" outlineLevel="0" collapsed="false">
      <c r="XFD247" s="43"/>
    </row>
    <row r="248" customFormat="false" ht="16.15" hidden="false" customHeight="false" outlineLevel="0" collapsed="false">
      <c r="XFD248" s="43"/>
    </row>
    <row r="249" customFormat="false" ht="16.15" hidden="false" customHeight="false" outlineLevel="0" collapsed="false">
      <c r="XFD249" s="43"/>
    </row>
    <row r="250" customFormat="false" ht="16.15" hidden="false" customHeight="false" outlineLevel="0" collapsed="false">
      <c r="XFD250" s="43"/>
    </row>
    <row r="251" customFormat="false" ht="16.15" hidden="false" customHeight="false" outlineLevel="0" collapsed="false">
      <c r="XFD251" s="43"/>
    </row>
    <row r="252" customFormat="false" ht="16.15" hidden="false" customHeight="false" outlineLevel="0" collapsed="false">
      <c r="XFD252" s="215"/>
    </row>
    <row r="253" customFormat="false" ht="16.15" hidden="false" customHeight="false" outlineLevel="0" collapsed="false">
      <c r="XFD253" s="215"/>
    </row>
    <row r="254" customFormat="false" ht="16.15" hidden="false" customHeight="false" outlineLevel="0" collapsed="false">
      <c r="XFD254" s="43"/>
    </row>
    <row r="255" customFormat="false" ht="16.15" hidden="false" customHeight="false" outlineLevel="0" collapsed="false">
      <c r="XFD255" s="43"/>
    </row>
    <row r="256" customFormat="false" ht="16.15" hidden="false" customHeight="false" outlineLevel="0" collapsed="false">
      <c r="XFD256" s="43"/>
    </row>
    <row r="257" customFormat="false" ht="16.15" hidden="false" customHeight="false" outlineLevel="0" collapsed="false">
      <c r="XFD257" s="43"/>
    </row>
    <row r="258" customFormat="false" ht="16.15" hidden="false" customHeight="false" outlineLevel="0" collapsed="false">
      <c r="XFD258" s="43"/>
    </row>
    <row r="259" customFormat="false" ht="16.15" hidden="false" customHeight="false" outlineLevel="0" collapsed="false">
      <c r="XFD259" s="43"/>
    </row>
    <row r="260" customFormat="false" ht="16.15" hidden="false" customHeight="false" outlineLevel="0" collapsed="false">
      <c r="XFD260" s="43"/>
    </row>
    <row r="261" customFormat="false" ht="16.15" hidden="false" customHeight="false" outlineLevel="0" collapsed="false">
      <c r="XFD261" s="43"/>
    </row>
  </sheetData>
  <mergeCells count="4">
    <mergeCell ref="A3:A5"/>
    <mergeCell ref="B3:B5"/>
    <mergeCell ref="C3:C5"/>
    <mergeCell ref="D3:D5"/>
  </mergeCells>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K325"/>
  <sheetViews>
    <sheetView showFormulas="false" showGridLines="true" showRowColHeaders="true" showZeros="true" rightToLeft="false" tabSelected="false" showOutlineSymbols="true" defaultGridColor="true" view="normal" topLeftCell="A7" colorId="64" zoomScale="60" zoomScaleNormal="60" zoomScalePageLayoutView="100" workbookViewId="0">
      <pane xSplit="0" ySplit="5" topLeftCell="A56" activePane="bottomLeft" state="frozen"/>
      <selection pane="topLeft" activeCell="A7" activeCellId="0" sqref="A7"/>
      <selection pane="bottomLeft" activeCell="A12" activeCellId="0" sqref="A1:D1048576"/>
    </sheetView>
  </sheetViews>
  <sheetFormatPr defaultColWidth="9.1484375" defaultRowHeight="15" zeroHeight="false" outlineLevelRow="0" outlineLevelCol="1"/>
  <cols>
    <col collapsed="false" customWidth="true" hidden="false" outlineLevel="0" max="1" min="1" style="1" width="6.71"/>
    <col collapsed="false" customWidth="true" hidden="false" outlineLevel="0" max="2" min="2" style="110" width="52.14"/>
    <col collapsed="false" customWidth="true" hidden="false" outlineLevel="0" max="3" min="3" style="110" width="26.71"/>
    <col collapsed="false" customWidth="true" hidden="false" outlineLevel="0" max="4" min="4" style="111" width="14.29"/>
    <col collapsed="false" customWidth="true" hidden="false" outlineLevel="0" max="5" min="5" style="111" width="15.14"/>
    <col collapsed="false" customWidth="true" hidden="false" outlineLevel="0" max="6" min="6" style="111" width="16.14"/>
    <col collapsed="false" customWidth="true" hidden="false" outlineLevel="0" max="7" min="7" style="216" width="16"/>
    <col collapsed="false" customWidth="true" hidden="false" outlineLevel="0" max="8" min="8" style="1" width="26.29"/>
    <col collapsed="false" customWidth="true" hidden="false" outlineLevel="0" max="9" min="9" style="4" width="17.57"/>
    <col collapsed="false" customWidth="true" hidden="false" outlineLevel="0" max="10" min="10" style="1" width="17.42"/>
    <col collapsed="false" customWidth="true" hidden="false" outlineLevel="0" max="11" min="11" style="1" width="26.29"/>
    <col collapsed="false" customWidth="true" hidden="false" outlineLevel="0" max="12" min="12" style="4" width="17.42"/>
    <col collapsed="false" customWidth="true" hidden="false" outlineLevel="0" max="13" min="13" style="1" width="17.15"/>
    <col collapsed="false" customWidth="true" hidden="false" outlineLevel="0" max="14" min="14" style="1" width="26.29"/>
    <col collapsed="false" customWidth="true" hidden="false" outlineLevel="0" max="15" min="15" style="4" width="18.14"/>
    <col collapsed="false" customWidth="true" hidden="false" outlineLevel="0" max="16" min="16" style="1" width="19.71"/>
    <col collapsed="false" customWidth="true" hidden="false" outlineLevel="0" max="17" min="17" style="1" width="20.85"/>
    <col collapsed="false" customWidth="true" hidden="false" outlineLevel="0" max="18" min="18" style="1" width="19.29"/>
    <col collapsed="false" customWidth="true" hidden="false" outlineLevel="0" max="19" min="19" style="1" width="19.71"/>
    <col collapsed="false" customWidth="true" hidden="false" outlineLevel="0" max="20" min="20" style="1" width="22"/>
    <col collapsed="false" customWidth="true" hidden="false" outlineLevel="0" max="21" min="21" style="1" width="6.71"/>
    <col collapsed="false" customWidth="true" hidden="false" outlineLevel="1" max="22" min="22" style="113" width="13"/>
    <col collapsed="false" customWidth="true" hidden="false" outlineLevel="1" max="24" min="23" style="1" width="13"/>
    <col collapsed="false" customWidth="false" hidden="false" outlineLevel="0" max="16384" min="25" style="1" width="9.14"/>
  </cols>
  <sheetData>
    <row r="1" customFormat="false" ht="15" hidden="false" customHeight="false" outlineLevel="0" collapsed="false">
      <c r="Q1" s="5" t="s">
        <v>0</v>
      </c>
      <c r="R1" s="5"/>
      <c r="S1" s="5"/>
      <c r="T1" s="5"/>
    </row>
    <row r="2" customFormat="false" ht="32.25" hidden="false" customHeight="true" outlineLevel="0" collapsed="false">
      <c r="Q2" s="6" t="s">
        <v>1</v>
      </c>
      <c r="R2" s="6"/>
      <c r="S2" s="6"/>
      <c r="T2" s="6"/>
    </row>
    <row r="3" customFormat="false" ht="25.5" hidden="false" customHeight="true" outlineLevel="0" collapsed="false">
      <c r="A3" s="114" t="s">
        <v>2</v>
      </c>
      <c r="B3" s="114"/>
      <c r="C3" s="114"/>
      <c r="D3" s="114"/>
      <c r="E3" s="114"/>
      <c r="F3" s="114"/>
      <c r="G3" s="114"/>
      <c r="H3" s="114"/>
      <c r="I3" s="114"/>
      <c r="J3" s="114"/>
      <c r="K3" s="114"/>
      <c r="L3" s="114"/>
      <c r="M3" s="114"/>
      <c r="N3" s="114"/>
      <c r="O3" s="114"/>
      <c r="P3" s="114"/>
      <c r="Q3" s="114"/>
      <c r="R3" s="115"/>
      <c r="S3" s="115"/>
    </row>
    <row r="4" customFormat="false" ht="17.25" hidden="false" customHeight="true" outlineLevel="0" collapsed="false">
      <c r="A4" s="9"/>
      <c r="B4" s="10"/>
      <c r="C4" s="10"/>
      <c r="D4" s="116"/>
      <c r="E4" s="116"/>
      <c r="F4" s="116"/>
      <c r="G4" s="217"/>
      <c r="H4" s="9"/>
      <c r="I4" s="12"/>
      <c r="J4" s="9"/>
      <c r="K4" s="9"/>
      <c r="L4" s="12"/>
      <c r="M4" s="9"/>
      <c r="N4" s="9"/>
      <c r="O4" s="12"/>
      <c r="P4" s="9"/>
    </row>
    <row r="5" s="14" customFormat="true" ht="28.5" hidden="false" customHeight="true" outlineLevel="0" collapsed="false">
      <c r="A5" s="118" t="s">
        <v>3</v>
      </c>
      <c r="B5" s="118"/>
      <c r="C5" s="118"/>
      <c r="D5" s="118"/>
      <c r="E5" s="118"/>
      <c r="F5" s="118"/>
      <c r="G5" s="118"/>
      <c r="H5" s="118"/>
      <c r="I5" s="118"/>
      <c r="J5" s="118"/>
      <c r="K5" s="118"/>
      <c r="L5" s="118"/>
      <c r="M5" s="118"/>
      <c r="N5" s="118"/>
      <c r="O5" s="118"/>
      <c r="P5" s="118"/>
      <c r="Q5" s="118"/>
      <c r="R5" s="118"/>
      <c r="V5" s="119"/>
    </row>
    <row r="6" s="14" customFormat="true" ht="15" hidden="false" customHeight="false" outlineLevel="0" collapsed="false">
      <c r="B6" s="120"/>
      <c r="C6" s="120"/>
      <c r="D6" s="121"/>
      <c r="E6" s="121"/>
      <c r="F6" s="121"/>
      <c r="G6" s="218"/>
      <c r="I6" s="17"/>
      <c r="L6" s="17"/>
      <c r="O6" s="17"/>
      <c r="V6" s="119"/>
    </row>
    <row r="7" s="14" customFormat="true" ht="27" hidden="false" customHeight="true" outlineLevel="0" collapsed="false">
      <c r="A7" s="123" t="s">
        <v>4</v>
      </c>
      <c r="B7" s="219" t="s">
        <v>5</v>
      </c>
      <c r="C7" s="219" t="s">
        <v>930</v>
      </c>
      <c r="D7" s="125" t="s">
        <v>6</v>
      </c>
      <c r="E7" s="125" t="s">
        <v>7</v>
      </c>
      <c r="F7" s="220" t="s">
        <v>931</v>
      </c>
      <c r="G7" s="127" t="s">
        <v>9</v>
      </c>
      <c r="H7" s="128" t="s">
        <v>10</v>
      </c>
      <c r="I7" s="128"/>
      <c r="J7" s="128"/>
      <c r="K7" s="128" t="s">
        <v>11</v>
      </c>
      <c r="L7" s="128"/>
      <c r="M7" s="128"/>
      <c r="N7" s="129" t="s">
        <v>12</v>
      </c>
      <c r="O7" s="129"/>
      <c r="P7" s="129"/>
      <c r="Q7" s="130" t="s">
        <v>496</v>
      </c>
      <c r="R7" s="127" t="s">
        <v>14</v>
      </c>
      <c r="S7" s="130" t="s">
        <v>497</v>
      </c>
      <c r="T7" s="125" t="s">
        <v>16</v>
      </c>
      <c r="V7" s="131" t="s">
        <v>17</v>
      </c>
      <c r="W7" s="131"/>
      <c r="X7" s="131"/>
    </row>
    <row r="8" s="14" customFormat="true" ht="30.75" hidden="false" customHeight="true" outlineLevel="0" collapsed="false">
      <c r="A8" s="123"/>
      <c r="B8" s="123"/>
      <c r="C8" s="123"/>
      <c r="D8" s="123"/>
      <c r="E8" s="123"/>
      <c r="F8" s="220"/>
      <c r="G8" s="127"/>
      <c r="H8" s="128"/>
      <c r="I8" s="128"/>
      <c r="J8" s="128"/>
      <c r="K8" s="128"/>
      <c r="L8" s="128"/>
      <c r="M8" s="128"/>
      <c r="N8" s="129"/>
      <c r="O8" s="129"/>
      <c r="P8" s="129"/>
      <c r="Q8" s="130"/>
      <c r="R8" s="127"/>
      <c r="S8" s="130"/>
      <c r="T8" s="125"/>
      <c r="V8" s="131"/>
      <c r="W8" s="131"/>
      <c r="X8" s="131"/>
    </row>
    <row r="9" s="32" customFormat="true" ht="132.75" hidden="false" customHeight="true" outlineLevel="0" collapsed="false">
      <c r="A9" s="123"/>
      <c r="B9" s="123"/>
      <c r="C9" s="123"/>
      <c r="D9" s="125"/>
      <c r="E9" s="125"/>
      <c r="F9" s="220"/>
      <c r="G9" s="127"/>
      <c r="H9" s="132" t="s">
        <v>18</v>
      </c>
      <c r="I9" s="133" t="s">
        <v>19</v>
      </c>
      <c r="J9" s="133" t="s">
        <v>20</v>
      </c>
      <c r="K9" s="132" t="s">
        <v>18</v>
      </c>
      <c r="L9" s="133" t="s">
        <v>19</v>
      </c>
      <c r="M9" s="133" t="s">
        <v>20</v>
      </c>
      <c r="N9" s="132" t="s">
        <v>18</v>
      </c>
      <c r="O9" s="133" t="s">
        <v>21</v>
      </c>
      <c r="P9" s="133" t="s">
        <v>22</v>
      </c>
      <c r="Q9" s="130"/>
      <c r="R9" s="127"/>
      <c r="S9" s="130"/>
      <c r="T9" s="125"/>
      <c r="U9" s="14"/>
      <c r="V9" s="134" t="s">
        <v>10</v>
      </c>
      <c r="W9" s="134" t="s">
        <v>11</v>
      </c>
      <c r="X9" s="134" t="s">
        <v>12</v>
      </c>
      <c r="Y9" s="14"/>
      <c r="Z9" s="14"/>
      <c r="AA9" s="14"/>
      <c r="AB9" s="14"/>
      <c r="AC9" s="14"/>
      <c r="AD9" s="14"/>
      <c r="AE9" s="14"/>
      <c r="AF9" s="14"/>
      <c r="AG9" s="14"/>
      <c r="AH9" s="14"/>
      <c r="AI9" s="14"/>
      <c r="AJ9" s="14"/>
      <c r="AK9" s="14"/>
    </row>
    <row r="10" s="40" customFormat="true" ht="14.25" hidden="false" customHeight="true" outlineLevel="0" collapsed="false">
      <c r="A10" s="135" t="n">
        <v>1</v>
      </c>
      <c r="B10" s="136" t="n">
        <v>2</v>
      </c>
      <c r="C10" s="137"/>
      <c r="D10" s="137" t="n">
        <v>3</v>
      </c>
      <c r="E10" s="137" t="n">
        <v>4</v>
      </c>
      <c r="F10" s="137"/>
      <c r="G10" s="221" t="n">
        <v>5</v>
      </c>
      <c r="H10" s="139" t="n">
        <v>6</v>
      </c>
      <c r="I10" s="139" t="n">
        <v>7</v>
      </c>
      <c r="J10" s="140" t="n">
        <v>8</v>
      </c>
      <c r="K10" s="139" t="n">
        <v>9</v>
      </c>
      <c r="L10" s="140" t="n">
        <v>10</v>
      </c>
      <c r="M10" s="140" t="n">
        <v>11</v>
      </c>
      <c r="N10" s="139" t="n">
        <v>12</v>
      </c>
      <c r="O10" s="140" t="n">
        <v>13</v>
      </c>
      <c r="P10" s="140" t="n">
        <v>14</v>
      </c>
      <c r="Q10" s="141" t="n">
        <v>15</v>
      </c>
      <c r="R10" s="141" t="n">
        <v>16</v>
      </c>
      <c r="S10" s="141" t="n">
        <v>17</v>
      </c>
      <c r="T10" s="141" t="n">
        <v>18</v>
      </c>
      <c r="V10" s="142"/>
      <c r="W10" s="142"/>
      <c r="X10" s="142"/>
    </row>
    <row r="11" s="43" customFormat="true" ht="28.5" hidden="false" customHeight="true" outlineLevel="0" collapsed="false">
      <c r="A11" s="222" t="s">
        <v>932</v>
      </c>
      <c r="B11" s="222"/>
      <c r="C11" s="222"/>
      <c r="D11" s="222"/>
      <c r="E11" s="222"/>
      <c r="F11" s="222"/>
      <c r="G11" s="222"/>
      <c r="H11" s="222"/>
      <c r="I11" s="222"/>
      <c r="J11" s="222"/>
      <c r="K11" s="222"/>
      <c r="L11" s="222"/>
      <c r="M11" s="222"/>
      <c r="N11" s="222"/>
      <c r="O11" s="222"/>
      <c r="P11" s="222"/>
      <c r="Q11" s="222"/>
      <c r="R11" s="222"/>
      <c r="S11" s="222"/>
      <c r="T11" s="222"/>
      <c r="V11" s="144"/>
      <c r="W11" s="144"/>
      <c r="X11" s="144"/>
    </row>
    <row r="12" s="43" customFormat="true" ht="73.5" hidden="false" customHeight="true" outlineLevel="0" collapsed="false">
      <c r="A12" s="223" t="n">
        <v>1</v>
      </c>
      <c r="B12" s="145" t="s">
        <v>933</v>
      </c>
      <c r="C12" s="146" t="s">
        <v>934</v>
      </c>
      <c r="D12" s="146" t="s">
        <v>25</v>
      </c>
      <c r="E12" s="224" t="n">
        <v>40</v>
      </c>
      <c r="F12" s="225" t="n">
        <v>1759.65</v>
      </c>
      <c r="G12" s="226"/>
      <c r="H12" s="47"/>
      <c r="I12" s="53"/>
      <c r="J12" s="72" t="n">
        <f aca="false">E12*I12</f>
        <v>0</v>
      </c>
      <c r="K12" s="53"/>
      <c r="L12" s="53"/>
      <c r="M12" s="53" t="n">
        <f aca="false">E12*L12</f>
        <v>0</v>
      </c>
      <c r="N12" s="47"/>
      <c r="O12" s="53"/>
      <c r="P12" s="53" t="n">
        <f aca="false">E12*O12</f>
        <v>0</v>
      </c>
      <c r="Q12" s="54" t="e">
        <f aca="false">AVERAGE(I12,L12,O12)</f>
        <v>#DIV/0!</v>
      </c>
      <c r="R12" s="55" t="e">
        <f aca="false">G12*100/Q12-100</f>
        <v>#DIV/0!</v>
      </c>
      <c r="S12" s="54" t="n">
        <f aca="false">E12*G12</f>
        <v>0</v>
      </c>
      <c r="T12" s="47"/>
      <c r="V12" s="57" t="e">
        <f aca="false">ROUND(I12*100/Q12-100,0)</f>
        <v>#DIV/0!</v>
      </c>
      <c r="W12" s="57" t="e">
        <f aca="false">ROUND(L12*100/Q12-100,0)</f>
        <v>#DIV/0!</v>
      </c>
      <c r="X12" s="57" t="e">
        <f aca="false">ROUND(O12*100/Q12-100,0)</f>
        <v>#DIV/0!</v>
      </c>
    </row>
    <row r="13" s="43" customFormat="true" ht="73.5" hidden="false" customHeight="true" outlineLevel="0" collapsed="false">
      <c r="A13" s="223" t="n">
        <v>2</v>
      </c>
      <c r="B13" s="145" t="s">
        <v>935</v>
      </c>
      <c r="C13" s="146" t="s">
        <v>936</v>
      </c>
      <c r="D13" s="146" t="s">
        <v>25</v>
      </c>
      <c r="E13" s="224" t="n">
        <v>8</v>
      </c>
      <c r="F13" s="225" t="n">
        <v>2450.35</v>
      </c>
      <c r="G13" s="226"/>
      <c r="H13" s="47"/>
      <c r="I13" s="53"/>
      <c r="J13" s="72" t="n">
        <f aca="false">E13*I13</f>
        <v>0</v>
      </c>
      <c r="K13" s="53"/>
      <c r="L13" s="53"/>
      <c r="M13" s="53" t="n">
        <f aca="false">E13*L13</f>
        <v>0</v>
      </c>
      <c r="N13" s="47"/>
      <c r="O13" s="53"/>
      <c r="P13" s="53" t="n">
        <f aca="false">E13*O13</f>
        <v>0</v>
      </c>
      <c r="Q13" s="54" t="e">
        <f aca="false">AVERAGE(I13,L13,O13)</f>
        <v>#DIV/0!</v>
      </c>
      <c r="R13" s="55" t="e">
        <f aca="false">G13*100/Q13-100</f>
        <v>#DIV/0!</v>
      </c>
      <c r="S13" s="54" t="n">
        <f aca="false">E13*G13</f>
        <v>0</v>
      </c>
      <c r="T13" s="47"/>
      <c r="V13" s="57" t="e">
        <f aca="false">ROUND(I13*100/Q13-100,0)</f>
        <v>#DIV/0!</v>
      </c>
      <c r="W13" s="57" t="e">
        <f aca="false">ROUND(L13*100/Q13-100,0)</f>
        <v>#DIV/0!</v>
      </c>
      <c r="X13" s="57" t="e">
        <f aca="false">ROUND(O13*100/Q13-100,0)</f>
        <v>#DIV/0!</v>
      </c>
    </row>
    <row r="14" s="43" customFormat="true" ht="73.5" hidden="false" customHeight="true" outlineLevel="0" collapsed="false">
      <c r="A14" s="223" t="n">
        <v>3</v>
      </c>
      <c r="B14" s="145" t="s">
        <v>937</v>
      </c>
      <c r="C14" s="146" t="s">
        <v>938</v>
      </c>
      <c r="D14" s="146" t="s">
        <v>25</v>
      </c>
      <c r="E14" s="224" t="n">
        <v>4</v>
      </c>
      <c r="F14" s="225"/>
      <c r="G14" s="226"/>
      <c r="H14" s="47"/>
      <c r="I14" s="53"/>
      <c r="J14" s="72" t="n">
        <f aca="false">E14*I14</f>
        <v>0</v>
      </c>
      <c r="K14" s="53"/>
      <c r="L14" s="53"/>
      <c r="M14" s="53" t="n">
        <f aca="false">E14*L14</f>
        <v>0</v>
      </c>
      <c r="N14" s="47"/>
      <c r="O14" s="53"/>
      <c r="P14" s="53" t="n">
        <f aca="false">E14*O14</f>
        <v>0</v>
      </c>
      <c r="Q14" s="54" t="e">
        <f aca="false">AVERAGE(I14,L14,O14)</f>
        <v>#DIV/0!</v>
      </c>
      <c r="R14" s="55" t="e">
        <f aca="false">G14*100/Q14-100</f>
        <v>#DIV/0!</v>
      </c>
      <c r="S14" s="54" t="n">
        <f aca="false">E14*G14</f>
        <v>0</v>
      </c>
      <c r="T14" s="47"/>
      <c r="V14" s="57" t="e">
        <f aca="false">ROUND(I14*100/Q14-100,0)</f>
        <v>#DIV/0!</v>
      </c>
      <c r="W14" s="57" t="e">
        <f aca="false">ROUND(L14*100/Q14-100,0)</f>
        <v>#DIV/0!</v>
      </c>
      <c r="X14" s="57" t="e">
        <f aca="false">ROUND(O14*100/Q14-100,0)</f>
        <v>#DIV/0!</v>
      </c>
    </row>
    <row r="15" s="43" customFormat="true" ht="73.5" hidden="false" customHeight="true" outlineLevel="0" collapsed="false">
      <c r="A15" s="223" t="n">
        <v>4</v>
      </c>
      <c r="B15" s="145" t="s">
        <v>939</v>
      </c>
      <c r="C15" s="146" t="s">
        <v>938</v>
      </c>
      <c r="D15" s="146" t="s">
        <v>25</v>
      </c>
      <c r="E15" s="224" t="n">
        <v>20</v>
      </c>
      <c r="F15" s="225"/>
      <c r="G15" s="226"/>
      <c r="H15" s="47"/>
      <c r="I15" s="53"/>
      <c r="J15" s="72" t="n">
        <f aca="false">E15*I15</f>
        <v>0</v>
      </c>
      <c r="K15" s="53"/>
      <c r="L15" s="53"/>
      <c r="M15" s="53" t="n">
        <f aca="false">E15*L15</f>
        <v>0</v>
      </c>
      <c r="N15" s="47"/>
      <c r="O15" s="53"/>
      <c r="P15" s="53" t="n">
        <f aca="false">E15*O15</f>
        <v>0</v>
      </c>
      <c r="Q15" s="54" t="e">
        <f aca="false">AVERAGE(I15,L15,O15)</f>
        <v>#DIV/0!</v>
      </c>
      <c r="R15" s="55" t="e">
        <f aca="false">G15*100/Q15-100</f>
        <v>#DIV/0!</v>
      </c>
      <c r="S15" s="54" t="n">
        <f aca="false">E15*G15</f>
        <v>0</v>
      </c>
      <c r="T15" s="47"/>
      <c r="V15" s="57" t="e">
        <f aca="false">ROUND(I15*100/Q15-100,0)</f>
        <v>#DIV/0!</v>
      </c>
      <c r="W15" s="57" t="e">
        <f aca="false">ROUND(L15*100/Q15-100,0)</f>
        <v>#DIV/0!</v>
      </c>
      <c r="X15" s="57" t="e">
        <f aca="false">ROUND(O15*100/Q15-100,0)</f>
        <v>#DIV/0!</v>
      </c>
    </row>
    <row r="16" s="43" customFormat="true" ht="73.5" hidden="false" customHeight="true" outlineLevel="0" collapsed="false">
      <c r="A16" s="223" t="n">
        <v>5</v>
      </c>
      <c r="B16" s="145" t="s">
        <v>83</v>
      </c>
      <c r="C16" s="146" t="s">
        <v>940</v>
      </c>
      <c r="D16" s="146" t="s">
        <v>25</v>
      </c>
      <c r="E16" s="224" t="n">
        <v>16</v>
      </c>
      <c r="F16" s="225"/>
      <c r="G16" s="226"/>
      <c r="H16" s="47"/>
      <c r="I16" s="53"/>
      <c r="J16" s="72" t="n">
        <f aca="false">E16*I16</f>
        <v>0</v>
      </c>
      <c r="K16" s="53"/>
      <c r="L16" s="53"/>
      <c r="M16" s="53" t="n">
        <f aca="false">E16*L16</f>
        <v>0</v>
      </c>
      <c r="N16" s="47"/>
      <c r="O16" s="53"/>
      <c r="P16" s="53" t="n">
        <f aca="false">E16*O16</f>
        <v>0</v>
      </c>
      <c r="Q16" s="54" t="e">
        <f aca="false">AVERAGE(I16,L16,O16)</f>
        <v>#DIV/0!</v>
      </c>
      <c r="R16" s="55" t="e">
        <f aca="false">G16*100/Q16-100</f>
        <v>#DIV/0!</v>
      </c>
      <c r="S16" s="54" t="n">
        <f aca="false">E16*G16</f>
        <v>0</v>
      </c>
      <c r="T16" s="47"/>
      <c r="V16" s="57" t="e">
        <f aca="false">ROUND(I16*100/Q16-100,0)</f>
        <v>#DIV/0!</v>
      </c>
      <c r="W16" s="57" t="e">
        <f aca="false">ROUND(L16*100/Q16-100,0)</f>
        <v>#DIV/0!</v>
      </c>
      <c r="X16" s="57" t="e">
        <f aca="false">ROUND(O16*100/Q16-100,0)</f>
        <v>#DIV/0!</v>
      </c>
    </row>
    <row r="17" s="43" customFormat="true" ht="73.5" hidden="false" customHeight="true" outlineLevel="0" collapsed="false">
      <c r="A17" s="223" t="n">
        <v>6</v>
      </c>
      <c r="B17" s="145" t="s">
        <v>941</v>
      </c>
      <c r="C17" s="146" t="s">
        <v>942</v>
      </c>
      <c r="D17" s="146" t="s">
        <v>25</v>
      </c>
      <c r="E17" s="224" t="n">
        <v>13</v>
      </c>
      <c r="F17" s="225" t="n">
        <v>5099.6</v>
      </c>
      <c r="G17" s="226"/>
      <c r="H17" s="47"/>
      <c r="I17" s="53"/>
      <c r="J17" s="72" t="n">
        <f aca="false">E17*I17</f>
        <v>0</v>
      </c>
      <c r="K17" s="53"/>
      <c r="L17" s="53"/>
      <c r="M17" s="53" t="n">
        <f aca="false">E17*L17</f>
        <v>0</v>
      </c>
      <c r="N17" s="47"/>
      <c r="O17" s="53"/>
      <c r="P17" s="53" t="n">
        <f aca="false">E17*O17</f>
        <v>0</v>
      </c>
      <c r="Q17" s="54" t="e">
        <f aca="false">AVERAGE(I17,L17,O17)</f>
        <v>#DIV/0!</v>
      </c>
      <c r="R17" s="55" t="e">
        <f aca="false">G17*100/Q17-100</f>
        <v>#DIV/0!</v>
      </c>
      <c r="S17" s="54" t="n">
        <f aca="false">E17*G17</f>
        <v>0</v>
      </c>
      <c r="T17" s="47"/>
      <c r="V17" s="57" t="e">
        <f aca="false">ROUND(I17*100/Q17-100,0)</f>
        <v>#DIV/0!</v>
      </c>
      <c r="W17" s="57" t="e">
        <f aca="false">ROUND(L17*100/Q17-100,0)</f>
        <v>#DIV/0!</v>
      </c>
      <c r="X17" s="57" t="e">
        <f aca="false">ROUND(O17*100/Q17-100,0)</f>
        <v>#DIV/0!</v>
      </c>
    </row>
    <row r="18" s="43" customFormat="true" ht="73.5" hidden="false" customHeight="true" outlineLevel="0" collapsed="false">
      <c r="A18" s="223" t="n">
        <v>7</v>
      </c>
      <c r="B18" s="145" t="s">
        <v>943</v>
      </c>
      <c r="C18" s="146" t="s">
        <v>944</v>
      </c>
      <c r="D18" s="146" t="s">
        <v>25</v>
      </c>
      <c r="E18" s="224" t="n">
        <v>88</v>
      </c>
      <c r="F18" s="225"/>
      <c r="G18" s="226"/>
      <c r="H18" s="47"/>
      <c r="I18" s="53"/>
      <c r="J18" s="72" t="n">
        <f aca="false">E18*I18</f>
        <v>0</v>
      </c>
      <c r="K18" s="53"/>
      <c r="L18" s="53"/>
      <c r="M18" s="53" t="n">
        <f aca="false">E18*L18</f>
        <v>0</v>
      </c>
      <c r="N18" s="47"/>
      <c r="O18" s="53"/>
      <c r="P18" s="53" t="n">
        <f aca="false">E18*O18</f>
        <v>0</v>
      </c>
      <c r="Q18" s="54" t="e">
        <f aca="false">AVERAGE(I18,L18,O18)</f>
        <v>#DIV/0!</v>
      </c>
      <c r="R18" s="55" t="e">
        <f aca="false">G18*100/Q18-100</f>
        <v>#DIV/0!</v>
      </c>
      <c r="S18" s="54" t="n">
        <f aca="false">E18*G18</f>
        <v>0</v>
      </c>
      <c r="T18" s="47"/>
      <c r="V18" s="57" t="e">
        <f aca="false">ROUND(I18*100/Q18-100,0)</f>
        <v>#DIV/0!</v>
      </c>
      <c r="W18" s="57" t="e">
        <f aca="false">ROUND(L18*100/Q18-100,0)</f>
        <v>#DIV/0!</v>
      </c>
      <c r="X18" s="57" t="e">
        <f aca="false">ROUND(O18*100/Q18-100,0)</f>
        <v>#DIV/0!</v>
      </c>
    </row>
    <row r="19" s="43" customFormat="true" ht="73.5" hidden="false" customHeight="true" outlineLevel="0" collapsed="false">
      <c r="A19" s="223" t="n">
        <v>8</v>
      </c>
      <c r="B19" s="145" t="s">
        <v>945</v>
      </c>
      <c r="C19" s="146" t="s">
        <v>946</v>
      </c>
      <c r="D19" s="146" t="s">
        <v>25</v>
      </c>
      <c r="E19" s="224" t="n">
        <v>6</v>
      </c>
      <c r="F19" s="225"/>
      <c r="G19" s="226"/>
      <c r="H19" s="47"/>
      <c r="I19" s="53"/>
      <c r="J19" s="72" t="n">
        <f aca="false">E19*I19</f>
        <v>0</v>
      </c>
      <c r="K19" s="53"/>
      <c r="L19" s="53"/>
      <c r="M19" s="53" t="n">
        <f aca="false">E19*L19</f>
        <v>0</v>
      </c>
      <c r="N19" s="47"/>
      <c r="O19" s="53"/>
      <c r="P19" s="53" t="n">
        <f aca="false">E19*O19</f>
        <v>0</v>
      </c>
      <c r="Q19" s="54" t="e">
        <f aca="false">AVERAGE(I19,L19,O19)</f>
        <v>#DIV/0!</v>
      </c>
      <c r="R19" s="55" t="e">
        <f aca="false">G19*100/Q19-100</f>
        <v>#DIV/0!</v>
      </c>
      <c r="S19" s="54" t="n">
        <f aca="false">E19*G19</f>
        <v>0</v>
      </c>
      <c r="T19" s="47"/>
      <c r="V19" s="57" t="e">
        <f aca="false">ROUND(I19*100/Q19-100,0)</f>
        <v>#DIV/0!</v>
      </c>
      <c r="W19" s="57" t="e">
        <f aca="false">ROUND(L19*100/Q19-100,0)</f>
        <v>#DIV/0!</v>
      </c>
      <c r="X19" s="57" t="e">
        <f aca="false">ROUND(O19*100/Q19-100,0)</f>
        <v>#DIV/0!</v>
      </c>
    </row>
    <row r="20" s="43" customFormat="true" ht="73.5" hidden="false" customHeight="true" outlineLevel="0" collapsed="false">
      <c r="A20" s="223" t="n">
        <v>9</v>
      </c>
      <c r="B20" s="145" t="s">
        <v>947</v>
      </c>
      <c r="C20" s="146" t="s">
        <v>948</v>
      </c>
      <c r="D20" s="146" t="s">
        <v>25</v>
      </c>
      <c r="E20" s="224" t="n">
        <v>3</v>
      </c>
      <c r="F20" s="225"/>
      <c r="G20" s="226"/>
      <c r="H20" s="47"/>
      <c r="I20" s="53"/>
      <c r="J20" s="72" t="n">
        <f aca="false">E20*I20</f>
        <v>0</v>
      </c>
      <c r="K20" s="53"/>
      <c r="L20" s="53"/>
      <c r="M20" s="53" t="n">
        <f aca="false">E20*L20</f>
        <v>0</v>
      </c>
      <c r="N20" s="47"/>
      <c r="O20" s="53"/>
      <c r="P20" s="53" t="n">
        <f aca="false">E20*O20</f>
        <v>0</v>
      </c>
      <c r="Q20" s="54" t="e">
        <f aca="false">AVERAGE(I20,L20,O20)</f>
        <v>#DIV/0!</v>
      </c>
      <c r="R20" s="55" t="e">
        <f aca="false">G20*100/Q20-100</f>
        <v>#DIV/0!</v>
      </c>
      <c r="S20" s="54" t="n">
        <f aca="false">E20*G20</f>
        <v>0</v>
      </c>
      <c r="T20" s="47"/>
      <c r="V20" s="57" t="e">
        <f aca="false">ROUND(I20*100/Q20-100,0)</f>
        <v>#DIV/0!</v>
      </c>
      <c r="W20" s="57" t="e">
        <f aca="false">ROUND(L20*100/Q20-100,0)</f>
        <v>#DIV/0!</v>
      </c>
      <c r="X20" s="57" t="e">
        <f aca="false">ROUND(O20*100/Q20-100,0)</f>
        <v>#DIV/0!</v>
      </c>
    </row>
    <row r="21" s="43" customFormat="true" ht="73.5" hidden="false" customHeight="true" outlineLevel="0" collapsed="false">
      <c r="A21" s="223" t="n">
        <v>10</v>
      </c>
      <c r="B21" s="145" t="s">
        <v>949</v>
      </c>
      <c r="C21" s="146" t="s">
        <v>950</v>
      </c>
      <c r="D21" s="146" t="s">
        <v>25</v>
      </c>
      <c r="E21" s="224" t="n">
        <v>3</v>
      </c>
      <c r="F21" s="225"/>
      <c r="G21" s="226"/>
      <c r="H21" s="47"/>
      <c r="I21" s="53"/>
      <c r="J21" s="72" t="n">
        <f aca="false">E21*I21</f>
        <v>0</v>
      </c>
      <c r="K21" s="53"/>
      <c r="L21" s="53"/>
      <c r="M21" s="53" t="n">
        <f aca="false">E21*L21</f>
        <v>0</v>
      </c>
      <c r="N21" s="47"/>
      <c r="O21" s="53"/>
      <c r="P21" s="53" t="n">
        <f aca="false">E21*O21</f>
        <v>0</v>
      </c>
      <c r="Q21" s="54" t="e">
        <f aca="false">AVERAGE(I21,L21,O21)</f>
        <v>#DIV/0!</v>
      </c>
      <c r="R21" s="55" t="e">
        <f aca="false">G21*100/Q21-100</f>
        <v>#DIV/0!</v>
      </c>
      <c r="S21" s="54" t="n">
        <f aca="false">E21*G21</f>
        <v>0</v>
      </c>
      <c r="T21" s="47"/>
      <c r="V21" s="57" t="e">
        <f aca="false">ROUND(I21*100/Q21-100,0)</f>
        <v>#DIV/0!</v>
      </c>
      <c r="W21" s="57" t="e">
        <f aca="false">ROUND(L21*100/Q21-100,0)</f>
        <v>#DIV/0!</v>
      </c>
      <c r="X21" s="57" t="e">
        <f aca="false">ROUND(O21*100/Q21-100,0)</f>
        <v>#DIV/0!</v>
      </c>
    </row>
    <row r="22" s="43" customFormat="true" ht="73.5" hidden="false" customHeight="true" outlineLevel="0" collapsed="false">
      <c r="A22" s="223" t="n">
        <v>11</v>
      </c>
      <c r="B22" s="145" t="s">
        <v>951</v>
      </c>
      <c r="C22" s="146" t="s">
        <v>952</v>
      </c>
      <c r="D22" s="146" t="s">
        <v>25</v>
      </c>
      <c r="E22" s="224" t="n">
        <v>11</v>
      </c>
      <c r="F22" s="225"/>
      <c r="G22" s="226"/>
      <c r="H22" s="47"/>
      <c r="I22" s="53"/>
      <c r="J22" s="72" t="n">
        <f aca="false">E22*I22</f>
        <v>0</v>
      </c>
      <c r="K22" s="53"/>
      <c r="L22" s="53"/>
      <c r="M22" s="53" t="n">
        <f aca="false">E22*L22</f>
        <v>0</v>
      </c>
      <c r="N22" s="47"/>
      <c r="O22" s="53"/>
      <c r="P22" s="53" t="n">
        <f aca="false">E22*O22</f>
        <v>0</v>
      </c>
      <c r="Q22" s="54" t="e">
        <f aca="false">AVERAGE(I22,L22,O22)</f>
        <v>#DIV/0!</v>
      </c>
      <c r="R22" s="55" t="e">
        <f aca="false">G22*100/Q22-100</f>
        <v>#DIV/0!</v>
      </c>
      <c r="S22" s="54" t="n">
        <f aca="false">E22*G22</f>
        <v>0</v>
      </c>
      <c r="T22" s="47"/>
      <c r="V22" s="57" t="e">
        <f aca="false">ROUND(I22*100/Q22-100,0)</f>
        <v>#DIV/0!</v>
      </c>
      <c r="W22" s="57" t="e">
        <f aca="false">ROUND(L22*100/Q22-100,0)</f>
        <v>#DIV/0!</v>
      </c>
      <c r="X22" s="57" t="e">
        <f aca="false">ROUND(O22*100/Q22-100,0)</f>
        <v>#DIV/0!</v>
      </c>
    </row>
    <row r="23" s="43" customFormat="true" ht="73.5" hidden="false" customHeight="true" outlineLevel="0" collapsed="false">
      <c r="A23" s="223" t="n">
        <v>12</v>
      </c>
      <c r="B23" s="145" t="s">
        <v>953</v>
      </c>
      <c r="C23" s="146" t="s">
        <v>954</v>
      </c>
      <c r="D23" s="146" t="s">
        <v>25</v>
      </c>
      <c r="E23" s="224" t="n">
        <v>7</v>
      </c>
      <c r="F23" s="225"/>
      <c r="G23" s="226"/>
      <c r="H23" s="47"/>
      <c r="I23" s="53"/>
      <c r="J23" s="72" t="n">
        <f aca="false">E23*I23</f>
        <v>0</v>
      </c>
      <c r="K23" s="53"/>
      <c r="L23" s="53"/>
      <c r="M23" s="53" t="n">
        <f aca="false">E23*L23</f>
        <v>0</v>
      </c>
      <c r="N23" s="47"/>
      <c r="O23" s="53"/>
      <c r="P23" s="53" t="n">
        <f aca="false">E23*O23</f>
        <v>0</v>
      </c>
      <c r="Q23" s="54" t="e">
        <f aca="false">AVERAGE(I23,L23,O23)</f>
        <v>#DIV/0!</v>
      </c>
      <c r="R23" s="55" t="e">
        <f aca="false">G23*100/Q23-100</f>
        <v>#DIV/0!</v>
      </c>
      <c r="S23" s="54" t="n">
        <f aca="false">E23*G23</f>
        <v>0</v>
      </c>
      <c r="T23" s="47"/>
      <c r="V23" s="57" t="e">
        <f aca="false">ROUND(I23*100/Q23-100,0)</f>
        <v>#DIV/0!</v>
      </c>
      <c r="W23" s="57" t="e">
        <f aca="false">ROUND(L23*100/Q23-100,0)</f>
        <v>#DIV/0!</v>
      </c>
      <c r="X23" s="57" t="e">
        <f aca="false">ROUND(O23*100/Q23-100,0)</f>
        <v>#DIV/0!</v>
      </c>
    </row>
    <row r="24" s="43" customFormat="true" ht="73.5" hidden="false" customHeight="true" outlineLevel="0" collapsed="false">
      <c r="A24" s="223" t="n">
        <v>13</v>
      </c>
      <c r="B24" s="145" t="s">
        <v>955</v>
      </c>
      <c r="C24" s="146" t="s">
        <v>956</v>
      </c>
      <c r="D24" s="146" t="s">
        <v>25</v>
      </c>
      <c r="E24" s="224" t="n">
        <v>10</v>
      </c>
      <c r="F24" s="225"/>
      <c r="G24" s="226"/>
      <c r="H24" s="47"/>
      <c r="I24" s="53"/>
      <c r="J24" s="72" t="n">
        <f aca="false">E24*I24</f>
        <v>0</v>
      </c>
      <c r="K24" s="53"/>
      <c r="L24" s="53"/>
      <c r="M24" s="53" t="n">
        <f aca="false">E24*L24</f>
        <v>0</v>
      </c>
      <c r="N24" s="47"/>
      <c r="O24" s="53"/>
      <c r="P24" s="53" t="n">
        <f aca="false">E24*O24</f>
        <v>0</v>
      </c>
      <c r="Q24" s="54" t="e">
        <f aca="false">AVERAGE(I24,L24,O24)</f>
        <v>#DIV/0!</v>
      </c>
      <c r="R24" s="55" t="e">
        <f aca="false">G24*100/Q24-100</f>
        <v>#DIV/0!</v>
      </c>
      <c r="S24" s="54" t="n">
        <f aca="false">E24*G24</f>
        <v>0</v>
      </c>
      <c r="T24" s="47"/>
      <c r="V24" s="57" t="e">
        <f aca="false">ROUND(I24*100/Q24-100,0)</f>
        <v>#DIV/0!</v>
      </c>
      <c r="W24" s="57" t="e">
        <f aca="false">ROUND(L24*100/Q24-100,0)</f>
        <v>#DIV/0!</v>
      </c>
      <c r="X24" s="57" t="e">
        <f aca="false">ROUND(O24*100/Q24-100,0)</f>
        <v>#DIV/0!</v>
      </c>
    </row>
    <row r="25" s="43" customFormat="true" ht="73.5" hidden="false" customHeight="true" outlineLevel="0" collapsed="false">
      <c r="A25" s="223" t="n">
        <v>14</v>
      </c>
      <c r="B25" s="145" t="s">
        <v>957</v>
      </c>
      <c r="C25" s="146" t="s">
        <v>958</v>
      </c>
      <c r="D25" s="146" t="s">
        <v>25</v>
      </c>
      <c r="E25" s="224" t="n">
        <v>2</v>
      </c>
      <c r="F25" s="225"/>
      <c r="G25" s="226"/>
      <c r="H25" s="47"/>
      <c r="I25" s="53"/>
      <c r="J25" s="72" t="n">
        <f aca="false">E25*I25</f>
        <v>0</v>
      </c>
      <c r="K25" s="53"/>
      <c r="L25" s="53"/>
      <c r="M25" s="53" t="n">
        <f aca="false">E25*L25</f>
        <v>0</v>
      </c>
      <c r="N25" s="47"/>
      <c r="O25" s="53"/>
      <c r="P25" s="53" t="n">
        <f aca="false">E25*O25</f>
        <v>0</v>
      </c>
      <c r="Q25" s="54" t="e">
        <f aca="false">AVERAGE(I25,L25,O25)</f>
        <v>#DIV/0!</v>
      </c>
      <c r="R25" s="55" t="e">
        <f aca="false">G25*100/Q25-100</f>
        <v>#DIV/0!</v>
      </c>
      <c r="S25" s="54" t="n">
        <f aca="false">E25*G25</f>
        <v>0</v>
      </c>
      <c r="T25" s="47"/>
      <c r="V25" s="57" t="e">
        <f aca="false">ROUND(I25*100/Q25-100,0)</f>
        <v>#DIV/0!</v>
      </c>
      <c r="W25" s="57" t="e">
        <f aca="false">ROUND(L25*100/Q25-100,0)</f>
        <v>#DIV/0!</v>
      </c>
      <c r="X25" s="57" t="e">
        <f aca="false">ROUND(O25*100/Q25-100,0)</f>
        <v>#DIV/0!</v>
      </c>
    </row>
    <row r="26" s="43" customFormat="true" ht="73.5" hidden="false" customHeight="true" outlineLevel="0" collapsed="false">
      <c r="A26" s="223" t="n">
        <v>15</v>
      </c>
      <c r="B26" s="145" t="s">
        <v>959</v>
      </c>
      <c r="C26" s="146" t="s">
        <v>960</v>
      </c>
      <c r="D26" s="146" t="s">
        <v>25</v>
      </c>
      <c r="E26" s="224" t="n">
        <v>5</v>
      </c>
      <c r="F26" s="225"/>
      <c r="G26" s="226"/>
      <c r="H26" s="47"/>
      <c r="I26" s="53"/>
      <c r="J26" s="72" t="n">
        <f aca="false">E26*I26</f>
        <v>0</v>
      </c>
      <c r="K26" s="53"/>
      <c r="L26" s="53"/>
      <c r="M26" s="53" t="n">
        <f aca="false">E26*L26</f>
        <v>0</v>
      </c>
      <c r="N26" s="47"/>
      <c r="O26" s="53"/>
      <c r="P26" s="53" t="n">
        <f aca="false">E26*O26</f>
        <v>0</v>
      </c>
      <c r="Q26" s="54" t="e">
        <f aca="false">AVERAGE(I26,L26,O26)</f>
        <v>#DIV/0!</v>
      </c>
      <c r="R26" s="55" t="e">
        <f aca="false">G26*100/Q26-100</f>
        <v>#DIV/0!</v>
      </c>
      <c r="S26" s="54" t="n">
        <f aca="false">E26*G26</f>
        <v>0</v>
      </c>
      <c r="T26" s="47"/>
      <c r="V26" s="57" t="e">
        <f aca="false">ROUND(I26*100/Q26-100,0)</f>
        <v>#DIV/0!</v>
      </c>
      <c r="W26" s="57" t="e">
        <f aca="false">ROUND(L26*100/Q26-100,0)</f>
        <v>#DIV/0!</v>
      </c>
      <c r="X26" s="57" t="e">
        <f aca="false">ROUND(O26*100/Q26-100,0)</f>
        <v>#DIV/0!</v>
      </c>
    </row>
    <row r="27" s="43" customFormat="true" ht="73.5" hidden="false" customHeight="true" outlineLevel="0" collapsed="false">
      <c r="A27" s="223" t="n">
        <v>16</v>
      </c>
      <c r="B27" s="145" t="s">
        <v>961</v>
      </c>
      <c r="C27" s="146" t="s">
        <v>960</v>
      </c>
      <c r="D27" s="146" t="s">
        <v>25</v>
      </c>
      <c r="E27" s="224" t="n">
        <v>16</v>
      </c>
      <c r="F27" s="225"/>
      <c r="G27" s="226"/>
      <c r="H27" s="47"/>
      <c r="I27" s="53"/>
      <c r="J27" s="72" t="n">
        <f aca="false">E27*I27</f>
        <v>0</v>
      </c>
      <c r="K27" s="53"/>
      <c r="L27" s="53"/>
      <c r="M27" s="53" t="n">
        <f aca="false">E27*L27</f>
        <v>0</v>
      </c>
      <c r="N27" s="47"/>
      <c r="O27" s="53"/>
      <c r="P27" s="53" t="n">
        <f aca="false">E27*O27</f>
        <v>0</v>
      </c>
      <c r="Q27" s="54" t="e">
        <f aca="false">AVERAGE(I27,L27,O27)</f>
        <v>#DIV/0!</v>
      </c>
      <c r="R27" s="55" t="e">
        <f aca="false">G27*100/Q27-100</f>
        <v>#DIV/0!</v>
      </c>
      <c r="S27" s="54" t="n">
        <f aca="false">E27*G27</f>
        <v>0</v>
      </c>
      <c r="T27" s="47"/>
      <c r="V27" s="57" t="e">
        <f aca="false">ROUND(I27*100/Q27-100,0)</f>
        <v>#DIV/0!</v>
      </c>
      <c r="W27" s="57" t="e">
        <f aca="false">ROUND(L27*100/Q27-100,0)</f>
        <v>#DIV/0!</v>
      </c>
      <c r="X27" s="57" t="e">
        <f aca="false">ROUND(O27*100/Q27-100,0)</f>
        <v>#DIV/0!</v>
      </c>
    </row>
    <row r="28" s="43" customFormat="true" ht="73.5" hidden="false" customHeight="true" outlineLevel="0" collapsed="false">
      <c r="A28" s="223" t="n">
        <v>17</v>
      </c>
      <c r="B28" s="145" t="s">
        <v>962</v>
      </c>
      <c r="C28" s="146" t="s">
        <v>963</v>
      </c>
      <c r="D28" s="146" t="s">
        <v>25</v>
      </c>
      <c r="E28" s="224" t="n">
        <v>6</v>
      </c>
      <c r="F28" s="225"/>
      <c r="G28" s="226"/>
      <c r="H28" s="47"/>
      <c r="I28" s="53"/>
      <c r="J28" s="72" t="n">
        <f aca="false">E28*I28</f>
        <v>0</v>
      </c>
      <c r="K28" s="53"/>
      <c r="L28" s="53"/>
      <c r="M28" s="53" t="n">
        <f aca="false">E28*L28</f>
        <v>0</v>
      </c>
      <c r="N28" s="47"/>
      <c r="O28" s="53"/>
      <c r="P28" s="53" t="n">
        <f aca="false">E28*O28</f>
        <v>0</v>
      </c>
      <c r="Q28" s="54" t="e">
        <f aca="false">AVERAGE(I28,L28,O28)</f>
        <v>#DIV/0!</v>
      </c>
      <c r="R28" s="55" t="e">
        <f aca="false">G28*100/Q28-100</f>
        <v>#DIV/0!</v>
      </c>
      <c r="S28" s="54" t="n">
        <f aca="false">E28*G28</f>
        <v>0</v>
      </c>
      <c r="T28" s="47"/>
      <c r="V28" s="57" t="e">
        <f aca="false">ROUND(I28*100/Q28-100,0)</f>
        <v>#DIV/0!</v>
      </c>
      <c r="W28" s="57" t="e">
        <f aca="false">ROUND(L28*100/Q28-100,0)</f>
        <v>#DIV/0!</v>
      </c>
      <c r="X28" s="57" t="e">
        <f aca="false">ROUND(O28*100/Q28-100,0)</f>
        <v>#DIV/0!</v>
      </c>
    </row>
    <row r="29" s="43" customFormat="true" ht="73.5" hidden="false" customHeight="true" outlineLevel="0" collapsed="false">
      <c r="A29" s="223" t="n">
        <v>18</v>
      </c>
      <c r="B29" s="145" t="s">
        <v>964</v>
      </c>
      <c r="C29" s="146" t="s">
        <v>963</v>
      </c>
      <c r="D29" s="146" t="s">
        <v>25</v>
      </c>
      <c r="E29" s="224" t="n">
        <v>5</v>
      </c>
      <c r="F29" s="225"/>
      <c r="G29" s="226"/>
      <c r="H29" s="47"/>
      <c r="I29" s="53"/>
      <c r="J29" s="72" t="n">
        <f aca="false">E29*I29</f>
        <v>0</v>
      </c>
      <c r="K29" s="53"/>
      <c r="L29" s="53"/>
      <c r="M29" s="53" t="n">
        <f aca="false">E29*L29</f>
        <v>0</v>
      </c>
      <c r="N29" s="47"/>
      <c r="O29" s="53"/>
      <c r="P29" s="53" t="n">
        <f aca="false">E29*O29</f>
        <v>0</v>
      </c>
      <c r="Q29" s="54" t="e">
        <f aca="false">AVERAGE(I29,L29,O29)</f>
        <v>#DIV/0!</v>
      </c>
      <c r="R29" s="55" t="e">
        <f aca="false">G29*100/Q29-100</f>
        <v>#DIV/0!</v>
      </c>
      <c r="S29" s="54" t="n">
        <f aca="false">E29*G29</f>
        <v>0</v>
      </c>
      <c r="T29" s="47"/>
      <c r="V29" s="57" t="e">
        <f aca="false">ROUND(I29*100/Q29-100,0)</f>
        <v>#DIV/0!</v>
      </c>
      <c r="W29" s="57" t="e">
        <f aca="false">ROUND(L29*100/Q29-100,0)</f>
        <v>#DIV/0!</v>
      </c>
      <c r="X29" s="57" t="e">
        <f aca="false">ROUND(O29*100/Q29-100,0)</f>
        <v>#DIV/0!</v>
      </c>
    </row>
    <row r="30" s="43" customFormat="true" ht="73.5" hidden="false" customHeight="true" outlineLevel="0" collapsed="false">
      <c r="A30" s="223" t="n">
        <v>19</v>
      </c>
      <c r="B30" s="145" t="s">
        <v>965</v>
      </c>
      <c r="C30" s="146" t="s">
        <v>966</v>
      </c>
      <c r="D30" s="146" t="s">
        <v>25</v>
      </c>
      <c r="E30" s="224" t="n">
        <v>1</v>
      </c>
      <c r="F30" s="225"/>
      <c r="G30" s="226"/>
      <c r="H30" s="47"/>
      <c r="I30" s="53"/>
      <c r="J30" s="72" t="n">
        <f aca="false">E30*I30</f>
        <v>0</v>
      </c>
      <c r="K30" s="53"/>
      <c r="L30" s="53"/>
      <c r="M30" s="53" t="n">
        <f aca="false">E30*L30</f>
        <v>0</v>
      </c>
      <c r="N30" s="47"/>
      <c r="O30" s="53"/>
      <c r="P30" s="53" t="n">
        <f aca="false">E30*O30</f>
        <v>0</v>
      </c>
      <c r="Q30" s="54" t="e">
        <f aca="false">AVERAGE(I30,L30,O30)</f>
        <v>#DIV/0!</v>
      </c>
      <c r="R30" s="55" t="e">
        <f aca="false">G30*100/Q30-100</f>
        <v>#DIV/0!</v>
      </c>
      <c r="S30" s="54" t="n">
        <f aca="false">E30*G30</f>
        <v>0</v>
      </c>
      <c r="T30" s="47"/>
      <c r="V30" s="57" t="e">
        <f aca="false">ROUND(I30*100/Q30-100,0)</f>
        <v>#DIV/0!</v>
      </c>
      <c r="W30" s="57" t="e">
        <f aca="false">ROUND(L30*100/Q30-100,0)</f>
        <v>#DIV/0!</v>
      </c>
      <c r="X30" s="57" t="e">
        <f aca="false">ROUND(O30*100/Q30-100,0)</f>
        <v>#DIV/0!</v>
      </c>
    </row>
    <row r="31" s="43" customFormat="true" ht="73.5" hidden="false" customHeight="true" outlineLevel="0" collapsed="false">
      <c r="A31" s="223" t="n">
        <v>20</v>
      </c>
      <c r="B31" s="145" t="s">
        <v>967</v>
      </c>
      <c r="C31" s="146" t="s">
        <v>966</v>
      </c>
      <c r="D31" s="146" t="s">
        <v>25</v>
      </c>
      <c r="E31" s="224" t="n">
        <v>8</v>
      </c>
      <c r="F31" s="225"/>
      <c r="G31" s="226"/>
      <c r="H31" s="47"/>
      <c r="I31" s="53"/>
      <c r="J31" s="72" t="n">
        <f aca="false">E31*I31</f>
        <v>0</v>
      </c>
      <c r="K31" s="53"/>
      <c r="L31" s="53"/>
      <c r="M31" s="53" t="n">
        <f aca="false">E31*L31</f>
        <v>0</v>
      </c>
      <c r="N31" s="47"/>
      <c r="O31" s="53"/>
      <c r="P31" s="53" t="n">
        <f aca="false">E31*O31</f>
        <v>0</v>
      </c>
      <c r="Q31" s="54" t="e">
        <f aca="false">AVERAGE(I31,L31,O31)</f>
        <v>#DIV/0!</v>
      </c>
      <c r="R31" s="55" t="e">
        <f aca="false">G31*100/Q31-100</f>
        <v>#DIV/0!</v>
      </c>
      <c r="S31" s="54" t="n">
        <f aca="false">E31*G31</f>
        <v>0</v>
      </c>
      <c r="T31" s="47"/>
      <c r="V31" s="57" t="e">
        <f aca="false">ROUND(I31*100/Q31-100,0)</f>
        <v>#DIV/0!</v>
      </c>
      <c r="W31" s="57" t="e">
        <f aca="false">ROUND(L31*100/Q31-100,0)</f>
        <v>#DIV/0!</v>
      </c>
      <c r="X31" s="57" t="e">
        <f aca="false">ROUND(O31*100/Q31-100,0)</f>
        <v>#DIV/0!</v>
      </c>
    </row>
    <row r="32" s="43" customFormat="true" ht="73.5" hidden="false" customHeight="true" outlineLevel="0" collapsed="false">
      <c r="A32" s="223" t="n">
        <v>21</v>
      </c>
      <c r="B32" s="145" t="s">
        <v>968</v>
      </c>
      <c r="C32" s="146" t="s">
        <v>963</v>
      </c>
      <c r="D32" s="146" t="s">
        <v>25</v>
      </c>
      <c r="E32" s="224" t="n">
        <v>2</v>
      </c>
      <c r="F32" s="225"/>
      <c r="G32" s="226"/>
      <c r="H32" s="47"/>
      <c r="I32" s="53"/>
      <c r="J32" s="72" t="n">
        <f aca="false">E32*I32</f>
        <v>0</v>
      </c>
      <c r="K32" s="53"/>
      <c r="L32" s="53"/>
      <c r="M32" s="53" t="n">
        <f aca="false">E32*L32</f>
        <v>0</v>
      </c>
      <c r="N32" s="47"/>
      <c r="O32" s="53"/>
      <c r="P32" s="53" t="n">
        <f aca="false">E32*O32</f>
        <v>0</v>
      </c>
      <c r="Q32" s="54" t="e">
        <f aca="false">AVERAGE(I32,L32,O32)</f>
        <v>#DIV/0!</v>
      </c>
      <c r="R32" s="55" t="e">
        <f aca="false">G32*100/Q32-100</f>
        <v>#DIV/0!</v>
      </c>
      <c r="S32" s="54" t="n">
        <f aca="false">E32*G32</f>
        <v>0</v>
      </c>
      <c r="T32" s="47"/>
      <c r="V32" s="57" t="e">
        <f aca="false">ROUND(I32*100/Q32-100,0)</f>
        <v>#DIV/0!</v>
      </c>
      <c r="W32" s="57" t="e">
        <f aca="false">ROUND(L32*100/Q32-100,0)</f>
        <v>#DIV/0!</v>
      </c>
      <c r="X32" s="57" t="e">
        <f aca="false">ROUND(O32*100/Q32-100,0)</f>
        <v>#DIV/0!</v>
      </c>
    </row>
    <row r="33" s="43" customFormat="true" ht="73.5" hidden="false" customHeight="true" outlineLevel="0" collapsed="false">
      <c r="A33" s="223" t="n">
        <v>22</v>
      </c>
      <c r="B33" s="145" t="s">
        <v>969</v>
      </c>
      <c r="C33" s="146" t="s">
        <v>963</v>
      </c>
      <c r="D33" s="146" t="s">
        <v>25</v>
      </c>
      <c r="E33" s="224" t="n">
        <v>1</v>
      </c>
      <c r="F33" s="225"/>
      <c r="G33" s="226"/>
      <c r="H33" s="47"/>
      <c r="I33" s="53"/>
      <c r="J33" s="72" t="n">
        <f aca="false">E33*I33</f>
        <v>0</v>
      </c>
      <c r="K33" s="53"/>
      <c r="L33" s="53"/>
      <c r="M33" s="53" t="n">
        <f aca="false">E33*L33</f>
        <v>0</v>
      </c>
      <c r="N33" s="47"/>
      <c r="O33" s="53"/>
      <c r="P33" s="53" t="n">
        <f aca="false">E33*O33</f>
        <v>0</v>
      </c>
      <c r="Q33" s="54" t="e">
        <f aca="false">AVERAGE(I33,L33,O33)</f>
        <v>#DIV/0!</v>
      </c>
      <c r="R33" s="55" t="e">
        <f aca="false">G33*100/Q33-100</f>
        <v>#DIV/0!</v>
      </c>
      <c r="S33" s="54" t="n">
        <f aca="false">E33*G33</f>
        <v>0</v>
      </c>
      <c r="T33" s="47"/>
      <c r="V33" s="57" t="e">
        <f aca="false">ROUND(I33*100/Q33-100,0)</f>
        <v>#DIV/0!</v>
      </c>
      <c r="W33" s="57" t="e">
        <f aca="false">ROUND(L33*100/Q33-100,0)</f>
        <v>#DIV/0!</v>
      </c>
      <c r="X33" s="57" t="e">
        <f aca="false">ROUND(O33*100/Q33-100,0)</f>
        <v>#DIV/0!</v>
      </c>
    </row>
    <row r="34" s="43" customFormat="true" ht="73.5" hidden="false" customHeight="true" outlineLevel="0" collapsed="false">
      <c r="A34" s="223" t="n">
        <v>23</v>
      </c>
      <c r="B34" s="145" t="s">
        <v>970</v>
      </c>
      <c r="C34" s="146" t="s">
        <v>971</v>
      </c>
      <c r="D34" s="146" t="s">
        <v>25</v>
      </c>
      <c r="E34" s="224" t="n">
        <v>1</v>
      </c>
      <c r="F34" s="225"/>
      <c r="G34" s="226"/>
      <c r="H34" s="47"/>
      <c r="I34" s="53"/>
      <c r="J34" s="72" t="n">
        <f aca="false">E34*I34</f>
        <v>0</v>
      </c>
      <c r="K34" s="53"/>
      <c r="L34" s="53"/>
      <c r="M34" s="53" t="n">
        <f aca="false">E34*L34</f>
        <v>0</v>
      </c>
      <c r="N34" s="47"/>
      <c r="O34" s="53"/>
      <c r="P34" s="53" t="n">
        <f aca="false">E34*O34</f>
        <v>0</v>
      </c>
      <c r="Q34" s="54" t="e">
        <f aca="false">AVERAGE(I34,L34,O34)</f>
        <v>#DIV/0!</v>
      </c>
      <c r="R34" s="55" t="e">
        <f aca="false">G34*100/Q34-100</f>
        <v>#DIV/0!</v>
      </c>
      <c r="S34" s="54" t="n">
        <f aca="false">E34*G34</f>
        <v>0</v>
      </c>
      <c r="T34" s="47"/>
      <c r="V34" s="57" t="e">
        <f aca="false">ROUND(I34*100/Q34-100,0)</f>
        <v>#DIV/0!</v>
      </c>
      <c r="W34" s="57" t="e">
        <f aca="false">ROUND(L34*100/Q34-100,0)</f>
        <v>#DIV/0!</v>
      </c>
      <c r="X34" s="57" t="e">
        <f aca="false">ROUND(O34*100/Q34-100,0)</f>
        <v>#DIV/0!</v>
      </c>
    </row>
    <row r="35" s="43" customFormat="true" ht="73.5" hidden="false" customHeight="true" outlineLevel="0" collapsed="false">
      <c r="A35" s="223" t="n">
        <v>24</v>
      </c>
      <c r="B35" s="145" t="s">
        <v>972</v>
      </c>
      <c r="C35" s="146" t="s">
        <v>971</v>
      </c>
      <c r="D35" s="146" t="s">
        <v>25</v>
      </c>
      <c r="E35" s="224" t="n">
        <v>2</v>
      </c>
      <c r="F35" s="225"/>
      <c r="G35" s="226"/>
      <c r="H35" s="47"/>
      <c r="I35" s="53"/>
      <c r="J35" s="72" t="n">
        <f aca="false">E35*I35</f>
        <v>0</v>
      </c>
      <c r="K35" s="53"/>
      <c r="L35" s="53"/>
      <c r="M35" s="53" t="n">
        <f aca="false">E35*L35</f>
        <v>0</v>
      </c>
      <c r="N35" s="47"/>
      <c r="O35" s="53"/>
      <c r="P35" s="53" t="n">
        <f aca="false">E35*O35</f>
        <v>0</v>
      </c>
      <c r="Q35" s="54" t="e">
        <f aca="false">AVERAGE(I35,L35,O35)</f>
        <v>#DIV/0!</v>
      </c>
      <c r="R35" s="55" t="e">
        <f aca="false">G35*100/Q35-100</f>
        <v>#DIV/0!</v>
      </c>
      <c r="S35" s="54" t="n">
        <f aca="false">E35*G35</f>
        <v>0</v>
      </c>
      <c r="T35" s="47"/>
      <c r="V35" s="57" t="e">
        <f aca="false">ROUND(I35*100/Q35-100,0)</f>
        <v>#DIV/0!</v>
      </c>
      <c r="W35" s="57" t="e">
        <f aca="false">ROUND(L35*100/Q35-100,0)</f>
        <v>#DIV/0!</v>
      </c>
      <c r="X35" s="57" t="e">
        <f aca="false">ROUND(O35*100/Q35-100,0)</f>
        <v>#DIV/0!</v>
      </c>
    </row>
    <row r="36" s="43" customFormat="true" ht="73.5" hidden="false" customHeight="true" outlineLevel="0" collapsed="false">
      <c r="A36" s="223" t="n">
        <v>25</v>
      </c>
      <c r="B36" s="145" t="s">
        <v>973</v>
      </c>
      <c r="C36" s="146" t="s">
        <v>974</v>
      </c>
      <c r="D36" s="146" t="s">
        <v>25</v>
      </c>
      <c r="E36" s="224" t="n">
        <v>2</v>
      </c>
      <c r="F36" s="225"/>
      <c r="G36" s="226"/>
      <c r="H36" s="47"/>
      <c r="I36" s="53"/>
      <c r="J36" s="72" t="n">
        <f aca="false">E36*I36</f>
        <v>0</v>
      </c>
      <c r="K36" s="53"/>
      <c r="L36" s="53"/>
      <c r="M36" s="53" t="n">
        <f aca="false">E36*L36</f>
        <v>0</v>
      </c>
      <c r="N36" s="47"/>
      <c r="O36" s="53"/>
      <c r="P36" s="53" t="n">
        <f aca="false">E36*O36</f>
        <v>0</v>
      </c>
      <c r="Q36" s="54" t="e">
        <f aca="false">AVERAGE(I36,L36,O36)</f>
        <v>#DIV/0!</v>
      </c>
      <c r="R36" s="55" t="e">
        <f aca="false">G36*100/Q36-100</f>
        <v>#DIV/0!</v>
      </c>
      <c r="S36" s="54" t="n">
        <f aca="false">E36*G36</f>
        <v>0</v>
      </c>
      <c r="T36" s="47"/>
      <c r="V36" s="57" t="e">
        <f aca="false">ROUND(I36*100/Q36-100,0)</f>
        <v>#DIV/0!</v>
      </c>
      <c r="W36" s="57" t="e">
        <f aca="false">ROUND(L36*100/Q36-100,0)</f>
        <v>#DIV/0!</v>
      </c>
      <c r="X36" s="57" t="e">
        <f aca="false">ROUND(O36*100/Q36-100,0)</f>
        <v>#DIV/0!</v>
      </c>
    </row>
    <row r="37" s="43" customFormat="true" ht="73.5" hidden="false" customHeight="true" outlineLevel="0" collapsed="false">
      <c r="A37" s="223" t="n">
        <v>26</v>
      </c>
      <c r="B37" s="145" t="s">
        <v>975</v>
      </c>
      <c r="C37" s="146" t="s">
        <v>976</v>
      </c>
      <c r="D37" s="146" t="s">
        <v>25</v>
      </c>
      <c r="E37" s="224" t="n">
        <v>1</v>
      </c>
      <c r="F37" s="225"/>
      <c r="G37" s="226"/>
      <c r="H37" s="47"/>
      <c r="I37" s="53"/>
      <c r="J37" s="72" t="n">
        <f aca="false">E37*I37</f>
        <v>0</v>
      </c>
      <c r="K37" s="53"/>
      <c r="L37" s="53"/>
      <c r="M37" s="53" t="n">
        <f aca="false">E37*L37</f>
        <v>0</v>
      </c>
      <c r="N37" s="47"/>
      <c r="O37" s="53"/>
      <c r="P37" s="53" t="n">
        <f aca="false">E37*O37</f>
        <v>0</v>
      </c>
      <c r="Q37" s="54" t="e">
        <f aca="false">AVERAGE(I37,L37,O37)</f>
        <v>#DIV/0!</v>
      </c>
      <c r="R37" s="55" t="e">
        <f aca="false">G37*100/Q37-100</f>
        <v>#DIV/0!</v>
      </c>
      <c r="S37" s="54" t="n">
        <f aca="false">E37*G37</f>
        <v>0</v>
      </c>
      <c r="T37" s="47"/>
      <c r="V37" s="57" t="e">
        <f aca="false">ROUND(I37*100/Q37-100,0)</f>
        <v>#DIV/0!</v>
      </c>
      <c r="W37" s="57" t="e">
        <f aca="false">ROUND(L37*100/Q37-100,0)</f>
        <v>#DIV/0!</v>
      </c>
      <c r="X37" s="57" t="e">
        <f aca="false">ROUND(O37*100/Q37-100,0)</f>
        <v>#DIV/0!</v>
      </c>
    </row>
    <row r="38" s="43" customFormat="true" ht="73.5" hidden="false" customHeight="true" outlineLevel="0" collapsed="false">
      <c r="A38" s="223" t="n">
        <v>27</v>
      </c>
      <c r="B38" s="145" t="s">
        <v>977</v>
      </c>
      <c r="C38" s="146" t="s">
        <v>978</v>
      </c>
      <c r="D38" s="146" t="s">
        <v>25</v>
      </c>
      <c r="E38" s="224" t="n">
        <v>204</v>
      </c>
      <c r="F38" s="225" t="n">
        <v>1432.5</v>
      </c>
      <c r="G38" s="226"/>
      <c r="H38" s="47"/>
      <c r="I38" s="53"/>
      <c r="J38" s="72" t="n">
        <f aca="false">E38*I38</f>
        <v>0</v>
      </c>
      <c r="K38" s="53"/>
      <c r="L38" s="53"/>
      <c r="M38" s="53" t="n">
        <f aca="false">E38*L38</f>
        <v>0</v>
      </c>
      <c r="N38" s="47"/>
      <c r="O38" s="53"/>
      <c r="P38" s="53" t="n">
        <f aca="false">E38*O38</f>
        <v>0</v>
      </c>
      <c r="Q38" s="54" t="e">
        <f aca="false">AVERAGE(I38,L38,O38)</f>
        <v>#DIV/0!</v>
      </c>
      <c r="R38" s="55" t="e">
        <f aca="false">G38*100/Q38-100</f>
        <v>#DIV/0!</v>
      </c>
      <c r="S38" s="54" t="n">
        <f aca="false">E38*G38</f>
        <v>0</v>
      </c>
      <c r="T38" s="47"/>
      <c r="V38" s="57" t="e">
        <f aca="false">ROUND(I38*100/Q38-100,0)</f>
        <v>#DIV/0!</v>
      </c>
      <c r="W38" s="57" t="e">
        <f aca="false">ROUND(L38*100/Q38-100,0)</f>
        <v>#DIV/0!</v>
      </c>
      <c r="X38" s="57" t="e">
        <f aca="false">ROUND(O38*100/Q38-100,0)</f>
        <v>#DIV/0!</v>
      </c>
    </row>
    <row r="39" s="43" customFormat="true" ht="73.5" hidden="false" customHeight="true" outlineLevel="0" collapsed="false">
      <c r="A39" s="223" t="n">
        <v>28</v>
      </c>
      <c r="B39" s="145" t="s">
        <v>979</v>
      </c>
      <c r="C39" s="146" t="s">
        <v>980</v>
      </c>
      <c r="D39" s="146" t="s">
        <v>25</v>
      </c>
      <c r="E39" s="224" t="n">
        <v>13</v>
      </c>
      <c r="F39" s="225"/>
      <c r="G39" s="226"/>
      <c r="H39" s="47"/>
      <c r="I39" s="53"/>
      <c r="J39" s="72" t="n">
        <f aca="false">E39*I39</f>
        <v>0</v>
      </c>
      <c r="K39" s="53"/>
      <c r="L39" s="53"/>
      <c r="M39" s="53" t="n">
        <f aca="false">E39*L39</f>
        <v>0</v>
      </c>
      <c r="N39" s="47"/>
      <c r="O39" s="53"/>
      <c r="P39" s="53" t="n">
        <f aca="false">E39*O39</f>
        <v>0</v>
      </c>
      <c r="Q39" s="54" t="e">
        <f aca="false">AVERAGE(I39,L39,O39)</f>
        <v>#DIV/0!</v>
      </c>
      <c r="R39" s="55" t="e">
        <f aca="false">G39*100/Q39-100</f>
        <v>#DIV/0!</v>
      </c>
      <c r="S39" s="54" t="n">
        <f aca="false">E39*G39</f>
        <v>0</v>
      </c>
      <c r="T39" s="47"/>
      <c r="V39" s="57" t="e">
        <f aca="false">ROUND(I39*100/Q39-100,0)</f>
        <v>#DIV/0!</v>
      </c>
      <c r="W39" s="57" t="e">
        <f aca="false">ROUND(L39*100/Q39-100,0)</f>
        <v>#DIV/0!</v>
      </c>
      <c r="X39" s="57" t="e">
        <f aca="false">ROUND(O39*100/Q39-100,0)</f>
        <v>#DIV/0!</v>
      </c>
    </row>
    <row r="40" s="43" customFormat="true" ht="73.5" hidden="false" customHeight="true" outlineLevel="0" collapsed="false">
      <c r="A40" s="223" t="n">
        <v>29</v>
      </c>
      <c r="B40" s="145" t="s">
        <v>981</v>
      </c>
      <c r="C40" s="146" t="s">
        <v>982</v>
      </c>
      <c r="D40" s="146" t="s">
        <v>25</v>
      </c>
      <c r="E40" s="224" t="n">
        <v>10</v>
      </c>
      <c r="F40" s="225"/>
      <c r="G40" s="226"/>
      <c r="H40" s="47"/>
      <c r="I40" s="53"/>
      <c r="J40" s="72" t="n">
        <f aca="false">E40*I40</f>
        <v>0</v>
      </c>
      <c r="K40" s="53"/>
      <c r="L40" s="53"/>
      <c r="M40" s="53" t="n">
        <f aca="false">E40*L40</f>
        <v>0</v>
      </c>
      <c r="N40" s="47"/>
      <c r="O40" s="53"/>
      <c r="P40" s="53" t="n">
        <f aca="false">E40*O40</f>
        <v>0</v>
      </c>
      <c r="Q40" s="54" t="e">
        <f aca="false">AVERAGE(I40,L40,O40)</f>
        <v>#DIV/0!</v>
      </c>
      <c r="R40" s="55" t="e">
        <f aca="false">G40*100/Q40-100</f>
        <v>#DIV/0!</v>
      </c>
      <c r="S40" s="54" t="n">
        <f aca="false">E40*G40</f>
        <v>0</v>
      </c>
      <c r="T40" s="47"/>
      <c r="V40" s="57" t="e">
        <f aca="false">ROUND(I40*100/Q40-100,0)</f>
        <v>#DIV/0!</v>
      </c>
      <c r="W40" s="57" t="e">
        <f aca="false">ROUND(L40*100/Q40-100,0)</f>
        <v>#DIV/0!</v>
      </c>
      <c r="X40" s="57" t="e">
        <f aca="false">ROUND(O40*100/Q40-100,0)</f>
        <v>#DIV/0!</v>
      </c>
    </row>
    <row r="41" s="43" customFormat="true" ht="73.5" hidden="false" customHeight="true" outlineLevel="0" collapsed="false">
      <c r="A41" s="223" t="n">
        <v>30</v>
      </c>
      <c r="B41" s="145" t="s">
        <v>983</v>
      </c>
      <c r="C41" s="146" t="s">
        <v>984</v>
      </c>
      <c r="D41" s="146" t="s">
        <v>25</v>
      </c>
      <c r="E41" s="224" t="n">
        <v>1</v>
      </c>
      <c r="F41" s="225"/>
      <c r="G41" s="226"/>
      <c r="H41" s="47"/>
      <c r="I41" s="53"/>
      <c r="J41" s="72" t="n">
        <f aca="false">E41*I41</f>
        <v>0</v>
      </c>
      <c r="K41" s="53"/>
      <c r="L41" s="53"/>
      <c r="M41" s="53" t="n">
        <f aca="false">E41*L41</f>
        <v>0</v>
      </c>
      <c r="N41" s="47"/>
      <c r="O41" s="53"/>
      <c r="P41" s="53" t="n">
        <f aca="false">E41*O41</f>
        <v>0</v>
      </c>
      <c r="Q41" s="54" t="e">
        <f aca="false">AVERAGE(I41,L41,O41)</f>
        <v>#DIV/0!</v>
      </c>
      <c r="R41" s="55" t="e">
        <f aca="false">G41*100/Q41-100</f>
        <v>#DIV/0!</v>
      </c>
      <c r="S41" s="54" t="n">
        <f aca="false">E41*G41</f>
        <v>0</v>
      </c>
      <c r="T41" s="47"/>
      <c r="V41" s="57" t="e">
        <f aca="false">ROUND(I41*100/Q41-100,0)</f>
        <v>#DIV/0!</v>
      </c>
      <c r="W41" s="57" t="e">
        <f aca="false">ROUND(L41*100/Q41-100,0)</f>
        <v>#DIV/0!</v>
      </c>
      <c r="X41" s="57" t="e">
        <f aca="false">ROUND(O41*100/Q41-100,0)</f>
        <v>#DIV/0!</v>
      </c>
    </row>
    <row r="42" s="43" customFormat="true" ht="73.5" hidden="false" customHeight="true" outlineLevel="0" collapsed="false">
      <c r="A42" s="223" t="n">
        <v>31</v>
      </c>
      <c r="B42" s="145" t="s">
        <v>985</v>
      </c>
      <c r="C42" s="146" t="s">
        <v>986</v>
      </c>
      <c r="D42" s="146" t="s">
        <v>25</v>
      </c>
      <c r="E42" s="224" t="n">
        <v>1</v>
      </c>
      <c r="F42" s="225"/>
      <c r="G42" s="226"/>
      <c r="H42" s="47"/>
      <c r="I42" s="53"/>
      <c r="J42" s="72" t="n">
        <f aca="false">E42*I42</f>
        <v>0</v>
      </c>
      <c r="K42" s="53"/>
      <c r="L42" s="53"/>
      <c r="M42" s="53" t="n">
        <f aca="false">E42*L42</f>
        <v>0</v>
      </c>
      <c r="N42" s="47"/>
      <c r="O42" s="53"/>
      <c r="P42" s="53" t="n">
        <f aca="false">E42*O42</f>
        <v>0</v>
      </c>
      <c r="Q42" s="54" t="e">
        <f aca="false">AVERAGE(I42,L42,O42)</f>
        <v>#DIV/0!</v>
      </c>
      <c r="R42" s="55" t="e">
        <f aca="false">G42*100/Q42-100</f>
        <v>#DIV/0!</v>
      </c>
      <c r="S42" s="54" t="n">
        <f aca="false">E42*G42</f>
        <v>0</v>
      </c>
      <c r="T42" s="47"/>
      <c r="V42" s="57" t="e">
        <f aca="false">ROUND(I42*100/Q42-100,0)</f>
        <v>#DIV/0!</v>
      </c>
      <c r="W42" s="57" t="e">
        <f aca="false">ROUND(L42*100/Q42-100,0)</f>
        <v>#DIV/0!</v>
      </c>
      <c r="X42" s="57" t="e">
        <f aca="false">ROUND(O42*100/Q42-100,0)</f>
        <v>#DIV/0!</v>
      </c>
    </row>
    <row r="43" s="43" customFormat="true" ht="73.5" hidden="false" customHeight="true" outlineLevel="0" collapsed="false">
      <c r="A43" s="223" t="n">
        <v>32</v>
      </c>
      <c r="B43" s="145" t="s">
        <v>987</v>
      </c>
      <c r="C43" s="146" t="s">
        <v>988</v>
      </c>
      <c r="D43" s="146" t="s">
        <v>25</v>
      </c>
      <c r="E43" s="224" t="n">
        <v>20</v>
      </c>
      <c r="F43" s="225"/>
      <c r="G43" s="226"/>
      <c r="H43" s="47"/>
      <c r="I43" s="53"/>
      <c r="J43" s="72" t="n">
        <f aca="false">E43*I43</f>
        <v>0</v>
      </c>
      <c r="K43" s="53"/>
      <c r="L43" s="53"/>
      <c r="M43" s="53" t="n">
        <f aca="false">E43*L43</f>
        <v>0</v>
      </c>
      <c r="N43" s="47"/>
      <c r="O43" s="53"/>
      <c r="P43" s="53" t="n">
        <f aca="false">E43*O43</f>
        <v>0</v>
      </c>
      <c r="Q43" s="54" t="e">
        <f aca="false">AVERAGE(I43,L43,O43)</f>
        <v>#DIV/0!</v>
      </c>
      <c r="R43" s="55" t="e">
        <f aca="false">G43*100/Q43-100</f>
        <v>#DIV/0!</v>
      </c>
      <c r="S43" s="54" t="n">
        <f aca="false">E43*G43</f>
        <v>0</v>
      </c>
      <c r="T43" s="47"/>
      <c r="V43" s="57" t="e">
        <f aca="false">ROUND(I43*100/Q43-100,0)</f>
        <v>#DIV/0!</v>
      </c>
      <c r="W43" s="57" t="e">
        <f aca="false">ROUND(L43*100/Q43-100,0)</f>
        <v>#DIV/0!</v>
      </c>
      <c r="X43" s="57" t="e">
        <f aca="false">ROUND(O43*100/Q43-100,0)</f>
        <v>#DIV/0!</v>
      </c>
    </row>
    <row r="44" s="43" customFormat="true" ht="73.5" hidden="false" customHeight="true" outlineLevel="0" collapsed="false">
      <c r="A44" s="223" t="n">
        <v>33</v>
      </c>
      <c r="B44" s="145" t="s">
        <v>989</v>
      </c>
      <c r="C44" s="146" t="s">
        <v>990</v>
      </c>
      <c r="D44" s="146" t="s">
        <v>25</v>
      </c>
      <c r="E44" s="224" t="n">
        <v>2</v>
      </c>
      <c r="F44" s="225"/>
      <c r="G44" s="226"/>
      <c r="H44" s="47"/>
      <c r="I44" s="53"/>
      <c r="J44" s="72" t="n">
        <f aca="false">E44*I44</f>
        <v>0</v>
      </c>
      <c r="K44" s="53"/>
      <c r="L44" s="53"/>
      <c r="M44" s="53" t="n">
        <f aca="false">E44*L44</f>
        <v>0</v>
      </c>
      <c r="N44" s="47"/>
      <c r="O44" s="53"/>
      <c r="P44" s="53" t="n">
        <f aca="false">E44*O44</f>
        <v>0</v>
      </c>
      <c r="Q44" s="54" t="e">
        <f aca="false">AVERAGE(I44,L44,O44)</f>
        <v>#DIV/0!</v>
      </c>
      <c r="R44" s="55" t="e">
        <f aca="false">G44*100/Q44-100</f>
        <v>#DIV/0!</v>
      </c>
      <c r="S44" s="54" t="n">
        <f aca="false">E44*G44</f>
        <v>0</v>
      </c>
      <c r="T44" s="47"/>
      <c r="V44" s="57" t="e">
        <f aca="false">ROUND(I44*100/Q44-100,0)</f>
        <v>#DIV/0!</v>
      </c>
      <c r="W44" s="57" t="e">
        <f aca="false">ROUND(L44*100/Q44-100,0)</f>
        <v>#DIV/0!</v>
      </c>
      <c r="X44" s="57" t="e">
        <f aca="false">ROUND(O44*100/Q44-100,0)</f>
        <v>#DIV/0!</v>
      </c>
    </row>
    <row r="45" s="43" customFormat="true" ht="73.5" hidden="false" customHeight="true" outlineLevel="0" collapsed="false">
      <c r="A45" s="223" t="n">
        <v>34</v>
      </c>
      <c r="B45" s="145" t="s">
        <v>991</v>
      </c>
      <c r="C45" s="146" t="s">
        <v>992</v>
      </c>
      <c r="D45" s="146" t="s">
        <v>25</v>
      </c>
      <c r="E45" s="224" t="n">
        <v>2</v>
      </c>
      <c r="F45" s="225"/>
      <c r="G45" s="226"/>
      <c r="H45" s="47"/>
      <c r="I45" s="53"/>
      <c r="J45" s="72" t="n">
        <f aca="false">E45*I45</f>
        <v>0</v>
      </c>
      <c r="K45" s="53"/>
      <c r="L45" s="53"/>
      <c r="M45" s="53" t="n">
        <f aca="false">E45*L45</f>
        <v>0</v>
      </c>
      <c r="N45" s="47"/>
      <c r="O45" s="53"/>
      <c r="P45" s="53" t="n">
        <f aca="false">E45*O45</f>
        <v>0</v>
      </c>
      <c r="Q45" s="54" t="e">
        <f aca="false">AVERAGE(I45,L45,O45)</f>
        <v>#DIV/0!</v>
      </c>
      <c r="R45" s="55" t="e">
        <f aca="false">G45*100/Q45-100</f>
        <v>#DIV/0!</v>
      </c>
      <c r="S45" s="54" t="n">
        <f aca="false">E45*G45</f>
        <v>0</v>
      </c>
      <c r="T45" s="47"/>
      <c r="V45" s="57" t="e">
        <f aca="false">ROUND(I45*100/Q45-100,0)</f>
        <v>#DIV/0!</v>
      </c>
      <c r="W45" s="57" t="e">
        <f aca="false">ROUND(L45*100/Q45-100,0)</f>
        <v>#DIV/0!</v>
      </c>
      <c r="X45" s="57" t="e">
        <f aca="false">ROUND(O45*100/Q45-100,0)</f>
        <v>#DIV/0!</v>
      </c>
    </row>
    <row r="46" s="43" customFormat="true" ht="73.5" hidden="false" customHeight="true" outlineLevel="0" collapsed="false">
      <c r="A46" s="223" t="n">
        <v>35</v>
      </c>
      <c r="B46" s="145" t="s">
        <v>993</v>
      </c>
      <c r="C46" s="146" t="s">
        <v>994</v>
      </c>
      <c r="D46" s="146" t="s">
        <v>25</v>
      </c>
      <c r="E46" s="224" t="n">
        <v>6</v>
      </c>
      <c r="F46" s="225" t="n">
        <v>6759.6</v>
      </c>
      <c r="G46" s="226"/>
      <c r="H46" s="47"/>
      <c r="I46" s="53"/>
      <c r="J46" s="72" t="n">
        <f aca="false">E46*I46</f>
        <v>0</v>
      </c>
      <c r="K46" s="53"/>
      <c r="L46" s="53"/>
      <c r="M46" s="53" t="n">
        <f aca="false">E46*L46</f>
        <v>0</v>
      </c>
      <c r="N46" s="47"/>
      <c r="O46" s="53"/>
      <c r="P46" s="53" t="n">
        <f aca="false">E46*O46</f>
        <v>0</v>
      </c>
      <c r="Q46" s="54" t="e">
        <f aca="false">AVERAGE(I46,L46,O46)</f>
        <v>#DIV/0!</v>
      </c>
      <c r="R46" s="55" t="e">
        <f aca="false">G46*100/Q46-100</f>
        <v>#DIV/0!</v>
      </c>
      <c r="S46" s="54" t="n">
        <f aca="false">E46*G46</f>
        <v>0</v>
      </c>
      <c r="T46" s="47"/>
      <c r="V46" s="57" t="e">
        <f aca="false">ROUND(I46*100/Q46-100,0)</f>
        <v>#DIV/0!</v>
      </c>
      <c r="W46" s="57" t="e">
        <f aca="false">ROUND(L46*100/Q46-100,0)</f>
        <v>#DIV/0!</v>
      </c>
      <c r="X46" s="57" t="e">
        <f aca="false">ROUND(O46*100/Q46-100,0)</f>
        <v>#DIV/0!</v>
      </c>
    </row>
    <row r="47" s="43" customFormat="true" ht="73.5" hidden="false" customHeight="true" outlineLevel="0" collapsed="false">
      <c r="A47" s="223" t="n">
        <v>36</v>
      </c>
      <c r="B47" s="145" t="s">
        <v>995</v>
      </c>
      <c r="C47" s="146" t="s">
        <v>996</v>
      </c>
      <c r="D47" s="146" t="s">
        <v>25</v>
      </c>
      <c r="E47" s="224" t="n">
        <v>13</v>
      </c>
      <c r="F47" s="225" t="n">
        <v>14619.4</v>
      </c>
      <c r="G47" s="226"/>
      <c r="H47" s="47"/>
      <c r="I47" s="53"/>
      <c r="J47" s="72" t="n">
        <f aca="false">E47*I47</f>
        <v>0</v>
      </c>
      <c r="K47" s="53"/>
      <c r="L47" s="53"/>
      <c r="M47" s="53" t="n">
        <f aca="false">E47*L47</f>
        <v>0</v>
      </c>
      <c r="N47" s="47"/>
      <c r="O47" s="53"/>
      <c r="P47" s="53" t="n">
        <f aca="false">E47*O47</f>
        <v>0</v>
      </c>
      <c r="Q47" s="54" t="e">
        <f aca="false">AVERAGE(I47,L47,O47)</f>
        <v>#DIV/0!</v>
      </c>
      <c r="R47" s="55" t="e">
        <f aca="false">G47*100/Q47-100</f>
        <v>#DIV/0!</v>
      </c>
      <c r="S47" s="54" t="n">
        <f aca="false">E47*G47</f>
        <v>0</v>
      </c>
      <c r="T47" s="47"/>
      <c r="V47" s="57" t="e">
        <f aca="false">ROUND(I47*100/Q47-100,0)</f>
        <v>#DIV/0!</v>
      </c>
      <c r="W47" s="57" t="e">
        <f aca="false">ROUND(L47*100/Q47-100,0)</f>
        <v>#DIV/0!</v>
      </c>
      <c r="X47" s="57" t="e">
        <f aca="false">ROUND(O47*100/Q47-100,0)</f>
        <v>#DIV/0!</v>
      </c>
    </row>
    <row r="48" s="43" customFormat="true" ht="73.5" hidden="false" customHeight="true" outlineLevel="0" collapsed="false">
      <c r="A48" s="223" t="n">
        <v>37</v>
      </c>
      <c r="B48" s="145" t="s">
        <v>997</v>
      </c>
      <c r="C48" s="146" t="s">
        <v>998</v>
      </c>
      <c r="D48" s="146" t="s">
        <v>25</v>
      </c>
      <c r="E48" s="224" t="n">
        <v>2</v>
      </c>
      <c r="F48" s="225"/>
      <c r="G48" s="226"/>
      <c r="H48" s="47"/>
      <c r="I48" s="53"/>
      <c r="J48" s="72" t="n">
        <f aca="false">E48*I48</f>
        <v>0</v>
      </c>
      <c r="K48" s="53"/>
      <c r="L48" s="53"/>
      <c r="M48" s="53" t="n">
        <f aca="false">E48*L48</f>
        <v>0</v>
      </c>
      <c r="N48" s="47"/>
      <c r="O48" s="53"/>
      <c r="P48" s="53" t="n">
        <f aca="false">E48*O48</f>
        <v>0</v>
      </c>
      <c r="Q48" s="54" t="e">
        <f aca="false">AVERAGE(I48,L48,O48)</f>
        <v>#DIV/0!</v>
      </c>
      <c r="R48" s="55" t="e">
        <f aca="false">G48*100/Q48-100</f>
        <v>#DIV/0!</v>
      </c>
      <c r="S48" s="54" t="n">
        <f aca="false">E48*G48</f>
        <v>0</v>
      </c>
      <c r="T48" s="47"/>
      <c r="V48" s="57" t="e">
        <f aca="false">ROUND(I48*100/Q48-100,0)</f>
        <v>#DIV/0!</v>
      </c>
      <c r="W48" s="57" t="e">
        <f aca="false">ROUND(L48*100/Q48-100,0)</f>
        <v>#DIV/0!</v>
      </c>
      <c r="X48" s="57" t="e">
        <f aca="false">ROUND(O48*100/Q48-100,0)</f>
        <v>#DIV/0!</v>
      </c>
    </row>
    <row r="49" s="43" customFormat="true" ht="73.5" hidden="false" customHeight="true" outlineLevel="0" collapsed="false">
      <c r="A49" s="223" t="n">
        <v>38</v>
      </c>
      <c r="B49" s="145" t="s">
        <v>999</v>
      </c>
      <c r="C49" s="146" t="s">
        <v>1000</v>
      </c>
      <c r="D49" s="146" t="s">
        <v>25</v>
      </c>
      <c r="E49" s="224" t="n">
        <v>4</v>
      </c>
      <c r="F49" s="225"/>
      <c r="G49" s="226"/>
      <c r="H49" s="47"/>
      <c r="I49" s="53"/>
      <c r="J49" s="72" t="n">
        <f aca="false">E49*I49</f>
        <v>0</v>
      </c>
      <c r="K49" s="53"/>
      <c r="L49" s="53"/>
      <c r="M49" s="53" t="n">
        <f aca="false">E49*L49</f>
        <v>0</v>
      </c>
      <c r="N49" s="47"/>
      <c r="O49" s="53"/>
      <c r="P49" s="53" t="n">
        <f aca="false">E49*O49</f>
        <v>0</v>
      </c>
      <c r="Q49" s="54" t="e">
        <f aca="false">AVERAGE(I49,L49,O49)</f>
        <v>#DIV/0!</v>
      </c>
      <c r="R49" s="55" t="e">
        <f aca="false">G49*100/Q49-100</f>
        <v>#DIV/0!</v>
      </c>
      <c r="S49" s="54" t="n">
        <f aca="false">E49*G49</f>
        <v>0</v>
      </c>
      <c r="T49" s="47"/>
      <c r="V49" s="57" t="e">
        <f aca="false">ROUND(I49*100/Q49-100,0)</f>
        <v>#DIV/0!</v>
      </c>
      <c r="W49" s="57" t="e">
        <f aca="false">ROUND(L49*100/Q49-100,0)</f>
        <v>#DIV/0!</v>
      </c>
      <c r="X49" s="57" t="e">
        <f aca="false">ROUND(O49*100/Q49-100,0)</f>
        <v>#DIV/0!</v>
      </c>
    </row>
    <row r="50" s="43" customFormat="true" ht="73.5" hidden="false" customHeight="true" outlineLevel="0" collapsed="false">
      <c r="A50" s="223" t="n">
        <v>39</v>
      </c>
      <c r="B50" s="145" t="s">
        <v>1001</v>
      </c>
      <c r="C50" s="146" t="s">
        <v>1002</v>
      </c>
      <c r="D50" s="146" t="s">
        <v>25</v>
      </c>
      <c r="E50" s="224" t="n">
        <v>900</v>
      </c>
      <c r="F50" s="225" t="n">
        <v>237.6</v>
      </c>
      <c r="G50" s="226"/>
      <c r="H50" s="47"/>
      <c r="I50" s="53"/>
      <c r="J50" s="72" t="n">
        <f aca="false">E50*I50</f>
        <v>0</v>
      </c>
      <c r="K50" s="53"/>
      <c r="L50" s="53"/>
      <c r="M50" s="53" t="n">
        <f aca="false">E50*L50</f>
        <v>0</v>
      </c>
      <c r="N50" s="47"/>
      <c r="O50" s="53"/>
      <c r="P50" s="53" t="n">
        <f aca="false">E50*O50</f>
        <v>0</v>
      </c>
      <c r="Q50" s="54" t="e">
        <f aca="false">AVERAGE(I50,L50,O50)</f>
        <v>#DIV/0!</v>
      </c>
      <c r="R50" s="55" t="e">
        <f aca="false">G50*100/Q50-100</f>
        <v>#DIV/0!</v>
      </c>
      <c r="S50" s="54" t="n">
        <f aca="false">E50*G50</f>
        <v>0</v>
      </c>
      <c r="T50" s="47"/>
      <c r="V50" s="57" t="e">
        <f aca="false">ROUND(I50*100/Q50-100,0)</f>
        <v>#DIV/0!</v>
      </c>
      <c r="W50" s="57" t="e">
        <f aca="false">ROUND(L50*100/Q50-100,0)</f>
        <v>#DIV/0!</v>
      </c>
      <c r="X50" s="57" t="e">
        <f aca="false">ROUND(O50*100/Q50-100,0)</f>
        <v>#DIV/0!</v>
      </c>
    </row>
    <row r="51" s="43" customFormat="true" ht="73.5" hidden="false" customHeight="true" outlineLevel="0" collapsed="false">
      <c r="A51" s="223" t="n">
        <v>40</v>
      </c>
      <c r="B51" s="145" t="s">
        <v>1003</v>
      </c>
      <c r="C51" s="146" t="s">
        <v>1004</v>
      </c>
      <c r="D51" s="146" t="s">
        <v>25</v>
      </c>
      <c r="E51" s="224" t="n">
        <v>12</v>
      </c>
      <c r="F51" s="225" t="n">
        <v>14697.5</v>
      </c>
      <c r="G51" s="226"/>
      <c r="H51" s="47"/>
      <c r="I51" s="53"/>
      <c r="J51" s="72" t="n">
        <f aca="false">E51*I51</f>
        <v>0</v>
      </c>
      <c r="K51" s="53"/>
      <c r="L51" s="53"/>
      <c r="M51" s="53" t="n">
        <f aca="false">E51*L51</f>
        <v>0</v>
      </c>
      <c r="N51" s="47"/>
      <c r="O51" s="53"/>
      <c r="P51" s="53" t="n">
        <f aca="false">E51*O51</f>
        <v>0</v>
      </c>
      <c r="Q51" s="54" t="e">
        <f aca="false">AVERAGE(I51,L51,O51)</f>
        <v>#DIV/0!</v>
      </c>
      <c r="R51" s="55" t="e">
        <f aca="false">G51*100/Q51-100</f>
        <v>#DIV/0!</v>
      </c>
      <c r="S51" s="54" t="n">
        <f aca="false">E51*G51</f>
        <v>0</v>
      </c>
      <c r="T51" s="47"/>
      <c r="V51" s="57" t="e">
        <f aca="false">ROUND(I51*100/Q51-100,0)</f>
        <v>#DIV/0!</v>
      </c>
      <c r="W51" s="57" t="e">
        <f aca="false">ROUND(L51*100/Q51-100,0)</f>
        <v>#DIV/0!</v>
      </c>
      <c r="X51" s="57" t="e">
        <f aca="false">ROUND(O51*100/Q51-100,0)</f>
        <v>#DIV/0!</v>
      </c>
    </row>
    <row r="52" s="43" customFormat="true" ht="73.5" hidden="false" customHeight="true" outlineLevel="0" collapsed="false">
      <c r="A52" s="223" t="n">
        <v>41</v>
      </c>
      <c r="B52" s="145" t="s">
        <v>1005</v>
      </c>
      <c r="C52" s="146" t="s">
        <v>1006</v>
      </c>
      <c r="D52" s="146" t="s">
        <v>25</v>
      </c>
      <c r="E52" s="224" t="n">
        <v>4</v>
      </c>
      <c r="F52" s="225"/>
      <c r="G52" s="226"/>
      <c r="H52" s="47"/>
      <c r="I52" s="53"/>
      <c r="J52" s="72" t="n">
        <f aca="false">E52*I52</f>
        <v>0</v>
      </c>
      <c r="K52" s="53"/>
      <c r="L52" s="53"/>
      <c r="M52" s="53" t="n">
        <f aca="false">E52*L52</f>
        <v>0</v>
      </c>
      <c r="N52" s="47"/>
      <c r="O52" s="53"/>
      <c r="P52" s="53" t="n">
        <f aca="false">E52*O52</f>
        <v>0</v>
      </c>
      <c r="Q52" s="54" t="e">
        <f aca="false">AVERAGE(I52,L52,O52)</f>
        <v>#DIV/0!</v>
      </c>
      <c r="R52" s="55" t="e">
        <f aca="false">G52*100/Q52-100</f>
        <v>#DIV/0!</v>
      </c>
      <c r="S52" s="54" t="n">
        <f aca="false">E52*G52</f>
        <v>0</v>
      </c>
      <c r="T52" s="47"/>
      <c r="V52" s="57" t="e">
        <f aca="false">ROUND(I52*100/Q52-100,0)</f>
        <v>#DIV/0!</v>
      </c>
      <c r="W52" s="57" t="e">
        <f aca="false">ROUND(L52*100/Q52-100,0)</f>
        <v>#DIV/0!</v>
      </c>
      <c r="X52" s="57" t="e">
        <f aca="false">ROUND(O52*100/Q52-100,0)</f>
        <v>#DIV/0!</v>
      </c>
    </row>
    <row r="53" s="43" customFormat="true" ht="73.5" hidden="false" customHeight="true" outlineLevel="0" collapsed="false">
      <c r="A53" s="223" t="n">
        <v>42</v>
      </c>
      <c r="B53" s="145" t="s">
        <v>1007</v>
      </c>
      <c r="C53" s="146" t="s">
        <v>1008</v>
      </c>
      <c r="D53" s="146" t="s">
        <v>25</v>
      </c>
      <c r="E53" s="224" t="n">
        <v>1</v>
      </c>
      <c r="F53" s="225"/>
      <c r="G53" s="226"/>
      <c r="H53" s="47"/>
      <c r="I53" s="53"/>
      <c r="J53" s="72" t="n">
        <f aca="false">E53*I53</f>
        <v>0</v>
      </c>
      <c r="K53" s="53"/>
      <c r="L53" s="53"/>
      <c r="M53" s="53" t="n">
        <f aca="false">E53*L53</f>
        <v>0</v>
      </c>
      <c r="N53" s="47"/>
      <c r="O53" s="53"/>
      <c r="P53" s="53" t="n">
        <f aca="false">E53*O53</f>
        <v>0</v>
      </c>
      <c r="Q53" s="54" t="e">
        <f aca="false">AVERAGE(I53,L53,O53)</f>
        <v>#DIV/0!</v>
      </c>
      <c r="R53" s="55" t="e">
        <f aca="false">G53*100/Q53-100</f>
        <v>#DIV/0!</v>
      </c>
      <c r="S53" s="54" t="n">
        <f aca="false">E53*G53</f>
        <v>0</v>
      </c>
      <c r="T53" s="47"/>
      <c r="V53" s="57" t="e">
        <f aca="false">ROUND(I53*100/Q53-100,0)</f>
        <v>#DIV/0!</v>
      </c>
      <c r="W53" s="57" t="e">
        <f aca="false">ROUND(L53*100/Q53-100,0)</f>
        <v>#DIV/0!</v>
      </c>
      <c r="X53" s="57" t="e">
        <f aca="false">ROUND(O53*100/Q53-100,0)</f>
        <v>#DIV/0!</v>
      </c>
    </row>
    <row r="54" s="43" customFormat="true" ht="73.5" hidden="false" customHeight="true" outlineLevel="0" collapsed="false">
      <c r="A54" s="223" t="n">
        <v>43</v>
      </c>
      <c r="B54" s="145" t="s">
        <v>1009</v>
      </c>
      <c r="C54" s="146" t="s">
        <v>1010</v>
      </c>
      <c r="D54" s="146" t="s">
        <v>25</v>
      </c>
      <c r="E54" s="224" t="n">
        <v>5</v>
      </c>
      <c r="F54" s="225"/>
      <c r="G54" s="226"/>
      <c r="H54" s="47"/>
      <c r="I54" s="53"/>
      <c r="J54" s="72" t="n">
        <f aca="false">E54*I54</f>
        <v>0</v>
      </c>
      <c r="K54" s="53"/>
      <c r="L54" s="53"/>
      <c r="M54" s="53" t="n">
        <f aca="false">E54*L54</f>
        <v>0</v>
      </c>
      <c r="N54" s="47"/>
      <c r="O54" s="53"/>
      <c r="P54" s="53" t="n">
        <f aca="false">E54*O54</f>
        <v>0</v>
      </c>
      <c r="Q54" s="54" t="e">
        <f aca="false">AVERAGE(I54,L54,O54)</f>
        <v>#DIV/0!</v>
      </c>
      <c r="R54" s="55" t="e">
        <f aca="false">G54*100/Q54-100</f>
        <v>#DIV/0!</v>
      </c>
      <c r="S54" s="54" t="n">
        <f aca="false">E54*G54</f>
        <v>0</v>
      </c>
      <c r="T54" s="47"/>
      <c r="V54" s="57" t="e">
        <f aca="false">ROUND(I54*100/Q54-100,0)</f>
        <v>#DIV/0!</v>
      </c>
      <c r="W54" s="57" t="e">
        <f aca="false">ROUND(L54*100/Q54-100,0)</f>
        <v>#DIV/0!</v>
      </c>
      <c r="X54" s="57" t="e">
        <f aca="false">ROUND(O54*100/Q54-100,0)</f>
        <v>#DIV/0!</v>
      </c>
    </row>
    <row r="55" s="43" customFormat="true" ht="73.5" hidden="false" customHeight="true" outlineLevel="0" collapsed="false">
      <c r="A55" s="223" t="n">
        <v>44</v>
      </c>
      <c r="B55" s="145" t="s">
        <v>1011</v>
      </c>
      <c r="C55" s="146" t="s">
        <v>1012</v>
      </c>
      <c r="D55" s="146" t="s">
        <v>25</v>
      </c>
      <c r="E55" s="224" t="n">
        <v>2</v>
      </c>
      <c r="F55" s="225" t="n">
        <v>2751.2</v>
      </c>
      <c r="G55" s="226"/>
      <c r="H55" s="47"/>
      <c r="I55" s="53"/>
      <c r="J55" s="72" t="n">
        <f aca="false">E55*I55</f>
        <v>0</v>
      </c>
      <c r="K55" s="53"/>
      <c r="L55" s="53"/>
      <c r="M55" s="53" t="n">
        <f aca="false">E55*L55</f>
        <v>0</v>
      </c>
      <c r="N55" s="47"/>
      <c r="O55" s="53"/>
      <c r="P55" s="53" t="n">
        <f aca="false">E55*O55</f>
        <v>0</v>
      </c>
      <c r="Q55" s="54" t="e">
        <f aca="false">AVERAGE(I55,L55,O55)</f>
        <v>#DIV/0!</v>
      </c>
      <c r="R55" s="55" t="e">
        <f aca="false">G55*100/Q55-100</f>
        <v>#DIV/0!</v>
      </c>
      <c r="S55" s="54" t="n">
        <f aca="false">E55*G55</f>
        <v>0</v>
      </c>
      <c r="T55" s="47"/>
      <c r="V55" s="57" t="e">
        <f aca="false">ROUND(I55*100/Q55-100,0)</f>
        <v>#DIV/0!</v>
      </c>
      <c r="W55" s="57" t="e">
        <f aca="false">ROUND(L55*100/Q55-100,0)</f>
        <v>#DIV/0!</v>
      </c>
      <c r="X55" s="57" t="e">
        <f aca="false">ROUND(O55*100/Q55-100,0)</f>
        <v>#DIV/0!</v>
      </c>
    </row>
    <row r="56" s="43" customFormat="true" ht="73.5" hidden="false" customHeight="true" outlineLevel="0" collapsed="false">
      <c r="A56" s="223" t="n">
        <v>45</v>
      </c>
      <c r="B56" s="145" t="s">
        <v>1013</v>
      </c>
      <c r="C56" s="146" t="s">
        <v>1014</v>
      </c>
      <c r="D56" s="146" t="s">
        <v>25</v>
      </c>
      <c r="E56" s="224" t="n">
        <v>1</v>
      </c>
      <c r="F56" s="225"/>
      <c r="G56" s="226"/>
      <c r="H56" s="47"/>
      <c r="I56" s="53"/>
      <c r="J56" s="72" t="n">
        <f aca="false">E56*I56</f>
        <v>0</v>
      </c>
      <c r="K56" s="53"/>
      <c r="L56" s="53"/>
      <c r="M56" s="53" t="n">
        <f aca="false">E56*L56</f>
        <v>0</v>
      </c>
      <c r="N56" s="47"/>
      <c r="O56" s="53"/>
      <c r="P56" s="53" t="n">
        <f aca="false">E56*O56</f>
        <v>0</v>
      </c>
      <c r="Q56" s="54" t="e">
        <f aca="false">AVERAGE(I56,L56,O56)</f>
        <v>#DIV/0!</v>
      </c>
      <c r="R56" s="55" t="e">
        <f aca="false">G56*100/Q56-100</f>
        <v>#DIV/0!</v>
      </c>
      <c r="S56" s="54" t="n">
        <f aca="false">E56*G56</f>
        <v>0</v>
      </c>
      <c r="T56" s="47"/>
      <c r="V56" s="57" t="e">
        <f aca="false">ROUND(I56*100/Q56-100,0)</f>
        <v>#DIV/0!</v>
      </c>
      <c r="W56" s="57" t="e">
        <f aca="false">ROUND(L56*100/Q56-100,0)</f>
        <v>#DIV/0!</v>
      </c>
      <c r="X56" s="57" t="e">
        <f aca="false">ROUND(O56*100/Q56-100,0)</f>
        <v>#DIV/0!</v>
      </c>
    </row>
    <row r="57" s="43" customFormat="true" ht="73.5" hidden="false" customHeight="true" outlineLevel="0" collapsed="false">
      <c r="A57" s="223" t="n">
        <v>46</v>
      </c>
      <c r="B57" s="145" t="s">
        <v>1015</v>
      </c>
      <c r="C57" s="146" t="s">
        <v>1016</v>
      </c>
      <c r="D57" s="146" t="s">
        <v>25</v>
      </c>
      <c r="E57" s="224" t="n">
        <v>1</v>
      </c>
      <c r="F57" s="225"/>
      <c r="G57" s="226"/>
      <c r="H57" s="47"/>
      <c r="I57" s="53"/>
      <c r="J57" s="72" t="n">
        <f aca="false">E57*I57</f>
        <v>0</v>
      </c>
      <c r="K57" s="53"/>
      <c r="L57" s="53"/>
      <c r="M57" s="53" t="n">
        <f aca="false">E57*L57</f>
        <v>0</v>
      </c>
      <c r="N57" s="47"/>
      <c r="O57" s="53"/>
      <c r="P57" s="53" t="n">
        <f aca="false">E57*O57</f>
        <v>0</v>
      </c>
      <c r="Q57" s="54" t="e">
        <f aca="false">AVERAGE(I57,L57,O57)</f>
        <v>#DIV/0!</v>
      </c>
      <c r="R57" s="55" t="e">
        <f aca="false">G57*100/Q57-100</f>
        <v>#DIV/0!</v>
      </c>
      <c r="S57" s="54" t="n">
        <f aca="false">E57*G57</f>
        <v>0</v>
      </c>
      <c r="T57" s="47"/>
      <c r="V57" s="57" t="e">
        <f aca="false">ROUND(I57*100/Q57-100,0)</f>
        <v>#DIV/0!</v>
      </c>
      <c r="W57" s="57" t="e">
        <f aca="false">ROUND(L57*100/Q57-100,0)</f>
        <v>#DIV/0!</v>
      </c>
      <c r="X57" s="57" t="e">
        <f aca="false">ROUND(O57*100/Q57-100,0)</f>
        <v>#DIV/0!</v>
      </c>
    </row>
    <row r="58" s="43" customFormat="true" ht="73.5" hidden="false" customHeight="true" outlineLevel="0" collapsed="false">
      <c r="A58" s="223" t="n">
        <v>47</v>
      </c>
      <c r="B58" s="145" t="s">
        <v>1017</v>
      </c>
      <c r="C58" s="146" t="s">
        <v>1018</v>
      </c>
      <c r="D58" s="146" t="s">
        <v>25</v>
      </c>
      <c r="E58" s="224" t="n">
        <v>36</v>
      </c>
      <c r="F58" s="225" t="n">
        <v>82059.37</v>
      </c>
      <c r="G58" s="226"/>
      <c r="H58" s="47"/>
      <c r="I58" s="53"/>
      <c r="J58" s="72" t="n">
        <f aca="false">E58*I58</f>
        <v>0</v>
      </c>
      <c r="K58" s="53"/>
      <c r="L58" s="53"/>
      <c r="M58" s="53" t="n">
        <f aca="false">E58*L58</f>
        <v>0</v>
      </c>
      <c r="N58" s="47"/>
      <c r="O58" s="53"/>
      <c r="P58" s="53" t="n">
        <f aca="false">E58*O58</f>
        <v>0</v>
      </c>
      <c r="Q58" s="54" t="e">
        <f aca="false">AVERAGE(I58,L58,O58)</f>
        <v>#DIV/0!</v>
      </c>
      <c r="R58" s="55" t="e">
        <f aca="false">G58*100/Q58-100</f>
        <v>#DIV/0!</v>
      </c>
      <c r="S58" s="54" t="n">
        <f aca="false">E58*G58</f>
        <v>0</v>
      </c>
      <c r="T58" s="47"/>
      <c r="V58" s="57" t="e">
        <f aca="false">ROUND(I58*100/Q58-100,0)</f>
        <v>#DIV/0!</v>
      </c>
      <c r="W58" s="57" t="e">
        <f aca="false">ROUND(L58*100/Q58-100,0)</f>
        <v>#DIV/0!</v>
      </c>
      <c r="X58" s="57" t="e">
        <f aca="false">ROUND(O58*100/Q58-100,0)</f>
        <v>#DIV/0!</v>
      </c>
    </row>
    <row r="59" s="43" customFormat="true" ht="73.5" hidden="false" customHeight="true" outlineLevel="0" collapsed="false">
      <c r="A59" s="223" t="n">
        <v>48</v>
      </c>
      <c r="B59" s="145" t="s">
        <v>1019</v>
      </c>
      <c r="C59" s="146" t="s">
        <v>1020</v>
      </c>
      <c r="D59" s="146" t="s">
        <v>25</v>
      </c>
      <c r="E59" s="224" t="n">
        <v>1</v>
      </c>
      <c r="F59" s="225" t="n">
        <v>17745</v>
      </c>
      <c r="G59" s="226"/>
      <c r="H59" s="47"/>
      <c r="I59" s="53"/>
      <c r="J59" s="72" t="n">
        <f aca="false">E59*I59</f>
        <v>0</v>
      </c>
      <c r="K59" s="53"/>
      <c r="L59" s="53"/>
      <c r="M59" s="53" t="n">
        <f aca="false">E59*L59</f>
        <v>0</v>
      </c>
      <c r="N59" s="47"/>
      <c r="O59" s="53"/>
      <c r="P59" s="53" t="n">
        <f aca="false">E59*O59</f>
        <v>0</v>
      </c>
      <c r="Q59" s="54" t="e">
        <f aca="false">AVERAGE(I59,L59,O59)</f>
        <v>#DIV/0!</v>
      </c>
      <c r="R59" s="55" t="e">
        <f aca="false">G59*100/Q59-100</f>
        <v>#DIV/0!</v>
      </c>
      <c r="S59" s="54" t="n">
        <f aca="false">E59*G59</f>
        <v>0</v>
      </c>
      <c r="T59" s="47"/>
      <c r="V59" s="57" t="e">
        <f aca="false">ROUND(I59*100/Q59-100,0)</f>
        <v>#DIV/0!</v>
      </c>
      <c r="W59" s="57" t="e">
        <f aca="false">ROUND(L59*100/Q59-100,0)</f>
        <v>#DIV/0!</v>
      </c>
      <c r="X59" s="57" t="e">
        <f aca="false">ROUND(O59*100/Q59-100,0)</f>
        <v>#DIV/0!</v>
      </c>
    </row>
    <row r="60" s="43" customFormat="true" ht="73.5" hidden="false" customHeight="true" outlineLevel="0" collapsed="false">
      <c r="A60" s="223" t="n">
        <v>49</v>
      </c>
      <c r="B60" s="145" t="s">
        <v>1021</v>
      </c>
      <c r="C60" s="146" t="s">
        <v>1022</v>
      </c>
      <c r="D60" s="146" t="s">
        <v>25</v>
      </c>
      <c r="E60" s="224" t="n">
        <v>3</v>
      </c>
      <c r="F60" s="225" t="n">
        <v>3908</v>
      </c>
      <c r="G60" s="226"/>
      <c r="H60" s="47"/>
      <c r="I60" s="53"/>
      <c r="J60" s="72" t="n">
        <f aca="false">E60*I60</f>
        <v>0</v>
      </c>
      <c r="K60" s="53"/>
      <c r="L60" s="53"/>
      <c r="M60" s="53" t="n">
        <f aca="false">E60*L60</f>
        <v>0</v>
      </c>
      <c r="N60" s="47"/>
      <c r="O60" s="53"/>
      <c r="P60" s="53" t="n">
        <f aca="false">E60*O60</f>
        <v>0</v>
      </c>
      <c r="Q60" s="54" t="e">
        <f aca="false">AVERAGE(I60,L60,O60)</f>
        <v>#DIV/0!</v>
      </c>
      <c r="R60" s="55" t="e">
        <f aca="false">G60*100/Q60-100</f>
        <v>#DIV/0!</v>
      </c>
      <c r="S60" s="54" t="n">
        <f aca="false">E60*G60</f>
        <v>0</v>
      </c>
      <c r="T60" s="47"/>
      <c r="V60" s="57" t="e">
        <f aca="false">ROUND(I60*100/Q60-100,0)</f>
        <v>#DIV/0!</v>
      </c>
      <c r="W60" s="57" t="e">
        <f aca="false">ROUND(L60*100/Q60-100,0)</f>
        <v>#DIV/0!</v>
      </c>
      <c r="X60" s="57" t="e">
        <f aca="false">ROUND(O60*100/Q60-100,0)</f>
        <v>#DIV/0!</v>
      </c>
    </row>
    <row r="61" s="43" customFormat="true" ht="73.5" hidden="false" customHeight="true" outlineLevel="0" collapsed="false">
      <c r="A61" s="223" t="n">
        <v>50</v>
      </c>
      <c r="B61" s="145" t="s">
        <v>1023</v>
      </c>
      <c r="C61" s="146" t="s">
        <v>1024</v>
      </c>
      <c r="D61" s="146" t="s">
        <v>25</v>
      </c>
      <c r="E61" s="224" t="n">
        <v>2</v>
      </c>
      <c r="F61" s="225"/>
      <c r="G61" s="226"/>
      <c r="H61" s="47"/>
      <c r="I61" s="53"/>
      <c r="J61" s="72" t="n">
        <f aca="false">E61*I61</f>
        <v>0</v>
      </c>
      <c r="K61" s="53"/>
      <c r="L61" s="53"/>
      <c r="M61" s="53" t="n">
        <f aca="false">E61*L61</f>
        <v>0</v>
      </c>
      <c r="N61" s="47"/>
      <c r="O61" s="53"/>
      <c r="P61" s="53" t="n">
        <f aca="false">E61*O61</f>
        <v>0</v>
      </c>
      <c r="Q61" s="54" t="e">
        <f aca="false">AVERAGE(I61,L61,O61)</f>
        <v>#DIV/0!</v>
      </c>
      <c r="R61" s="55" t="e">
        <f aca="false">G61*100/Q61-100</f>
        <v>#DIV/0!</v>
      </c>
      <c r="S61" s="54" t="n">
        <f aca="false">E61*G61</f>
        <v>0</v>
      </c>
      <c r="T61" s="47"/>
      <c r="V61" s="57" t="e">
        <f aca="false">ROUND(I61*100/Q61-100,0)</f>
        <v>#DIV/0!</v>
      </c>
      <c r="W61" s="57" t="e">
        <f aca="false">ROUND(L61*100/Q61-100,0)</f>
        <v>#DIV/0!</v>
      </c>
      <c r="X61" s="57" t="e">
        <f aca="false">ROUND(O61*100/Q61-100,0)</f>
        <v>#DIV/0!</v>
      </c>
    </row>
    <row r="62" s="43" customFormat="true" ht="73.5" hidden="false" customHeight="true" outlineLevel="0" collapsed="false">
      <c r="A62" s="223" t="n">
        <v>51</v>
      </c>
      <c r="B62" s="145" t="s">
        <v>1025</v>
      </c>
      <c r="C62" s="146" t="s">
        <v>1026</v>
      </c>
      <c r="D62" s="146" t="s">
        <v>25</v>
      </c>
      <c r="E62" s="224" t="n">
        <v>8</v>
      </c>
      <c r="F62" s="225" t="n">
        <v>118022.55</v>
      </c>
      <c r="G62" s="226"/>
      <c r="H62" s="47"/>
      <c r="I62" s="53"/>
      <c r="J62" s="72" t="n">
        <f aca="false">E62*I62</f>
        <v>0</v>
      </c>
      <c r="K62" s="53"/>
      <c r="L62" s="53"/>
      <c r="M62" s="53" t="n">
        <f aca="false">E62*L62</f>
        <v>0</v>
      </c>
      <c r="N62" s="47"/>
      <c r="O62" s="53"/>
      <c r="P62" s="53" t="n">
        <f aca="false">E62*O62</f>
        <v>0</v>
      </c>
      <c r="Q62" s="54" t="e">
        <f aca="false">AVERAGE(I62,L62,O62)</f>
        <v>#DIV/0!</v>
      </c>
      <c r="R62" s="55" t="e">
        <f aca="false">G62*100/Q62-100</f>
        <v>#DIV/0!</v>
      </c>
      <c r="S62" s="54" t="n">
        <f aca="false">E62*G62</f>
        <v>0</v>
      </c>
      <c r="T62" s="47"/>
      <c r="V62" s="57" t="e">
        <f aca="false">ROUND(I62*100/Q62-100,0)</f>
        <v>#DIV/0!</v>
      </c>
      <c r="W62" s="57" t="e">
        <f aca="false">ROUND(L62*100/Q62-100,0)</f>
        <v>#DIV/0!</v>
      </c>
      <c r="X62" s="57" t="e">
        <f aca="false">ROUND(O62*100/Q62-100,0)</f>
        <v>#DIV/0!</v>
      </c>
    </row>
    <row r="63" s="14" customFormat="true" ht="16.5" hidden="false" customHeight="true" outlineLevel="0" collapsed="false">
      <c r="A63" s="182"/>
      <c r="B63" s="183"/>
      <c r="C63" s="183"/>
      <c r="D63" s="183"/>
      <c r="E63" s="118"/>
      <c r="F63" s="118"/>
      <c r="G63" s="183"/>
      <c r="H63" s="183"/>
      <c r="I63" s="183"/>
      <c r="J63" s="183"/>
      <c r="K63" s="185"/>
      <c r="L63" s="182"/>
      <c r="M63" s="182"/>
      <c r="N63" s="182"/>
      <c r="O63" s="182"/>
      <c r="P63" s="182"/>
      <c r="Q63" s="182"/>
      <c r="R63" s="182"/>
      <c r="S63" s="227" t="n">
        <f aca="false">SUM(S12:S62)</f>
        <v>0</v>
      </c>
      <c r="T63" s="182"/>
      <c r="V63" s="119"/>
    </row>
    <row r="64" customFormat="false" ht="15" hidden="false" customHeight="false" outlineLevel="0" collapsed="false">
      <c r="B64" s="186"/>
      <c r="C64" s="186"/>
      <c r="D64" s="113"/>
      <c r="G64" s="228"/>
      <c r="I64" s="1"/>
      <c r="L64" s="1"/>
      <c r="O64" s="1"/>
    </row>
    <row r="65" customFormat="false" ht="15" hidden="false" customHeight="false" outlineLevel="0" collapsed="false">
      <c r="B65" s="186"/>
      <c r="C65" s="186"/>
      <c r="D65" s="113"/>
      <c r="G65" s="228"/>
      <c r="I65" s="1"/>
      <c r="L65" s="1"/>
      <c r="O65" s="1"/>
    </row>
    <row r="66" customFormat="false" ht="15" hidden="false" customHeight="false" outlineLevel="0" collapsed="false">
      <c r="B66" s="186"/>
      <c r="C66" s="186"/>
      <c r="D66" s="113"/>
      <c r="I66" s="1"/>
      <c r="L66" s="1"/>
      <c r="O66" s="1"/>
    </row>
    <row r="67" customFormat="false" ht="15" hidden="false" customHeight="false" outlineLevel="0" collapsed="false">
      <c r="B67" s="186"/>
      <c r="C67" s="186"/>
      <c r="D67" s="113"/>
      <c r="I67" s="1"/>
      <c r="L67" s="1"/>
      <c r="O67" s="1"/>
    </row>
    <row r="68" customFormat="false" ht="15" hidden="false" customHeight="false" outlineLevel="0" collapsed="false">
      <c r="B68" s="186"/>
      <c r="C68" s="186"/>
      <c r="D68" s="113"/>
      <c r="I68" s="1"/>
      <c r="L68" s="1"/>
      <c r="O68" s="1"/>
    </row>
    <row r="69" customFormat="false" ht="15" hidden="false" customHeight="false" outlineLevel="0" collapsed="false">
      <c r="B69" s="186"/>
      <c r="C69" s="186"/>
      <c r="D69" s="113"/>
      <c r="I69" s="1"/>
      <c r="L69" s="1"/>
      <c r="O69" s="1"/>
    </row>
    <row r="70" customFormat="false" ht="15" hidden="false" customHeight="false" outlineLevel="0" collapsed="false">
      <c r="B70" s="186"/>
      <c r="C70" s="186"/>
      <c r="D70" s="113"/>
      <c r="I70" s="1"/>
      <c r="L70" s="1"/>
      <c r="O70" s="1"/>
    </row>
    <row r="71" customFormat="false" ht="15" hidden="false" customHeight="false" outlineLevel="0" collapsed="false">
      <c r="B71" s="186"/>
      <c r="C71" s="186"/>
      <c r="D71" s="113"/>
      <c r="I71" s="1"/>
      <c r="L71" s="1"/>
      <c r="O71" s="1"/>
    </row>
    <row r="72" customFormat="false" ht="15" hidden="false" customHeight="false" outlineLevel="0" collapsed="false">
      <c r="B72" s="186"/>
      <c r="C72" s="186"/>
      <c r="D72" s="113"/>
      <c r="I72" s="1"/>
      <c r="L72" s="1"/>
      <c r="O72" s="1"/>
    </row>
    <row r="73" customFormat="false" ht="15" hidden="false" customHeight="false" outlineLevel="0" collapsed="false">
      <c r="B73" s="186"/>
      <c r="C73" s="186"/>
      <c r="D73" s="113"/>
      <c r="I73" s="1"/>
      <c r="L73" s="1"/>
      <c r="O73" s="1"/>
    </row>
    <row r="74" customFormat="false" ht="15" hidden="false" customHeight="false" outlineLevel="0" collapsed="false">
      <c r="B74" s="186"/>
      <c r="C74" s="186"/>
      <c r="D74" s="113"/>
      <c r="G74" s="228"/>
      <c r="I74" s="1"/>
      <c r="L74" s="1"/>
      <c r="O74" s="1"/>
    </row>
    <row r="75" customFormat="false" ht="15" hidden="false" customHeight="false" outlineLevel="0" collapsed="false">
      <c r="B75" s="186"/>
      <c r="C75" s="186"/>
      <c r="D75" s="113"/>
      <c r="I75" s="1"/>
      <c r="L75" s="1"/>
      <c r="O75" s="1"/>
    </row>
    <row r="76" customFormat="false" ht="15" hidden="false" customHeight="false" outlineLevel="0" collapsed="false">
      <c r="B76" s="186"/>
      <c r="C76" s="186"/>
      <c r="D76" s="113"/>
      <c r="I76" s="1"/>
      <c r="L76" s="1"/>
      <c r="O76" s="1"/>
    </row>
    <row r="77" customFormat="false" ht="15" hidden="false" customHeight="false" outlineLevel="0" collapsed="false">
      <c r="B77" s="186"/>
      <c r="C77" s="186"/>
      <c r="D77" s="113"/>
      <c r="I77" s="1"/>
      <c r="L77" s="1"/>
      <c r="O77" s="1"/>
    </row>
    <row r="78" customFormat="false" ht="15" hidden="false" customHeight="false" outlineLevel="0" collapsed="false">
      <c r="B78" s="186"/>
      <c r="C78" s="186"/>
      <c r="D78" s="113"/>
      <c r="G78" s="228"/>
      <c r="I78" s="1"/>
      <c r="L78" s="1"/>
      <c r="O78" s="1"/>
    </row>
    <row r="79" customFormat="false" ht="15" hidden="false" customHeight="false" outlineLevel="0" collapsed="false">
      <c r="B79" s="186"/>
      <c r="C79" s="186"/>
      <c r="D79" s="113"/>
      <c r="G79" s="228"/>
      <c r="I79" s="1"/>
      <c r="L79" s="1"/>
      <c r="O79" s="1"/>
    </row>
    <row r="80" customFormat="false" ht="15" hidden="false" customHeight="false" outlineLevel="0" collapsed="false">
      <c r="B80" s="186"/>
      <c r="C80" s="186"/>
      <c r="D80" s="113"/>
      <c r="I80" s="1"/>
      <c r="L80" s="1"/>
      <c r="O80" s="1"/>
    </row>
    <row r="81" customFormat="false" ht="15" hidden="false" customHeight="false" outlineLevel="0" collapsed="false">
      <c r="B81" s="186"/>
      <c r="C81" s="186"/>
      <c r="D81" s="113"/>
      <c r="I81" s="1"/>
      <c r="L81" s="1"/>
      <c r="O81" s="1"/>
    </row>
    <row r="82" customFormat="false" ht="15" hidden="false" customHeight="false" outlineLevel="0" collapsed="false">
      <c r="I82" s="1"/>
      <c r="L82" s="1"/>
      <c r="O82" s="1"/>
    </row>
    <row r="83" customFormat="false" ht="15" hidden="false" customHeight="false" outlineLevel="0" collapsed="false">
      <c r="I83" s="1"/>
      <c r="L83" s="1"/>
      <c r="O83" s="1"/>
    </row>
    <row r="84" customFormat="false" ht="15" hidden="false" customHeight="false" outlineLevel="0" collapsed="false">
      <c r="G84" s="228"/>
      <c r="I84" s="1"/>
      <c r="L84" s="1"/>
      <c r="O84" s="1"/>
    </row>
    <row r="85" customFormat="false" ht="15" hidden="false" customHeight="false" outlineLevel="0" collapsed="false">
      <c r="I85" s="1"/>
      <c r="L85" s="1"/>
      <c r="O85" s="1"/>
    </row>
    <row r="86" customFormat="false" ht="15" hidden="false" customHeight="false" outlineLevel="0" collapsed="false">
      <c r="I86" s="1"/>
      <c r="L86" s="1"/>
      <c r="O86" s="1"/>
    </row>
    <row r="87" customFormat="false" ht="15" hidden="false" customHeight="false" outlineLevel="0" collapsed="false">
      <c r="I87" s="1"/>
      <c r="L87" s="1"/>
      <c r="O87" s="1"/>
    </row>
    <row r="88" customFormat="false" ht="15" hidden="false" customHeight="false" outlineLevel="0" collapsed="false">
      <c r="I88" s="1"/>
      <c r="L88" s="1"/>
      <c r="O88" s="1"/>
    </row>
    <row r="89" customFormat="false" ht="15" hidden="false" customHeight="false" outlineLevel="0" collapsed="false">
      <c r="I89" s="1"/>
      <c r="L89" s="1"/>
      <c r="O89" s="1"/>
    </row>
    <row r="90" customFormat="false" ht="15" hidden="false" customHeight="false" outlineLevel="0" collapsed="false">
      <c r="I90" s="1"/>
      <c r="L90" s="1"/>
      <c r="O90" s="1"/>
    </row>
    <row r="91" customFormat="false" ht="15" hidden="false" customHeight="false" outlineLevel="0" collapsed="false">
      <c r="G91" s="228"/>
      <c r="I91" s="1"/>
      <c r="L91" s="1"/>
      <c r="O91" s="1"/>
    </row>
    <row r="92" customFormat="false" ht="15" hidden="false" customHeight="false" outlineLevel="0" collapsed="false">
      <c r="G92" s="228"/>
      <c r="I92" s="1"/>
      <c r="L92" s="1"/>
      <c r="O92" s="1"/>
    </row>
    <row r="93" customFormat="false" ht="15" hidden="false" customHeight="false" outlineLevel="0" collapsed="false">
      <c r="G93" s="228"/>
      <c r="I93" s="1"/>
      <c r="L93" s="1"/>
      <c r="O93" s="1"/>
    </row>
    <row r="94" customFormat="false" ht="15" hidden="false" customHeight="false" outlineLevel="0" collapsed="false">
      <c r="G94" s="228"/>
      <c r="I94" s="1"/>
      <c r="L94" s="1"/>
      <c r="O94" s="1"/>
    </row>
    <row r="95" customFormat="false" ht="15" hidden="false" customHeight="false" outlineLevel="0" collapsed="false">
      <c r="G95" s="228"/>
      <c r="I95" s="1"/>
      <c r="L95" s="1"/>
      <c r="O95" s="1"/>
    </row>
    <row r="96" customFormat="false" ht="15" hidden="false" customHeight="false" outlineLevel="0" collapsed="false">
      <c r="G96" s="228"/>
      <c r="I96" s="1"/>
      <c r="L96" s="1"/>
      <c r="O96" s="1"/>
    </row>
    <row r="97" customFormat="false" ht="15" hidden="false" customHeight="false" outlineLevel="0" collapsed="false">
      <c r="G97" s="228"/>
      <c r="I97" s="1"/>
      <c r="L97" s="1"/>
      <c r="O97" s="1"/>
    </row>
    <row r="98" customFormat="false" ht="15" hidden="false" customHeight="false" outlineLevel="0" collapsed="false">
      <c r="G98" s="228"/>
      <c r="I98" s="1"/>
      <c r="L98" s="1"/>
      <c r="O98" s="1"/>
    </row>
    <row r="99" customFormat="false" ht="15" hidden="false" customHeight="false" outlineLevel="0" collapsed="false">
      <c r="G99" s="228"/>
      <c r="I99" s="1"/>
      <c r="L99" s="1"/>
      <c r="O99" s="1"/>
    </row>
    <row r="100" customFormat="false" ht="15" hidden="false" customHeight="false" outlineLevel="0" collapsed="false">
      <c r="G100" s="228"/>
      <c r="I100" s="1"/>
      <c r="L100" s="1"/>
      <c r="O100" s="1"/>
    </row>
    <row r="101" customFormat="false" ht="15" hidden="false" customHeight="false" outlineLevel="0" collapsed="false">
      <c r="I101" s="1"/>
      <c r="L101" s="1"/>
      <c r="O101" s="1"/>
    </row>
    <row r="102" customFormat="false" ht="15" hidden="false" customHeight="false" outlineLevel="0" collapsed="false">
      <c r="I102" s="1"/>
      <c r="L102" s="1"/>
      <c r="O102" s="1"/>
    </row>
    <row r="103" customFormat="false" ht="15" hidden="false" customHeight="false" outlineLevel="0" collapsed="false">
      <c r="I103" s="1"/>
      <c r="L103" s="1"/>
      <c r="O103" s="1"/>
    </row>
    <row r="104" customFormat="false" ht="15" hidden="false" customHeight="false" outlineLevel="0" collapsed="false">
      <c r="G104" s="228"/>
      <c r="I104" s="1"/>
      <c r="L104" s="1"/>
      <c r="O104" s="1"/>
    </row>
    <row r="105" customFormat="false" ht="15" hidden="false" customHeight="false" outlineLevel="0" collapsed="false">
      <c r="I105" s="1"/>
      <c r="L105" s="1"/>
      <c r="O105" s="1"/>
    </row>
    <row r="106" customFormat="false" ht="15" hidden="false" customHeight="false" outlineLevel="0" collapsed="false">
      <c r="I106" s="1"/>
      <c r="L106" s="1"/>
      <c r="O106" s="1"/>
    </row>
    <row r="107" customFormat="false" ht="15" hidden="false" customHeight="false" outlineLevel="0" collapsed="false">
      <c r="I107" s="1"/>
      <c r="L107" s="1"/>
      <c r="O107" s="1"/>
    </row>
    <row r="108" customFormat="false" ht="15" hidden="false" customHeight="false" outlineLevel="0" collapsed="false">
      <c r="I108" s="1"/>
      <c r="L108" s="1"/>
      <c r="O108" s="1"/>
    </row>
    <row r="109" customFormat="false" ht="15" hidden="false" customHeight="false" outlineLevel="0" collapsed="false">
      <c r="I109" s="1"/>
      <c r="L109" s="1"/>
      <c r="O109" s="1"/>
    </row>
    <row r="110" customFormat="false" ht="15" hidden="false" customHeight="false" outlineLevel="0" collapsed="false">
      <c r="I110" s="1"/>
      <c r="L110" s="1"/>
      <c r="O110" s="1"/>
    </row>
    <row r="111" customFormat="false" ht="15" hidden="false" customHeight="false" outlineLevel="0" collapsed="false">
      <c r="I111" s="1"/>
      <c r="L111" s="1"/>
      <c r="O111" s="1"/>
    </row>
    <row r="112" customFormat="false" ht="15" hidden="false" customHeight="false" outlineLevel="0" collapsed="false">
      <c r="I112" s="1"/>
      <c r="L112" s="1"/>
      <c r="O112" s="1"/>
    </row>
    <row r="113" customFormat="false" ht="15" hidden="false" customHeight="false" outlineLevel="0" collapsed="false">
      <c r="I113" s="1"/>
      <c r="L113" s="1"/>
      <c r="O113" s="1"/>
    </row>
    <row r="114" customFormat="false" ht="15" hidden="false" customHeight="false" outlineLevel="0" collapsed="false">
      <c r="I114" s="1"/>
      <c r="L114" s="1"/>
      <c r="O114" s="1"/>
    </row>
    <row r="115" customFormat="false" ht="15" hidden="false" customHeight="false" outlineLevel="0" collapsed="false">
      <c r="I115" s="1"/>
      <c r="L115" s="1"/>
      <c r="O115" s="1"/>
    </row>
    <row r="116" customFormat="false" ht="15" hidden="false" customHeight="false" outlineLevel="0" collapsed="false">
      <c r="I116" s="1"/>
      <c r="L116" s="1"/>
      <c r="O116" s="1"/>
    </row>
    <row r="117" customFormat="false" ht="15" hidden="false" customHeight="false" outlineLevel="0" collapsed="false">
      <c r="I117" s="1"/>
      <c r="L117" s="1"/>
      <c r="O117" s="1"/>
    </row>
    <row r="118" customFormat="false" ht="15" hidden="false" customHeight="false" outlineLevel="0" collapsed="false">
      <c r="I118" s="1"/>
      <c r="L118" s="1"/>
      <c r="O118" s="1"/>
    </row>
    <row r="119" customFormat="false" ht="15" hidden="false" customHeight="false" outlineLevel="0" collapsed="false">
      <c r="I119" s="1"/>
      <c r="L119" s="1"/>
      <c r="O119" s="1"/>
    </row>
    <row r="120" customFormat="false" ht="15" hidden="false" customHeight="false" outlineLevel="0" collapsed="false">
      <c r="I120" s="1"/>
      <c r="L120" s="1"/>
      <c r="O120" s="1"/>
    </row>
    <row r="121" customFormat="false" ht="15" hidden="false" customHeight="false" outlineLevel="0" collapsed="false">
      <c r="I121" s="1"/>
      <c r="L121" s="1"/>
      <c r="O121" s="1"/>
    </row>
    <row r="122" customFormat="false" ht="15" hidden="false" customHeight="false" outlineLevel="0" collapsed="false">
      <c r="I122" s="1"/>
      <c r="L122" s="1"/>
      <c r="O122" s="1"/>
    </row>
    <row r="123" customFormat="false" ht="15" hidden="false" customHeight="false" outlineLevel="0" collapsed="false">
      <c r="I123" s="1"/>
      <c r="L123" s="1"/>
      <c r="O123" s="1"/>
    </row>
    <row r="124" customFormat="false" ht="15" hidden="false" customHeight="false" outlineLevel="0" collapsed="false">
      <c r="I124" s="1"/>
      <c r="L124" s="1"/>
      <c r="O124" s="1"/>
    </row>
    <row r="125" customFormat="false" ht="15" hidden="false" customHeight="false" outlineLevel="0" collapsed="false">
      <c r="I125" s="1"/>
      <c r="L125" s="1"/>
      <c r="O125" s="1"/>
    </row>
    <row r="126" customFormat="false" ht="15" hidden="false" customHeight="false" outlineLevel="0" collapsed="false">
      <c r="I126" s="1"/>
      <c r="L126" s="1"/>
      <c r="O126" s="1"/>
    </row>
    <row r="127" customFormat="false" ht="15" hidden="false" customHeight="false" outlineLevel="0" collapsed="false">
      <c r="G127" s="228"/>
      <c r="I127" s="1"/>
      <c r="L127" s="1"/>
      <c r="O127" s="1"/>
    </row>
    <row r="128" customFormat="false" ht="15" hidden="false" customHeight="false" outlineLevel="0" collapsed="false">
      <c r="G128" s="228"/>
      <c r="I128" s="1"/>
      <c r="L128" s="1"/>
      <c r="O128" s="1"/>
    </row>
    <row r="129" customFormat="false" ht="15" hidden="false" customHeight="false" outlineLevel="0" collapsed="false">
      <c r="G129" s="228"/>
      <c r="I129" s="1"/>
      <c r="L129" s="1"/>
      <c r="O129" s="1"/>
    </row>
    <row r="130" customFormat="false" ht="15" hidden="false" customHeight="false" outlineLevel="0" collapsed="false">
      <c r="G130" s="228"/>
      <c r="I130" s="1"/>
      <c r="L130" s="1"/>
      <c r="O130" s="1"/>
    </row>
    <row r="131" customFormat="false" ht="15" hidden="false" customHeight="false" outlineLevel="0" collapsed="false">
      <c r="G131" s="228"/>
      <c r="I131" s="1"/>
      <c r="L131" s="1"/>
      <c r="O131" s="1"/>
    </row>
    <row r="132" customFormat="false" ht="15" hidden="false" customHeight="false" outlineLevel="0" collapsed="false">
      <c r="G132" s="228"/>
      <c r="I132" s="1"/>
      <c r="L132" s="1"/>
      <c r="O132" s="1"/>
    </row>
    <row r="133" customFormat="false" ht="15" hidden="false" customHeight="false" outlineLevel="0" collapsed="false">
      <c r="I133" s="1"/>
      <c r="L133" s="1"/>
      <c r="O133" s="1"/>
    </row>
    <row r="134" customFormat="false" ht="15" hidden="false" customHeight="false" outlineLevel="0" collapsed="false">
      <c r="I134" s="1"/>
      <c r="L134" s="1"/>
      <c r="O134" s="1"/>
    </row>
    <row r="135" customFormat="false" ht="15" hidden="false" customHeight="false" outlineLevel="0" collapsed="false">
      <c r="I135" s="1"/>
      <c r="L135" s="1"/>
      <c r="O135" s="1"/>
    </row>
    <row r="136" customFormat="false" ht="15" hidden="false" customHeight="false" outlineLevel="0" collapsed="false">
      <c r="G136" s="228"/>
      <c r="I136" s="1"/>
      <c r="L136" s="1"/>
      <c r="O136" s="1"/>
    </row>
    <row r="137" customFormat="false" ht="15" hidden="false" customHeight="false" outlineLevel="0" collapsed="false">
      <c r="G137" s="228"/>
      <c r="I137" s="1"/>
      <c r="L137" s="1"/>
      <c r="O137" s="1"/>
    </row>
    <row r="138" customFormat="false" ht="15" hidden="false" customHeight="false" outlineLevel="0" collapsed="false">
      <c r="G138" s="228"/>
      <c r="I138" s="1"/>
      <c r="L138" s="1"/>
      <c r="O138" s="1"/>
    </row>
    <row r="139" customFormat="false" ht="15" hidden="false" customHeight="false" outlineLevel="0" collapsed="false">
      <c r="I139" s="1"/>
      <c r="L139" s="1"/>
      <c r="O139" s="1"/>
    </row>
    <row r="140" customFormat="false" ht="15" hidden="false" customHeight="false" outlineLevel="0" collapsed="false">
      <c r="G140" s="228"/>
      <c r="I140" s="1"/>
      <c r="L140" s="1"/>
      <c r="O140" s="1"/>
    </row>
    <row r="141" customFormat="false" ht="15" hidden="false" customHeight="false" outlineLevel="0" collapsed="false">
      <c r="G141" s="228"/>
      <c r="I141" s="1"/>
      <c r="L141" s="1"/>
      <c r="O141" s="1"/>
    </row>
    <row r="142" customFormat="false" ht="15" hidden="false" customHeight="false" outlineLevel="0" collapsed="false">
      <c r="I142" s="1"/>
      <c r="L142" s="1"/>
      <c r="O142" s="1"/>
    </row>
    <row r="143" customFormat="false" ht="15" hidden="false" customHeight="false" outlineLevel="0" collapsed="false">
      <c r="I143" s="1"/>
      <c r="L143" s="1"/>
      <c r="O143" s="1"/>
    </row>
    <row r="144" customFormat="false" ht="15" hidden="false" customHeight="false" outlineLevel="0" collapsed="false">
      <c r="I144" s="1"/>
      <c r="L144" s="1"/>
      <c r="O144" s="1"/>
    </row>
    <row r="145" customFormat="false" ht="15" hidden="false" customHeight="false" outlineLevel="0" collapsed="false">
      <c r="I145" s="1"/>
      <c r="L145" s="1"/>
      <c r="O145" s="1"/>
    </row>
    <row r="146" customFormat="false" ht="15" hidden="false" customHeight="false" outlineLevel="0" collapsed="false">
      <c r="I146" s="1"/>
      <c r="L146" s="1"/>
      <c r="O146" s="1"/>
    </row>
    <row r="147" customFormat="false" ht="15" hidden="false" customHeight="false" outlineLevel="0" collapsed="false">
      <c r="I147" s="1"/>
      <c r="L147" s="1"/>
      <c r="O147" s="1"/>
    </row>
    <row r="148" customFormat="false" ht="15" hidden="false" customHeight="false" outlineLevel="0" collapsed="false">
      <c r="I148" s="1"/>
      <c r="L148" s="1"/>
      <c r="O148" s="1"/>
    </row>
    <row r="149" customFormat="false" ht="15" hidden="false" customHeight="false" outlineLevel="0" collapsed="false">
      <c r="G149" s="228"/>
      <c r="I149" s="1"/>
      <c r="L149" s="1"/>
      <c r="O149" s="1"/>
    </row>
    <row r="150" customFormat="false" ht="15" hidden="false" customHeight="false" outlineLevel="0" collapsed="false">
      <c r="I150" s="1"/>
      <c r="L150" s="1"/>
      <c r="O150" s="1"/>
    </row>
    <row r="151" customFormat="false" ht="15" hidden="false" customHeight="false" outlineLevel="0" collapsed="false">
      <c r="I151" s="1"/>
      <c r="L151" s="1"/>
      <c r="O151" s="1"/>
    </row>
    <row r="152" customFormat="false" ht="15" hidden="false" customHeight="false" outlineLevel="0" collapsed="false">
      <c r="G152" s="228"/>
      <c r="I152" s="1"/>
      <c r="L152" s="1"/>
      <c r="O152" s="1"/>
    </row>
    <row r="153" customFormat="false" ht="15" hidden="false" customHeight="false" outlineLevel="0" collapsed="false">
      <c r="G153" s="228"/>
      <c r="I153" s="1"/>
      <c r="L153" s="1"/>
      <c r="O153" s="1"/>
    </row>
    <row r="154" customFormat="false" ht="15" hidden="false" customHeight="false" outlineLevel="0" collapsed="false">
      <c r="I154" s="1"/>
      <c r="L154" s="1"/>
      <c r="O154" s="1"/>
    </row>
    <row r="155" customFormat="false" ht="15" hidden="false" customHeight="false" outlineLevel="0" collapsed="false">
      <c r="G155" s="228"/>
      <c r="I155" s="1"/>
      <c r="L155" s="1"/>
      <c r="O155" s="1"/>
    </row>
    <row r="156" customFormat="false" ht="15" hidden="false" customHeight="false" outlineLevel="0" collapsed="false">
      <c r="I156" s="1"/>
      <c r="L156" s="1"/>
      <c r="O156" s="1"/>
    </row>
    <row r="157" customFormat="false" ht="15" hidden="false" customHeight="false" outlineLevel="0" collapsed="false">
      <c r="I157" s="1"/>
      <c r="L157" s="1"/>
      <c r="O157" s="1"/>
    </row>
    <row r="158" customFormat="false" ht="15" hidden="false" customHeight="false" outlineLevel="0" collapsed="false">
      <c r="I158" s="1"/>
      <c r="L158" s="1"/>
      <c r="O158" s="1"/>
    </row>
    <row r="159" customFormat="false" ht="15" hidden="false" customHeight="false" outlineLevel="0" collapsed="false">
      <c r="I159" s="1"/>
      <c r="L159" s="1"/>
      <c r="O159" s="1"/>
    </row>
    <row r="160" customFormat="false" ht="15" hidden="false" customHeight="false" outlineLevel="0" collapsed="false">
      <c r="I160" s="1"/>
      <c r="L160" s="1"/>
      <c r="O160" s="1"/>
    </row>
    <row r="161" customFormat="false" ht="15" hidden="false" customHeight="false" outlineLevel="0" collapsed="false">
      <c r="I161" s="1"/>
      <c r="L161" s="1"/>
      <c r="O161" s="1"/>
    </row>
    <row r="162" customFormat="false" ht="15" hidden="false" customHeight="false" outlineLevel="0" collapsed="false">
      <c r="I162" s="1"/>
      <c r="L162" s="1"/>
      <c r="O162" s="1"/>
    </row>
    <row r="163" customFormat="false" ht="15" hidden="false" customHeight="false" outlineLevel="0" collapsed="false">
      <c r="I163" s="1"/>
      <c r="L163" s="1"/>
      <c r="O163" s="1"/>
    </row>
    <row r="164" customFormat="false" ht="15" hidden="false" customHeight="false" outlineLevel="0" collapsed="false">
      <c r="G164" s="228"/>
      <c r="I164" s="1"/>
      <c r="L164" s="1"/>
      <c r="O164" s="1"/>
    </row>
    <row r="165" customFormat="false" ht="15" hidden="false" customHeight="false" outlineLevel="0" collapsed="false">
      <c r="I165" s="1"/>
      <c r="L165" s="1"/>
      <c r="O165" s="1"/>
    </row>
    <row r="166" customFormat="false" ht="15" hidden="false" customHeight="false" outlineLevel="0" collapsed="false">
      <c r="I166" s="1"/>
      <c r="L166" s="1"/>
      <c r="O166" s="1"/>
    </row>
    <row r="167" customFormat="false" ht="15" hidden="false" customHeight="false" outlineLevel="0" collapsed="false">
      <c r="I167" s="1"/>
      <c r="L167" s="1"/>
      <c r="O167" s="1"/>
    </row>
    <row r="168" customFormat="false" ht="15" hidden="false" customHeight="false" outlineLevel="0" collapsed="false">
      <c r="I168" s="1"/>
      <c r="L168" s="1"/>
      <c r="O168" s="1"/>
    </row>
    <row r="169" customFormat="false" ht="15" hidden="false" customHeight="false" outlineLevel="0" collapsed="false">
      <c r="I169" s="1"/>
      <c r="L169" s="1"/>
      <c r="O169" s="1"/>
    </row>
    <row r="170" customFormat="false" ht="15" hidden="false" customHeight="false" outlineLevel="0" collapsed="false">
      <c r="I170" s="1"/>
      <c r="L170" s="1"/>
      <c r="O170" s="1"/>
    </row>
    <row r="171" customFormat="false" ht="15" hidden="false" customHeight="false" outlineLevel="0" collapsed="false">
      <c r="I171" s="1"/>
      <c r="L171" s="1"/>
      <c r="O171" s="1"/>
    </row>
    <row r="172" customFormat="false" ht="15" hidden="false" customHeight="false" outlineLevel="0" collapsed="false">
      <c r="I172" s="1"/>
      <c r="L172" s="1"/>
      <c r="O172" s="1"/>
    </row>
    <row r="173" customFormat="false" ht="15" hidden="false" customHeight="false" outlineLevel="0" collapsed="false">
      <c r="I173" s="1"/>
      <c r="L173" s="1"/>
      <c r="O173" s="1"/>
    </row>
    <row r="174" customFormat="false" ht="15" hidden="false" customHeight="false" outlineLevel="0" collapsed="false">
      <c r="I174" s="1"/>
      <c r="L174" s="1"/>
      <c r="O174" s="1"/>
    </row>
    <row r="175" customFormat="false" ht="15" hidden="false" customHeight="false" outlineLevel="0" collapsed="false">
      <c r="I175" s="1"/>
      <c r="L175" s="1"/>
      <c r="O175" s="1"/>
    </row>
    <row r="176" customFormat="false" ht="15" hidden="false" customHeight="false" outlineLevel="0" collapsed="false">
      <c r="I176" s="1"/>
      <c r="L176" s="1"/>
      <c r="O176" s="1"/>
    </row>
    <row r="177" customFormat="false" ht="15" hidden="false" customHeight="false" outlineLevel="0" collapsed="false">
      <c r="I177" s="1"/>
      <c r="L177" s="1"/>
      <c r="O177" s="1"/>
    </row>
    <row r="178" customFormat="false" ht="15" hidden="false" customHeight="false" outlineLevel="0" collapsed="false">
      <c r="I178" s="1"/>
      <c r="L178" s="1"/>
      <c r="O178" s="1"/>
    </row>
    <row r="179" customFormat="false" ht="15" hidden="false" customHeight="false" outlineLevel="0" collapsed="false">
      <c r="I179" s="1"/>
      <c r="L179" s="1"/>
      <c r="O179" s="1"/>
    </row>
    <row r="180" customFormat="false" ht="15" hidden="false" customHeight="false" outlineLevel="0" collapsed="false">
      <c r="I180" s="1"/>
      <c r="L180" s="1"/>
      <c r="O180" s="1"/>
    </row>
    <row r="181" customFormat="false" ht="15" hidden="false" customHeight="false" outlineLevel="0" collapsed="false">
      <c r="I181" s="1"/>
      <c r="L181" s="1"/>
      <c r="O181" s="1"/>
    </row>
    <row r="182" customFormat="false" ht="15" hidden="false" customHeight="false" outlineLevel="0" collapsed="false">
      <c r="I182" s="1"/>
      <c r="L182" s="1"/>
      <c r="O182" s="1"/>
    </row>
    <row r="183" customFormat="false" ht="15" hidden="false" customHeight="false" outlineLevel="0" collapsed="false">
      <c r="I183" s="1"/>
      <c r="L183" s="1"/>
      <c r="O183" s="1"/>
    </row>
    <row r="184" customFormat="false" ht="15" hidden="false" customHeight="false" outlineLevel="0" collapsed="false">
      <c r="I184" s="1"/>
      <c r="L184" s="1"/>
      <c r="O184" s="1"/>
    </row>
    <row r="185" customFormat="false" ht="15" hidden="false" customHeight="false" outlineLevel="0" collapsed="false">
      <c r="I185" s="1"/>
      <c r="L185" s="1"/>
      <c r="O185" s="1"/>
    </row>
    <row r="186" customFormat="false" ht="15" hidden="false" customHeight="false" outlineLevel="0" collapsed="false">
      <c r="I186" s="1"/>
      <c r="L186" s="1"/>
      <c r="O186" s="1"/>
    </row>
    <row r="187" customFormat="false" ht="15" hidden="false" customHeight="false" outlineLevel="0" collapsed="false">
      <c r="I187" s="1"/>
      <c r="L187" s="1"/>
      <c r="O187" s="1"/>
    </row>
    <row r="188" customFormat="false" ht="15" hidden="false" customHeight="false" outlineLevel="0" collapsed="false">
      <c r="I188" s="1"/>
      <c r="L188" s="1"/>
      <c r="O188" s="1"/>
    </row>
    <row r="189" customFormat="false" ht="15" hidden="false" customHeight="false" outlineLevel="0" collapsed="false">
      <c r="I189" s="1"/>
      <c r="L189" s="1"/>
      <c r="O189" s="1"/>
    </row>
    <row r="190" customFormat="false" ht="15" hidden="false" customHeight="false" outlineLevel="0" collapsed="false">
      <c r="I190" s="1"/>
      <c r="L190" s="1"/>
      <c r="O190" s="1"/>
    </row>
    <row r="191" customFormat="false" ht="15" hidden="false" customHeight="false" outlineLevel="0" collapsed="false">
      <c r="I191" s="1"/>
      <c r="L191" s="1"/>
      <c r="O191" s="1"/>
    </row>
    <row r="192" customFormat="false" ht="15" hidden="false" customHeight="false" outlineLevel="0" collapsed="false">
      <c r="I192" s="1"/>
      <c r="L192" s="1"/>
      <c r="O192" s="1"/>
    </row>
    <row r="193" customFormat="false" ht="15" hidden="false" customHeight="false" outlineLevel="0" collapsed="false">
      <c r="I193" s="1"/>
      <c r="L193" s="1"/>
      <c r="O193" s="1"/>
    </row>
    <row r="194" customFormat="false" ht="15" hidden="false" customHeight="false" outlineLevel="0" collapsed="false">
      <c r="I194" s="1"/>
      <c r="L194" s="1"/>
      <c r="O194" s="1"/>
    </row>
    <row r="195" customFormat="false" ht="15" hidden="false" customHeight="false" outlineLevel="0" collapsed="false">
      <c r="I195" s="1"/>
      <c r="L195" s="1"/>
      <c r="O195" s="1"/>
    </row>
    <row r="196" customFormat="false" ht="15" hidden="false" customHeight="false" outlineLevel="0" collapsed="false">
      <c r="I196" s="1"/>
      <c r="L196" s="1"/>
      <c r="O196" s="1"/>
    </row>
    <row r="197" customFormat="false" ht="15" hidden="false" customHeight="false" outlineLevel="0" collapsed="false">
      <c r="I197" s="1"/>
      <c r="L197" s="1"/>
      <c r="O197" s="1"/>
    </row>
    <row r="198" customFormat="false" ht="15" hidden="false" customHeight="false" outlineLevel="0" collapsed="false">
      <c r="I198" s="1"/>
      <c r="L198" s="1"/>
      <c r="O198" s="1"/>
    </row>
    <row r="199" customFormat="false" ht="15" hidden="false" customHeight="false" outlineLevel="0" collapsed="false">
      <c r="I199" s="1"/>
      <c r="L199" s="1"/>
      <c r="O199" s="1"/>
    </row>
    <row r="200" customFormat="false" ht="15" hidden="false" customHeight="false" outlineLevel="0" collapsed="false">
      <c r="I200" s="1"/>
      <c r="L200" s="1"/>
      <c r="O200" s="1"/>
    </row>
    <row r="201" customFormat="false" ht="15" hidden="false" customHeight="false" outlineLevel="0" collapsed="false">
      <c r="I201" s="1"/>
      <c r="L201" s="1"/>
      <c r="O201" s="1"/>
    </row>
    <row r="202" customFormat="false" ht="15" hidden="false" customHeight="false" outlineLevel="0" collapsed="false">
      <c r="I202" s="1"/>
      <c r="L202" s="1"/>
      <c r="O202" s="1"/>
    </row>
    <row r="203" customFormat="false" ht="15" hidden="false" customHeight="false" outlineLevel="0" collapsed="false">
      <c r="I203" s="1"/>
      <c r="L203" s="1"/>
      <c r="O203" s="1"/>
    </row>
    <row r="204" customFormat="false" ht="15" hidden="false" customHeight="false" outlineLevel="0" collapsed="false">
      <c r="I204" s="1"/>
      <c r="L204" s="1"/>
      <c r="O204" s="1"/>
    </row>
    <row r="205" customFormat="false" ht="15" hidden="false" customHeight="false" outlineLevel="0" collapsed="false">
      <c r="I205" s="1"/>
      <c r="L205" s="1"/>
      <c r="O205" s="1"/>
    </row>
    <row r="206" customFormat="false" ht="15" hidden="false" customHeight="false" outlineLevel="0" collapsed="false">
      <c r="I206" s="1"/>
      <c r="L206" s="1"/>
      <c r="O206" s="1"/>
    </row>
    <row r="207" customFormat="false" ht="15" hidden="false" customHeight="false" outlineLevel="0" collapsed="false">
      <c r="I207" s="1"/>
      <c r="L207" s="1"/>
      <c r="O207" s="1"/>
    </row>
    <row r="208" customFormat="false" ht="15" hidden="false" customHeight="false" outlineLevel="0" collapsed="false">
      <c r="I208" s="1"/>
      <c r="L208" s="1"/>
      <c r="O208" s="1"/>
    </row>
    <row r="209" customFormat="false" ht="15" hidden="false" customHeight="false" outlineLevel="0" collapsed="false">
      <c r="I209" s="1"/>
      <c r="L209" s="1"/>
      <c r="O209" s="1"/>
    </row>
    <row r="210" customFormat="false" ht="15" hidden="false" customHeight="false" outlineLevel="0" collapsed="false">
      <c r="I210" s="1"/>
      <c r="L210" s="1"/>
      <c r="O210" s="1"/>
    </row>
    <row r="211" customFormat="false" ht="15" hidden="false" customHeight="false" outlineLevel="0" collapsed="false">
      <c r="I211" s="1"/>
      <c r="L211" s="1"/>
      <c r="O211" s="1"/>
    </row>
    <row r="212" customFormat="false" ht="15" hidden="false" customHeight="false" outlineLevel="0" collapsed="false">
      <c r="I212" s="1"/>
      <c r="L212" s="1"/>
      <c r="O212" s="1"/>
    </row>
    <row r="213" customFormat="false" ht="15" hidden="false" customHeight="false" outlineLevel="0" collapsed="false">
      <c r="I213" s="1"/>
      <c r="L213" s="1"/>
      <c r="O213" s="1"/>
    </row>
    <row r="214" customFormat="false" ht="15" hidden="false" customHeight="false" outlineLevel="0" collapsed="false">
      <c r="I214" s="1"/>
      <c r="L214" s="1"/>
      <c r="O214" s="1"/>
    </row>
    <row r="215" customFormat="false" ht="15" hidden="false" customHeight="false" outlineLevel="0" collapsed="false">
      <c r="I215" s="1"/>
      <c r="L215" s="1"/>
      <c r="O215" s="1"/>
    </row>
    <row r="216" customFormat="false" ht="15" hidden="false" customHeight="false" outlineLevel="0" collapsed="false">
      <c r="I216" s="1"/>
      <c r="L216" s="1"/>
      <c r="O216" s="1"/>
    </row>
    <row r="217" customFormat="false" ht="15" hidden="false" customHeight="false" outlineLevel="0" collapsed="false">
      <c r="I217" s="1"/>
      <c r="L217" s="1"/>
      <c r="O217" s="1"/>
    </row>
    <row r="218" customFormat="false" ht="15" hidden="false" customHeight="false" outlineLevel="0" collapsed="false">
      <c r="I218" s="1"/>
      <c r="L218" s="1"/>
      <c r="O218" s="1"/>
    </row>
    <row r="219" customFormat="false" ht="15" hidden="false" customHeight="false" outlineLevel="0" collapsed="false">
      <c r="I219" s="1"/>
      <c r="L219" s="1"/>
      <c r="O219" s="1"/>
    </row>
    <row r="220" customFormat="false" ht="15" hidden="false" customHeight="false" outlineLevel="0" collapsed="false">
      <c r="I220" s="1"/>
      <c r="L220" s="1"/>
      <c r="O220" s="1"/>
    </row>
    <row r="221" customFormat="false" ht="15" hidden="false" customHeight="false" outlineLevel="0" collapsed="false">
      <c r="I221" s="1"/>
      <c r="L221" s="1"/>
      <c r="O221" s="1"/>
    </row>
    <row r="222" customFormat="false" ht="15" hidden="false" customHeight="false" outlineLevel="0" collapsed="false">
      <c r="I222" s="1"/>
      <c r="L222" s="1"/>
      <c r="O222" s="1"/>
    </row>
    <row r="223" customFormat="false" ht="15" hidden="false" customHeight="false" outlineLevel="0" collapsed="false">
      <c r="I223" s="1"/>
      <c r="L223" s="1"/>
      <c r="O223" s="1"/>
    </row>
    <row r="224" customFormat="false" ht="15" hidden="false" customHeight="false" outlineLevel="0" collapsed="false">
      <c r="I224" s="1"/>
      <c r="L224" s="1"/>
      <c r="O224" s="1"/>
    </row>
    <row r="225" customFormat="false" ht="15" hidden="false" customHeight="false" outlineLevel="0" collapsed="false">
      <c r="I225" s="1"/>
      <c r="L225" s="1"/>
      <c r="O225" s="1"/>
    </row>
    <row r="226" customFormat="false" ht="15" hidden="false" customHeight="false" outlineLevel="0" collapsed="false">
      <c r="I226" s="1"/>
      <c r="L226" s="1"/>
      <c r="O226" s="1"/>
    </row>
    <row r="227" customFormat="false" ht="15" hidden="false" customHeight="false" outlineLevel="0" collapsed="false">
      <c r="I227" s="1"/>
      <c r="L227" s="1"/>
      <c r="O227" s="1"/>
    </row>
    <row r="228" customFormat="false" ht="15" hidden="false" customHeight="false" outlineLevel="0" collapsed="false">
      <c r="I228" s="1"/>
      <c r="L228" s="1"/>
      <c r="O228" s="1"/>
    </row>
    <row r="229" customFormat="false" ht="15" hidden="false" customHeight="false" outlineLevel="0" collapsed="false">
      <c r="I229" s="1"/>
      <c r="L229" s="1"/>
      <c r="O229" s="1"/>
    </row>
    <row r="230" customFormat="false" ht="15" hidden="false" customHeight="false" outlineLevel="0" collapsed="false">
      <c r="I230" s="1"/>
      <c r="L230" s="1"/>
      <c r="O230" s="1"/>
    </row>
    <row r="231" customFormat="false" ht="15" hidden="false" customHeight="false" outlineLevel="0" collapsed="false">
      <c r="I231" s="1"/>
      <c r="L231" s="1"/>
      <c r="O231" s="1"/>
    </row>
    <row r="232" customFormat="false" ht="15" hidden="false" customHeight="false" outlineLevel="0" collapsed="false">
      <c r="I232" s="1"/>
      <c r="L232" s="1"/>
      <c r="O232" s="1"/>
    </row>
    <row r="233" customFormat="false" ht="15" hidden="false" customHeight="false" outlineLevel="0" collapsed="false">
      <c r="I233" s="1"/>
      <c r="L233" s="1"/>
      <c r="O233" s="1"/>
    </row>
    <row r="234" customFormat="false" ht="15" hidden="false" customHeight="false" outlineLevel="0" collapsed="false">
      <c r="I234" s="1"/>
      <c r="L234" s="1"/>
      <c r="O234" s="1"/>
    </row>
    <row r="235" customFormat="false" ht="15" hidden="false" customHeight="false" outlineLevel="0" collapsed="false">
      <c r="I235" s="1"/>
      <c r="L235" s="1"/>
      <c r="O235" s="1"/>
    </row>
    <row r="236" customFormat="false" ht="15" hidden="false" customHeight="false" outlineLevel="0" collapsed="false">
      <c r="I236" s="1"/>
      <c r="L236" s="1"/>
      <c r="O236" s="1"/>
    </row>
    <row r="237" customFormat="false" ht="15" hidden="false" customHeight="false" outlineLevel="0" collapsed="false">
      <c r="I237" s="1"/>
      <c r="L237" s="1"/>
      <c r="O237" s="1"/>
    </row>
    <row r="238" customFormat="false" ht="15" hidden="false" customHeight="false" outlineLevel="0" collapsed="false">
      <c r="I238" s="1"/>
      <c r="L238" s="1"/>
      <c r="O238" s="1"/>
    </row>
    <row r="239" customFormat="false" ht="15" hidden="false" customHeight="false" outlineLevel="0" collapsed="false">
      <c r="I239" s="1"/>
      <c r="L239" s="1"/>
      <c r="O239" s="1"/>
    </row>
    <row r="240" customFormat="false" ht="15" hidden="false" customHeight="false" outlineLevel="0" collapsed="false">
      <c r="I240" s="1"/>
      <c r="L240" s="1"/>
      <c r="O240" s="1"/>
    </row>
    <row r="241" customFormat="false" ht="15" hidden="false" customHeight="false" outlineLevel="0" collapsed="false">
      <c r="I241" s="1"/>
      <c r="L241" s="1"/>
      <c r="O241" s="1"/>
    </row>
    <row r="242" customFormat="false" ht="15" hidden="false" customHeight="false" outlineLevel="0" collapsed="false">
      <c r="I242" s="1"/>
      <c r="L242" s="1"/>
      <c r="O242" s="1"/>
    </row>
    <row r="243" customFormat="false" ht="15" hidden="false" customHeight="false" outlineLevel="0" collapsed="false">
      <c r="I243" s="1"/>
      <c r="L243" s="1"/>
      <c r="O243" s="1"/>
    </row>
    <row r="244" customFormat="false" ht="15" hidden="false" customHeight="false" outlineLevel="0" collapsed="false">
      <c r="I244" s="1"/>
      <c r="L244" s="1"/>
      <c r="O244" s="1"/>
    </row>
    <row r="245" customFormat="false" ht="15" hidden="false" customHeight="false" outlineLevel="0" collapsed="false">
      <c r="I245" s="1"/>
      <c r="L245" s="1"/>
      <c r="O245" s="1"/>
    </row>
    <row r="246" customFormat="false" ht="15" hidden="false" customHeight="false" outlineLevel="0" collapsed="false">
      <c r="I246" s="1"/>
      <c r="L246" s="1"/>
      <c r="O246" s="1"/>
    </row>
    <row r="247" customFormat="false" ht="15" hidden="false" customHeight="false" outlineLevel="0" collapsed="false">
      <c r="I247" s="1"/>
      <c r="L247" s="1"/>
      <c r="O247" s="1"/>
    </row>
    <row r="248" customFormat="false" ht="15" hidden="false" customHeight="false" outlineLevel="0" collapsed="false">
      <c r="I248" s="1"/>
      <c r="L248" s="1"/>
      <c r="O248" s="1"/>
    </row>
    <row r="249" customFormat="false" ht="15" hidden="false" customHeight="false" outlineLevel="0" collapsed="false">
      <c r="I249" s="1"/>
      <c r="L249" s="1"/>
      <c r="O249" s="1"/>
    </row>
    <row r="250" customFormat="false" ht="15" hidden="false" customHeight="false" outlineLevel="0" collapsed="false">
      <c r="I250" s="1"/>
      <c r="L250" s="1"/>
      <c r="O250" s="1"/>
    </row>
    <row r="251" customFormat="false" ht="15" hidden="false" customHeight="false" outlineLevel="0" collapsed="false">
      <c r="I251" s="1"/>
      <c r="L251" s="1"/>
      <c r="O251" s="1"/>
    </row>
    <row r="252" customFormat="false" ht="15" hidden="false" customHeight="false" outlineLevel="0" collapsed="false">
      <c r="I252" s="1"/>
      <c r="L252" s="1"/>
      <c r="O252" s="1"/>
    </row>
    <row r="253" customFormat="false" ht="15" hidden="false" customHeight="false" outlineLevel="0" collapsed="false">
      <c r="I253" s="1"/>
      <c r="L253" s="1"/>
      <c r="O253" s="1"/>
    </row>
    <row r="254" customFormat="false" ht="15" hidden="false" customHeight="false" outlineLevel="0" collapsed="false">
      <c r="I254" s="1"/>
      <c r="L254" s="1"/>
      <c r="O254" s="1"/>
    </row>
    <row r="255" customFormat="false" ht="15" hidden="false" customHeight="false" outlineLevel="0" collapsed="false">
      <c r="I255" s="1"/>
      <c r="L255" s="1"/>
      <c r="O255" s="1"/>
    </row>
    <row r="256" customFormat="false" ht="15" hidden="false" customHeight="false" outlineLevel="0" collapsed="false">
      <c r="I256" s="1"/>
      <c r="L256" s="1"/>
      <c r="O256" s="1"/>
    </row>
    <row r="257" customFormat="false" ht="15" hidden="false" customHeight="false" outlineLevel="0" collapsed="false">
      <c r="I257" s="1"/>
      <c r="L257" s="1"/>
      <c r="O257" s="1"/>
    </row>
    <row r="258" customFormat="false" ht="15" hidden="false" customHeight="false" outlineLevel="0" collapsed="false">
      <c r="I258" s="1"/>
      <c r="L258" s="1"/>
      <c r="O258" s="1"/>
    </row>
    <row r="259" customFormat="false" ht="15" hidden="false" customHeight="false" outlineLevel="0" collapsed="false">
      <c r="I259" s="1"/>
      <c r="L259" s="1"/>
      <c r="O259" s="1"/>
    </row>
    <row r="260" customFormat="false" ht="15" hidden="false" customHeight="false" outlineLevel="0" collapsed="false">
      <c r="I260" s="1"/>
      <c r="L260" s="1"/>
      <c r="O260" s="1"/>
    </row>
    <row r="261" customFormat="false" ht="15" hidden="false" customHeight="false" outlineLevel="0" collapsed="false">
      <c r="I261" s="1"/>
      <c r="L261" s="1"/>
      <c r="O261" s="1"/>
    </row>
    <row r="262" customFormat="false" ht="15" hidden="false" customHeight="false" outlineLevel="0" collapsed="false">
      <c r="I262" s="1"/>
      <c r="L262" s="1"/>
      <c r="O262" s="1"/>
    </row>
    <row r="263" customFormat="false" ht="15" hidden="false" customHeight="false" outlineLevel="0" collapsed="false">
      <c r="I263" s="1"/>
      <c r="L263" s="1"/>
      <c r="O263" s="1"/>
    </row>
    <row r="264" customFormat="false" ht="15" hidden="false" customHeight="false" outlineLevel="0" collapsed="false">
      <c r="I264" s="1"/>
      <c r="L264" s="1"/>
      <c r="O264" s="1"/>
    </row>
    <row r="265" customFormat="false" ht="15" hidden="false" customHeight="false" outlineLevel="0" collapsed="false">
      <c r="I265" s="1"/>
      <c r="L265" s="1"/>
      <c r="O265" s="1"/>
    </row>
    <row r="266" customFormat="false" ht="15" hidden="false" customHeight="false" outlineLevel="0" collapsed="false">
      <c r="I266" s="1"/>
      <c r="L266" s="1"/>
      <c r="O266" s="1"/>
    </row>
    <row r="267" customFormat="false" ht="15" hidden="false" customHeight="false" outlineLevel="0" collapsed="false">
      <c r="I267" s="1"/>
      <c r="L267" s="1"/>
      <c r="O267" s="1"/>
    </row>
    <row r="268" customFormat="false" ht="15" hidden="false" customHeight="false" outlineLevel="0" collapsed="false">
      <c r="I268" s="1"/>
      <c r="L268" s="1"/>
      <c r="O268" s="1"/>
    </row>
    <row r="269" customFormat="false" ht="15" hidden="false" customHeight="false" outlineLevel="0" collapsed="false">
      <c r="I269" s="1"/>
      <c r="L269" s="1"/>
      <c r="O269" s="1"/>
    </row>
    <row r="270" customFormat="false" ht="15" hidden="false" customHeight="false" outlineLevel="0" collapsed="false">
      <c r="I270" s="1"/>
      <c r="L270" s="1"/>
      <c r="O270" s="1"/>
    </row>
    <row r="271" customFormat="false" ht="15" hidden="false" customHeight="false" outlineLevel="0" collapsed="false">
      <c r="I271" s="1"/>
      <c r="L271" s="1"/>
      <c r="O271" s="1"/>
    </row>
    <row r="272" customFormat="false" ht="15" hidden="false" customHeight="false" outlineLevel="0" collapsed="false">
      <c r="I272" s="1"/>
      <c r="L272" s="1"/>
      <c r="O272" s="1"/>
    </row>
    <row r="273" customFormat="false" ht="15" hidden="false" customHeight="false" outlineLevel="0" collapsed="false">
      <c r="I273" s="1"/>
      <c r="L273" s="1"/>
      <c r="O273" s="1"/>
    </row>
    <row r="274" customFormat="false" ht="15" hidden="false" customHeight="false" outlineLevel="0" collapsed="false">
      <c r="I274" s="1"/>
      <c r="L274" s="1"/>
      <c r="O274" s="1"/>
    </row>
    <row r="275" customFormat="false" ht="15" hidden="false" customHeight="false" outlineLevel="0" collapsed="false">
      <c r="I275" s="1"/>
      <c r="L275" s="1"/>
      <c r="O275" s="1"/>
    </row>
    <row r="276" customFormat="false" ht="15" hidden="false" customHeight="false" outlineLevel="0" collapsed="false">
      <c r="I276" s="1"/>
      <c r="L276" s="1"/>
      <c r="O276" s="1"/>
    </row>
    <row r="277" customFormat="false" ht="15" hidden="false" customHeight="false" outlineLevel="0" collapsed="false">
      <c r="I277" s="1"/>
      <c r="L277" s="1"/>
      <c r="O277" s="1"/>
    </row>
    <row r="278" customFormat="false" ht="15" hidden="false" customHeight="false" outlineLevel="0" collapsed="false">
      <c r="I278" s="1"/>
      <c r="L278" s="1"/>
      <c r="O278" s="1"/>
    </row>
    <row r="279" customFormat="false" ht="15" hidden="false" customHeight="false" outlineLevel="0" collapsed="false">
      <c r="I279" s="1"/>
      <c r="L279" s="1"/>
      <c r="O279" s="1"/>
    </row>
    <row r="280" customFormat="false" ht="15" hidden="false" customHeight="false" outlineLevel="0" collapsed="false">
      <c r="I280" s="1"/>
      <c r="L280" s="1"/>
      <c r="O280" s="1"/>
    </row>
    <row r="281" customFormat="false" ht="15" hidden="false" customHeight="false" outlineLevel="0" collapsed="false">
      <c r="I281" s="1"/>
      <c r="L281" s="1"/>
      <c r="O281" s="1"/>
    </row>
    <row r="282" customFormat="false" ht="15" hidden="false" customHeight="false" outlineLevel="0" collapsed="false">
      <c r="I282" s="1"/>
      <c r="L282" s="1"/>
      <c r="O282" s="1"/>
    </row>
    <row r="283" customFormat="false" ht="15" hidden="false" customHeight="false" outlineLevel="0" collapsed="false">
      <c r="I283" s="1"/>
      <c r="L283" s="1"/>
      <c r="O283" s="1"/>
    </row>
    <row r="284" customFormat="false" ht="15" hidden="false" customHeight="false" outlineLevel="0" collapsed="false">
      <c r="I284" s="1"/>
      <c r="L284" s="1"/>
      <c r="O284" s="1"/>
    </row>
    <row r="285" customFormat="false" ht="15" hidden="false" customHeight="false" outlineLevel="0" collapsed="false">
      <c r="I285" s="1"/>
      <c r="L285" s="1"/>
      <c r="O285" s="1"/>
    </row>
    <row r="286" customFormat="false" ht="15" hidden="false" customHeight="false" outlineLevel="0" collapsed="false">
      <c r="I286" s="1"/>
      <c r="L286" s="1"/>
      <c r="O286" s="1"/>
    </row>
    <row r="287" customFormat="false" ht="15" hidden="false" customHeight="false" outlineLevel="0" collapsed="false">
      <c r="I287" s="1"/>
      <c r="L287" s="1"/>
      <c r="O287" s="1"/>
    </row>
    <row r="288" customFormat="false" ht="15" hidden="false" customHeight="false" outlineLevel="0" collapsed="false">
      <c r="I288" s="1"/>
      <c r="L288" s="1"/>
      <c r="O288" s="1"/>
    </row>
    <row r="289" customFormat="false" ht="15" hidden="false" customHeight="false" outlineLevel="0" collapsed="false">
      <c r="I289" s="1"/>
      <c r="L289" s="1"/>
      <c r="O289" s="1"/>
    </row>
    <row r="290" customFormat="false" ht="15" hidden="false" customHeight="false" outlineLevel="0" collapsed="false">
      <c r="I290" s="1"/>
      <c r="L290" s="1"/>
      <c r="O290" s="1"/>
    </row>
    <row r="291" customFormat="false" ht="15" hidden="false" customHeight="false" outlineLevel="0" collapsed="false">
      <c r="I291" s="1"/>
      <c r="L291" s="1"/>
      <c r="O291" s="1"/>
    </row>
    <row r="292" customFormat="false" ht="15" hidden="false" customHeight="false" outlineLevel="0" collapsed="false">
      <c r="I292" s="1"/>
      <c r="L292" s="1"/>
      <c r="O292" s="1"/>
    </row>
    <row r="293" customFormat="false" ht="15" hidden="false" customHeight="false" outlineLevel="0" collapsed="false">
      <c r="I293" s="1"/>
      <c r="L293" s="1"/>
      <c r="O293" s="1"/>
    </row>
    <row r="294" customFormat="false" ht="15" hidden="false" customHeight="false" outlineLevel="0" collapsed="false">
      <c r="I294" s="1"/>
      <c r="L294" s="1"/>
      <c r="O294" s="1"/>
    </row>
    <row r="295" customFormat="false" ht="15" hidden="false" customHeight="false" outlineLevel="0" collapsed="false">
      <c r="I295" s="1"/>
      <c r="L295" s="1"/>
      <c r="O295" s="1"/>
    </row>
    <row r="296" customFormat="false" ht="15" hidden="false" customHeight="false" outlineLevel="0" collapsed="false">
      <c r="I296" s="1"/>
      <c r="L296" s="1"/>
      <c r="O296" s="1"/>
    </row>
    <row r="297" customFormat="false" ht="15" hidden="false" customHeight="false" outlineLevel="0" collapsed="false">
      <c r="I297" s="1"/>
      <c r="L297" s="1"/>
      <c r="O297" s="1"/>
    </row>
    <row r="298" customFormat="false" ht="15" hidden="false" customHeight="false" outlineLevel="0" collapsed="false">
      <c r="I298" s="1"/>
      <c r="L298" s="1"/>
      <c r="O298" s="1"/>
    </row>
    <row r="299" customFormat="false" ht="15" hidden="false" customHeight="false" outlineLevel="0" collapsed="false">
      <c r="I299" s="1"/>
      <c r="L299" s="1"/>
      <c r="O299" s="1"/>
    </row>
    <row r="300" customFormat="false" ht="15" hidden="false" customHeight="false" outlineLevel="0" collapsed="false">
      <c r="I300" s="1"/>
      <c r="L300" s="1"/>
      <c r="O300" s="1"/>
    </row>
    <row r="301" customFormat="false" ht="15" hidden="false" customHeight="false" outlineLevel="0" collapsed="false">
      <c r="I301" s="1"/>
      <c r="L301" s="1"/>
      <c r="O301" s="1"/>
    </row>
    <row r="302" customFormat="false" ht="15" hidden="false" customHeight="false" outlineLevel="0" collapsed="false">
      <c r="I302" s="1"/>
      <c r="L302" s="1"/>
      <c r="O302" s="1"/>
    </row>
    <row r="303" customFormat="false" ht="15" hidden="false" customHeight="false" outlineLevel="0" collapsed="false">
      <c r="I303" s="1"/>
      <c r="L303" s="1"/>
      <c r="O303" s="1"/>
    </row>
    <row r="304" customFormat="false" ht="15" hidden="false" customHeight="false" outlineLevel="0" collapsed="false">
      <c r="I304" s="1"/>
      <c r="L304" s="1"/>
      <c r="O304" s="1"/>
    </row>
    <row r="305" customFormat="false" ht="15" hidden="false" customHeight="false" outlineLevel="0" collapsed="false">
      <c r="I305" s="1"/>
      <c r="L305" s="1"/>
      <c r="O305" s="1"/>
    </row>
    <row r="306" customFormat="false" ht="15" hidden="false" customHeight="false" outlineLevel="0" collapsed="false">
      <c r="I306" s="1"/>
      <c r="L306" s="1"/>
      <c r="O306" s="1"/>
    </row>
    <row r="307" customFormat="false" ht="15" hidden="false" customHeight="false" outlineLevel="0" collapsed="false">
      <c r="I307" s="1"/>
      <c r="L307" s="1"/>
      <c r="O307" s="1"/>
    </row>
    <row r="308" customFormat="false" ht="15" hidden="false" customHeight="false" outlineLevel="0" collapsed="false">
      <c r="I308" s="1"/>
      <c r="L308" s="1"/>
      <c r="O308" s="1"/>
    </row>
    <row r="309" customFormat="false" ht="15" hidden="false" customHeight="false" outlineLevel="0" collapsed="false">
      <c r="I309" s="1"/>
      <c r="L309" s="1"/>
      <c r="O309" s="1"/>
    </row>
    <row r="310" customFormat="false" ht="15" hidden="false" customHeight="false" outlineLevel="0" collapsed="false">
      <c r="I310" s="1"/>
      <c r="L310" s="1"/>
      <c r="O310" s="1"/>
    </row>
    <row r="311" customFormat="false" ht="15" hidden="false" customHeight="false" outlineLevel="0" collapsed="false">
      <c r="I311" s="1"/>
      <c r="L311" s="1"/>
      <c r="O311" s="1"/>
    </row>
    <row r="312" customFormat="false" ht="15" hidden="false" customHeight="false" outlineLevel="0" collapsed="false">
      <c r="I312" s="1"/>
      <c r="L312" s="1"/>
      <c r="O312" s="1"/>
    </row>
    <row r="313" customFormat="false" ht="15" hidden="false" customHeight="false" outlineLevel="0" collapsed="false">
      <c r="I313" s="1"/>
      <c r="L313" s="1"/>
      <c r="O313" s="1"/>
    </row>
    <row r="314" customFormat="false" ht="15" hidden="false" customHeight="false" outlineLevel="0" collapsed="false">
      <c r="I314" s="1"/>
      <c r="L314" s="1"/>
      <c r="O314" s="1"/>
    </row>
    <row r="315" customFormat="false" ht="15" hidden="false" customHeight="false" outlineLevel="0" collapsed="false">
      <c r="I315" s="1"/>
      <c r="L315" s="1"/>
      <c r="O315" s="1"/>
    </row>
    <row r="316" customFormat="false" ht="15" hidden="false" customHeight="false" outlineLevel="0" collapsed="false">
      <c r="I316" s="1"/>
      <c r="L316" s="1"/>
      <c r="O316" s="1"/>
    </row>
    <row r="317" customFormat="false" ht="15" hidden="false" customHeight="false" outlineLevel="0" collapsed="false">
      <c r="I317" s="1"/>
      <c r="L317" s="1"/>
      <c r="O317" s="1"/>
    </row>
    <row r="318" customFormat="false" ht="15" hidden="false" customHeight="false" outlineLevel="0" collapsed="false">
      <c r="I318" s="1"/>
      <c r="L318" s="1"/>
      <c r="O318" s="1"/>
    </row>
    <row r="319" customFormat="false" ht="15" hidden="false" customHeight="false" outlineLevel="0" collapsed="false">
      <c r="I319" s="1"/>
      <c r="L319" s="1"/>
      <c r="O319" s="1"/>
    </row>
    <row r="320" customFormat="false" ht="15" hidden="false" customHeight="false" outlineLevel="0" collapsed="false">
      <c r="I320" s="1"/>
      <c r="L320" s="1"/>
      <c r="O320" s="1"/>
    </row>
    <row r="321" customFormat="false" ht="15" hidden="false" customHeight="false" outlineLevel="0" collapsed="false">
      <c r="I321" s="1"/>
      <c r="L321" s="1"/>
      <c r="O321" s="1"/>
    </row>
    <row r="322" customFormat="false" ht="15" hidden="false" customHeight="false" outlineLevel="0" collapsed="false">
      <c r="I322" s="1"/>
      <c r="L322" s="1"/>
      <c r="O322" s="1"/>
    </row>
    <row r="323" customFormat="false" ht="15" hidden="false" customHeight="false" outlineLevel="0" collapsed="false">
      <c r="I323" s="1"/>
      <c r="L323" s="1"/>
      <c r="O323" s="1"/>
    </row>
    <row r="324" customFormat="false" ht="15" hidden="false" customHeight="false" outlineLevel="0" collapsed="false">
      <c r="I324" s="1"/>
      <c r="L324" s="1"/>
      <c r="O324" s="1"/>
    </row>
    <row r="325" customFormat="false" ht="15" hidden="false" customHeight="false" outlineLevel="0" collapsed="false">
      <c r="I325" s="1"/>
      <c r="L325" s="1"/>
      <c r="O325" s="1"/>
    </row>
  </sheetData>
  <autoFilter ref="A10:T62"/>
  <mergeCells count="20">
    <mergeCell ref="Q1:T1"/>
    <mergeCell ref="Q2:T2"/>
    <mergeCell ref="A3:Q3"/>
    <mergeCell ref="A5:R5"/>
    <mergeCell ref="A7:A9"/>
    <mergeCell ref="B7:B9"/>
    <mergeCell ref="C7:C9"/>
    <mergeCell ref="D7:D9"/>
    <mergeCell ref="E7:E9"/>
    <mergeCell ref="F7:F9"/>
    <mergeCell ref="G7:G9"/>
    <mergeCell ref="H7:J8"/>
    <mergeCell ref="K7:M8"/>
    <mergeCell ref="N7:P8"/>
    <mergeCell ref="Q7:Q9"/>
    <mergeCell ref="R7:R9"/>
    <mergeCell ref="S7:S9"/>
    <mergeCell ref="T7:T9"/>
    <mergeCell ref="V7:X8"/>
    <mergeCell ref="A11:T11"/>
  </mergeCells>
  <conditionalFormatting sqref="V11:X62">
    <cfRule type="expression" priority="2" aboveAverage="0" equalAverage="0" bottom="0" percent="0" rank="0" text="" dxfId="36">
      <formula>AND(V11&lt;-20,V11&lt;0)</formula>
    </cfRule>
    <cfRule type="expression" priority="3" aboveAverage="0" equalAverage="0" bottom="0" percent="0" rank="0" text="" dxfId="37">
      <formula>AND(V11&gt;20,V11&gt;0)</formula>
    </cfRule>
  </conditionalFormatting>
  <conditionalFormatting sqref="R12:R62">
    <cfRule type="cellIs" priority="4" operator="greaterThan" aboveAverage="0" equalAverage="0" bottom="0" percent="0" rank="0" text="" dxfId="38">
      <formula>0</formula>
    </cfRule>
  </conditionalFormatting>
  <printOptions headings="false" gridLines="false" gridLinesSet="true" horizontalCentered="false" verticalCentered="false"/>
  <pageMargins left="0.25" right="0.25" top="0.75" bottom="0.75" header="0.511811023622047" footer="0.511811023622047"/>
  <pageSetup paperSize="9" scale="35"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5587</TotalTime>
  <Application>AlterOffice/3.4.0.9$Linux_X86_64 LibreOffice_project/b8daf9e823b1a5463a2f48435ddc2e8696e7d4fc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2015-06-05T18:19:34Z</dcterms:created>
  <dc:creator/>
  <dc:description/>
  <dc:language>ru-RU</dc:language>
  <cp:lastModifiedBy>tihanovaov@corp.gidroogk.com</cp:lastModifiedBy>
  <dcterms:modified xsi:type="dcterms:W3CDTF">2026-06-05T09:50:27Z</dcterms:modified>
  <cp:revision>53</cp:revision>
  <dc:subject/>
  <dc:title/>
</cp:coreProperties>
</file>

<file path=docProps/custom.xml><?xml version="1.0" encoding="utf-8"?>
<Properties xmlns="http://schemas.openxmlformats.org/officeDocument/2006/custom-properties" xmlns:vt="http://schemas.openxmlformats.org/officeDocument/2006/docPropsVTypes"/>
</file>