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LD_D\Сорокина\work\Мои документы закупки\Отчеты\2026\ЗД\июнь\ЗП-26-000000019484       Текущий ремонт помещения Чебоксары, Гузовского 14 Чувашия\"/>
    </mc:Choice>
  </mc:AlternateContent>
  <bookViews>
    <workbookView xWindow="-105" yWindow="-105" windowWidth="23250" windowHeight="12570"/>
  </bookViews>
  <sheets>
    <sheet name="Смета по ФСНБ 421+557прРИМ" sheetId="7" r:id="rId1"/>
    <sheet name="Source" sheetId="1" state="hidden" r:id="rId2"/>
    <sheet name="SourceObSm" sheetId="2" state="hidden" r:id="rId3"/>
    <sheet name="SmtRes" sheetId="3" state="hidden" r:id="rId4"/>
    <sheet name="EtalonRes" sheetId="4" state="hidden" r:id="rId5"/>
    <sheet name="SrcPoprs" sheetId="5" state="hidden" r:id="rId6"/>
    <sheet name="SrcKA" sheetId="6" state="hidden" r:id="rId7"/>
  </sheets>
  <definedNames>
    <definedName name="_xlnm.Print_Titles" localSheetId="0">'Смета по ФСНБ 421+557прРИМ'!$58:$58</definedName>
    <definedName name="_xlnm.Print_Area" localSheetId="0">'Смета по ФСНБ 421+557прРИМ'!$A$1:$L$472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2" i="7" l="1"/>
  <c r="C50" i="7" l="1"/>
  <c r="L463" i="7"/>
  <c r="C463" i="7"/>
  <c r="L462" i="7"/>
  <c r="C462" i="7"/>
  <c r="L461" i="7"/>
  <c r="C461" i="7"/>
  <c r="L460" i="7"/>
  <c r="C460" i="7"/>
  <c r="L459" i="7"/>
  <c r="C459" i="7"/>
  <c r="L458" i="7"/>
  <c r="C458" i="7"/>
  <c r="L457" i="7"/>
  <c r="C457" i="7"/>
  <c r="L456" i="7"/>
  <c r="C456" i="7"/>
  <c r="L455" i="7"/>
  <c r="C455" i="7"/>
  <c r="L454" i="7"/>
  <c r="C454" i="7"/>
  <c r="L453" i="7"/>
  <c r="C453" i="7"/>
  <c r="L452" i="7"/>
  <c r="C452" i="7"/>
  <c r="L448" i="7"/>
  <c r="L447" i="7"/>
  <c r="L444" i="7"/>
  <c r="L443" i="7"/>
  <c r="L437" i="7"/>
  <c r="L436" i="7"/>
  <c r="L432" i="7"/>
  <c r="L420" i="7"/>
  <c r="L419" i="7"/>
  <c r="L418" i="7"/>
  <c r="L417" i="7"/>
  <c r="L416" i="7"/>
  <c r="L415" i="7"/>
  <c r="L413" i="7" s="1"/>
  <c r="L412" i="7"/>
  <c r="L411" i="7"/>
  <c r="L409" i="7"/>
  <c r="L406" i="7"/>
  <c r="L401" i="7"/>
  <c r="L400" i="7"/>
  <c r="L399" i="7"/>
  <c r="L394" i="7"/>
  <c r="L393" i="7"/>
  <c r="L389" i="7"/>
  <c r="L388" i="7"/>
  <c r="L387" i="7"/>
  <c r="L386" i="7"/>
  <c r="L385" i="7"/>
  <c r="L384" i="7"/>
  <c r="L381" i="7"/>
  <c r="L380" i="7"/>
  <c r="L378" i="7"/>
  <c r="L375" i="7"/>
  <c r="L366" i="7"/>
  <c r="L365" i="7"/>
  <c r="L361" i="7"/>
  <c r="AE347" i="7"/>
  <c r="AD347" i="7"/>
  <c r="G346" i="7"/>
  <c r="F346" i="7"/>
  <c r="E346" i="7"/>
  <c r="G345" i="7"/>
  <c r="F345" i="7"/>
  <c r="E345" i="7"/>
  <c r="BA343" i="7"/>
  <c r="AZ343" i="7"/>
  <c r="AE343" i="7"/>
  <c r="AD343" i="7"/>
  <c r="L343" i="7"/>
  <c r="AW343" i="7" s="1"/>
  <c r="I343" i="7"/>
  <c r="H343" i="7"/>
  <c r="E343" i="7"/>
  <c r="G343" i="7"/>
  <c r="D343" i="7"/>
  <c r="C343" i="7"/>
  <c r="B343" i="7"/>
  <c r="G341" i="7"/>
  <c r="E341" i="7"/>
  <c r="D341" i="7"/>
  <c r="C341" i="7"/>
  <c r="B341" i="7"/>
  <c r="L340" i="7"/>
  <c r="I340" i="7"/>
  <c r="H340" i="7"/>
  <c r="G340" i="7"/>
  <c r="L339" i="7"/>
  <c r="I339" i="7"/>
  <c r="H339" i="7"/>
  <c r="G339" i="7"/>
  <c r="L338" i="7"/>
  <c r="I338" i="7"/>
  <c r="H338" i="7"/>
  <c r="G338" i="7"/>
  <c r="L336" i="7"/>
  <c r="J336" i="7"/>
  <c r="F336" i="7"/>
  <c r="E336" i="7"/>
  <c r="L335" i="7"/>
  <c r="J335" i="7"/>
  <c r="G335" i="7"/>
  <c r="F335" i="7"/>
  <c r="L334" i="7"/>
  <c r="L332" i="7" s="1"/>
  <c r="AT347" i="7" s="1"/>
  <c r="J334" i="7"/>
  <c r="F334" i="7"/>
  <c r="E334" i="7"/>
  <c r="L333" i="7"/>
  <c r="I333" i="7"/>
  <c r="H333" i="7"/>
  <c r="G333" i="7"/>
  <c r="F333" i="7"/>
  <c r="L330" i="7"/>
  <c r="L329" i="7" s="1"/>
  <c r="J330" i="7"/>
  <c r="G330" i="7"/>
  <c r="F330" i="7"/>
  <c r="C328" i="7"/>
  <c r="E326" i="7"/>
  <c r="G326" i="7"/>
  <c r="D326" i="7"/>
  <c r="C326" i="7"/>
  <c r="AE325" i="7"/>
  <c r="AD325" i="7"/>
  <c r="G324" i="7"/>
  <c r="F324" i="7"/>
  <c r="E324" i="7"/>
  <c r="G323" i="7"/>
  <c r="F323" i="7"/>
  <c r="E323" i="7"/>
  <c r="BA321" i="7"/>
  <c r="AZ321" i="7"/>
  <c r="AE321" i="7"/>
  <c r="AD321" i="7"/>
  <c r="L321" i="7"/>
  <c r="AW321" i="7" s="1"/>
  <c r="I321" i="7"/>
  <c r="H321" i="7"/>
  <c r="E321" i="7"/>
  <c r="G321" i="7"/>
  <c r="D321" i="7"/>
  <c r="C321" i="7"/>
  <c r="B321" i="7"/>
  <c r="G319" i="7"/>
  <c r="E319" i="7"/>
  <c r="D319" i="7"/>
  <c r="C319" i="7"/>
  <c r="B319" i="7"/>
  <c r="L318" i="7"/>
  <c r="L317" i="7" s="1"/>
  <c r="AW325" i="7" s="1"/>
  <c r="I318" i="7"/>
  <c r="H318" i="7"/>
  <c r="G318" i="7"/>
  <c r="L316" i="7"/>
  <c r="J316" i="7"/>
  <c r="F316" i="7"/>
  <c r="E316" i="7"/>
  <c r="L315" i="7"/>
  <c r="J315" i="7"/>
  <c r="G315" i="7"/>
  <c r="F315" i="7"/>
  <c r="L314" i="7"/>
  <c r="L312" i="7" s="1"/>
  <c r="J314" i="7"/>
  <c r="F314" i="7"/>
  <c r="E314" i="7"/>
  <c r="L313" i="7"/>
  <c r="I313" i="7"/>
  <c r="H313" i="7"/>
  <c r="J313" i="7" s="1"/>
  <c r="G313" i="7"/>
  <c r="F313" i="7"/>
  <c r="L310" i="7"/>
  <c r="L309" i="7" s="1"/>
  <c r="J310" i="7"/>
  <c r="G310" i="7"/>
  <c r="F310" i="7"/>
  <c r="C308" i="7"/>
  <c r="E306" i="7"/>
  <c r="G306" i="7"/>
  <c r="D306" i="7"/>
  <c r="C306" i="7"/>
  <c r="AW305" i="7"/>
  <c r="AT305" i="7"/>
  <c r="AO305" i="7"/>
  <c r="AE305" i="7"/>
  <c r="AD305" i="7"/>
  <c r="G304" i="7"/>
  <c r="E304" i="7"/>
  <c r="G303" i="7"/>
  <c r="E303" i="7"/>
  <c r="L300" i="7"/>
  <c r="L299" i="7" s="1"/>
  <c r="J300" i="7"/>
  <c r="G300" i="7"/>
  <c r="C298" i="7"/>
  <c r="E297" i="7"/>
  <c r="G297" i="7"/>
  <c r="D297" i="7"/>
  <c r="C297" i="7"/>
  <c r="AW296" i="7"/>
  <c r="AE296" i="7"/>
  <c r="AD296" i="7"/>
  <c r="G295" i="7"/>
  <c r="E295" i="7"/>
  <c r="G294" i="7"/>
  <c r="E294" i="7"/>
  <c r="BA292" i="7"/>
  <c r="AZ292" i="7"/>
  <c r="AE292" i="7"/>
  <c r="AD292" i="7"/>
  <c r="L292" i="7"/>
  <c r="AN292" i="7" s="1"/>
  <c r="I292" i="7"/>
  <c r="H292" i="7"/>
  <c r="J292" i="7" s="1"/>
  <c r="E292" i="7"/>
  <c r="G292" i="7"/>
  <c r="D292" i="7"/>
  <c r="C292" i="7"/>
  <c r="B292" i="7"/>
  <c r="BA291" i="7"/>
  <c r="AZ291" i="7"/>
  <c r="AE291" i="7"/>
  <c r="AD291" i="7"/>
  <c r="L291" i="7"/>
  <c r="AN291" i="7" s="1"/>
  <c r="I291" i="7"/>
  <c r="H291" i="7"/>
  <c r="E291" i="7"/>
  <c r="G291" i="7"/>
  <c r="D291" i="7"/>
  <c r="C291" i="7"/>
  <c r="B291" i="7"/>
  <c r="BA290" i="7"/>
  <c r="AZ290" i="7"/>
  <c r="AE290" i="7"/>
  <c r="AD290" i="7"/>
  <c r="L290" i="7"/>
  <c r="AW290" i="7" s="1"/>
  <c r="I290" i="7"/>
  <c r="H290" i="7"/>
  <c r="E290" i="7"/>
  <c r="G290" i="7"/>
  <c r="D290" i="7"/>
  <c r="C290" i="7"/>
  <c r="B290" i="7"/>
  <c r="G288" i="7"/>
  <c r="E288" i="7"/>
  <c r="D288" i="7"/>
  <c r="C288" i="7"/>
  <c r="B288" i="7"/>
  <c r="G287" i="7"/>
  <c r="E287" i="7"/>
  <c r="D287" i="7"/>
  <c r="C287" i="7"/>
  <c r="B287" i="7"/>
  <c r="G286" i="7"/>
  <c r="E286" i="7"/>
  <c r="D286" i="7"/>
  <c r="C286" i="7"/>
  <c r="B286" i="7"/>
  <c r="L285" i="7"/>
  <c r="I285" i="7"/>
  <c r="H285" i="7"/>
  <c r="J285" i="7" s="1"/>
  <c r="G285" i="7"/>
  <c r="L284" i="7"/>
  <c r="J284" i="7"/>
  <c r="E284" i="7"/>
  <c r="L283" i="7"/>
  <c r="J283" i="7"/>
  <c r="G283" i="7"/>
  <c r="L282" i="7"/>
  <c r="J282" i="7"/>
  <c r="E282" i="7"/>
  <c r="L281" i="7"/>
  <c r="I281" i="7"/>
  <c r="H281" i="7"/>
  <c r="G281" i="7"/>
  <c r="L278" i="7"/>
  <c r="L277" i="7" s="1"/>
  <c r="J278" i="7"/>
  <c r="G278" i="7"/>
  <c r="C276" i="7"/>
  <c r="E275" i="7"/>
  <c r="G275" i="7"/>
  <c r="D275" i="7"/>
  <c r="C275" i="7"/>
  <c r="AW274" i="7"/>
  <c r="AT274" i="7"/>
  <c r="AO274" i="7"/>
  <c r="AE274" i="7"/>
  <c r="AD274" i="7"/>
  <c r="G273" i="7"/>
  <c r="E273" i="7"/>
  <c r="G272" i="7"/>
  <c r="E272" i="7"/>
  <c r="BA270" i="7"/>
  <c r="AZ270" i="7"/>
  <c r="AE270" i="7"/>
  <c r="AD270" i="7"/>
  <c r="L270" i="7"/>
  <c r="AW270" i="7" s="1"/>
  <c r="I270" i="7"/>
  <c r="H270" i="7"/>
  <c r="E270" i="7"/>
  <c r="G270" i="7"/>
  <c r="D270" i="7"/>
  <c r="C270" i="7"/>
  <c r="B270" i="7"/>
  <c r="G268" i="7"/>
  <c r="E268" i="7"/>
  <c r="D268" i="7"/>
  <c r="C268" i="7"/>
  <c r="B268" i="7"/>
  <c r="L267" i="7"/>
  <c r="L266" i="7" s="1"/>
  <c r="J267" i="7"/>
  <c r="G267" i="7"/>
  <c r="G266" i="7"/>
  <c r="E265" i="7"/>
  <c r="G265" i="7"/>
  <c r="D265" i="7"/>
  <c r="C265" i="7"/>
  <c r="AE264" i="7"/>
  <c r="AD264" i="7"/>
  <c r="G263" i="7"/>
  <c r="F263" i="7"/>
  <c r="E263" i="7"/>
  <c r="G262" i="7"/>
  <c r="F262" i="7"/>
  <c r="E262" i="7"/>
  <c r="BA260" i="7"/>
  <c r="AZ260" i="7"/>
  <c r="AE260" i="7"/>
  <c r="AD260" i="7"/>
  <c r="L260" i="7"/>
  <c r="AW260" i="7" s="1"/>
  <c r="I260" i="7"/>
  <c r="H260" i="7"/>
  <c r="E260" i="7"/>
  <c r="G260" i="7"/>
  <c r="D260" i="7"/>
  <c r="C260" i="7"/>
  <c r="B260" i="7"/>
  <c r="G258" i="7"/>
  <c r="E258" i="7"/>
  <c r="D258" i="7"/>
  <c r="C258" i="7"/>
  <c r="B258" i="7"/>
  <c r="L257" i="7"/>
  <c r="I257" i="7"/>
  <c r="H257" i="7"/>
  <c r="G257" i="7"/>
  <c r="L256" i="7"/>
  <c r="I256" i="7"/>
  <c r="H256" i="7"/>
  <c r="G256" i="7"/>
  <c r="L255" i="7"/>
  <c r="J255" i="7"/>
  <c r="G255" i="7"/>
  <c r="L252" i="7"/>
  <c r="AT264" i="7" s="1"/>
  <c r="G252" i="7"/>
  <c r="L253" i="7"/>
  <c r="J253" i="7"/>
  <c r="G253" i="7"/>
  <c r="F253" i="7"/>
  <c r="L250" i="7"/>
  <c r="L249" i="7" s="1"/>
  <c r="J250" i="7"/>
  <c r="G250" i="7"/>
  <c r="F250" i="7"/>
  <c r="E247" i="7"/>
  <c r="G247" i="7"/>
  <c r="D247" i="7"/>
  <c r="C247" i="7"/>
  <c r="AE246" i="7"/>
  <c r="AD246" i="7"/>
  <c r="G245" i="7"/>
  <c r="E245" i="7"/>
  <c r="G244" i="7"/>
  <c r="E244" i="7"/>
  <c r="G241" i="7"/>
  <c r="F241" i="7"/>
  <c r="E241" i="7"/>
  <c r="D241" i="7"/>
  <c r="C241" i="7"/>
  <c r="B241" i="7"/>
  <c r="L240" i="7"/>
  <c r="I240" i="7"/>
  <c r="H240" i="7"/>
  <c r="G240" i="7"/>
  <c r="F240" i="7"/>
  <c r="L239" i="7"/>
  <c r="I239" i="7"/>
  <c r="H239" i="7"/>
  <c r="G239" i="7"/>
  <c r="F239" i="7"/>
  <c r="L238" i="7"/>
  <c r="J238" i="7"/>
  <c r="G238" i="7"/>
  <c r="F238" i="7"/>
  <c r="L235" i="7"/>
  <c r="AT246" i="7" s="1"/>
  <c r="L236" i="7"/>
  <c r="J236" i="7"/>
  <c r="G236" i="7"/>
  <c r="F236" i="7"/>
  <c r="L233" i="7"/>
  <c r="L232" i="7" s="1"/>
  <c r="J233" i="7"/>
  <c r="G233" i="7"/>
  <c r="F233" i="7"/>
  <c r="E230" i="7"/>
  <c r="G230" i="7"/>
  <c r="D230" i="7"/>
  <c r="C230" i="7"/>
  <c r="AE229" i="7"/>
  <c r="AD229" i="7"/>
  <c r="G228" i="7"/>
  <c r="F228" i="7"/>
  <c r="E228" i="7"/>
  <c r="G227" i="7"/>
  <c r="F227" i="7"/>
  <c r="E227" i="7"/>
  <c r="BA225" i="7"/>
  <c r="AZ225" i="7"/>
  <c r="AE225" i="7"/>
  <c r="AD225" i="7"/>
  <c r="L225" i="7"/>
  <c r="AW225" i="7" s="1"/>
  <c r="I225" i="7"/>
  <c r="H225" i="7"/>
  <c r="E225" i="7"/>
  <c r="G225" i="7"/>
  <c r="D225" i="7"/>
  <c r="C225" i="7"/>
  <c r="B225" i="7"/>
  <c r="G223" i="7"/>
  <c r="E223" i="7"/>
  <c r="D223" i="7"/>
  <c r="C223" i="7"/>
  <c r="B223" i="7"/>
  <c r="L222" i="7"/>
  <c r="I222" i="7"/>
  <c r="H222" i="7"/>
  <c r="G222" i="7"/>
  <c r="L221" i="7"/>
  <c r="J221" i="7"/>
  <c r="G221" i="7"/>
  <c r="L219" i="7"/>
  <c r="J219" i="7"/>
  <c r="F219" i="7"/>
  <c r="E219" i="7"/>
  <c r="L218" i="7"/>
  <c r="J218" i="7"/>
  <c r="G218" i="7"/>
  <c r="F218" i="7"/>
  <c r="L217" i="7"/>
  <c r="J217" i="7"/>
  <c r="F217" i="7"/>
  <c r="E217" i="7"/>
  <c r="L216" i="7"/>
  <c r="J216" i="7"/>
  <c r="G216" i="7"/>
  <c r="F216" i="7"/>
  <c r="L213" i="7"/>
  <c r="L212" i="7" s="1"/>
  <c r="AR229" i="7" s="1"/>
  <c r="J213" i="7"/>
  <c r="G213" i="7"/>
  <c r="F213" i="7"/>
  <c r="C211" i="7"/>
  <c r="E209" i="7"/>
  <c r="G209" i="7"/>
  <c r="D209" i="7"/>
  <c r="C209" i="7"/>
  <c r="AE208" i="7"/>
  <c r="AD208" i="7"/>
  <c r="G207" i="7"/>
  <c r="F207" i="7"/>
  <c r="E207" i="7"/>
  <c r="G206" i="7"/>
  <c r="F206" i="7"/>
  <c r="E206" i="7"/>
  <c r="BA204" i="7"/>
  <c r="AZ204" i="7"/>
  <c r="AE204" i="7"/>
  <c r="AD204" i="7"/>
  <c r="L204" i="7"/>
  <c r="AN204" i="7" s="1"/>
  <c r="I204" i="7"/>
  <c r="H204" i="7"/>
  <c r="E204" i="7"/>
  <c r="G204" i="7"/>
  <c r="D204" i="7"/>
  <c r="C204" i="7"/>
  <c r="B204" i="7"/>
  <c r="G202" i="7"/>
  <c r="E202" i="7"/>
  <c r="D202" i="7"/>
  <c r="C202" i="7"/>
  <c r="B202" i="7"/>
  <c r="L201" i="7"/>
  <c r="I201" i="7"/>
  <c r="H201" i="7"/>
  <c r="G201" i="7"/>
  <c r="L200" i="7"/>
  <c r="I200" i="7"/>
  <c r="H200" i="7"/>
  <c r="G200" i="7"/>
  <c r="L199" i="7"/>
  <c r="I199" i="7"/>
  <c r="H199" i="7"/>
  <c r="G199" i="7"/>
  <c r="L197" i="7"/>
  <c r="J197" i="7"/>
  <c r="G197" i="7"/>
  <c r="F197" i="7"/>
  <c r="L196" i="7"/>
  <c r="J196" i="7"/>
  <c r="F196" i="7"/>
  <c r="E196" i="7"/>
  <c r="L195" i="7"/>
  <c r="J195" i="7"/>
  <c r="G195" i="7"/>
  <c r="F195" i="7"/>
  <c r="L194" i="7"/>
  <c r="L192" i="7" s="1"/>
  <c r="J194" i="7"/>
  <c r="F194" i="7"/>
  <c r="E194" i="7"/>
  <c r="L193" i="7"/>
  <c r="I193" i="7"/>
  <c r="H193" i="7"/>
  <c r="G193" i="7"/>
  <c r="F193" i="7"/>
  <c r="L190" i="7"/>
  <c r="L189" i="7" s="1"/>
  <c r="J190" i="7"/>
  <c r="G190" i="7"/>
  <c r="F190" i="7"/>
  <c r="C188" i="7"/>
  <c r="E186" i="7"/>
  <c r="G186" i="7"/>
  <c r="D186" i="7"/>
  <c r="C186" i="7"/>
  <c r="AE185" i="7"/>
  <c r="AD185" i="7"/>
  <c r="G184" i="7"/>
  <c r="E184" i="7"/>
  <c r="G183" i="7"/>
  <c r="E183" i="7"/>
  <c r="G180" i="7"/>
  <c r="F180" i="7"/>
  <c r="E180" i="7"/>
  <c r="D180" i="7"/>
  <c r="C180" i="7"/>
  <c r="B180" i="7"/>
  <c r="L179" i="7"/>
  <c r="I179" i="7"/>
  <c r="H179" i="7"/>
  <c r="G179" i="7"/>
  <c r="F179" i="7"/>
  <c r="L178" i="7"/>
  <c r="I178" i="7"/>
  <c r="H178" i="7"/>
  <c r="G178" i="7"/>
  <c r="F178" i="7"/>
  <c r="L177" i="7"/>
  <c r="I177" i="7"/>
  <c r="H177" i="7"/>
  <c r="G177" i="7"/>
  <c r="F177" i="7"/>
  <c r="L175" i="7"/>
  <c r="J175" i="7"/>
  <c r="G175" i="7"/>
  <c r="F175" i="7"/>
  <c r="L174" i="7"/>
  <c r="J174" i="7"/>
  <c r="F174" i="7"/>
  <c r="E174" i="7"/>
  <c r="L173" i="7"/>
  <c r="J173" i="7"/>
  <c r="G173" i="7"/>
  <c r="F173" i="7"/>
  <c r="L172" i="7"/>
  <c r="L170" i="7" s="1"/>
  <c r="J172" i="7"/>
  <c r="F172" i="7"/>
  <c r="E172" i="7"/>
  <c r="L171" i="7"/>
  <c r="I171" i="7"/>
  <c r="H171" i="7"/>
  <c r="G171" i="7"/>
  <c r="F171" i="7"/>
  <c r="L168" i="7"/>
  <c r="L167" i="7" s="1"/>
  <c r="J168" i="7"/>
  <c r="G168" i="7"/>
  <c r="F168" i="7"/>
  <c r="C166" i="7"/>
  <c r="E164" i="7"/>
  <c r="G164" i="7"/>
  <c r="D164" i="7"/>
  <c r="C164" i="7"/>
  <c r="AE163" i="7"/>
  <c r="AD163" i="7"/>
  <c r="G162" i="7"/>
  <c r="F162" i="7"/>
  <c r="E162" i="7"/>
  <c r="G161" i="7"/>
  <c r="F161" i="7"/>
  <c r="E161" i="7"/>
  <c r="BA159" i="7"/>
  <c r="AZ159" i="7"/>
  <c r="AE159" i="7"/>
  <c r="AD159" i="7"/>
  <c r="L159" i="7"/>
  <c r="AW159" i="7" s="1"/>
  <c r="I159" i="7"/>
  <c r="H159" i="7"/>
  <c r="E159" i="7"/>
  <c r="G159" i="7"/>
  <c r="D159" i="7"/>
  <c r="C159" i="7"/>
  <c r="B159" i="7"/>
  <c r="BA158" i="7"/>
  <c r="AZ158" i="7"/>
  <c r="AE158" i="7"/>
  <c r="AD158" i="7"/>
  <c r="L158" i="7"/>
  <c r="AN158" i="7" s="1"/>
  <c r="J158" i="7"/>
  <c r="E158" i="7"/>
  <c r="G158" i="7"/>
  <c r="D158" i="7"/>
  <c r="C158" i="7"/>
  <c r="B158" i="7"/>
  <c r="BA157" i="7"/>
  <c r="AZ157" i="7"/>
  <c r="AE157" i="7"/>
  <c r="AD157" i="7"/>
  <c r="L157" i="7"/>
  <c r="AN157" i="7" s="1"/>
  <c r="I157" i="7"/>
  <c r="H157" i="7"/>
  <c r="E157" i="7"/>
  <c r="G157" i="7"/>
  <c r="D157" i="7"/>
  <c r="C157" i="7"/>
  <c r="B157" i="7"/>
  <c r="G155" i="7"/>
  <c r="E155" i="7"/>
  <c r="D155" i="7"/>
  <c r="C155" i="7"/>
  <c r="B155" i="7"/>
  <c r="G154" i="7"/>
  <c r="E154" i="7"/>
  <c r="D154" i="7"/>
  <c r="C154" i="7"/>
  <c r="B154" i="7"/>
  <c r="G153" i="7"/>
  <c r="E153" i="7"/>
  <c r="D153" i="7"/>
  <c r="C153" i="7"/>
  <c r="B153" i="7"/>
  <c r="L152" i="7"/>
  <c r="J152" i="7"/>
  <c r="G152" i="7"/>
  <c r="L151" i="7"/>
  <c r="I151" i="7"/>
  <c r="H151" i="7"/>
  <c r="G151" i="7"/>
  <c r="L149" i="7"/>
  <c r="J149" i="7"/>
  <c r="F149" i="7"/>
  <c r="E149" i="7"/>
  <c r="L148" i="7"/>
  <c r="J148" i="7"/>
  <c r="G148" i="7"/>
  <c r="F148" i="7"/>
  <c r="L147" i="7"/>
  <c r="L145" i="7" s="1"/>
  <c r="J147" i="7"/>
  <c r="F147" i="7"/>
  <c r="E147" i="7"/>
  <c r="L146" i="7"/>
  <c r="I146" i="7"/>
  <c r="H146" i="7"/>
  <c r="G146" i="7"/>
  <c r="F146" i="7"/>
  <c r="L143" i="7"/>
  <c r="L142" i="7" s="1"/>
  <c r="J143" i="7"/>
  <c r="G143" i="7"/>
  <c r="F143" i="7"/>
  <c r="C141" i="7"/>
  <c r="E139" i="7"/>
  <c r="G139" i="7"/>
  <c r="D139" i="7"/>
  <c r="C139" i="7"/>
  <c r="AE138" i="7"/>
  <c r="AD138" i="7"/>
  <c r="G137" i="7"/>
  <c r="F137" i="7"/>
  <c r="E137" i="7"/>
  <c r="G136" i="7"/>
  <c r="F136" i="7"/>
  <c r="E136" i="7"/>
  <c r="BA134" i="7"/>
  <c r="AZ134" i="7"/>
  <c r="AE134" i="7"/>
  <c r="AD134" i="7"/>
  <c r="L134" i="7"/>
  <c r="AW134" i="7" s="1"/>
  <c r="I134" i="7"/>
  <c r="H134" i="7"/>
  <c r="E134" i="7"/>
  <c r="G134" i="7"/>
  <c r="D134" i="7"/>
  <c r="C134" i="7"/>
  <c r="B134" i="7"/>
  <c r="BA133" i="7"/>
  <c r="AZ133" i="7"/>
  <c r="AE133" i="7"/>
  <c r="AD133" i="7"/>
  <c r="L133" i="7"/>
  <c r="AN133" i="7" s="1"/>
  <c r="I133" i="7"/>
  <c r="H133" i="7"/>
  <c r="E133" i="7"/>
  <c r="G133" i="7"/>
  <c r="D133" i="7"/>
  <c r="C133" i="7"/>
  <c r="B133" i="7"/>
  <c r="BA132" i="7"/>
  <c r="AZ132" i="7"/>
  <c r="AE132" i="7"/>
  <c r="AD132" i="7"/>
  <c r="L132" i="7"/>
  <c r="AW132" i="7" s="1"/>
  <c r="I132" i="7"/>
  <c r="H132" i="7"/>
  <c r="E132" i="7"/>
  <c r="G132" i="7"/>
  <c r="D132" i="7"/>
  <c r="C132" i="7"/>
  <c r="B132" i="7"/>
  <c r="BA131" i="7"/>
  <c r="AZ131" i="7"/>
  <c r="AE131" i="7"/>
  <c r="AD131" i="7"/>
  <c r="L131" i="7"/>
  <c r="AN131" i="7" s="1"/>
  <c r="J131" i="7"/>
  <c r="E131" i="7"/>
  <c r="G131" i="7"/>
  <c r="D131" i="7"/>
  <c r="C131" i="7"/>
  <c r="B131" i="7"/>
  <c r="G129" i="7"/>
  <c r="E129" i="7"/>
  <c r="D129" i="7"/>
  <c r="C129" i="7"/>
  <c r="B129" i="7"/>
  <c r="G128" i="7"/>
  <c r="E128" i="7"/>
  <c r="D128" i="7"/>
  <c r="C128" i="7"/>
  <c r="B128" i="7"/>
  <c r="G127" i="7"/>
  <c r="E127" i="7"/>
  <c r="D127" i="7"/>
  <c r="C127" i="7"/>
  <c r="B127" i="7"/>
  <c r="G126" i="7"/>
  <c r="E126" i="7"/>
  <c r="D126" i="7"/>
  <c r="C126" i="7"/>
  <c r="B126" i="7"/>
  <c r="L125" i="7"/>
  <c r="I125" i="7"/>
  <c r="H125" i="7"/>
  <c r="G125" i="7"/>
  <c r="L124" i="7"/>
  <c r="J124" i="7"/>
  <c r="G124" i="7"/>
  <c r="L123" i="7"/>
  <c r="I123" i="7"/>
  <c r="H123" i="7"/>
  <c r="G123" i="7"/>
  <c r="L121" i="7"/>
  <c r="J121" i="7"/>
  <c r="F121" i="7"/>
  <c r="E121" i="7"/>
  <c r="L120" i="7"/>
  <c r="J120" i="7"/>
  <c r="G120" i="7"/>
  <c r="F120" i="7"/>
  <c r="L119" i="7"/>
  <c r="J119" i="7"/>
  <c r="F119" i="7"/>
  <c r="E119" i="7"/>
  <c r="L118" i="7"/>
  <c r="I118" i="7"/>
  <c r="H118" i="7"/>
  <c r="G118" i="7"/>
  <c r="F118" i="7"/>
  <c r="L117" i="7"/>
  <c r="J117" i="7"/>
  <c r="F117" i="7"/>
  <c r="E117" i="7"/>
  <c r="L116" i="7"/>
  <c r="J116" i="7"/>
  <c r="G116" i="7"/>
  <c r="F116" i="7"/>
  <c r="L115" i="7"/>
  <c r="J115" i="7"/>
  <c r="F115" i="7"/>
  <c r="E115" i="7"/>
  <c r="L114" i="7"/>
  <c r="I114" i="7"/>
  <c r="H114" i="7"/>
  <c r="G114" i="7"/>
  <c r="F114" i="7"/>
  <c r="L111" i="7"/>
  <c r="L110" i="7" s="1"/>
  <c r="J111" i="7"/>
  <c r="G111" i="7"/>
  <c r="F111" i="7"/>
  <c r="C109" i="7"/>
  <c r="E107" i="7"/>
  <c r="G107" i="7"/>
  <c r="D107" i="7"/>
  <c r="C107" i="7"/>
  <c r="AE106" i="7"/>
  <c r="AD106" i="7"/>
  <c r="G105" i="7"/>
  <c r="F105" i="7"/>
  <c r="E105" i="7"/>
  <c r="G104" i="7"/>
  <c r="F104" i="7"/>
  <c r="E104" i="7"/>
  <c r="BA102" i="7"/>
  <c r="AZ102" i="7"/>
  <c r="AE102" i="7"/>
  <c r="AD102" i="7"/>
  <c r="L102" i="7"/>
  <c r="AN102" i="7" s="1"/>
  <c r="J102" i="7"/>
  <c r="E102" i="7"/>
  <c r="G102" i="7"/>
  <c r="D102" i="7"/>
  <c r="C102" i="7"/>
  <c r="B102" i="7"/>
  <c r="G100" i="7"/>
  <c r="E100" i="7"/>
  <c r="D100" i="7"/>
  <c r="C100" i="7"/>
  <c r="B100" i="7"/>
  <c r="L99" i="7"/>
  <c r="I99" i="7"/>
  <c r="H99" i="7"/>
  <c r="G99" i="7"/>
  <c r="L98" i="7"/>
  <c r="I98" i="7"/>
  <c r="H98" i="7"/>
  <c r="G98" i="7"/>
  <c r="L96" i="7"/>
  <c r="J96" i="7"/>
  <c r="F96" i="7"/>
  <c r="E96" i="7"/>
  <c r="L95" i="7"/>
  <c r="J95" i="7"/>
  <c r="G95" i="7"/>
  <c r="F95" i="7"/>
  <c r="L94" i="7"/>
  <c r="I94" i="7"/>
  <c r="H94" i="7"/>
  <c r="G94" i="7"/>
  <c r="F94" i="7"/>
  <c r="L93" i="7"/>
  <c r="J93" i="7"/>
  <c r="F93" i="7"/>
  <c r="E93" i="7"/>
  <c r="L92" i="7"/>
  <c r="J92" i="7"/>
  <c r="G92" i="7"/>
  <c r="F92" i="7"/>
  <c r="L89" i="7"/>
  <c r="L88" i="7" s="1"/>
  <c r="J89" i="7"/>
  <c r="G89" i="7"/>
  <c r="F89" i="7"/>
  <c r="C87" i="7"/>
  <c r="E85" i="7"/>
  <c r="G85" i="7"/>
  <c r="D85" i="7"/>
  <c r="C85" i="7"/>
  <c r="AW84" i="7"/>
  <c r="AE84" i="7"/>
  <c r="AD84" i="7"/>
  <c r="G83" i="7"/>
  <c r="E83" i="7"/>
  <c r="G82" i="7"/>
  <c r="E82" i="7"/>
  <c r="L77" i="7"/>
  <c r="AT84" i="7" s="1"/>
  <c r="L79" i="7"/>
  <c r="I79" i="7"/>
  <c r="H79" i="7"/>
  <c r="G79" i="7"/>
  <c r="L78" i="7"/>
  <c r="I78" i="7"/>
  <c r="H78" i="7"/>
  <c r="G78" i="7"/>
  <c r="L75" i="7"/>
  <c r="L74" i="7" s="1"/>
  <c r="J75" i="7"/>
  <c r="G75" i="7"/>
  <c r="G74" i="7"/>
  <c r="E73" i="7"/>
  <c r="G73" i="7"/>
  <c r="D73" i="7"/>
  <c r="C73" i="7"/>
  <c r="AW72" i="7"/>
  <c r="AE72" i="7"/>
  <c r="AD72" i="7"/>
  <c r="G71" i="7"/>
  <c r="E71" i="7"/>
  <c r="G70" i="7"/>
  <c r="E70" i="7"/>
  <c r="BA68" i="7"/>
  <c r="AZ68" i="7"/>
  <c r="AE68" i="7"/>
  <c r="AD68" i="7"/>
  <c r="L68" i="7"/>
  <c r="AW68" i="7" s="1"/>
  <c r="H68" i="7"/>
  <c r="E68" i="7"/>
  <c r="G68" i="7"/>
  <c r="D68" i="7"/>
  <c r="C68" i="7"/>
  <c r="B68" i="7"/>
  <c r="L66" i="7"/>
  <c r="L64" i="7" s="1"/>
  <c r="J66" i="7"/>
  <c r="E66" i="7"/>
  <c r="L65" i="7"/>
  <c r="I65" i="7"/>
  <c r="H65" i="7"/>
  <c r="G65" i="7"/>
  <c r="L62" i="7"/>
  <c r="L61" i="7" s="1"/>
  <c r="J62" i="7"/>
  <c r="G62" i="7"/>
  <c r="C60" i="7"/>
  <c r="E59" i="7"/>
  <c r="G59" i="7"/>
  <c r="D59" i="7"/>
  <c r="C59" i="7"/>
  <c r="F23" i="7"/>
  <c r="F21" i="7"/>
  <c r="CO13" i="7"/>
  <c r="F13" i="7"/>
  <c r="CO11" i="7"/>
  <c r="F11" i="7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" i="3"/>
  <c r="Y1" i="3"/>
  <c r="CY1" i="3"/>
  <c r="CZ1" i="3"/>
  <c r="DB1" i="3" s="1"/>
  <c r="DA1" i="3"/>
  <c r="DC1" i="3"/>
  <c r="A2" i="3"/>
  <c r="Y2" i="3"/>
  <c r="CY2" i="3"/>
  <c r="CZ2" i="3"/>
  <c r="DB2" i="3" s="1"/>
  <c r="DA2" i="3"/>
  <c r="DC2" i="3"/>
  <c r="A3" i="3"/>
  <c r="Y3" i="3"/>
  <c r="CY3" i="3"/>
  <c r="CZ3" i="3"/>
  <c r="DA3" i="3"/>
  <c r="DB3" i="3"/>
  <c r="DC3" i="3"/>
  <c r="A4" i="3"/>
  <c r="Y4" i="3"/>
  <c r="CY4" i="3"/>
  <c r="CZ4" i="3"/>
  <c r="DB4" i="3" s="1"/>
  <c r="DA4" i="3"/>
  <c r="DC4" i="3"/>
  <c r="A5" i="3"/>
  <c r="Y5" i="3"/>
  <c r="CV5" i="3" s="1"/>
  <c r="CU5" i="3"/>
  <c r="CX5" i="3"/>
  <c r="DF5" i="3" s="1"/>
  <c r="CY5" i="3"/>
  <c r="CZ5" i="3"/>
  <c r="DA5" i="3"/>
  <c r="DB5" i="3"/>
  <c r="DC5" i="3"/>
  <c r="DH5" i="3"/>
  <c r="DI5" i="3"/>
  <c r="DJ5" i="3" s="1"/>
  <c r="A6" i="3"/>
  <c r="Y6" i="3"/>
  <c r="CY6" i="3"/>
  <c r="CZ6" i="3"/>
  <c r="DB6" i="3" s="1"/>
  <c r="DA6" i="3"/>
  <c r="DC6" i="3"/>
  <c r="A7" i="3"/>
  <c r="Y7" i="3"/>
  <c r="CW7" i="3"/>
  <c r="CX7" i="3"/>
  <c r="CY7" i="3"/>
  <c r="CZ7" i="3"/>
  <c r="DA7" i="3"/>
  <c r="DB7" i="3"/>
  <c r="DC7" i="3"/>
  <c r="DG7" i="3"/>
  <c r="DJ7" i="3" s="1"/>
  <c r="DH7" i="3"/>
  <c r="A8" i="3"/>
  <c r="Y8" i="3"/>
  <c r="CY8" i="3"/>
  <c r="CZ8" i="3"/>
  <c r="DB8" i="3" s="1"/>
  <c r="DA8" i="3"/>
  <c r="DC8" i="3"/>
  <c r="A9" i="3"/>
  <c r="Y9" i="3"/>
  <c r="CY9" i="3"/>
  <c r="CZ9" i="3"/>
  <c r="DA9" i="3"/>
  <c r="DB9" i="3"/>
  <c r="DC9" i="3"/>
  <c r="A10" i="3"/>
  <c r="Y10" i="3"/>
  <c r="CY10" i="3"/>
  <c r="CZ10" i="3"/>
  <c r="DB10" i="3" s="1"/>
  <c r="DA10" i="3"/>
  <c r="DC10" i="3"/>
  <c r="A11" i="3"/>
  <c r="Y11" i="3"/>
  <c r="CY11" i="3"/>
  <c r="CZ11" i="3"/>
  <c r="DA11" i="3"/>
  <c r="DB11" i="3"/>
  <c r="DC11" i="3"/>
  <c r="A12" i="3"/>
  <c r="Y12" i="3"/>
  <c r="CY12" i="3"/>
  <c r="CZ12" i="3"/>
  <c r="DB12" i="3" s="1"/>
  <c r="DA12" i="3"/>
  <c r="DC12" i="3"/>
  <c r="A13" i="3"/>
  <c r="Y13" i="3"/>
  <c r="CY13" i="3"/>
  <c r="CZ13" i="3"/>
  <c r="DB13" i="3" s="1"/>
  <c r="DA13" i="3"/>
  <c r="DC13" i="3"/>
  <c r="A14" i="3"/>
  <c r="Y14" i="3"/>
  <c r="CY14" i="3"/>
  <c r="CZ14" i="3"/>
  <c r="DA14" i="3"/>
  <c r="DB14" i="3"/>
  <c r="DC14" i="3"/>
  <c r="A15" i="3"/>
  <c r="Y15" i="3"/>
  <c r="CY15" i="3"/>
  <c r="CZ15" i="3"/>
  <c r="DB15" i="3" s="1"/>
  <c r="DA15" i="3"/>
  <c r="DC15" i="3"/>
  <c r="A16" i="3"/>
  <c r="Y16" i="3"/>
  <c r="CY16" i="3"/>
  <c r="CZ16" i="3"/>
  <c r="DA16" i="3"/>
  <c r="DB16" i="3"/>
  <c r="DC16" i="3"/>
  <c r="A17" i="3"/>
  <c r="Y17" i="3"/>
  <c r="CY17" i="3"/>
  <c r="CZ17" i="3"/>
  <c r="DA17" i="3"/>
  <c r="DB17" i="3"/>
  <c r="DC17" i="3"/>
  <c r="A18" i="3"/>
  <c r="Y18" i="3"/>
  <c r="CY18" i="3"/>
  <c r="CZ18" i="3"/>
  <c r="DB18" i="3" s="1"/>
  <c r="DA18" i="3"/>
  <c r="DC18" i="3"/>
  <c r="A19" i="3"/>
  <c r="Y19" i="3"/>
  <c r="CY19" i="3"/>
  <c r="CZ19" i="3"/>
  <c r="DB19" i="3" s="1"/>
  <c r="DA19" i="3"/>
  <c r="DC19" i="3"/>
  <c r="A20" i="3"/>
  <c r="Y20" i="3"/>
  <c r="CY20" i="3"/>
  <c r="CZ20" i="3"/>
  <c r="DA20" i="3"/>
  <c r="DB20" i="3"/>
  <c r="DC20" i="3"/>
  <c r="A21" i="3"/>
  <c r="Y21" i="3"/>
  <c r="CY21" i="3"/>
  <c r="CZ21" i="3"/>
  <c r="DA21" i="3"/>
  <c r="DB21" i="3"/>
  <c r="DC21" i="3"/>
  <c r="A22" i="3"/>
  <c r="Y22" i="3"/>
  <c r="CY22" i="3"/>
  <c r="CZ22" i="3"/>
  <c r="DB22" i="3" s="1"/>
  <c r="DA22" i="3"/>
  <c r="DC22" i="3"/>
  <c r="A23" i="3"/>
  <c r="Y23" i="3"/>
  <c r="CY23" i="3"/>
  <c r="CZ23" i="3"/>
  <c r="DA23" i="3"/>
  <c r="DB23" i="3"/>
  <c r="DC23" i="3"/>
  <c r="A24" i="3"/>
  <c r="Y24" i="3"/>
  <c r="CY24" i="3"/>
  <c r="CZ24" i="3"/>
  <c r="DA24" i="3"/>
  <c r="DB24" i="3"/>
  <c r="DC24" i="3"/>
  <c r="A25" i="3"/>
  <c r="Y25" i="3"/>
  <c r="CY25" i="3"/>
  <c r="CZ25" i="3"/>
  <c r="DB25" i="3" s="1"/>
  <c r="DA25" i="3"/>
  <c r="DC25" i="3"/>
  <c r="A26" i="3"/>
  <c r="Y26" i="3"/>
  <c r="CY26" i="3"/>
  <c r="CZ26" i="3"/>
  <c r="DB26" i="3" s="1"/>
  <c r="DA26" i="3"/>
  <c r="DC26" i="3"/>
  <c r="A27" i="3"/>
  <c r="Y27" i="3"/>
  <c r="CY27" i="3"/>
  <c r="CZ27" i="3"/>
  <c r="DB27" i="3" s="1"/>
  <c r="DA27" i="3"/>
  <c r="DC27" i="3"/>
  <c r="A28" i="3"/>
  <c r="Y28" i="3"/>
  <c r="CY28" i="3"/>
  <c r="CZ28" i="3"/>
  <c r="DA28" i="3"/>
  <c r="DB28" i="3"/>
  <c r="DC28" i="3"/>
  <c r="A29" i="3"/>
  <c r="Y29" i="3"/>
  <c r="CY29" i="3"/>
  <c r="CZ29" i="3"/>
  <c r="DA29" i="3"/>
  <c r="DB29" i="3"/>
  <c r="DC29" i="3"/>
  <c r="A30" i="3"/>
  <c r="Y30" i="3"/>
  <c r="CY30" i="3"/>
  <c r="CZ30" i="3"/>
  <c r="DA30" i="3"/>
  <c r="DB30" i="3"/>
  <c r="DC30" i="3"/>
  <c r="A31" i="3"/>
  <c r="Y31" i="3"/>
  <c r="CY31" i="3"/>
  <c r="CZ31" i="3"/>
  <c r="DB31" i="3" s="1"/>
  <c r="DA31" i="3"/>
  <c r="DC31" i="3"/>
  <c r="A32" i="3"/>
  <c r="Y32" i="3"/>
  <c r="CY32" i="3"/>
  <c r="CZ32" i="3"/>
  <c r="DA32" i="3"/>
  <c r="DB32" i="3"/>
  <c r="DC32" i="3"/>
  <c r="A33" i="3"/>
  <c r="Y33" i="3"/>
  <c r="CY33" i="3"/>
  <c r="CZ33" i="3"/>
  <c r="DA33" i="3"/>
  <c r="DB33" i="3"/>
  <c r="DC33" i="3"/>
  <c r="A34" i="3"/>
  <c r="Y34" i="3"/>
  <c r="CY34" i="3"/>
  <c r="CZ34" i="3"/>
  <c r="DB34" i="3" s="1"/>
  <c r="DA34" i="3"/>
  <c r="DC34" i="3"/>
  <c r="A35" i="3"/>
  <c r="Y35" i="3"/>
  <c r="CY35" i="3"/>
  <c r="CZ35" i="3"/>
  <c r="DB35" i="3" s="1"/>
  <c r="DA35" i="3"/>
  <c r="DC35" i="3"/>
  <c r="A36" i="3"/>
  <c r="Y36" i="3"/>
  <c r="CY36" i="3"/>
  <c r="CZ36" i="3"/>
  <c r="DA36" i="3"/>
  <c r="DB36" i="3"/>
  <c r="DC36" i="3"/>
  <c r="A37" i="3"/>
  <c r="Y37" i="3"/>
  <c r="CY37" i="3"/>
  <c r="CZ37" i="3"/>
  <c r="DB37" i="3" s="1"/>
  <c r="DA37" i="3"/>
  <c r="DC37" i="3"/>
  <c r="A38" i="3"/>
  <c r="Y38" i="3"/>
  <c r="CY38" i="3"/>
  <c r="CZ38" i="3"/>
  <c r="DA38" i="3"/>
  <c r="DB38" i="3"/>
  <c r="DC38" i="3"/>
  <c r="A39" i="3"/>
  <c r="Y39" i="3"/>
  <c r="CY39" i="3"/>
  <c r="CZ39" i="3"/>
  <c r="DA39" i="3"/>
  <c r="DB39" i="3"/>
  <c r="DC39" i="3"/>
  <c r="A40" i="3"/>
  <c r="Y40" i="3"/>
  <c r="CY40" i="3"/>
  <c r="CZ40" i="3"/>
  <c r="DB40" i="3" s="1"/>
  <c r="DA40" i="3"/>
  <c r="DC40" i="3"/>
  <c r="A41" i="3"/>
  <c r="Y41" i="3"/>
  <c r="CY41" i="3"/>
  <c r="CZ41" i="3"/>
  <c r="DB41" i="3" s="1"/>
  <c r="DA41" i="3"/>
  <c r="DC41" i="3"/>
  <c r="A42" i="3"/>
  <c r="Y42" i="3"/>
  <c r="CY42" i="3"/>
  <c r="CZ42" i="3"/>
  <c r="DA42" i="3"/>
  <c r="DB42" i="3"/>
  <c r="DC42" i="3"/>
  <c r="A43" i="3"/>
  <c r="Y43" i="3"/>
  <c r="CY43" i="3"/>
  <c r="CZ43" i="3"/>
  <c r="DA43" i="3"/>
  <c r="DB43" i="3"/>
  <c r="DC43" i="3"/>
  <c r="A44" i="3"/>
  <c r="Y44" i="3"/>
  <c r="CY44" i="3"/>
  <c r="CZ44" i="3"/>
  <c r="DB44" i="3" s="1"/>
  <c r="DA44" i="3"/>
  <c r="DC44" i="3"/>
  <c r="A45" i="3"/>
  <c r="Y45" i="3"/>
  <c r="CY45" i="3"/>
  <c r="CZ45" i="3"/>
  <c r="DB45" i="3" s="1"/>
  <c r="DA45" i="3"/>
  <c r="DC45" i="3"/>
  <c r="A46" i="3"/>
  <c r="Y46" i="3"/>
  <c r="CY46" i="3"/>
  <c r="CZ46" i="3"/>
  <c r="DA46" i="3"/>
  <c r="DB46" i="3"/>
  <c r="DC46" i="3"/>
  <c r="A47" i="3"/>
  <c r="Y47" i="3"/>
  <c r="CY47" i="3"/>
  <c r="CZ47" i="3"/>
  <c r="DB47" i="3" s="1"/>
  <c r="DA47" i="3"/>
  <c r="DC47" i="3"/>
  <c r="A48" i="3"/>
  <c r="Y48" i="3"/>
  <c r="CY48" i="3"/>
  <c r="CZ48" i="3"/>
  <c r="DA48" i="3"/>
  <c r="DB48" i="3"/>
  <c r="DC48" i="3"/>
  <c r="A49" i="3"/>
  <c r="Y49" i="3"/>
  <c r="CY49" i="3"/>
  <c r="CZ49" i="3"/>
  <c r="DB49" i="3" s="1"/>
  <c r="DA49" i="3"/>
  <c r="DC49" i="3"/>
  <c r="A50" i="3"/>
  <c r="Y50" i="3"/>
  <c r="CY50" i="3"/>
  <c r="CZ50" i="3"/>
  <c r="DA50" i="3"/>
  <c r="DB50" i="3"/>
  <c r="DC50" i="3"/>
  <c r="A51" i="3"/>
  <c r="Y51" i="3"/>
  <c r="CY51" i="3"/>
  <c r="CZ51" i="3"/>
  <c r="DB51" i="3" s="1"/>
  <c r="DA51" i="3"/>
  <c r="DC51" i="3"/>
  <c r="A52" i="3"/>
  <c r="Y52" i="3"/>
  <c r="CY52" i="3"/>
  <c r="CZ52" i="3"/>
  <c r="DB52" i="3" s="1"/>
  <c r="DA52" i="3"/>
  <c r="DC52" i="3"/>
  <c r="A53" i="3"/>
  <c r="Y53" i="3"/>
  <c r="CY53" i="3"/>
  <c r="CZ53" i="3"/>
  <c r="DB53" i="3" s="1"/>
  <c r="DA53" i="3"/>
  <c r="DC53" i="3"/>
  <c r="A54" i="3"/>
  <c r="Y54" i="3"/>
  <c r="CY54" i="3"/>
  <c r="CZ54" i="3"/>
  <c r="DA54" i="3"/>
  <c r="DB54" i="3"/>
  <c r="DC54" i="3"/>
  <c r="A55" i="3"/>
  <c r="Y55" i="3"/>
  <c r="CY55" i="3"/>
  <c r="CZ55" i="3"/>
  <c r="DA55" i="3"/>
  <c r="DB55" i="3"/>
  <c r="DC55" i="3"/>
  <c r="A56" i="3"/>
  <c r="Y56" i="3"/>
  <c r="CY56" i="3"/>
  <c r="CZ56" i="3"/>
  <c r="DA56" i="3"/>
  <c r="DB56" i="3"/>
  <c r="DC56" i="3"/>
  <c r="A57" i="3"/>
  <c r="Y57" i="3"/>
  <c r="CY57" i="3"/>
  <c r="CZ57" i="3"/>
  <c r="DB57" i="3" s="1"/>
  <c r="DA57" i="3"/>
  <c r="DC57" i="3"/>
  <c r="A58" i="3"/>
  <c r="Y58" i="3"/>
  <c r="CY58" i="3"/>
  <c r="CZ58" i="3"/>
  <c r="DA58" i="3"/>
  <c r="DB58" i="3"/>
  <c r="DC58" i="3"/>
  <c r="A59" i="3"/>
  <c r="Y59" i="3"/>
  <c r="CY59" i="3"/>
  <c r="CZ59" i="3"/>
  <c r="DA59" i="3"/>
  <c r="DB59" i="3"/>
  <c r="DC59" i="3"/>
  <c r="A60" i="3"/>
  <c r="Y60" i="3"/>
  <c r="CY60" i="3"/>
  <c r="CZ60" i="3"/>
  <c r="DB60" i="3" s="1"/>
  <c r="DA60" i="3"/>
  <c r="DC60" i="3"/>
  <c r="A61" i="3"/>
  <c r="Y61" i="3"/>
  <c r="CY61" i="3"/>
  <c r="CZ61" i="3"/>
  <c r="DA61" i="3"/>
  <c r="DB61" i="3"/>
  <c r="DC61" i="3"/>
  <c r="A62" i="3"/>
  <c r="Y62" i="3"/>
  <c r="CU62" i="3"/>
  <c r="CY62" i="3"/>
  <c r="CZ62" i="3"/>
  <c r="DB62" i="3" s="1"/>
  <c r="DA62" i="3"/>
  <c r="DC62" i="3"/>
  <c r="A63" i="3"/>
  <c r="Y63" i="3"/>
  <c r="CW63" i="3"/>
  <c r="CX63" i="3"/>
  <c r="CY63" i="3"/>
  <c r="CZ63" i="3"/>
  <c r="DA63" i="3"/>
  <c r="DB63" i="3"/>
  <c r="DC63" i="3"/>
  <c r="DH63" i="3"/>
  <c r="A64" i="3"/>
  <c r="Y64" i="3"/>
  <c r="CX64" i="3" s="1"/>
  <c r="CY64" i="3"/>
  <c r="CZ64" i="3"/>
  <c r="DB64" i="3" s="1"/>
  <c r="DA64" i="3"/>
  <c r="DC64" i="3"/>
  <c r="A65" i="3"/>
  <c r="Y65" i="3"/>
  <c r="CX65" i="3" s="1"/>
  <c r="CY65" i="3"/>
  <c r="CZ65" i="3"/>
  <c r="DB65" i="3" s="1"/>
  <c r="DA65" i="3"/>
  <c r="DC65" i="3"/>
  <c r="DF65" i="3"/>
  <c r="DJ65" i="3" s="1"/>
  <c r="A66" i="3"/>
  <c r="Y66" i="3"/>
  <c r="CX66" i="3"/>
  <c r="DG66" i="3" s="1"/>
  <c r="CY66" i="3"/>
  <c r="CZ66" i="3"/>
  <c r="DA66" i="3"/>
  <c r="DB66" i="3"/>
  <c r="DC66" i="3"/>
  <c r="DI66" i="3"/>
  <c r="A67" i="3"/>
  <c r="Y67" i="3"/>
  <c r="CX67" i="3" s="1"/>
  <c r="DH67" i="3" s="1"/>
  <c r="CU67" i="3"/>
  <c r="CV67" i="3"/>
  <c r="CY67" i="3"/>
  <c r="CZ67" i="3"/>
  <c r="DB67" i="3" s="1"/>
  <c r="DA67" i="3"/>
  <c r="DC67" i="3"/>
  <c r="DF67" i="3"/>
  <c r="DG67" i="3"/>
  <c r="DI67" i="3"/>
  <c r="DJ67" i="3" s="1"/>
  <c r="A68" i="3"/>
  <c r="Y68" i="3"/>
  <c r="CW68" i="3"/>
  <c r="CX68" i="3"/>
  <c r="CY68" i="3"/>
  <c r="CZ68" i="3"/>
  <c r="DA68" i="3"/>
  <c r="DB68" i="3"/>
  <c r="DC68" i="3"/>
  <c r="A69" i="3"/>
  <c r="Y69" i="3"/>
  <c r="CX69" i="3" s="1"/>
  <c r="CY69" i="3"/>
  <c r="CZ69" i="3"/>
  <c r="DA69" i="3"/>
  <c r="DB69" i="3"/>
  <c r="DC69" i="3"/>
  <c r="A70" i="3"/>
  <c r="Y70" i="3"/>
  <c r="CX70" i="3" s="1"/>
  <c r="DH70" i="3" s="1"/>
  <c r="CY70" i="3"/>
  <c r="CZ70" i="3"/>
  <c r="DB70" i="3" s="1"/>
  <c r="DA70" i="3"/>
  <c r="DC70" i="3"/>
  <c r="DG70" i="3"/>
  <c r="A71" i="3"/>
  <c r="Y71" i="3"/>
  <c r="CX71" i="3"/>
  <c r="CY71" i="3"/>
  <c r="CZ71" i="3"/>
  <c r="DB71" i="3" s="1"/>
  <c r="DA71" i="3"/>
  <c r="DC71" i="3"/>
  <c r="DH71" i="3"/>
  <c r="DI71" i="3"/>
  <c r="A72" i="3"/>
  <c r="Y72" i="3"/>
  <c r="CX72" i="3"/>
  <c r="CY72" i="3"/>
  <c r="CZ72" i="3"/>
  <c r="DA72" i="3"/>
  <c r="DB72" i="3"/>
  <c r="DC72" i="3"/>
  <c r="A73" i="3"/>
  <c r="Y73" i="3"/>
  <c r="CV73" i="3" s="1"/>
  <c r="CU73" i="3"/>
  <c r="CX73" i="3"/>
  <c r="DG73" i="3" s="1"/>
  <c r="CY73" i="3"/>
  <c r="CZ73" i="3"/>
  <c r="DA73" i="3"/>
  <c r="DB73" i="3"/>
  <c r="DC73" i="3"/>
  <c r="DH73" i="3"/>
  <c r="DI73" i="3"/>
  <c r="DJ73" i="3" s="1"/>
  <c r="A74" i="3"/>
  <c r="Y74" i="3"/>
  <c r="CX74" i="3" s="1"/>
  <c r="CY74" i="3"/>
  <c r="CZ74" i="3"/>
  <c r="DA74" i="3"/>
  <c r="DB74" i="3"/>
  <c r="DC74" i="3"/>
  <c r="A75" i="3"/>
  <c r="Y75" i="3"/>
  <c r="CY75" i="3"/>
  <c r="CZ75" i="3"/>
  <c r="DA75" i="3"/>
  <c r="DB75" i="3"/>
  <c r="DC75" i="3"/>
  <c r="A76" i="3"/>
  <c r="Y76" i="3"/>
  <c r="CY76" i="3"/>
  <c r="CZ76" i="3"/>
  <c r="DB76" i="3" s="1"/>
  <c r="DA76" i="3"/>
  <c r="DC76" i="3"/>
  <c r="A77" i="3"/>
  <c r="Y77" i="3"/>
  <c r="CY77" i="3"/>
  <c r="CZ77" i="3"/>
  <c r="DB77" i="3" s="1"/>
  <c r="DA77" i="3"/>
  <c r="DC77" i="3"/>
  <c r="A78" i="3"/>
  <c r="Y78" i="3"/>
  <c r="CY78" i="3"/>
  <c r="CZ78" i="3"/>
  <c r="DA78" i="3"/>
  <c r="DB78" i="3"/>
  <c r="DC78" i="3"/>
  <c r="A79" i="3"/>
  <c r="Y79" i="3"/>
  <c r="CY79" i="3"/>
  <c r="CZ79" i="3"/>
  <c r="DB79" i="3" s="1"/>
  <c r="DA79" i="3"/>
  <c r="DC79" i="3"/>
  <c r="A80" i="3"/>
  <c r="Y80" i="3"/>
  <c r="CY80" i="3"/>
  <c r="CZ80" i="3"/>
  <c r="DA80" i="3"/>
  <c r="DB80" i="3"/>
  <c r="DC80" i="3"/>
  <c r="A81" i="3"/>
  <c r="Y81" i="3"/>
  <c r="CY81" i="3"/>
  <c r="CZ81" i="3"/>
  <c r="DA81" i="3"/>
  <c r="DB81" i="3"/>
  <c r="DC81" i="3"/>
  <c r="A82" i="3"/>
  <c r="Y82" i="3"/>
  <c r="CY82" i="3"/>
  <c r="CZ82" i="3"/>
  <c r="DA82" i="3"/>
  <c r="DB82" i="3"/>
  <c r="DC82" i="3"/>
  <c r="A83" i="3"/>
  <c r="Y83" i="3"/>
  <c r="CY83" i="3"/>
  <c r="CZ83" i="3"/>
  <c r="DB83" i="3" s="1"/>
  <c r="DA83" i="3"/>
  <c r="DC83" i="3"/>
  <c r="A84" i="3"/>
  <c r="Y84" i="3"/>
  <c r="CY84" i="3"/>
  <c r="CZ84" i="3"/>
  <c r="DB84" i="3" s="1"/>
  <c r="DA84" i="3"/>
  <c r="DC84" i="3"/>
  <c r="A85" i="3"/>
  <c r="Y85" i="3"/>
  <c r="CY85" i="3"/>
  <c r="CZ85" i="3"/>
  <c r="DA85" i="3"/>
  <c r="DB85" i="3"/>
  <c r="DC85" i="3"/>
  <c r="A86" i="3"/>
  <c r="Y86" i="3"/>
  <c r="CY86" i="3"/>
  <c r="CZ86" i="3"/>
  <c r="DB86" i="3" s="1"/>
  <c r="DA86" i="3"/>
  <c r="DC86" i="3"/>
  <c r="A87" i="3"/>
  <c r="Y87" i="3"/>
  <c r="CY87" i="3"/>
  <c r="CZ87" i="3"/>
  <c r="DA87" i="3"/>
  <c r="DB87" i="3"/>
  <c r="DC87" i="3"/>
  <c r="A88" i="3"/>
  <c r="Y88" i="3"/>
  <c r="CY88" i="3"/>
  <c r="CZ88" i="3"/>
  <c r="DB88" i="3" s="1"/>
  <c r="DA88" i="3"/>
  <c r="DC88" i="3"/>
  <c r="A89" i="3"/>
  <c r="Y89" i="3"/>
  <c r="CY89" i="3"/>
  <c r="CZ89" i="3"/>
  <c r="DB89" i="3" s="1"/>
  <c r="DA89" i="3"/>
  <c r="DC89" i="3"/>
  <c r="A90" i="3"/>
  <c r="Y90" i="3"/>
  <c r="CY90" i="3"/>
  <c r="CZ90" i="3"/>
  <c r="DA90" i="3"/>
  <c r="DB90" i="3"/>
  <c r="DC90" i="3"/>
  <c r="A91" i="3"/>
  <c r="Y91" i="3"/>
  <c r="CY91" i="3"/>
  <c r="CZ91" i="3"/>
  <c r="DB91" i="3" s="1"/>
  <c r="DA91" i="3"/>
  <c r="DC91" i="3"/>
  <c r="A92" i="3"/>
  <c r="Y92" i="3"/>
  <c r="CY92" i="3"/>
  <c r="CZ92" i="3"/>
  <c r="DA92" i="3"/>
  <c r="DB92" i="3"/>
  <c r="DC92" i="3"/>
  <c r="A93" i="3"/>
  <c r="Y93" i="3"/>
  <c r="CY93" i="3"/>
  <c r="CZ93" i="3"/>
  <c r="DB93" i="3" s="1"/>
  <c r="DA93" i="3"/>
  <c r="DC93" i="3"/>
  <c r="A94" i="3"/>
  <c r="Y94" i="3"/>
  <c r="CY94" i="3"/>
  <c r="CZ94" i="3"/>
  <c r="DB94" i="3" s="1"/>
  <c r="DA94" i="3"/>
  <c r="DC94" i="3"/>
  <c r="A95" i="3"/>
  <c r="Y95" i="3"/>
  <c r="CY95" i="3"/>
  <c r="CZ95" i="3"/>
  <c r="DA95" i="3"/>
  <c r="DB95" i="3"/>
  <c r="DC95" i="3"/>
  <c r="A96" i="3"/>
  <c r="Y96" i="3"/>
  <c r="CY96" i="3"/>
  <c r="CZ96" i="3"/>
  <c r="DA96" i="3"/>
  <c r="DB96" i="3"/>
  <c r="DC96" i="3"/>
  <c r="A97" i="3"/>
  <c r="Y97" i="3"/>
  <c r="CY97" i="3"/>
  <c r="CZ97" i="3"/>
  <c r="DB97" i="3" s="1"/>
  <c r="DA97" i="3"/>
  <c r="DC97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4" i="1"/>
  <c r="D24" i="1"/>
  <c r="I24" i="1"/>
  <c r="CX1" i="3" s="1"/>
  <c r="K24" i="1"/>
  <c r="AC24" i="1"/>
  <c r="AE24" i="1"/>
  <c r="AD24" i="1" s="1"/>
  <c r="AF24" i="1"/>
  <c r="AG24" i="1"/>
  <c r="AH24" i="1"/>
  <c r="AI24" i="1"/>
  <c r="AJ24" i="1"/>
  <c r="CX24" i="1" s="1"/>
  <c r="W24" i="1" s="1"/>
  <c r="CQ24" i="1"/>
  <c r="CR24" i="1"/>
  <c r="CS24" i="1"/>
  <c r="CT24" i="1"/>
  <c r="CU24" i="1"/>
  <c r="T24" i="1" s="1"/>
  <c r="CV24" i="1"/>
  <c r="CW24" i="1"/>
  <c r="GL24" i="1"/>
  <c r="GO24" i="1"/>
  <c r="GP24" i="1"/>
  <c r="GV24" i="1"/>
  <c r="GX24" i="1"/>
  <c r="HC24" i="1"/>
  <c r="I25" i="1"/>
  <c r="Q25" i="1"/>
  <c r="R25" i="1"/>
  <c r="T25" i="1"/>
  <c r="W25" i="1"/>
  <c r="Y25" i="1"/>
  <c r="AC25" i="1"/>
  <c r="AD25" i="1"/>
  <c r="AB25" i="1" s="1"/>
  <c r="AE25" i="1"/>
  <c r="AF25" i="1"/>
  <c r="AG25" i="1"/>
  <c r="AH25" i="1"/>
  <c r="AI25" i="1"/>
  <c r="AJ25" i="1"/>
  <c r="CX25" i="1" s="1"/>
  <c r="CQ25" i="1"/>
  <c r="P25" i="1" s="1"/>
  <c r="CP25" i="1" s="1"/>
  <c r="O25" i="1" s="1"/>
  <c r="CR25" i="1"/>
  <c r="CS25" i="1"/>
  <c r="CT25" i="1"/>
  <c r="S25" i="1" s="1"/>
  <c r="CZ25" i="1" s="1"/>
  <c r="CU25" i="1"/>
  <c r="CV25" i="1"/>
  <c r="U25" i="1" s="1"/>
  <c r="CW25" i="1"/>
  <c r="V25" i="1" s="1"/>
  <c r="GL25" i="1"/>
  <c r="GO25" i="1"/>
  <c r="GP25" i="1"/>
  <c r="GV25" i="1"/>
  <c r="GX25" i="1"/>
  <c r="HC25" i="1"/>
  <c r="C26" i="1"/>
  <c r="D26" i="1"/>
  <c r="U26" i="1"/>
  <c r="W26" i="1"/>
  <c r="AC26" i="1"/>
  <c r="AE26" i="1"/>
  <c r="AD26" i="1" s="1"/>
  <c r="AF26" i="1"/>
  <c r="AG26" i="1"/>
  <c r="CU26" i="1" s="1"/>
  <c r="T26" i="1" s="1"/>
  <c r="AH26" i="1"/>
  <c r="AI26" i="1"/>
  <c r="AJ26" i="1"/>
  <c r="CQ26" i="1"/>
  <c r="CR26" i="1"/>
  <c r="CS26" i="1"/>
  <c r="CT26" i="1"/>
  <c r="CV26" i="1"/>
  <c r="CW26" i="1"/>
  <c r="CX26" i="1"/>
  <c r="GL26" i="1"/>
  <c r="GO26" i="1"/>
  <c r="GP26" i="1"/>
  <c r="GV26" i="1"/>
  <c r="HC26" i="1" s="1"/>
  <c r="GX26" i="1" s="1"/>
  <c r="C27" i="1"/>
  <c r="D27" i="1"/>
  <c r="I27" i="1"/>
  <c r="K27" i="1"/>
  <c r="AC27" i="1"/>
  <c r="AE27" i="1"/>
  <c r="AD27" i="1" s="1"/>
  <c r="AF27" i="1"/>
  <c r="AG27" i="1"/>
  <c r="AH27" i="1"/>
  <c r="AI27" i="1"/>
  <c r="AJ27" i="1"/>
  <c r="CQ27" i="1"/>
  <c r="CR27" i="1"/>
  <c r="CS27" i="1"/>
  <c r="CT27" i="1"/>
  <c r="CU27" i="1"/>
  <c r="T27" i="1" s="1"/>
  <c r="CV27" i="1"/>
  <c r="CW27" i="1"/>
  <c r="CX27" i="1"/>
  <c r="W27" i="1" s="1"/>
  <c r="GL27" i="1"/>
  <c r="GO27" i="1"/>
  <c r="GP27" i="1"/>
  <c r="GV27" i="1"/>
  <c r="GX27" i="1"/>
  <c r="HC27" i="1"/>
  <c r="I28" i="1"/>
  <c r="P28" i="1"/>
  <c r="AC28" i="1"/>
  <c r="AB28" i="1" s="1"/>
  <c r="AE28" i="1"/>
  <c r="AD28" i="1" s="1"/>
  <c r="AF28" i="1"/>
  <c r="AG28" i="1"/>
  <c r="AH28" i="1"/>
  <c r="CV28" i="1" s="1"/>
  <c r="AI28" i="1"/>
  <c r="AJ28" i="1"/>
  <c r="CQ28" i="1"/>
  <c r="CR28" i="1"/>
  <c r="CS28" i="1"/>
  <c r="CT28" i="1"/>
  <c r="CU28" i="1"/>
  <c r="T28" i="1" s="1"/>
  <c r="CW28" i="1"/>
  <c r="CX28" i="1"/>
  <c r="W28" i="1" s="1"/>
  <c r="GL28" i="1"/>
  <c r="GO28" i="1"/>
  <c r="GP28" i="1"/>
  <c r="GV28" i="1"/>
  <c r="GX28" i="1"/>
  <c r="HC28" i="1"/>
  <c r="C29" i="1"/>
  <c r="D29" i="1"/>
  <c r="I29" i="1"/>
  <c r="K29" i="1"/>
  <c r="AC29" i="1"/>
  <c r="AE29" i="1"/>
  <c r="AD29" i="1" s="1"/>
  <c r="AF29" i="1"/>
  <c r="AG29" i="1"/>
  <c r="CU29" i="1" s="1"/>
  <c r="T29" i="1" s="1"/>
  <c r="AH29" i="1"/>
  <c r="AI29" i="1"/>
  <c r="AJ29" i="1"/>
  <c r="CX29" i="1" s="1"/>
  <c r="W29" i="1" s="1"/>
  <c r="CQ29" i="1"/>
  <c r="CR29" i="1"/>
  <c r="CS29" i="1"/>
  <c r="CT29" i="1"/>
  <c r="CV29" i="1"/>
  <c r="CW29" i="1"/>
  <c r="GL29" i="1"/>
  <c r="GO29" i="1"/>
  <c r="GP29" i="1"/>
  <c r="GV29" i="1"/>
  <c r="HC29" i="1" s="1"/>
  <c r="GX29" i="1" s="1"/>
  <c r="I30" i="1"/>
  <c r="W30" i="1"/>
  <c r="AC30" i="1"/>
  <c r="AE30" i="1"/>
  <c r="AD30" i="1" s="1"/>
  <c r="AF30" i="1"/>
  <c r="AB30" i="1" s="1"/>
  <c r="AG30" i="1"/>
  <c r="AH30" i="1"/>
  <c r="AI30" i="1"/>
  <c r="CW30" i="1" s="1"/>
  <c r="V30" i="1" s="1"/>
  <c r="AJ30" i="1"/>
  <c r="CQ30" i="1"/>
  <c r="CR30" i="1"/>
  <c r="CS30" i="1"/>
  <c r="CT30" i="1"/>
  <c r="S30" i="1" s="1"/>
  <c r="CU30" i="1"/>
  <c r="T30" i="1" s="1"/>
  <c r="CV30" i="1"/>
  <c r="U30" i="1" s="1"/>
  <c r="CX30" i="1"/>
  <c r="GL30" i="1"/>
  <c r="GO30" i="1"/>
  <c r="GP30" i="1"/>
  <c r="GV30" i="1"/>
  <c r="HC30" i="1"/>
  <c r="I31" i="1"/>
  <c r="P31" i="1"/>
  <c r="R31" i="1"/>
  <c r="S31" i="1"/>
  <c r="CY31" i="1" s="1"/>
  <c r="X31" i="1" s="1"/>
  <c r="AC31" i="1"/>
  <c r="AB31" i="1" s="1"/>
  <c r="AE31" i="1"/>
  <c r="AD31" i="1" s="1"/>
  <c r="AF31" i="1"/>
  <c r="AG31" i="1"/>
  <c r="CU31" i="1" s="1"/>
  <c r="T31" i="1" s="1"/>
  <c r="AH31" i="1"/>
  <c r="AI31" i="1"/>
  <c r="AJ31" i="1"/>
  <c r="CX31" i="1" s="1"/>
  <c r="W31" i="1" s="1"/>
  <c r="CQ31" i="1"/>
  <c r="CR31" i="1"/>
  <c r="Q31" i="1" s="1"/>
  <c r="CS31" i="1"/>
  <c r="CT31" i="1"/>
  <c r="CV31" i="1"/>
  <c r="U31" i="1" s="1"/>
  <c r="CW31" i="1"/>
  <c r="V31" i="1" s="1"/>
  <c r="GL31" i="1"/>
  <c r="GO31" i="1"/>
  <c r="GP31" i="1"/>
  <c r="GV31" i="1"/>
  <c r="HC31" i="1" s="1"/>
  <c r="GX31" i="1" s="1"/>
  <c r="I32" i="1"/>
  <c r="W32" i="1"/>
  <c r="AC32" i="1"/>
  <c r="AE32" i="1"/>
  <c r="AD32" i="1" s="1"/>
  <c r="AF32" i="1"/>
  <c r="AB32" i="1" s="1"/>
  <c r="AG32" i="1"/>
  <c r="AH32" i="1"/>
  <c r="AI32" i="1"/>
  <c r="CW32" i="1" s="1"/>
  <c r="V32" i="1" s="1"/>
  <c r="AJ32" i="1"/>
  <c r="CQ32" i="1"/>
  <c r="CR32" i="1"/>
  <c r="CS32" i="1"/>
  <c r="R32" i="1" s="1"/>
  <c r="CT32" i="1"/>
  <c r="S32" i="1" s="1"/>
  <c r="CU32" i="1"/>
  <c r="T32" i="1" s="1"/>
  <c r="CV32" i="1"/>
  <c r="U32" i="1" s="1"/>
  <c r="CX32" i="1"/>
  <c r="GL32" i="1"/>
  <c r="GO32" i="1"/>
  <c r="GP32" i="1"/>
  <c r="GV32" i="1"/>
  <c r="HC32" i="1"/>
  <c r="I33" i="1"/>
  <c r="R33" i="1"/>
  <c r="S33" i="1"/>
  <c r="CY33" i="1" s="1"/>
  <c r="X33" i="1" s="1"/>
  <c r="AC33" i="1"/>
  <c r="AE33" i="1"/>
  <c r="AD33" i="1" s="1"/>
  <c r="AF33" i="1"/>
  <c r="AG33" i="1"/>
  <c r="CU33" i="1" s="1"/>
  <c r="T33" i="1" s="1"/>
  <c r="AH33" i="1"/>
  <c r="AI33" i="1"/>
  <c r="AJ33" i="1"/>
  <c r="CX33" i="1" s="1"/>
  <c r="W33" i="1" s="1"/>
  <c r="CQ33" i="1"/>
  <c r="P33" i="1" s="1"/>
  <c r="CP33" i="1" s="1"/>
  <c r="O33" i="1" s="1"/>
  <c r="CR33" i="1"/>
  <c r="Q33" i="1" s="1"/>
  <c r="CS33" i="1"/>
  <c r="CT33" i="1"/>
  <c r="CV33" i="1"/>
  <c r="U33" i="1" s="1"/>
  <c r="CW33" i="1"/>
  <c r="V33" i="1" s="1"/>
  <c r="GL33" i="1"/>
  <c r="GO33" i="1"/>
  <c r="GP33" i="1"/>
  <c r="GV33" i="1"/>
  <c r="HC33" i="1"/>
  <c r="GX33" i="1" s="1"/>
  <c r="C34" i="1"/>
  <c r="D34" i="1"/>
  <c r="I34" i="1"/>
  <c r="K34" i="1"/>
  <c r="AC34" i="1"/>
  <c r="AD34" i="1"/>
  <c r="AE34" i="1"/>
  <c r="AF34" i="1"/>
  <c r="AG34" i="1"/>
  <c r="CU34" i="1" s="1"/>
  <c r="T34" i="1" s="1"/>
  <c r="AH34" i="1"/>
  <c r="AI34" i="1"/>
  <c r="AJ34" i="1"/>
  <c r="CX34" i="1" s="1"/>
  <c r="W34" i="1" s="1"/>
  <c r="CQ34" i="1"/>
  <c r="CR34" i="1"/>
  <c r="CS34" i="1"/>
  <c r="CT34" i="1"/>
  <c r="CV34" i="1"/>
  <c r="CW34" i="1"/>
  <c r="GL34" i="1"/>
  <c r="GO34" i="1"/>
  <c r="GP34" i="1"/>
  <c r="GV34" i="1"/>
  <c r="GX34" i="1"/>
  <c r="HC34" i="1"/>
  <c r="I35" i="1"/>
  <c r="Q35" i="1"/>
  <c r="R35" i="1"/>
  <c r="AB35" i="1"/>
  <c r="AC35" i="1"/>
  <c r="AD35" i="1"/>
  <c r="AE35" i="1"/>
  <c r="AF35" i="1"/>
  <c r="AG35" i="1"/>
  <c r="CU35" i="1" s="1"/>
  <c r="T35" i="1" s="1"/>
  <c r="AH35" i="1"/>
  <c r="AI35" i="1"/>
  <c r="CW35" i="1" s="1"/>
  <c r="V35" i="1" s="1"/>
  <c r="AJ35" i="1"/>
  <c r="CX35" i="1" s="1"/>
  <c r="W35" i="1" s="1"/>
  <c r="CQ35" i="1"/>
  <c r="P35" i="1" s="1"/>
  <c r="CR35" i="1"/>
  <c r="CS35" i="1"/>
  <c r="CT35" i="1"/>
  <c r="S35" i="1" s="1"/>
  <c r="CV35" i="1"/>
  <c r="U35" i="1" s="1"/>
  <c r="GL35" i="1"/>
  <c r="GO35" i="1"/>
  <c r="GP35" i="1"/>
  <c r="GV35" i="1"/>
  <c r="GX35" i="1"/>
  <c r="HC35" i="1"/>
  <c r="I36" i="1"/>
  <c r="Q36" i="1"/>
  <c r="R36" i="1"/>
  <c r="AB36" i="1"/>
  <c r="AC36" i="1"/>
  <c r="AD36" i="1"/>
  <c r="AE36" i="1"/>
  <c r="AF36" i="1"/>
  <c r="AG36" i="1"/>
  <c r="CU36" i="1" s="1"/>
  <c r="T36" i="1" s="1"/>
  <c r="AH36" i="1"/>
  <c r="AI36" i="1"/>
  <c r="AJ36" i="1"/>
  <c r="CX36" i="1" s="1"/>
  <c r="W36" i="1" s="1"/>
  <c r="CQ36" i="1"/>
  <c r="P36" i="1" s="1"/>
  <c r="CR36" i="1"/>
  <c r="CS36" i="1"/>
  <c r="CT36" i="1"/>
  <c r="S36" i="1" s="1"/>
  <c r="CV36" i="1"/>
  <c r="U36" i="1" s="1"/>
  <c r="CW36" i="1"/>
  <c r="V36" i="1" s="1"/>
  <c r="GL36" i="1"/>
  <c r="GO36" i="1"/>
  <c r="GP36" i="1"/>
  <c r="GV36" i="1"/>
  <c r="GX36" i="1"/>
  <c r="HC36" i="1"/>
  <c r="I37" i="1"/>
  <c r="Q37" i="1"/>
  <c r="R37" i="1"/>
  <c r="AB37" i="1"/>
  <c r="AC37" i="1"/>
  <c r="AD37" i="1"/>
  <c r="AE37" i="1"/>
  <c r="AF37" i="1"/>
  <c r="AG37" i="1"/>
  <c r="CU37" i="1" s="1"/>
  <c r="T37" i="1" s="1"/>
  <c r="AH37" i="1"/>
  <c r="AI37" i="1"/>
  <c r="CW37" i="1" s="1"/>
  <c r="V37" i="1" s="1"/>
  <c r="AJ37" i="1"/>
  <c r="CX37" i="1" s="1"/>
  <c r="W37" i="1" s="1"/>
  <c r="CQ37" i="1"/>
  <c r="P37" i="1" s="1"/>
  <c r="CR37" i="1"/>
  <c r="CS37" i="1"/>
  <c r="CT37" i="1"/>
  <c r="S37" i="1" s="1"/>
  <c r="CV37" i="1"/>
  <c r="U37" i="1" s="1"/>
  <c r="GL37" i="1"/>
  <c r="GO37" i="1"/>
  <c r="GP37" i="1"/>
  <c r="GV37" i="1"/>
  <c r="GX37" i="1"/>
  <c r="HC37" i="1"/>
  <c r="C38" i="1"/>
  <c r="D38" i="1"/>
  <c r="I38" i="1"/>
  <c r="K38" i="1"/>
  <c r="W38" i="1"/>
  <c r="AC38" i="1"/>
  <c r="AE38" i="1"/>
  <c r="AD38" i="1" s="1"/>
  <c r="AF38" i="1"/>
  <c r="AG38" i="1"/>
  <c r="CU38" i="1" s="1"/>
  <c r="T38" i="1" s="1"/>
  <c r="AH38" i="1"/>
  <c r="AI38" i="1"/>
  <c r="AJ38" i="1"/>
  <c r="CQ38" i="1"/>
  <c r="CR38" i="1"/>
  <c r="CS38" i="1"/>
  <c r="CT38" i="1"/>
  <c r="CV38" i="1"/>
  <c r="CW38" i="1"/>
  <c r="CX38" i="1"/>
  <c r="GL38" i="1"/>
  <c r="GO38" i="1"/>
  <c r="GP38" i="1"/>
  <c r="GV38" i="1"/>
  <c r="HC38" i="1"/>
  <c r="GX38" i="1" s="1"/>
  <c r="C39" i="1"/>
  <c r="D39" i="1"/>
  <c r="I39" i="1"/>
  <c r="K39" i="1"/>
  <c r="T39" i="1"/>
  <c r="AC39" i="1"/>
  <c r="AE39" i="1"/>
  <c r="AD39" i="1" s="1"/>
  <c r="AF39" i="1"/>
  <c r="AG39" i="1"/>
  <c r="AH39" i="1"/>
  <c r="AI39" i="1"/>
  <c r="AJ39" i="1"/>
  <c r="CQ39" i="1"/>
  <c r="CR39" i="1"/>
  <c r="CS39" i="1"/>
  <c r="CT39" i="1"/>
  <c r="CU39" i="1"/>
  <c r="CV39" i="1"/>
  <c r="CW39" i="1"/>
  <c r="CX39" i="1"/>
  <c r="W39" i="1" s="1"/>
  <c r="GL39" i="1"/>
  <c r="GO39" i="1"/>
  <c r="GP39" i="1"/>
  <c r="GV39" i="1"/>
  <c r="HC39" i="1" s="1"/>
  <c r="GX39" i="1"/>
  <c r="I40" i="1"/>
  <c r="Q40" i="1" s="1"/>
  <c r="S40" i="1"/>
  <c r="T40" i="1"/>
  <c r="V40" i="1"/>
  <c r="AC40" i="1"/>
  <c r="AD40" i="1"/>
  <c r="AE40" i="1"/>
  <c r="AF40" i="1"/>
  <c r="AG40" i="1"/>
  <c r="AH40" i="1"/>
  <c r="AI40" i="1"/>
  <c r="AJ40" i="1"/>
  <c r="CQ40" i="1"/>
  <c r="P40" i="1" s="1"/>
  <c r="CP40" i="1" s="1"/>
  <c r="O40" i="1" s="1"/>
  <c r="CR40" i="1"/>
  <c r="CS40" i="1"/>
  <c r="R40" i="1" s="1"/>
  <c r="CY40" i="1" s="1"/>
  <c r="X40" i="1" s="1"/>
  <c r="CT40" i="1"/>
  <c r="CU40" i="1"/>
  <c r="CV40" i="1"/>
  <c r="U40" i="1" s="1"/>
  <c r="CW40" i="1"/>
  <c r="CX40" i="1"/>
  <c r="W40" i="1" s="1"/>
  <c r="GL40" i="1"/>
  <c r="GO40" i="1"/>
  <c r="GP40" i="1"/>
  <c r="GV40" i="1"/>
  <c r="HC40" i="1" s="1"/>
  <c r="GX40" i="1"/>
  <c r="C41" i="1"/>
  <c r="D41" i="1"/>
  <c r="I41" i="1"/>
  <c r="K41" i="1"/>
  <c r="AC41" i="1"/>
  <c r="AE41" i="1"/>
  <c r="AD41" i="1" s="1"/>
  <c r="AF41" i="1"/>
  <c r="AG41" i="1"/>
  <c r="AH41" i="1"/>
  <c r="AI41" i="1"/>
  <c r="AJ41" i="1"/>
  <c r="CQ41" i="1"/>
  <c r="CR41" i="1"/>
  <c r="CS41" i="1"/>
  <c r="CT41" i="1"/>
  <c r="CU41" i="1"/>
  <c r="T41" i="1" s="1"/>
  <c r="CV41" i="1"/>
  <c r="CW41" i="1"/>
  <c r="CX41" i="1"/>
  <c r="W41" i="1" s="1"/>
  <c r="GL41" i="1"/>
  <c r="GO41" i="1"/>
  <c r="GP41" i="1"/>
  <c r="GV41" i="1"/>
  <c r="HC41" i="1" s="1"/>
  <c r="GX41" i="1" s="1"/>
  <c r="I42" i="1"/>
  <c r="P42" i="1"/>
  <c r="CP42" i="1" s="1"/>
  <c r="O42" i="1" s="1"/>
  <c r="Q42" i="1"/>
  <c r="S42" i="1"/>
  <c r="AC42" i="1"/>
  <c r="AE42" i="1"/>
  <c r="AD42" i="1" s="1"/>
  <c r="AF42" i="1"/>
  <c r="AG42" i="1"/>
  <c r="AH42" i="1"/>
  <c r="AI42" i="1"/>
  <c r="CW42" i="1" s="1"/>
  <c r="V42" i="1" s="1"/>
  <c r="AJ42" i="1"/>
  <c r="CQ42" i="1"/>
  <c r="CR42" i="1"/>
  <c r="CS42" i="1"/>
  <c r="R42" i="1" s="1"/>
  <c r="CT42" i="1"/>
  <c r="CU42" i="1"/>
  <c r="T42" i="1" s="1"/>
  <c r="CV42" i="1"/>
  <c r="U42" i="1" s="1"/>
  <c r="CX42" i="1"/>
  <c r="W42" i="1" s="1"/>
  <c r="GL42" i="1"/>
  <c r="GO42" i="1"/>
  <c r="GP42" i="1"/>
  <c r="GV42" i="1"/>
  <c r="HC42" i="1" s="1"/>
  <c r="GX42" i="1" s="1"/>
  <c r="C43" i="1"/>
  <c r="D43" i="1"/>
  <c r="V43" i="1"/>
  <c r="G235" i="7" s="1"/>
  <c r="AC43" i="1"/>
  <c r="AE43" i="1"/>
  <c r="AD43" i="1" s="1"/>
  <c r="AF43" i="1"/>
  <c r="AG43" i="1"/>
  <c r="AH43" i="1"/>
  <c r="AI43" i="1"/>
  <c r="AJ43" i="1"/>
  <c r="CX43" i="1" s="1"/>
  <c r="W43" i="1" s="1"/>
  <c r="CQ43" i="1"/>
  <c r="CR43" i="1"/>
  <c r="CS43" i="1"/>
  <c r="CT43" i="1"/>
  <c r="CU43" i="1"/>
  <c r="T43" i="1" s="1"/>
  <c r="CV43" i="1"/>
  <c r="CW43" i="1"/>
  <c r="GL43" i="1"/>
  <c r="GO43" i="1"/>
  <c r="GP43" i="1"/>
  <c r="GV43" i="1"/>
  <c r="HC43" i="1"/>
  <c r="GX43" i="1" s="1"/>
  <c r="C44" i="1"/>
  <c r="D44" i="1"/>
  <c r="U44" i="1"/>
  <c r="G249" i="7" s="1"/>
  <c r="V44" i="1"/>
  <c r="W44" i="1"/>
  <c r="AC44" i="1"/>
  <c r="AE44" i="1"/>
  <c r="AD44" i="1" s="1"/>
  <c r="AF44" i="1"/>
  <c r="AG44" i="1"/>
  <c r="CU44" i="1" s="1"/>
  <c r="T44" i="1" s="1"/>
  <c r="AH44" i="1"/>
  <c r="AI44" i="1"/>
  <c r="AJ44" i="1"/>
  <c r="CQ44" i="1"/>
  <c r="CR44" i="1"/>
  <c r="CS44" i="1"/>
  <c r="CT44" i="1"/>
  <c r="CV44" i="1"/>
  <c r="CW44" i="1"/>
  <c r="CX44" i="1"/>
  <c r="GL44" i="1"/>
  <c r="GO44" i="1"/>
  <c r="GP44" i="1"/>
  <c r="GV44" i="1"/>
  <c r="HC44" i="1"/>
  <c r="GX44" i="1" s="1"/>
  <c r="I45" i="1"/>
  <c r="Q45" i="1" s="1"/>
  <c r="V45" i="1"/>
  <c r="AC45" i="1"/>
  <c r="AE45" i="1"/>
  <c r="AD45" i="1" s="1"/>
  <c r="AF45" i="1"/>
  <c r="AG45" i="1"/>
  <c r="CU45" i="1" s="1"/>
  <c r="AH45" i="1"/>
  <c r="AI45" i="1"/>
  <c r="CW45" i="1" s="1"/>
  <c r="AJ45" i="1"/>
  <c r="CQ45" i="1"/>
  <c r="CR45" i="1"/>
  <c r="CS45" i="1"/>
  <c r="R45" i="1" s="1"/>
  <c r="CT45" i="1"/>
  <c r="CV45" i="1"/>
  <c r="U45" i="1" s="1"/>
  <c r="CX45" i="1"/>
  <c r="GL45" i="1"/>
  <c r="GO45" i="1"/>
  <c r="GP45" i="1"/>
  <c r="GV45" i="1"/>
  <c r="HC45" i="1"/>
  <c r="C46" i="1"/>
  <c r="D46" i="1"/>
  <c r="Q46" i="1"/>
  <c r="R46" i="1"/>
  <c r="S46" i="1"/>
  <c r="U46" i="1"/>
  <c r="V46" i="1"/>
  <c r="AC46" i="1"/>
  <c r="AE46" i="1"/>
  <c r="AD46" i="1" s="1"/>
  <c r="AF46" i="1"/>
  <c r="AG46" i="1"/>
  <c r="AH46" i="1"/>
  <c r="AI46" i="1"/>
  <c r="AJ46" i="1"/>
  <c r="CQ46" i="1"/>
  <c r="CR46" i="1"/>
  <c r="CS46" i="1"/>
  <c r="CT46" i="1"/>
  <c r="CU46" i="1"/>
  <c r="T46" i="1" s="1"/>
  <c r="CV46" i="1"/>
  <c r="CW46" i="1"/>
  <c r="CX46" i="1"/>
  <c r="W46" i="1" s="1"/>
  <c r="GL46" i="1"/>
  <c r="GO46" i="1"/>
  <c r="GP46" i="1"/>
  <c r="GV46" i="1"/>
  <c r="HC46" i="1"/>
  <c r="GX46" i="1" s="1"/>
  <c r="I47" i="1"/>
  <c r="V47" i="1" s="1"/>
  <c r="AC47" i="1"/>
  <c r="AE47" i="1"/>
  <c r="AD47" i="1" s="1"/>
  <c r="AF47" i="1"/>
  <c r="AG47" i="1"/>
  <c r="AH47" i="1"/>
  <c r="CV47" i="1" s="1"/>
  <c r="U47" i="1" s="1"/>
  <c r="AI47" i="1"/>
  <c r="AJ47" i="1"/>
  <c r="CQ47" i="1"/>
  <c r="CR47" i="1"/>
  <c r="Q47" i="1" s="1"/>
  <c r="CS47" i="1"/>
  <c r="R47" i="1" s="1"/>
  <c r="CT47" i="1"/>
  <c r="CU47" i="1"/>
  <c r="CW47" i="1"/>
  <c r="CX47" i="1"/>
  <c r="W47" i="1" s="1"/>
  <c r="GL47" i="1"/>
  <c r="GO47" i="1"/>
  <c r="GP47" i="1"/>
  <c r="GV47" i="1"/>
  <c r="HC47" i="1"/>
  <c r="C48" i="1"/>
  <c r="D48" i="1"/>
  <c r="I48" i="1"/>
  <c r="I49" i="1" s="1"/>
  <c r="K48" i="1"/>
  <c r="AC48" i="1"/>
  <c r="AE48" i="1"/>
  <c r="AD48" i="1" s="1"/>
  <c r="AB48" i="1" s="1"/>
  <c r="AF48" i="1"/>
  <c r="AG48" i="1"/>
  <c r="AH48" i="1"/>
  <c r="AI48" i="1"/>
  <c r="AJ48" i="1"/>
  <c r="CQ48" i="1"/>
  <c r="CR48" i="1"/>
  <c r="CS48" i="1"/>
  <c r="CT48" i="1"/>
  <c r="CU48" i="1"/>
  <c r="T48" i="1" s="1"/>
  <c r="CV48" i="1"/>
  <c r="CW48" i="1"/>
  <c r="CX48" i="1"/>
  <c r="W48" i="1" s="1"/>
  <c r="GL48" i="1"/>
  <c r="GO48" i="1"/>
  <c r="GP48" i="1"/>
  <c r="GV48" i="1"/>
  <c r="HC48" i="1" s="1"/>
  <c r="GX48" i="1" s="1"/>
  <c r="R49" i="1"/>
  <c r="S49" i="1"/>
  <c r="AC49" i="1"/>
  <c r="AB49" i="1" s="1"/>
  <c r="AE49" i="1"/>
  <c r="AD49" i="1" s="1"/>
  <c r="AF49" i="1"/>
  <c r="AG49" i="1"/>
  <c r="AH49" i="1"/>
  <c r="AI49" i="1"/>
  <c r="AJ49" i="1"/>
  <c r="CQ49" i="1"/>
  <c r="CR49" i="1"/>
  <c r="Q49" i="1" s="1"/>
  <c r="CS49" i="1"/>
  <c r="CT49" i="1"/>
  <c r="CU49" i="1"/>
  <c r="T49" i="1" s="1"/>
  <c r="CV49" i="1"/>
  <c r="CW49" i="1"/>
  <c r="V49" i="1" s="1"/>
  <c r="CX49" i="1"/>
  <c r="W49" i="1" s="1"/>
  <c r="GL49" i="1"/>
  <c r="GO49" i="1"/>
  <c r="GP49" i="1"/>
  <c r="GV49" i="1"/>
  <c r="HC49" i="1" s="1"/>
  <c r="GX49" i="1" s="1"/>
  <c r="AC50" i="1"/>
  <c r="AB50" i="1" s="1"/>
  <c r="AE50" i="1"/>
  <c r="AD50" i="1" s="1"/>
  <c r="AF50" i="1"/>
  <c r="AG50" i="1"/>
  <c r="AH50" i="1"/>
  <c r="AI50" i="1"/>
  <c r="AJ50" i="1"/>
  <c r="CQ50" i="1"/>
  <c r="CR50" i="1"/>
  <c r="CS50" i="1"/>
  <c r="CT50" i="1"/>
  <c r="CU50" i="1"/>
  <c r="CV50" i="1"/>
  <c r="CW50" i="1"/>
  <c r="CX50" i="1"/>
  <c r="GL50" i="1"/>
  <c r="GO50" i="1"/>
  <c r="GP50" i="1"/>
  <c r="GV50" i="1"/>
  <c r="HC50" i="1" s="1"/>
  <c r="AC51" i="1"/>
  <c r="AB51" i="1" s="1"/>
  <c r="AE51" i="1"/>
  <c r="AD51" i="1" s="1"/>
  <c r="AF51" i="1"/>
  <c r="AG51" i="1"/>
  <c r="AH51" i="1"/>
  <c r="AI51" i="1"/>
  <c r="AJ51" i="1"/>
  <c r="CQ51" i="1"/>
  <c r="CR51" i="1"/>
  <c r="CS51" i="1"/>
  <c r="CT51" i="1"/>
  <c r="CU51" i="1"/>
  <c r="CV51" i="1"/>
  <c r="CW51" i="1"/>
  <c r="CX51" i="1"/>
  <c r="GL51" i="1"/>
  <c r="GO51" i="1"/>
  <c r="GP51" i="1"/>
  <c r="GV51" i="1"/>
  <c r="HC51" i="1" s="1"/>
  <c r="C52" i="1"/>
  <c r="D52" i="1"/>
  <c r="I52" i="1"/>
  <c r="K52" i="1"/>
  <c r="V52" i="1"/>
  <c r="AC52" i="1"/>
  <c r="AE52" i="1"/>
  <c r="AD52" i="1" s="1"/>
  <c r="AF52" i="1"/>
  <c r="AG52" i="1"/>
  <c r="AH52" i="1"/>
  <c r="AI52" i="1"/>
  <c r="AJ52" i="1"/>
  <c r="CX52" i="1" s="1"/>
  <c r="W52" i="1" s="1"/>
  <c r="CQ52" i="1"/>
  <c r="CR52" i="1"/>
  <c r="CS52" i="1"/>
  <c r="CT52" i="1"/>
  <c r="CU52" i="1"/>
  <c r="T52" i="1" s="1"/>
  <c r="CV52" i="1"/>
  <c r="CW52" i="1"/>
  <c r="GL52" i="1"/>
  <c r="GO52" i="1"/>
  <c r="GP52" i="1"/>
  <c r="GV52" i="1"/>
  <c r="HC52" i="1"/>
  <c r="GX52" i="1" s="1"/>
  <c r="C53" i="1"/>
  <c r="D53" i="1"/>
  <c r="I53" i="1"/>
  <c r="K53" i="1"/>
  <c r="T53" i="1"/>
  <c r="AC53" i="1"/>
  <c r="AE53" i="1"/>
  <c r="AD53" i="1" s="1"/>
  <c r="AF53" i="1"/>
  <c r="AG53" i="1"/>
  <c r="CU53" i="1" s="1"/>
  <c r="AH53" i="1"/>
  <c r="AI53" i="1"/>
  <c r="AJ53" i="1"/>
  <c r="CQ53" i="1"/>
  <c r="CR53" i="1"/>
  <c r="CS53" i="1"/>
  <c r="CT53" i="1"/>
  <c r="CV53" i="1"/>
  <c r="CW53" i="1"/>
  <c r="CX53" i="1"/>
  <c r="W53" i="1" s="1"/>
  <c r="GL53" i="1"/>
  <c r="GO53" i="1"/>
  <c r="GP53" i="1"/>
  <c r="GV53" i="1"/>
  <c r="HC53" i="1"/>
  <c r="GX53" i="1" s="1"/>
  <c r="AC54" i="1"/>
  <c r="AE54" i="1"/>
  <c r="AD54" i="1" s="1"/>
  <c r="AF54" i="1"/>
  <c r="AG54" i="1"/>
  <c r="CU54" i="1" s="1"/>
  <c r="AH54" i="1"/>
  <c r="AI54" i="1"/>
  <c r="AJ54" i="1"/>
  <c r="CQ54" i="1"/>
  <c r="CR54" i="1"/>
  <c r="CS54" i="1"/>
  <c r="CT54" i="1"/>
  <c r="CV54" i="1"/>
  <c r="CW54" i="1"/>
  <c r="CX54" i="1"/>
  <c r="GL54" i="1"/>
  <c r="GO54" i="1"/>
  <c r="GP54" i="1"/>
  <c r="GV54" i="1"/>
  <c r="HC54" i="1" s="1"/>
  <c r="C55" i="1"/>
  <c r="D55" i="1"/>
  <c r="I55" i="1"/>
  <c r="K55" i="1"/>
  <c r="AC55" i="1"/>
  <c r="AE55" i="1"/>
  <c r="AD55" i="1" s="1"/>
  <c r="AF55" i="1"/>
  <c r="AG55" i="1"/>
  <c r="AH55" i="1"/>
  <c r="AI55" i="1"/>
  <c r="AJ55" i="1"/>
  <c r="CQ55" i="1"/>
  <c r="CR55" i="1"/>
  <c r="CS55" i="1"/>
  <c r="CT55" i="1"/>
  <c r="CU55" i="1"/>
  <c r="T55" i="1" s="1"/>
  <c r="CV55" i="1"/>
  <c r="CW55" i="1"/>
  <c r="CX55" i="1"/>
  <c r="W55" i="1" s="1"/>
  <c r="GL55" i="1"/>
  <c r="GO55" i="1"/>
  <c r="GP55" i="1"/>
  <c r="GV55" i="1"/>
  <c r="HC55" i="1" s="1"/>
  <c r="GX55" i="1"/>
  <c r="I56" i="1"/>
  <c r="Q56" i="1"/>
  <c r="R56" i="1"/>
  <c r="S56" i="1"/>
  <c r="CZ56" i="1" s="1"/>
  <c r="Y56" i="1" s="1"/>
  <c r="AC56" i="1"/>
  <c r="AB56" i="1" s="1"/>
  <c r="AD56" i="1"/>
  <c r="AE56" i="1"/>
  <c r="AF56" i="1"/>
  <c r="AG56" i="1"/>
  <c r="AH56" i="1"/>
  <c r="AI56" i="1"/>
  <c r="CW56" i="1" s="1"/>
  <c r="V56" i="1" s="1"/>
  <c r="AJ56" i="1"/>
  <c r="CQ56" i="1"/>
  <c r="P56" i="1" s="1"/>
  <c r="CP56" i="1" s="1"/>
  <c r="O56" i="1" s="1"/>
  <c r="CR56" i="1"/>
  <c r="CS56" i="1"/>
  <c r="CT56" i="1"/>
  <c r="CU56" i="1"/>
  <c r="T56" i="1" s="1"/>
  <c r="CV56" i="1"/>
  <c r="U56" i="1" s="1"/>
  <c r="CX56" i="1"/>
  <c r="W56" i="1" s="1"/>
  <c r="GL56" i="1"/>
  <c r="GO56" i="1"/>
  <c r="GP56" i="1"/>
  <c r="GV56" i="1"/>
  <c r="HC56" i="1" s="1"/>
  <c r="GX56" i="1"/>
  <c r="B58" i="1"/>
  <c r="B22" i="1" s="1"/>
  <c r="C58" i="1"/>
  <c r="C22" i="1" s="1"/>
  <c r="D58" i="1"/>
  <c r="D22" i="1" s="1"/>
  <c r="F58" i="1"/>
  <c r="F22" i="1" s="1"/>
  <c r="G58" i="1"/>
  <c r="G22" i="1" s="1"/>
  <c r="BX58" i="1"/>
  <c r="BX22" i="1" s="1"/>
  <c r="BY58" i="1"/>
  <c r="BY22" i="1" s="1"/>
  <c r="CK58" i="1"/>
  <c r="CK22" i="1" s="1"/>
  <c r="CL58" i="1"/>
  <c r="CL22" i="1" s="1"/>
  <c r="CM58" i="1"/>
  <c r="CM22" i="1" s="1"/>
  <c r="B102" i="1"/>
  <c r="B18" i="1" s="1"/>
  <c r="C102" i="1"/>
  <c r="C18" i="1" s="1"/>
  <c r="D102" i="1"/>
  <c r="D18" i="1" s="1"/>
  <c r="F102" i="1"/>
  <c r="F18" i="1" s="1"/>
  <c r="G102" i="1"/>
  <c r="G18" i="1" s="1"/>
  <c r="B50" i="2"/>
  <c r="B53" i="2"/>
  <c r="F12" i="6"/>
  <c r="G12" i="6"/>
  <c r="CY46" i="1" l="1"/>
  <c r="X46" i="1" s="1"/>
  <c r="AZ274" i="7" s="1"/>
  <c r="L272" i="7" s="1"/>
  <c r="AB34" i="1"/>
  <c r="AB24" i="1"/>
  <c r="J171" i="7"/>
  <c r="J99" i="7"/>
  <c r="J79" i="7"/>
  <c r="J204" i="7"/>
  <c r="J133" i="7"/>
  <c r="J199" i="7"/>
  <c r="J201" i="7"/>
  <c r="J338" i="7"/>
  <c r="AW102" i="7"/>
  <c r="J114" i="7"/>
  <c r="J134" i="7"/>
  <c r="L91" i="7"/>
  <c r="J98" i="7"/>
  <c r="J123" i="7"/>
  <c r="J200" i="7"/>
  <c r="G334" i="7"/>
  <c r="G336" i="7"/>
  <c r="J281" i="7"/>
  <c r="G284" i="7"/>
  <c r="J333" i="7"/>
  <c r="L122" i="7"/>
  <c r="AW138" i="7" s="1"/>
  <c r="J291" i="7"/>
  <c r="G282" i="7"/>
  <c r="L237" i="7"/>
  <c r="AW246" i="7" s="1"/>
  <c r="J240" i="7"/>
  <c r="J257" i="7"/>
  <c r="J78" i="7"/>
  <c r="L63" i="7"/>
  <c r="AO72" i="7" s="1"/>
  <c r="AN225" i="7"/>
  <c r="J318" i="7"/>
  <c r="L382" i="7"/>
  <c r="L441" i="7"/>
  <c r="J118" i="7"/>
  <c r="J125" i="7"/>
  <c r="J225" i="7"/>
  <c r="J157" i="7"/>
  <c r="G115" i="7"/>
  <c r="G117" i="7"/>
  <c r="G172" i="7"/>
  <c r="J193" i="7"/>
  <c r="L198" i="7"/>
  <c r="AW208" i="7" s="1"/>
  <c r="L337" i="7"/>
  <c r="AW347" i="7" s="1"/>
  <c r="L376" i="7"/>
  <c r="L373" i="7" s="1"/>
  <c r="L371" i="7" s="1"/>
  <c r="G66" i="7"/>
  <c r="G121" i="7"/>
  <c r="L220" i="7"/>
  <c r="AW229" i="7" s="1"/>
  <c r="J256" i="7"/>
  <c r="J339" i="7"/>
  <c r="J65" i="7"/>
  <c r="J146" i="7"/>
  <c r="L176" i="7"/>
  <c r="AW185" i="7" s="1"/>
  <c r="G194" i="7"/>
  <c r="J151" i="7"/>
  <c r="AW157" i="7"/>
  <c r="L254" i="7"/>
  <c r="AW264" i="7" s="1"/>
  <c r="G314" i="7"/>
  <c r="G316" i="7"/>
  <c r="L301" i="7"/>
  <c r="AR305" i="7"/>
  <c r="L302" i="7" s="1"/>
  <c r="J340" i="7"/>
  <c r="J179" i="7"/>
  <c r="J94" i="7"/>
  <c r="J132" i="7"/>
  <c r="L150" i="7"/>
  <c r="AW163" i="7" s="1"/>
  <c r="G196" i="7"/>
  <c r="J239" i="7"/>
  <c r="J270" i="7"/>
  <c r="G96" i="7"/>
  <c r="G174" i="7"/>
  <c r="J178" i="7"/>
  <c r="G217" i="7"/>
  <c r="AW291" i="7"/>
  <c r="L407" i="7"/>
  <c r="L404" i="7" s="1"/>
  <c r="L402" i="7" s="1"/>
  <c r="G93" i="7"/>
  <c r="J222" i="7"/>
  <c r="L280" i="7"/>
  <c r="AT296" i="7" s="1"/>
  <c r="L391" i="7"/>
  <c r="J159" i="7"/>
  <c r="L113" i="7"/>
  <c r="AT138" i="7" s="1"/>
  <c r="AN290" i="7"/>
  <c r="AN321" i="7"/>
  <c r="J343" i="7"/>
  <c r="L97" i="7"/>
  <c r="AW106" i="7" s="1"/>
  <c r="G119" i="7"/>
  <c r="AW133" i="7"/>
  <c r="G147" i="7"/>
  <c r="G149" i="7"/>
  <c r="J177" i="7"/>
  <c r="G219" i="7"/>
  <c r="L215" i="7"/>
  <c r="J260" i="7"/>
  <c r="J290" i="7"/>
  <c r="L311" i="7"/>
  <c r="AO325" i="7" s="1"/>
  <c r="J321" i="7"/>
  <c r="L169" i="7"/>
  <c r="AT185" i="7"/>
  <c r="L112" i="7"/>
  <c r="AO138" i="7" s="1"/>
  <c r="AR246" i="7"/>
  <c r="L243" i="7" s="1"/>
  <c r="AR106" i="7"/>
  <c r="AT106" i="7"/>
  <c r="L90" i="7"/>
  <c r="AO106" i="7" s="1"/>
  <c r="AR163" i="7"/>
  <c r="AR84" i="7"/>
  <c r="L81" i="7" s="1"/>
  <c r="AT163" i="7"/>
  <c r="L144" i="7"/>
  <c r="AO163" i="7" s="1"/>
  <c r="AR264" i="7"/>
  <c r="L261" i="7" s="1"/>
  <c r="L214" i="7"/>
  <c r="AT229" i="7"/>
  <c r="L226" i="7" s="1"/>
  <c r="L67" i="7"/>
  <c r="AR72" i="7"/>
  <c r="AR208" i="7"/>
  <c r="L320" i="7"/>
  <c r="AR325" i="7"/>
  <c r="AR347" i="7"/>
  <c r="L344" i="7" s="1"/>
  <c r="AR138" i="7"/>
  <c r="AR274" i="7"/>
  <c r="L271" i="7" s="1"/>
  <c r="L269" i="7"/>
  <c r="L191" i="7"/>
  <c r="AO208" i="7" s="1"/>
  <c r="AT208" i="7"/>
  <c r="AR296" i="7"/>
  <c r="AW131" i="7"/>
  <c r="AW158" i="7"/>
  <c r="AR185" i="7"/>
  <c r="L182" i="7" s="1"/>
  <c r="AW204" i="7"/>
  <c r="L251" i="7"/>
  <c r="AO264" i="7" s="1"/>
  <c r="AW292" i="7"/>
  <c r="L331" i="7"/>
  <c r="AO347" i="7" s="1"/>
  <c r="AN134" i="7"/>
  <c r="AN260" i="7"/>
  <c r="AT325" i="7"/>
  <c r="AT72" i="7"/>
  <c r="L76" i="7"/>
  <c r="AO84" i="7" s="1"/>
  <c r="L234" i="7"/>
  <c r="AO246" i="7" s="1"/>
  <c r="AN68" i="7"/>
  <c r="AN132" i="7"/>
  <c r="AN159" i="7"/>
  <c r="AN270" i="7"/>
  <c r="AN343" i="7"/>
  <c r="AB55" i="1"/>
  <c r="AB43" i="1"/>
  <c r="CZ46" i="1"/>
  <c r="Y46" i="1" s="1"/>
  <c r="BA274" i="7" s="1"/>
  <c r="L273" i="7" s="1"/>
  <c r="CC58" i="1"/>
  <c r="CC22" i="1" s="1"/>
  <c r="AB41" i="1"/>
  <c r="AB52" i="1"/>
  <c r="CD58" i="1"/>
  <c r="CD22" i="1" s="1"/>
  <c r="BZ58" i="1"/>
  <c r="BZ22" i="1" s="1"/>
  <c r="GM40" i="1"/>
  <c r="GN40" i="1" s="1"/>
  <c r="GM56" i="1"/>
  <c r="GN56" i="1" s="1"/>
  <c r="W54" i="1"/>
  <c r="V54" i="1"/>
  <c r="CY37" i="1"/>
  <c r="X37" i="1" s="1"/>
  <c r="CZ37" i="1"/>
  <c r="Y37" i="1" s="1"/>
  <c r="DF74" i="3"/>
  <c r="DJ74" i="3" s="1"/>
  <c r="DG74" i="3"/>
  <c r="DH74" i="3"/>
  <c r="DI74" i="3"/>
  <c r="CY32" i="1"/>
  <c r="X32" i="1" s="1"/>
  <c r="CZ32" i="1"/>
  <c r="Y32" i="1" s="1"/>
  <c r="AB38" i="1"/>
  <c r="BD58" i="1"/>
  <c r="CY56" i="1"/>
  <c r="X56" i="1" s="1"/>
  <c r="CY49" i="1"/>
  <c r="X49" i="1" s="1"/>
  <c r="CZ49" i="1"/>
  <c r="Y49" i="1" s="1"/>
  <c r="AB47" i="1"/>
  <c r="CY36" i="1"/>
  <c r="X36" i="1" s="1"/>
  <c r="CZ36" i="1"/>
  <c r="Y36" i="1" s="1"/>
  <c r="AB46" i="1"/>
  <c r="T45" i="1"/>
  <c r="AB42" i="1"/>
  <c r="CY35" i="1"/>
  <c r="X35" i="1" s="1"/>
  <c r="CZ35" i="1"/>
  <c r="Y35" i="1" s="1"/>
  <c r="CZ31" i="1"/>
  <c r="Y31" i="1" s="1"/>
  <c r="CP31" i="1"/>
  <c r="O31" i="1" s="1"/>
  <c r="GM31" i="1" s="1"/>
  <c r="GN31" i="1" s="1"/>
  <c r="P30" i="1"/>
  <c r="Q30" i="1"/>
  <c r="BC58" i="1"/>
  <c r="BB58" i="1"/>
  <c r="CX85" i="3"/>
  <c r="CW87" i="3"/>
  <c r="CX87" i="3"/>
  <c r="CU84" i="3"/>
  <c r="CW86" i="3"/>
  <c r="V53" i="1" s="1"/>
  <c r="G312" i="7" s="1"/>
  <c r="CX86" i="3"/>
  <c r="CX88" i="3"/>
  <c r="I54" i="1"/>
  <c r="U54" i="1" s="1"/>
  <c r="U49" i="1"/>
  <c r="P49" i="1"/>
  <c r="CP49" i="1" s="1"/>
  <c r="O49" i="1" s="1"/>
  <c r="GX45" i="1"/>
  <c r="S45" i="1"/>
  <c r="AB40" i="1"/>
  <c r="CP37" i="1"/>
  <c r="O37" i="1" s="1"/>
  <c r="GM37" i="1" s="1"/>
  <c r="GN37" i="1" s="1"/>
  <c r="AB33" i="1"/>
  <c r="S28" i="1"/>
  <c r="V28" i="1"/>
  <c r="AP58" i="1"/>
  <c r="Q54" i="1"/>
  <c r="AB53" i="1"/>
  <c r="P47" i="1"/>
  <c r="CP47" i="1" s="1"/>
  <c r="O47" i="1" s="1"/>
  <c r="S47" i="1"/>
  <c r="CP36" i="1"/>
  <c r="O36" i="1" s="1"/>
  <c r="CY30" i="1"/>
  <c r="X30" i="1" s="1"/>
  <c r="AB29" i="1"/>
  <c r="U28" i="1"/>
  <c r="GM25" i="1"/>
  <c r="GN25" i="1" s="1"/>
  <c r="AO58" i="1"/>
  <c r="P54" i="1"/>
  <c r="AB45" i="1"/>
  <c r="AB44" i="1"/>
  <c r="CY42" i="1"/>
  <c r="X42" i="1" s="1"/>
  <c r="CP35" i="1"/>
  <c r="O35" i="1" s="1"/>
  <c r="GM35" i="1" s="1"/>
  <c r="GN35" i="1" s="1"/>
  <c r="CZ33" i="1"/>
  <c r="Y33" i="1" s="1"/>
  <c r="GM33" i="1" s="1"/>
  <c r="GN33" i="1" s="1"/>
  <c r="P32" i="1"/>
  <c r="CP32" i="1" s="1"/>
  <c r="O32" i="1" s="1"/>
  <c r="Q32" i="1"/>
  <c r="R30" i="1"/>
  <c r="CZ30" i="1" s="1"/>
  <c r="Y30" i="1" s="1"/>
  <c r="AB54" i="1"/>
  <c r="GX51" i="1"/>
  <c r="GX47" i="1"/>
  <c r="T47" i="1"/>
  <c r="P45" i="1"/>
  <c r="CP45" i="1" s="1"/>
  <c r="O45" i="1" s="1"/>
  <c r="W45" i="1"/>
  <c r="CZ40" i="1"/>
  <c r="Y40" i="1" s="1"/>
  <c r="AB39" i="1"/>
  <c r="R28" i="1"/>
  <c r="CU38" i="3"/>
  <c r="CW41" i="3"/>
  <c r="CX41" i="3"/>
  <c r="CX38" i="3"/>
  <c r="CX96" i="3"/>
  <c r="CX91" i="3"/>
  <c r="CX43" i="3"/>
  <c r="CW21" i="3"/>
  <c r="CU83" i="3"/>
  <c r="CV83" i="3"/>
  <c r="U52" i="1" s="1"/>
  <c r="G299" i="7" s="1"/>
  <c r="AB27" i="1"/>
  <c r="CX13" i="3"/>
  <c r="CX9" i="3"/>
  <c r="CW11" i="3"/>
  <c r="CX11" i="3"/>
  <c r="CW12" i="3"/>
  <c r="CX14" i="3"/>
  <c r="CU8" i="3"/>
  <c r="CX8" i="3"/>
  <c r="CX15" i="3"/>
  <c r="AB26" i="1"/>
  <c r="CX97" i="3"/>
  <c r="CX76" i="3"/>
  <c r="CX44" i="3"/>
  <c r="CZ42" i="1"/>
  <c r="Y42" i="1" s="1"/>
  <c r="GM42" i="1" s="1"/>
  <c r="GN42" i="1" s="1"/>
  <c r="CU55" i="3"/>
  <c r="CW58" i="3"/>
  <c r="CX61" i="3"/>
  <c r="CX58" i="3"/>
  <c r="CX56" i="3"/>
  <c r="CW57" i="3"/>
  <c r="V41" i="1" s="1"/>
  <c r="G215" i="7" s="1"/>
  <c r="CX82" i="3"/>
  <c r="CU90" i="3"/>
  <c r="CX94" i="3"/>
  <c r="CV90" i="3"/>
  <c r="U55" i="1" s="1"/>
  <c r="G329" i="7" s="1"/>
  <c r="CX90" i="3"/>
  <c r="CW92" i="3"/>
  <c r="CX92" i="3"/>
  <c r="CX95" i="3"/>
  <c r="I51" i="1"/>
  <c r="I50" i="1"/>
  <c r="V50" i="1" s="1"/>
  <c r="CU29" i="3"/>
  <c r="CW32" i="3"/>
  <c r="CX35" i="3"/>
  <c r="CX32" i="3"/>
  <c r="CX30" i="3"/>
  <c r="CX36" i="3"/>
  <c r="CW31" i="3"/>
  <c r="V34" i="1" s="1"/>
  <c r="G145" i="7" s="1"/>
  <c r="CX37" i="3"/>
  <c r="CU16" i="3"/>
  <c r="CX23" i="3"/>
  <c r="CX16" i="3"/>
  <c r="CW19" i="3"/>
  <c r="CX28" i="3"/>
  <c r="CX18" i="3"/>
  <c r="CX25" i="3"/>
  <c r="CX27" i="3"/>
  <c r="CX19" i="3"/>
  <c r="CX24" i="3"/>
  <c r="DI1" i="3"/>
  <c r="DF1" i="3"/>
  <c r="DG1" i="3"/>
  <c r="DH1" i="3"/>
  <c r="CW93" i="3"/>
  <c r="CX83" i="3"/>
  <c r="CW77" i="3"/>
  <c r="DI64" i="3"/>
  <c r="DF64" i="3"/>
  <c r="DJ64" i="3" s="1"/>
  <c r="DG64" i="3"/>
  <c r="DH64" i="3"/>
  <c r="CX40" i="3"/>
  <c r="CU75" i="3"/>
  <c r="CV75" i="3"/>
  <c r="U48" i="1" s="1"/>
  <c r="G277" i="7" s="1"/>
  <c r="CX80" i="3"/>
  <c r="CX75" i="3"/>
  <c r="CW79" i="3"/>
  <c r="CX79" i="3"/>
  <c r="CX81" i="3"/>
  <c r="GX32" i="1"/>
  <c r="GX30" i="1"/>
  <c r="Q28" i="1"/>
  <c r="CP28" i="1" s="1"/>
  <c r="O28" i="1" s="1"/>
  <c r="CX51" i="3"/>
  <c r="CX46" i="3"/>
  <c r="CW48" i="3"/>
  <c r="CX53" i="3"/>
  <c r="CX48" i="3"/>
  <c r="CX54" i="3"/>
  <c r="CW50" i="3"/>
  <c r="CU46" i="3"/>
  <c r="CX50" i="3"/>
  <c r="CV46" i="3"/>
  <c r="U39" i="1" s="1"/>
  <c r="G189" i="7" s="1"/>
  <c r="CY25" i="1"/>
  <c r="X25" i="1" s="1"/>
  <c r="CX89" i="3"/>
  <c r="CX84" i="3"/>
  <c r="CW78" i="3"/>
  <c r="DF72" i="3"/>
  <c r="DJ72" i="3" s="1"/>
  <c r="DI72" i="3"/>
  <c r="DH69" i="3"/>
  <c r="DI69" i="3"/>
  <c r="CV62" i="3"/>
  <c r="U43" i="1" s="1"/>
  <c r="G232" i="7" s="1"/>
  <c r="CX62" i="3"/>
  <c r="CX52" i="3"/>
  <c r="CX34" i="3"/>
  <c r="CX17" i="3"/>
  <c r="CV16" i="3"/>
  <c r="U29" i="1" s="1"/>
  <c r="G110" i="7" s="1"/>
  <c r="DH72" i="3"/>
  <c r="DF70" i="3"/>
  <c r="DJ70" i="3" s="1"/>
  <c r="DG69" i="3"/>
  <c r="DF68" i="3"/>
  <c r="DG68" i="3"/>
  <c r="CX57" i="3"/>
  <c r="CX47" i="3"/>
  <c r="CW42" i="3"/>
  <c r="CV38" i="3"/>
  <c r="U38" i="1" s="1"/>
  <c r="G167" i="7" s="1"/>
  <c r="CX33" i="3"/>
  <c r="CX3" i="3"/>
  <c r="DG72" i="3"/>
  <c r="DF69" i="3"/>
  <c r="DJ69" i="3" s="1"/>
  <c r="DI68" i="3"/>
  <c r="DH66" i="3"/>
  <c r="DG65" i="3"/>
  <c r="DH65" i="3"/>
  <c r="DI65" i="3"/>
  <c r="CX22" i="3"/>
  <c r="CV8" i="3"/>
  <c r="U27" i="1" s="1"/>
  <c r="G88" i="7" s="1"/>
  <c r="CW3" i="3"/>
  <c r="V24" i="1" s="1"/>
  <c r="G64" i="7" s="1"/>
  <c r="CX2" i="3"/>
  <c r="CX93" i="3"/>
  <c r="DF71" i="3"/>
  <c r="DJ71" i="3" s="1"/>
  <c r="DG71" i="3"/>
  <c r="DH68" i="3"/>
  <c r="R44" i="1" s="1"/>
  <c r="DF66" i="3"/>
  <c r="DJ66" i="3" s="1"/>
  <c r="CX60" i="3"/>
  <c r="CX31" i="3"/>
  <c r="DF7" i="3"/>
  <c r="DI7" i="3"/>
  <c r="CU1" i="3"/>
  <c r="CV1" i="3"/>
  <c r="U24" i="1" s="1"/>
  <c r="G61" i="7" s="1"/>
  <c r="CV84" i="3"/>
  <c r="U53" i="1" s="1"/>
  <c r="G309" i="7" s="1"/>
  <c r="CX77" i="3"/>
  <c r="CX59" i="3"/>
  <c r="CV55" i="3"/>
  <c r="U41" i="1" s="1"/>
  <c r="G212" i="7" s="1"/>
  <c r="CX55" i="3"/>
  <c r="CX45" i="3"/>
  <c r="CX21" i="3"/>
  <c r="CW20" i="3"/>
  <c r="CW6" i="3"/>
  <c r="V26" i="1" s="1"/>
  <c r="G77" i="7" s="1"/>
  <c r="CX6" i="3"/>
  <c r="DF63" i="3"/>
  <c r="DI63" i="3"/>
  <c r="CW49" i="3"/>
  <c r="CX49" i="3"/>
  <c r="CV29" i="3"/>
  <c r="U34" i="1" s="1"/>
  <c r="G142" i="7" s="1"/>
  <c r="CX29" i="3"/>
  <c r="CX12" i="3"/>
  <c r="CX78" i="3"/>
  <c r="CW40" i="3"/>
  <c r="CX26" i="3"/>
  <c r="DF73" i="3"/>
  <c r="P46" i="1" s="1"/>
  <c r="CP46" i="1" s="1"/>
  <c r="O46" i="1" s="1"/>
  <c r="DI70" i="3"/>
  <c r="DG63" i="3"/>
  <c r="DJ63" i="3" s="1"/>
  <c r="CX39" i="3"/>
  <c r="CW18" i="3"/>
  <c r="V29" i="1" s="1"/>
  <c r="G113" i="7" s="1"/>
  <c r="CW10" i="3"/>
  <c r="V27" i="1" s="1"/>
  <c r="G91" i="7" s="1"/>
  <c r="CX10" i="3"/>
  <c r="CX4" i="3"/>
  <c r="CX42" i="3"/>
  <c r="CX20" i="3"/>
  <c r="DG5" i="3"/>
  <c r="GM46" i="1" l="1"/>
  <c r="GN46" i="1" s="1"/>
  <c r="K274" i="7"/>
  <c r="I274" i="7" s="1"/>
  <c r="AN274" i="7"/>
  <c r="L279" i="7"/>
  <c r="AO296" i="7" s="1"/>
  <c r="L396" i="7"/>
  <c r="L445" i="7" s="1"/>
  <c r="L103" i="7"/>
  <c r="L156" i="7"/>
  <c r="L435" i="7"/>
  <c r="L433" i="7" s="1"/>
  <c r="L342" i="7"/>
  <c r="L160" i="7"/>
  <c r="L289" i="7"/>
  <c r="L80" i="7"/>
  <c r="AO229" i="7"/>
  <c r="L364" i="7"/>
  <c r="L362" i="7" s="1"/>
  <c r="L203" i="7"/>
  <c r="L224" i="7"/>
  <c r="L293" i="7"/>
  <c r="L130" i="7"/>
  <c r="L205" i="7"/>
  <c r="L135" i="7"/>
  <c r="L322" i="7"/>
  <c r="L69" i="7"/>
  <c r="L438" i="7"/>
  <c r="L426" i="7"/>
  <c r="L367" i="7"/>
  <c r="L355" i="7"/>
  <c r="K46" i="7"/>
  <c r="L259" i="7"/>
  <c r="L431" i="7"/>
  <c r="L360" i="7"/>
  <c r="K47" i="7"/>
  <c r="L101" i="7"/>
  <c r="L242" i="7"/>
  <c r="AO185" i="7"/>
  <c r="L181" i="7"/>
  <c r="CI58" i="1"/>
  <c r="AZ58" i="1" s="1"/>
  <c r="CG58" i="1"/>
  <c r="AX58" i="1" s="1"/>
  <c r="AQ58" i="1"/>
  <c r="AQ102" i="1" s="1"/>
  <c r="AU58" i="1"/>
  <c r="F77" i="1" s="1"/>
  <c r="C51" i="7" s="1"/>
  <c r="AT58" i="1"/>
  <c r="AT22" i="1" s="1"/>
  <c r="DI88" i="3"/>
  <c r="DF88" i="3"/>
  <c r="DJ88" i="3" s="1"/>
  <c r="DG88" i="3"/>
  <c r="DH88" i="3"/>
  <c r="DF20" i="3"/>
  <c r="DG20" i="3"/>
  <c r="DJ20" i="3" s="1"/>
  <c r="DH20" i="3"/>
  <c r="DI20" i="3"/>
  <c r="DG49" i="3"/>
  <c r="DH49" i="3"/>
  <c r="DI49" i="3"/>
  <c r="DF49" i="3"/>
  <c r="DH47" i="3"/>
  <c r="DF47" i="3"/>
  <c r="DG47" i="3"/>
  <c r="DI47" i="3"/>
  <c r="DJ47" i="3" s="1"/>
  <c r="DH17" i="3"/>
  <c r="DI17" i="3"/>
  <c r="DJ17" i="3" s="1"/>
  <c r="DF17" i="3"/>
  <c r="DG17" i="3"/>
  <c r="CJ58" i="1"/>
  <c r="DI25" i="3"/>
  <c r="DF25" i="3"/>
  <c r="DJ25" i="3" s="1"/>
  <c r="DG25" i="3"/>
  <c r="DH25" i="3"/>
  <c r="U51" i="1"/>
  <c r="P51" i="1"/>
  <c r="R51" i="1"/>
  <c r="S51" i="1"/>
  <c r="DF82" i="3"/>
  <c r="DJ82" i="3" s="1"/>
  <c r="DG82" i="3"/>
  <c r="DH82" i="3"/>
  <c r="DI82" i="3"/>
  <c r="DI44" i="3"/>
  <c r="DF44" i="3"/>
  <c r="DJ44" i="3" s="1"/>
  <c r="DH44" i="3"/>
  <c r="DG44" i="3"/>
  <c r="T50" i="1"/>
  <c r="AG58" i="1" s="1"/>
  <c r="DF86" i="3"/>
  <c r="DG86" i="3"/>
  <c r="DJ86" i="3" s="1"/>
  <c r="DH86" i="3"/>
  <c r="DI86" i="3"/>
  <c r="BC22" i="1"/>
  <c r="F74" i="1"/>
  <c r="BC102" i="1"/>
  <c r="T54" i="1"/>
  <c r="DF14" i="3"/>
  <c r="DJ14" i="3" s="1"/>
  <c r="DI14" i="3"/>
  <c r="DG14" i="3"/>
  <c r="DH14" i="3"/>
  <c r="DG45" i="3"/>
  <c r="DH45" i="3"/>
  <c r="DI45" i="3"/>
  <c r="DF45" i="3"/>
  <c r="DJ45" i="3" s="1"/>
  <c r="DF93" i="3"/>
  <c r="DG93" i="3"/>
  <c r="DH93" i="3"/>
  <c r="DI93" i="3"/>
  <c r="DF42" i="3"/>
  <c r="DG42" i="3"/>
  <c r="DJ42" i="3" s="1"/>
  <c r="DH42" i="3"/>
  <c r="DI42" i="3"/>
  <c r="DF55" i="3"/>
  <c r="DG55" i="3"/>
  <c r="DH55" i="3"/>
  <c r="DI55" i="3"/>
  <c r="DG2" i="3"/>
  <c r="DH2" i="3"/>
  <c r="R24" i="1" s="1"/>
  <c r="DI2" i="3"/>
  <c r="DJ2" i="3" s="1"/>
  <c r="DF2" i="3"/>
  <c r="S44" i="1"/>
  <c r="DH57" i="3"/>
  <c r="DF57" i="3"/>
  <c r="DG57" i="3"/>
  <c r="DJ57" i="3" s="1"/>
  <c r="DI57" i="3"/>
  <c r="DH34" i="3"/>
  <c r="DF34" i="3"/>
  <c r="DJ34" i="3" s="1"/>
  <c r="DG34" i="3"/>
  <c r="DI34" i="3"/>
  <c r="DF54" i="3"/>
  <c r="DJ54" i="3" s="1"/>
  <c r="DG54" i="3"/>
  <c r="DH54" i="3"/>
  <c r="DI54" i="3"/>
  <c r="DG40" i="3"/>
  <c r="DJ40" i="3" s="1"/>
  <c r="DH40" i="3"/>
  <c r="DI40" i="3"/>
  <c r="DF40" i="3"/>
  <c r="DG18" i="3"/>
  <c r="DI18" i="3"/>
  <c r="DF18" i="3"/>
  <c r="DH18" i="3"/>
  <c r="DF36" i="3"/>
  <c r="DJ36" i="3" s="1"/>
  <c r="DI36" i="3"/>
  <c r="DG36" i="3"/>
  <c r="DH36" i="3"/>
  <c r="DF95" i="3"/>
  <c r="DJ95" i="3" s="1"/>
  <c r="DG95" i="3"/>
  <c r="DH95" i="3"/>
  <c r="DI95" i="3"/>
  <c r="DF76" i="3"/>
  <c r="DI76" i="3"/>
  <c r="DJ76" i="3" s="1"/>
  <c r="DG76" i="3"/>
  <c r="DH76" i="3"/>
  <c r="DF11" i="3"/>
  <c r="DI11" i="3"/>
  <c r="DH11" i="3"/>
  <c r="DG11" i="3"/>
  <c r="DJ11" i="3" s="1"/>
  <c r="DF43" i="3"/>
  <c r="DJ43" i="3" s="1"/>
  <c r="DI43" i="3"/>
  <c r="DG43" i="3"/>
  <c r="DH43" i="3"/>
  <c r="GX50" i="1"/>
  <c r="CY45" i="1"/>
  <c r="X45" i="1" s="1"/>
  <c r="CZ45" i="1"/>
  <c r="Y45" i="1" s="1"/>
  <c r="W50" i="1"/>
  <c r="AJ58" i="1" s="1"/>
  <c r="S54" i="1"/>
  <c r="DG27" i="3"/>
  <c r="DI27" i="3"/>
  <c r="DF27" i="3"/>
  <c r="DJ27" i="3" s="1"/>
  <c r="DH27" i="3"/>
  <c r="DI4" i="3"/>
  <c r="DF4" i="3"/>
  <c r="DJ4" i="3" s="1"/>
  <c r="DG4" i="3"/>
  <c r="DH4" i="3"/>
  <c r="DG26" i="3"/>
  <c r="DH26" i="3"/>
  <c r="DI26" i="3"/>
  <c r="DF26" i="3"/>
  <c r="DJ26" i="3" s="1"/>
  <c r="DH31" i="3"/>
  <c r="DF31" i="3"/>
  <c r="DG31" i="3"/>
  <c r="DJ31" i="3" s="1"/>
  <c r="DI31" i="3"/>
  <c r="DJ68" i="3"/>
  <c r="Q44" i="1"/>
  <c r="DG52" i="3"/>
  <c r="DH52" i="3"/>
  <c r="DI52" i="3"/>
  <c r="DF52" i="3"/>
  <c r="DJ52" i="3" s="1"/>
  <c r="DG84" i="3"/>
  <c r="DF84" i="3"/>
  <c r="DH84" i="3"/>
  <c r="DI84" i="3"/>
  <c r="DF48" i="3"/>
  <c r="DG48" i="3"/>
  <c r="DI48" i="3"/>
  <c r="DH48" i="3"/>
  <c r="DF81" i="3"/>
  <c r="DJ81" i="3" s="1"/>
  <c r="DG81" i="3"/>
  <c r="DH81" i="3"/>
  <c r="DI81" i="3"/>
  <c r="Q24" i="1"/>
  <c r="DF28" i="3"/>
  <c r="DJ28" i="3" s="1"/>
  <c r="DG28" i="3"/>
  <c r="DH28" i="3"/>
  <c r="DI28" i="3"/>
  <c r="DF30" i="3"/>
  <c r="DI30" i="3"/>
  <c r="DJ30" i="3" s="1"/>
  <c r="DG30" i="3"/>
  <c r="DH30" i="3"/>
  <c r="DF92" i="3"/>
  <c r="DG92" i="3"/>
  <c r="DH92" i="3"/>
  <c r="DI92" i="3"/>
  <c r="DF56" i="3"/>
  <c r="DI56" i="3"/>
  <c r="DJ56" i="3" s="1"/>
  <c r="DG56" i="3"/>
  <c r="DH56" i="3"/>
  <c r="DH97" i="3"/>
  <c r="DI97" i="3"/>
  <c r="DF97" i="3"/>
  <c r="DJ97" i="3" s="1"/>
  <c r="DG97" i="3"/>
  <c r="DH91" i="3"/>
  <c r="DI91" i="3"/>
  <c r="DJ91" i="3" s="1"/>
  <c r="DF91" i="3"/>
  <c r="DG91" i="3"/>
  <c r="T51" i="1"/>
  <c r="CP30" i="1"/>
  <c r="O30" i="1" s="1"/>
  <c r="GM30" i="1" s="1"/>
  <c r="GN30" i="1" s="1"/>
  <c r="GX54" i="1"/>
  <c r="DH21" i="3"/>
  <c r="DI21" i="3"/>
  <c r="DF21" i="3"/>
  <c r="DG21" i="3"/>
  <c r="DJ21" i="3" s="1"/>
  <c r="DF83" i="3"/>
  <c r="P52" i="1" s="1"/>
  <c r="DI83" i="3"/>
  <c r="DG83" i="3"/>
  <c r="Q52" i="1" s="1"/>
  <c r="DH83" i="3"/>
  <c r="R52" i="1" s="1"/>
  <c r="P44" i="1"/>
  <c r="DG62" i="3"/>
  <c r="Q43" i="1" s="1"/>
  <c r="DH62" i="3"/>
  <c r="R43" i="1" s="1"/>
  <c r="DI62" i="3"/>
  <c r="DF62" i="3"/>
  <c r="P43" i="1" s="1"/>
  <c r="DF89" i="3"/>
  <c r="DJ89" i="3" s="1"/>
  <c r="DG89" i="3"/>
  <c r="DH89" i="3"/>
  <c r="DI89" i="3"/>
  <c r="DG53" i="3"/>
  <c r="DF53" i="3"/>
  <c r="DJ53" i="3" s="1"/>
  <c r="DH53" i="3"/>
  <c r="DI53" i="3"/>
  <c r="DF79" i="3"/>
  <c r="DG79" i="3"/>
  <c r="DH79" i="3"/>
  <c r="DI79" i="3"/>
  <c r="DF32" i="3"/>
  <c r="DG32" i="3"/>
  <c r="DH32" i="3"/>
  <c r="DI32" i="3"/>
  <c r="V55" i="1"/>
  <c r="G332" i="7" s="1"/>
  <c r="DF58" i="3"/>
  <c r="DG58" i="3"/>
  <c r="DH58" i="3"/>
  <c r="DI58" i="3"/>
  <c r="DF9" i="3"/>
  <c r="DG9" i="3"/>
  <c r="DH9" i="3"/>
  <c r="DI9" i="3"/>
  <c r="DJ9" i="3" s="1"/>
  <c r="DF96" i="3"/>
  <c r="DJ96" i="3" s="1"/>
  <c r="DG96" i="3"/>
  <c r="DH96" i="3"/>
  <c r="DI96" i="3"/>
  <c r="GM32" i="1"/>
  <c r="GN32" i="1" s="1"/>
  <c r="AP22" i="1"/>
  <c r="F67" i="1"/>
  <c r="AP102" i="1"/>
  <c r="GM49" i="1"/>
  <c r="GN49" i="1" s="1"/>
  <c r="DF87" i="3"/>
  <c r="DG87" i="3"/>
  <c r="DJ87" i="3" s="1"/>
  <c r="DH87" i="3"/>
  <c r="DI87" i="3"/>
  <c r="W51" i="1"/>
  <c r="BD22" i="1"/>
  <c r="BD102" i="1"/>
  <c r="F83" i="1"/>
  <c r="F93" i="1" s="1"/>
  <c r="U50" i="1"/>
  <c r="P50" i="1"/>
  <c r="R50" i="1"/>
  <c r="S50" i="1"/>
  <c r="DG6" i="3"/>
  <c r="Q26" i="1" s="1"/>
  <c r="DH6" i="3"/>
  <c r="R26" i="1" s="1"/>
  <c r="DI6" i="3"/>
  <c r="S26" i="1" s="1"/>
  <c r="DF6" i="3"/>
  <c r="P26" i="1" s="1"/>
  <c r="DH77" i="3"/>
  <c r="DF77" i="3"/>
  <c r="DG77" i="3"/>
  <c r="DI77" i="3"/>
  <c r="DH22" i="3"/>
  <c r="DF22" i="3"/>
  <c r="DJ22" i="3" s="1"/>
  <c r="DG22" i="3"/>
  <c r="DI22" i="3"/>
  <c r="DF3" i="3"/>
  <c r="P24" i="1" s="1"/>
  <c r="DI3" i="3"/>
  <c r="DG3" i="3"/>
  <c r="DH3" i="3"/>
  <c r="V39" i="1"/>
  <c r="G192" i="7" s="1"/>
  <c r="S24" i="1"/>
  <c r="DJ1" i="3"/>
  <c r="DF16" i="3"/>
  <c r="DG16" i="3"/>
  <c r="DH16" i="3"/>
  <c r="DI16" i="3"/>
  <c r="DF35" i="3"/>
  <c r="DJ35" i="3" s="1"/>
  <c r="DG35" i="3"/>
  <c r="DH35" i="3"/>
  <c r="DI35" i="3"/>
  <c r="DF90" i="3"/>
  <c r="DG90" i="3"/>
  <c r="DH90" i="3"/>
  <c r="DI90" i="3"/>
  <c r="DF61" i="3"/>
  <c r="DJ61" i="3" s="1"/>
  <c r="DG61" i="3"/>
  <c r="DH61" i="3"/>
  <c r="DI61" i="3"/>
  <c r="DI15" i="3"/>
  <c r="DF15" i="3"/>
  <c r="DJ15" i="3" s="1"/>
  <c r="DG15" i="3"/>
  <c r="DH15" i="3"/>
  <c r="DF13" i="3"/>
  <c r="DJ13" i="3" s="1"/>
  <c r="DG13" i="3"/>
  <c r="DH13" i="3"/>
  <c r="DI13" i="3"/>
  <c r="DF38" i="3"/>
  <c r="DG38" i="3"/>
  <c r="DH38" i="3"/>
  <c r="DI38" i="3"/>
  <c r="GM45" i="1"/>
  <c r="GN45" i="1" s="1"/>
  <c r="CI22" i="1"/>
  <c r="CG22" i="1"/>
  <c r="DI37" i="3"/>
  <c r="DF37" i="3"/>
  <c r="DJ37" i="3" s="1"/>
  <c r="DG37" i="3"/>
  <c r="DH37" i="3"/>
  <c r="BB22" i="1"/>
  <c r="F71" i="1"/>
  <c r="BB102" i="1"/>
  <c r="DG10" i="3"/>
  <c r="DH10" i="3"/>
  <c r="DI10" i="3"/>
  <c r="DF10" i="3"/>
  <c r="DH59" i="3"/>
  <c r="DI59" i="3"/>
  <c r="DF59" i="3"/>
  <c r="DJ59" i="3" s="1"/>
  <c r="DG59" i="3"/>
  <c r="DH60" i="3"/>
  <c r="DF60" i="3"/>
  <c r="DJ60" i="3" s="1"/>
  <c r="DG60" i="3"/>
  <c r="DI60" i="3"/>
  <c r="DG78" i="3"/>
  <c r="DJ78" i="3" s="1"/>
  <c r="DH78" i="3"/>
  <c r="DI78" i="3"/>
  <c r="DF78" i="3"/>
  <c r="DH12" i="3"/>
  <c r="DF12" i="3"/>
  <c r="DG12" i="3"/>
  <c r="DI12" i="3"/>
  <c r="DH33" i="3"/>
  <c r="DI33" i="3"/>
  <c r="DF33" i="3"/>
  <c r="DJ33" i="3" s="1"/>
  <c r="DG33" i="3"/>
  <c r="DH46" i="3"/>
  <c r="DI46" i="3"/>
  <c r="DF46" i="3"/>
  <c r="DG46" i="3"/>
  <c r="DF75" i="3"/>
  <c r="P48" i="1" s="1"/>
  <c r="DG75" i="3"/>
  <c r="DH75" i="3"/>
  <c r="R48" i="1" s="1"/>
  <c r="DI75" i="3"/>
  <c r="DF24" i="3"/>
  <c r="DJ24" i="3" s="1"/>
  <c r="DI24" i="3"/>
  <c r="DG24" i="3"/>
  <c r="DH24" i="3"/>
  <c r="DF23" i="3"/>
  <c r="DJ23" i="3" s="1"/>
  <c r="DG23" i="3"/>
  <c r="DH23" i="3"/>
  <c r="DI23" i="3"/>
  <c r="DG8" i="3"/>
  <c r="DF8" i="3"/>
  <c r="DH8" i="3"/>
  <c r="R27" i="1" s="1"/>
  <c r="DI8" i="3"/>
  <c r="DI41" i="3"/>
  <c r="DF41" i="3"/>
  <c r="DG41" i="3"/>
  <c r="DH41" i="3"/>
  <c r="AO22" i="1"/>
  <c r="F62" i="1"/>
  <c r="AO102" i="1"/>
  <c r="GM36" i="1"/>
  <c r="GN36" i="1" s="1"/>
  <c r="CZ28" i="1"/>
  <c r="Y28" i="1" s="1"/>
  <c r="CY28" i="1"/>
  <c r="X28" i="1" s="1"/>
  <c r="GM28" i="1" s="1"/>
  <c r="GN28" i="1" s="1"/>
  <c r="V51" i="1"/>
  <c r="DG85" i="3"/>
  <c r="DH85" i="3"/>
  <c r="DI85" i="3"/>
  <c r="DJ85" i="3" s="1"/>
  <c r="DF85" i="3"/>
  <c r="AT102" i="1"/>
  <c r="AQ22" i="1"/>
  <c r="F68" i="1"/>
  <c r="V38" i="1"/>
  <c r="G170" i="7" s="1"/>
  <c r="DH39" i="3"/>
  <c r="DI39" i="3"/>
  <c r="DJ39" i="3" s="1"/>
  <c r="DF39" i="3"/>
  <c r="DG39" i="3"/>
  <c r="DF29" i="3"/>
  <c r="P34" i="1" s="1"/>
  <c r="DG29" i="3"/>
  <c r="Q34" i="1" s="1"/>
  <c r="DH29" i="3"/>
  <c r="DI29" i="3"/>
  <c r="AH58" i="1"/>
  <c r="DF50" i="3"/>
  <c r="DI50" i="3"/>
  <c r="DG50" i="3"/>
  <c r="DH50" i="3"/>
  <c r="DI51" i="3"/>
  <c r="DF51" i="3"/>
  <c r="DJ51" i="3" s="1"/>
  <c r="DG51" i="3"/>
  <c r="DH51" i="3"/>
  <c r="DG80" i="3"/>
  <c r="DF80" i="3"/>
  <c r="DJ80" i="3" s="1"/>
  <c r="DH80" i="3"/>
  <c r="DI80" i="3"/>
  <c r="V48" i="1"/>
  <c r="G280" i="7" s="1"/>
  <c r="DI19" i="3"/>
  <c r="DF19" i="3"/>
  <c r="DG19" i="3"/>
  <c r="DH19" i="3"/>
  <c r="DG94" i="3"/>
  <c r="DH94" i="3"/>
  <c r="DI94" i="3"/>
  <c r="DF94" i="3"/>
  <c r="DJ94" i="3" s="1"/>
  <c r="Q50" i="1"/>
  <c r="CY47" i="1"/>
  <c r="X47" i="1" s="1"/>
  <c r="GM47" i="1" s="1"/>
  <c r="GN47" i="1" s="1"/>
  <c r="CZ47" i="1"/>
  <c r="Y47" i="1" s="1"/>
  <c r="R54" i="1"/>
  <c r="CP54" i="1" s="1"/>
  <c r="O54" i="1" s="1"/>
  <c r="Q51" i="1"/>
  <c r="F76" i="1" l="1"/>
  <c r="F16" i="2"/>
  <c r="C49" i="7"/>
  <c r="AU22" i="1"/>
  <c r="L429" i="7"/>
  <c r="L427" i="7" s="1"/>
  <c r="L424" i="7" s="1"/>
  <c r="L358" i="7"/>
  <c r="L356" i="7" s="1"/>
  <c r="L353" i="7" s="1"/>
  <c r="CP44" i="1"/>
  <c r="O44" i="1" s="1"/>
  <c r="AU102" i="1"/>
  <c r="AU18" i="1" s="1"/>
  <c r="AI58" i="1"/>
  <c r="AI22" i="1" s="1"/>
  <c r="AG22" i="1"/>
  <c r="T58" i="1"/>
  <c r="CP24" i="1"/>
  <c r="O24" i="1" s="1"/>
  <c r="AJ22" i="1"/>
  <c r="W58" i="1"/>
  <c r="DJ19" i="3"/>
  <c r="AH22" i="1"/>
  <c r="U58" i="1"/>
  <c r="DJ8" i="3"/>
  <c r="S27" i="1"/>
  <c r="Q39" i="1"/>
  <c r="DJ38" i="3"/>
  <c r="S38" i="1"/>
  <c r="DJ90" i="3"/>
  <c r="S55" i="1"/>
  <c r="DJ16" i="3"/>
  <c r="S29" i="1"/>
  <c r="DJ3" i="3"/>
  <c r="DJ77" i="3"/>
  <c r="DJ32" i="3"/>
  <c r="DJ62" i="3"/>
  <c r="S43" i="1"/>
  <c r="DJ84" i="3"/>
  <c r="S53" i="1"/>
  <c r="BC18" i="1"/>
  <c r="F118" i="1"/>
  <c r="DJ29" i="3"/>
  <c r="S34" i="1"/>
  <c r="AO18" i="1"/>
  <c r="F106" i="1"/>
  <c r="P39" i="1"/>
  <c r="DJ12" i="3"/>
  <c r="R38" i="1"/>
  <c r="R55" i="1"/>
  <c r="R29" i="1"/>
  <c r="CP50" i="1"/>
  <c r="O50" i="1" s="1"/>
  <c r="R53" i="1"/>
  <c r="DJ55" i="3"/>
  <c r="S41" i="1"/>
  <c r="CP51" i="1"/>
  <c r="O51" i="1" s="1"/>
  <c r="GM51" i="1" s="1"/>
  <c r="GN51" i="1" s="1"/>
  <c r="CY50" i="1"/>
  <c r="X50" i="1" s="1"/>
  <c r="CZ50" i="1"/>
  <c r="Y50" i="1" s="1"/>
  <c r="R34" i="1"/>
  <c r="P27" i="1"/>
  <c r="DJ46" i="3"/>
  <c r="S39" i="1"/>
  <c r="Q38" i="1"/>
  <c r="Q55" i="1"/>
  <c r="Q29" i="1"/>
  <c r="P53" i="1"/>
  <c r="DJ18" i="3"/>
  <c r="R41" i="1"/>
  <c r="CY51" i="1"/>
  <c r="X51" i="1" s="1"/>
  <c r="CZ51" i="1"/>
  <c r="Y51" i="1" s="1"/>
  <c r="Q27" i="1"/>
  <c r="R39" i="1"/>
  <c r="DJ10" i="3"/>
  <c r="AX22" i="1"/>
  <c r="F65" i="1"/>
  <c r="AX102" i="1"/>
  <c r="P38" i="1"/>
  <c r="P55" i="1"/>
  <c r="P29" i="1"/>
  <c r="CP26" i="1"/>
  <c r="O26" i="1" s="1"/>
  <c r="DJ58" i="3"/>
  <c r="Q53" i="1"/>
  <c r="CY54" i="1"/>
  <c r="X54" i="1" s="1"/>
  <c r="GM54" i="1" s="1"/>
  <c r="GN54" i="1" s="1"/>
  <c r="CZ54" i="1"/>
  <c r="Y54" i="1" s="1"/>
  <c r="Q41" i="1"/>
  <c r="DJ93" i="3"/>
  <c r="DJ49" i="3"/>
  <c r="AT18" i="1"/>
  <c r="F120" i="1"/>
  <c r="AQ18" i="1"/>
  <c r="F112" i="1"/>
  <c r="DJ75" i="3"/>
  <c r="S48" i="1"/>
  <c r="BB18" i="1"/>
  <c r="F115" i="1"/>
  <c r="CY26" i="1"/>
  <c r="X26" i="1" s="1"/>
  <c r="AZ84" i="7" s="1"/>
  <c r="L82" i="7" s="1"/>
  <c r="CZ26" i="1"/>
  <c r="Y26" i="1" s="1"/>
  <c r="BA84" i="7" s="1"/>
  <c r="L83" i="7" s="1"/>
  <c r="BD18" i="1"/>
  <c r="F127" i="1"/>
  <c r="F137" i="1" s="1"/>
  <c r="AP18" i="1"/>
  <c r="F111" i="1"/>
  <c r="F134" i="1" s="1"/>
  <c r="F121" i="1"/>
  <c r="CY44" i="1"/>
  <c r="X44" i="1" s="1"/>
  <c r="CZ44" i="1"/>
  <c r="Y44" i="1" s="1"/>
  <c r="BA264" i="7" s="1"/>
  <c r="L263" i="7" s="1"/>
  <c r="P41" i="1"/>
  <c r="CP43" i="1"/>
  <c r="O43" i="1" s="1"/>
  <c r="CJ22" i="1"/>
  <c r="BA58" i="1"/>
  <c r="DJ41" i="3"/>
  <c r="AZ22" i="1"/>
  <c r="AZ102" i="1"/>
  <c r="F69" i="1"/>
  <c r="CZ24" i="1"/>
  <c r="Y24" i="1" s="1"/>
  <c r="BA72" i="7" s="1"/>
  <c r="CY24" i="1"/>
  <c r="X24" i="1" s="1"/>
  <c r="AZ72" i="7" s="1"/>
  <c r="F90" i="1"/>
  <c r="G16" i="2"/>
  <c r="DJ79" i="3"/>
  <c r="DJ92" i="3"/>
  <c r="DJ50" i="3"/>
  <c r="Q48" i="1"/>
  <c r="DJ6" i="3"/>
  <c r="DJ83" i="3"/>
  <c r="S52" i="1"/>
  <c r="DJ48" i="3"/>
  <c r="L70" i="7" l="1"/>
  <c r="AE58" i="1"/>
  <c r="AE22" i="1" s="1"/>
  <c r="L71" i="7"/>
  <c r="AN72" i="7" s="1"/>
  <c r="CP41" i="1"/>
  <c r="O41" i="1" s="1"/>
  <c r="GM44" i="1"/>
  <c r="GN44" i="1" s="1"/>
  <c r="AZ264" i="7"/>
  <c r="L262" i="7" s="1"/>
  <c r="AN84" i="7"/>
  <c r="K84" i="7"/>
  <c r="I84" i="7" s="1"/>
  <c r="V58" i="1"/>
  <c r="CP29" i="1"/>
  <c r="O29" i="1" s="1"/>
  <c r="AC58" i="1"/>
  <c r="CH58" i="1" s="1"/>
  <c r="CP34" i="1"/>
  <c r="O34" i="1" s="1"/>
  <c r="CP53" i="1"/>
  <c r="O53" i="1" s="1"/>
  <c r="AF58" i="1"/>
  <c r="AF22" i="1" s="1"/>
  <c r="CP48" i="1"/>
  <c r="O48" i="1" s="1"/>
  <c r="GM26" i="1"/>
  <c r="GN26" i="1" s="1"/>
  <c r="AD58" i="1"/>
  <c r="Q58" i="1" s="1"/>
  <c r="P58" i="1"/>
  <c r="CY29" i="1"/>
  <c r="X29" i="1" s="1"/>
  <c r="AZ138" i="7" s="1"/>
  <c r="L136" i="7" s="1"/>
  <c r="CZ29" i="1"/>
  <c r="Y29" i="1" s="1"/>
  <c r="BA138" i="7" s="1"/>
  <c r="L137" i="7" s="1"/>
  <c r="CY53" i="1"/>
  <c r="X53" i="1" s="1"/>
  <c r="AZ325" i="7" s="1"/>
  <c r="L323" i="7" s="1"/>
  <c r="CZ53" i="1"/>
  <c r="Y53" i="1" s="1"/>
  <c r="U102" i="1"/>
  <c r="F80" i="1"/>
  <c r="U22" i="1"/>
  <c r="GM24" i="1"/>
  <c r="CY52" i="1"/>
  <c r="X52" i="1" s="1"/>
  <c r="AZ305" i="7" s="1"/>
  <c r="L303" i="7" s="1"/>
  <c r="CZ52" i="1"/>
  <c r="Y52" i="1" s="1"/>
  <c r="BA305" i="7" s="1"/>
  <c r="L304" i="7" s="1"/>
  <c r="CY41" i="1"/>
  <c r="X41" i="1" s="1"/>
  <c r="AZ229" i="7" s="1"/>
  <c r="L227" i="7" s="1"/>
  <c r="CZ41" i="1"/>
  <c r="Y41" i="1" s="1"/>
  <c r="BA229" i="7" s="1"/>
  <c r="L228" i="7" s="1"/>
  <c r="CP39" i="1"/>
  <c r="O39" i="1" s="1"/>
  <c r="CZ55" i="1"/>
  <c r="Y55" i="1" s="1"/>
  <c r="BA347" i="7" s="1"/>
  <c r="L346" i="7" s="1"/>
  <c r="CY55" i="1"/>
  <c r="X55" i="1" s="1"/>
  <c r="AZ347" i="7" s="1"/>
  <c r="L345" i="7" s="1"/>
  <c r="V22" i="1"/>
  <c r="V102" i="1"/>
  <c r="F81" i="1"/>
  <c r="CP55" i="1"/>
  <c r="O55" i="1" s="1"/>
  <c r="CZ39" i="1"/>
  <c r="Y39" i="1" s="1"/>
  <c r="BA208" i="7" s="1"/>
  <c r="L207" i="7" s="1"/>
  <c r="CY39" i="1"/>
  <c r="X39" i="1" s="1"/>
  <c r="AZ208" i="7" s="1"/>
  <c r="L206" i="7" s="1"/>
  <c r="CY43" i="1"/>
  <c r="X43" i="1" s="1"/>
  <c r="AZ246" i="7" s="1"/>
  <c r="L244" i="7" s="1"/>
  <c r="CZ43" i="1"/>
  <c r="Y43" i="1" s="1"/>
  <c r="BA246" i="7" s="1"/>
  <c r="L245" i="7" s="1"/>
  <c r="CY27" i="1"/>
  <c r="X27" i="1" s="1"/>
  <c r="AZ106" i="7" s="1"/>
  <c r="L104" i="7" s="1"/>
  <c r="CZ27" i="1"/>
  <c r="Y27" i="1" s="1"/>
  <c r="BA106" i="7" s="1"/>
  <c r="L105" i="7" s="1"/>
  <c r="CP38" i="1"/>
  <c r="O38" i="1" s="1"/>
  <c r="CY38" i="1"/>
  <c r="X38" i="1" s="1"/>
  <c r="AZ185" i="7" s="1"/>
  <c r="L183" i="7" s="1"/>
  <c r="CZ38" i="1"/>
  <c r="Y38" i="1" s="1"/>
  <c r="BA185" i="7" s="1"/>
  <c r="L184" i="7" s="1"/>
  <c r="T22" i="1"/>
  <c r="T102" i="1"/>
  <c r="F79" i="1"/>
  <c r="CY48" i="1"/>
  <c r="X48" i="1" s="1"/>
  <c r="AZ296" i="7" s="1"/>
  <c r="L294" i="7" s="1"/>
  <c r="CZ48" i="1"/>
  <c r="Y48" i="1" s="1"/>
  <c r="BA296" i="7" s="1"/>
  <c r="L295" i="7" s="1"/>
  <c r="AX18" i="1"/>
  <c r="F109" i="1"/>
  <c r="CP27" i="1"/>
  <c r="O27" i="1" s="1"/>
  <c r="GM50" i="1"/>
  <c r="GN50" i="1" s="1"/>
  <c r="CY34" i="1"/>
  <c r="X34" i="1" s="1"/>
  <c r="AZ163" i="7" s="1"/>
  <c r="L161" i="7" s="1"/>
  <c r="CZ34" i="1"/>
  <c r="Y34" i="1" s="1"/>
  <c r="BA163" i="7" s="1"/>
  <c r="L162" i="7" s="1"/>
  <c r="W22" i="1"/>
  <c r="W102" i="1"/>
  <c r="F82" i="1"/>
  <c r="F78" i="1"/>
  <c r="H16" i="2" s="1"/>
  <c r="BA22" i="1"/>
  <c r="BA102" i="1"/>
  <c r="AZ18" i="1"/>
  <c r="F113" i="1"/>
  <c r="CP52" i="1"/>
  <c r="O52" i="1" s="1"/>
  <c r="R58" i="1" l="1"/>
  <c r="AN163" i="7"/>
  <c r="K163" i="7"/>
  <c r="I163" i="7" s="1"/>
  <c r="K296" i="7"/>
  <c r="I296" i="7" s="1"/>
  <c r="AN296" i="7"/>
  <c r="K106" i="7"/>
  <c r="I106" i="7" s="1"/>
  <c r="AN106" i="7"/>
  <c r="AN246" i="7"/>
  <c r="K246" i="7"/>
  <c r="I246" i="7" s="1"/>
  <c r="K49" i="7"/>
  <c r="G450" i="7"/>
  <c r="K48" i="7"/>
  <c r="G449" i="7"/>
  <c r="GM53" i="1"/>
  <c r="GN53" i="1" s="1"/>
  <c r="BA325" i="7"/>
  <c r="L324" i="7" s="1"/>
  <c r="K325" i="7" s="1"/>
  <c r="I325" i="7" s="1"/>
  <c r="K264" i="7"/>
  <c r="I264" i="7" s="1"/>
  <c r="AN264" i="7"/>
  <c r="L439" i="7"/>
  <c r="AN185" i="7"/>
  <c r="K185" i="7"/>
  <c r="I185" i="7" s="1"/>
  <c r="K208" i="7"/>
  <c r="I208" i="7" s="1"/>
  <c r="AN208" i="7"/>
  <c r="AN347" i="7"/>
  <c r="K347" i="7"/>
  <c r="I347" i="7" s="1"/>
  <c r="K229" i="7"/>
  <c r="I229" i="7" s="1"/>
  <c r="AN229" i="7"/>
  <c r="AN305" i="7"/>
  <c r="K305" i="7"/>
  <c r="I305" i="7" s="1"/>
  <c r="AN325" i="7"/>
  <c r="AN138" i="7"/>
  <c r="K138" i="7"/>
  <c r="I138" i="7" s="1"/>
  <c r="AC22" i="1"/>
  <c r="L440" i="7"/>
  <c r="L368" i="7"/>
  <c r="K72" i="7"/>
  <c r="I72" i="7" s="1"/>
  <c r="AD22" i="1"/>
  <c r="CE58" i="1"/>
  <c r="AV58" i="1" s="1"/>
  <c r="CF58" i="1"/>
  <c r="AW58" i="1" s="1"/>
  <c r="GM29" i="1"/>
  <c r="GN29" i="1" s="1"/>
  <c r="GM52" i="1"/>
  <c r="GN52" i="1" s="1"/>
  <c r="S58" i="1"/>
  <c r="F73" i="1" s="1"/>
  <c r="GM43" i="1"/>
  <c r="GN43" i="1" s="1"/>
  <c r="GM34" i="1"/>
  <c r="GN34" i="1" s="1"/>
  <c r="GM41" i="1"/>
  <c r="GN41" i="1" s="1"/>
  <c r="AL58" i="1"/>
  <c r="AL22" i="1" s="1"/>
  <c r="GM48" i="1"/>
  <c r="GN48" i="1" s="1"/>
  <c r="AK58" i="1"/>
  <c r="AK22" i="1" s="1"/>
  <c r="V18" i="1"/>
  <c r="F125" i="1"/>
  <c r="P22" i="1"/>
  <c r="P102" i="1"/>
  <c r="F61" i="1"/>
  <c r="CE22" i="1"/>
  <c r="T18" i="1"/>
  <c r="F123" i="1"/>
  <c r="CF22" i="1"/>
  <c r="GM27" i="1"/>
  <c r="GN27" i="1" s="1"/>
  <c r="AB58" i="1"/>
  <c r="CH22" i="1"/>
  <c r="AY58" i="1"/>
  <c r="GN24" i="1"/>
  <c r="R22" i="1"/>
  <c r="R102" i="1"/>
  <c r="F72" i="1"/>
  <c r="BA18" i="1"/>
  <c r="F122" i="1"/>
  <c r="W18" i="1"/>
  <c r="F126" i="1"/>
  <c r="GM39" i="1"/>
  <c r="GN39" i="1" s="1"/>
  <c r="S102" i="1"/>
  <c r="GM55" i="1"/>
  <c r="GN55" i="1" s="1"/>
  <c r="Q22" i="1"/>
  <c r="F70" i="1"/>
  <c r="F88" i="1" s="1"/>
  <c r="Q102" i="1"/>
  <c r="GM38" i="1"/>
  <c r="GN38" i="1" s="1"/>
  <c r="U18" i="1"/>
  <c r="F124" i="1"/>
  <c r="S22" i="1" l="1"/>
  <c r="L351" i="7"/>
  <c r="L422" i="7" s="1"/>
  <c r="L369" i="7"/>
  <c r="X58" i="1"/>
  <c r="X102" i="1" s="1"/>
  <c r="Y58" i="1"/>
  <c r="J16" i="2"/>
  <c r="F87" i="1"/>
  <c r="S18" i="1"/>
  <c r="F117" i="1"/>
  <c r="F131" i="1" s="1"/>
  <c r="R18" i="1"/>
  <c r="F116" i="1"/>
  <c r="AW22" i="1"/>
  <c r="AW102" i="1"/>
  <c r="F64" i="1"/>
  <c r="F89" i="1" s="1"/>
  <c r="CA58" i="1"/>
  <c r="CB58" i="1"/>
  <c r="Y22" i="1"/>
  <c r="Y102" i="1"/>
  <c r="F85" i="1"/>
  <c r="F92" i="1" s="1"/>
  <c r="P18" i="1"/>
  <c r="F105" i="1"/>
  <c r="Q18" i="1"/>
  <c r="F114" i="1"/>
  <c r="F132" i="1" s="1"/>
  <c r="AY22" i="1"/>
  <c r="AY102" i="1"/>
  <c r="F66" i="1"/>
  <c r="AV22" i="1"/>
  <c r="F63" i="1"/>
  <c r="AV102" i="1"/>
  <c r="X22" i="1"/>
  <c r="AB22" i="1"/>
  <c r="O58" i="1"/>
  <c r="F84" i="1" l="1"/>
  <c r="F91" i="1" s="1"/>
  <c r="AW18" i="1"/>
  <c r="F108" i="1"/>
  <c r="F133" i="1" s="1"/>
  <c r="Y18" i="1"/>
  <c r="F129" i="1"/>
  <c r="F136" i="1" s="1"/>
  <c r="AV18" i="1"/>
  <c r="F107" i="1"/>
  <c r="O22" i="1"/>
  <c r="O102" i="1"/>
  <c r="F60" i="1"/>
  <c r="AY18" i="1"/>
  <c r="F110" i="1"/>
  <c r="CB22" i="1"/>
  <c r="AS58" i="1"/>
  <c r="CA22" i="1"/>
  <c r="AR58" i="1"/>
  <c r="X18" i="1"/>
  <c r="F128" i="1"/>
  <c r="F135" i="1" s="1"/>
  <c r="O18" i="1" l="1"/>
  <c r="F104" i="1"/>
  <c r="AR22" i="1"/>
  <c r="F86" i="1"/>
  <c r="F94" i="1" s="1"/>
  <c r="AR102" i="1"/>
  <c r="AS22" i="1"/>
  <c r="AS102" i="1"/>
  <c r="F75" i="1"/>
  <c r="E16" i="2" l="1"/>
  <c r="I16" i="2" s="1"/>
  <c r="N16" i="2" s="1"/>
  <c r="C48" i="7"/>
  <c r="C45" i="7" s="1"/>
  <c r="AR18" i="1"/>
  <c r="F130" i="1"/>
  <c r="F138" i="1" s="1"/>
  <c r="AS18" i="1"/>
  <c r="F119" i="1"/>
  <c r="F95" i="1"/>
  <c r="F96" i="1" s="1"/>
  <c r="F97" i="1" l="1"/>
  <c r="F98" i="1" s="1"/>
  <c r="F100" i="1" s="1"/>
  <c r="F139" i="1"/>
  <c r="F140" i="1" s="1"/>
</calcChain>
</file>

<file path=xl/sharedStrings.xml><?xml version="1.0" encoding="utf-8"?>
<sst xmlns="http://schemas.openxmlformats.org/spreadsheetml/2006/main" count="4771" uniqueCount="640">
  <si>
    <t>Smeta.RU  (495) 974-1589</t>
  </si>
  <si>
    <t>_PS_</t>
  </si>
  <si>
    <t>Smeta.RU</t>
  </si>
  <si>
    <t/>
  </si>
  <si>
    <t>Новый объект</t>
  </si>
  <si>
    <t>Ремонт входной группы ОПС 428017 Чебоксары</t>
  </si>
  <si>
    <t>Сметные нормы списания</t>
  </si>
  <si>
    <t>Коды ценников</t>
  </si>
  <si>
    <t>ФСНБ-2022_И17</t>
  </si>
  <si>
    <t>Версия 1.17.0 для ФСНБ-2022 И17</t>
  </si>
  <si>
    <t>ФСНБ-2022 - Изменения И17</t>
  </si>
  <si>
    <t>Поправки для ФСНБ-2022 от 25.02.2026 г И17 (55/пр) Капитальный ремонт жилых и общественных зданий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</si>
  <si>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</si>
  <si>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</si>
  <si>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Чувашская Республика - Чувашия</t>
  </si>
  <si>
    <t>Новая локальная смета</t>
  </si>
  <si>
    <t>1</t>
  </si>
  <si>
    <t>57-01-002-08</t>
  </si>
  <si>
    <t>Разборка покрытий полов: из керамогранитных плит</t>
  </si>
  <si>
    <t>100 м2</t>
  </si>
  <si>
    <t>ГЭСНр-2022 доп.3, 57-01-002-08, приказ Минстроя России от 26.10.2022 г. № 905/пр</t>
  </si>
  <si>
    <t>Ремонтно-строительные работы</t>
  </si>
  <si>
    <t>Полы</t>
  </si>
  <si>
    <t>рФЕР-57</t>
  </si>
  <si>
    <t>Пр/812-091.0-1</t>
  </si>
  <si>
    <t>Пр/774-091.0</t>
  </si>
  <si>
    <t>1,1</t>
  </si>
  <si>
    <t>999-9900</t>
  </si>
  <si>
    <t>Строительный мусор</t>
  </si>
  <si>
    <t>т</t>
  </si>
  <si>
    <t>2</t>
  </si>
  <si>
    <t>46-04-003-05</t>
  </si>
  <si>
    <t>Разборка бетонных конструкций объемом более 1 м3 при помощи отбойных молотков из бетона марки: 300</t>
  </si>
  <si>
    <t>м3</t>
  </si>
  <si>
    <t>ГЭСН-2022 доп.3, 46-04-003-05, приказ Минстроя России от 26.10.2022 г. № 905/пр</t>
  </si>
  <si>
    <t>Общестроительные работы</t>
  </si>
  <si>
    <t>Работы по реконструкции зданий и сооружений</t>
  </si>
  <si>
    <t>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</si>
  <si>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ФЕР-46</t>
  </si>
  <si>
    <t>Пр/812-040.2-1</t>
  </si>
  <si>
    <t>Пр/774-040.2</t>
  </si>
  <si>
    <t>3</t>
  </si>
  <si>
    <t>06-01-001-01</t>
  </si>
  <si>
    <t>Устройство бетонной подготовки</t>
  </si>
  <si>
    <t>100 м3</t>
  </si>
  <si>
    <t>ГЭСН-2022 доп.5, 06-01-001-01, приказ Минстроя России от 10.02.2023 г. № 84/пр</t>
  </si>
  <si>
    <t>*1,25</t>
  </si>
  <si>
    <t>*1,15</t>
  </si>
  <si>
    <t>*0,9</t>
  </si>
  <si>
    <t>*0,85</t>
  </si>
  <si>
    <t>Бетонные и железобетонные монолитные конструкции и работы в строительстве</t>
  </si>
  <si>
    <t>ФЕР-06</t>
  </si>
  <si>
    <t>Поправка: 421/пр_2020_п.58_пп.б</t>
  </si>
  <si>
    <t>Пр/812-006.0-1</t>
  </si>
  <si>
    <t>Пр/774-006.0</t>
  </si>
  <si>
    <t>3,1</t>
  </si>
  <si>
    <t>04.1.02.05-0136</t>
  </si>
  <si>
    <t>Смеси бетонные тяжелого бетона (БСТ) на щебне из гравия, класс В20, F(1)100, W4</t>
  </si>
  <si>
    <t>ФСБЦ-2022 доп.14, 04.1.02.05-0136, приказ Минстроя России от 19.05.2025 г. № 299/пр</t>
  </si>
  <si>
    <t>4</t>
  </si>
  <si>
    <t>11-01-047-01</t>
  </si>
  <si>
    <t>Устройство покрытий из плит керамогранитных размером: 40х40 см</t>
  </si>
  <si>
    <t>ГЭСН-2022, 11-01-047-01, приказ Минстроя России от 18.05.2022 г. № 378/пр</t>
  </si>
  <si>
    <t>ФЕР-11</t>
  </si>
  <si>
    <t>Пр/812-011.0-1</t>
  </si>
  <si>
    <t>Пр/774-011.0</t>
  </si>
  <si>
    <t>4,1</t>
  </si>
  <si>
    <t>06.2.05.03-0002</t>
  </si>
  <si>
    <t>Плитка керамогранитная, неполированная, многоцветная, толщина 10 мм</t>
  </si>
  <si>
    <t>м2</t>
  </si>
  <si>
    <t>ФСБЦ-2022, 06.2.05.03-0002, приказ Минстроя России от 18.05.2022 г. № 378/пр</t>
  </si>
  <si>
    <t>4,2</t>
  </si>
  <si>
    <t>11.2.04.05-0001</t>
  </si>
  <si>
    <t>Рейка строганная сухая хвойных пород (ель, сосна), длина 2-3 м, размеры 8х18 мм</t>
  </si>
  <si>
    <t>ФСБЦ-2022, 11.2.04.05-0001, приказ Минстроя России от 18.05.2022 г. № 378/пр</t>
  </si>
  <si>
    <t>4,3</t>
  </si>
  <si>
    <t>14.1.06.02-0002</t>
  </si>
  <si>
    <t>Клей монтажный сухой для внутренних и наружных работ на основе цементного вяжущего, для плитки</t>
  </si>
  <si>
    <t>ФСБЦ-2022, 14.1.06.02-0002, приказ Минстроя России от 18.05.2022 г. № 378/пр</t>
  </si>
  <si>
    <t>4,4</t>
  </si>
  <si>
    <t>14.4.01.21-0314</t>
  </si>
  <si>
    <t>Грунтовка с высокой степенью проникновения для укрепления бетонных поверхностей</t>
  </si>
  <si>
    <t>кг</t>
  </si>
  <si>
    <t>ФСБЦ-2022, 14.4.01.21-0314, приказ Минстроя России от 18.05.2022 г. № 378/пр</t>
  </si>
  <si>
    <t>5</t>
  </si>
  <si>
    <t>11-01-039-06</t>
  </si>
  <si>
    <t>Устройство плинтусов: из плиток керамогранитных</t>
  </si>
  <si>
    <t>100 м</t>
  </si>
  <si>
    <t>ГЭСН-2022 доп.8, 11-01-039-06, приказ Минстроя России от 14.11.2023 г. № 817/пр</t>
  </si>
  <si>
    <t>5,1</t>
  </si>
  <si>
    <t>04.3.02.09-0102</t>
  </si>
  <si>
    <t>Смеси сухие водостойкие для затирки межплиточных швов шириной 1-6 мм (различная цветовая гамма)</t>
  </si>
  <si>
    <t>ФСБЦ-2022, 04.3.02.09-0102, приказ Минстроя России от 18.05.2022 г. № 378/пр</t>
  </si>
  <si>
    <t>5,2</t>
  </si>
  <si>
    <t>5,3</t>
  </si>
  <si>
    <t>6</t>
  </si>
  <si>
    <t>07-05-016-04</t>
  </si>
  <si>
    <t>Устройство металлических ограждений: без поручней (разборка)</t>
  </si>
  <si>
    <t>ГЭСН-2022 доп.14, 07-05-016-04, приказ Минстроя России от 19.05.2025 г. № 299/пр</t>
  </si>
  <si>
    <t>Поправка: 571/пр_2022_п.83_т.2_стр.4_стб.3
Наименование: Разборка и (или) демонтаж строительных конструкций, систем и сетей инженерно-технического обеспечения, в том числе их элементов: металлических, металлокомпозитных, композитных конструкций</t>
  </si>
  <si>
    <t>*0</t>
  </si>
  <si>
    <t>*0,7</t>
  </si>
  <si>
    <t>Бетонные и железобетонные сборные конструкции и работы в строительстве</t>
  </si>
  <si>
    <t>Бетонные и железобетонные сборные конструкции и работы в строительстве жилых, общественных и административно-бытовых зданий промышленных предприятий</t>
  </si>
  <si>
    <t>ФЕР-07</t>
  </si>
  <si>
    <t>Поправка: 571/пр_2022_п.83_т.2_стр.4_стб.3</t>
  </si>
  <si>
    <t>Пр/812-007.1-1</t>
  </si>
  <si>
    <t>Пр/774-007.1</t>
  </si>
  <si>
    <t>7</t>
  </si>
  <si>
    <t>Устройство металлических ограждений: без поручней</t>
  </si>
  <si>
    <t>7,1</t>
  </si>
  <si>
    <t>07.2.05.01-0023</t>
  </si>
  <si>
    <t>Ограждение металлическое пандуса и площадки (прим.)</t>
  </si>
  <si>
    <t>м</t>
  </si>
  <si>
    <t>ФСБЦ-2022, 07.2.05.01-0023, приказ Минстроя России от 18.05.2022 г. № 378/пр</t>
  </si>
  <si>
    <t>8</t>
  </si>
  <si>
    <t>10-01-049-03</t>
  </si>
  <si>
    <t>Установка: в готовые гнезда врезных дверных замков с ручками</t>
  </si>
  <si>
    <t>10 ШТ</t>
  </si>
  <si>
    <t>ГЭСН-2022, 10-01-049-03, приказ Минстроя России от 18.05.2022 г. № 378/пр</t>
  </si>
  <si>
    <t>Деревянные конструкции</t>
  </si>
  <si>
    <t>ФЕР-10</t>
  </si>
  <si>
    <t>Пр/812-010.0-1</t>
  </si>
  <si>
    <t>Пр/774-010.0</t>
  </si>
  <si>
    <t>8,1</t>
  </si>
  <si>
    <t>01.7.04.04-0011</t>
  </si>
  <si>
    <t>Замок врезной, тип ЗВ4, с цилиндровым механизмом</t>
  </si>
  <si>
    <t>КОМПЛ</t>
  </si>
  <si>
    <t>ФСБЦ-2022, 01.7.04.04-0011, приказ Минстроя России от 18.05.2022 г. № 378/пр</t>
  </si>
  <si>
    <t>9</t>
  </si>
  <si>
    <t>09-04-012-02</t>
  </si>
  <si>
    <t>Снятие дверного доводчика к металлическим дверям</t>
  </si>
  <si>
    <t>ШТ</t>
  </si>
  <si>
    <t>ГЭСН-2022 доп.3, 09-04-012-02, приказ Минстроя России от 26.10.2022 г. № 905/пр</t>
  </si>
  <si>
    <t>Строительные металлические конструкции</t>
  </si>
  <si>
    <t>ФЕР-09</t>
  </si>
  <si>
    <t>Пр/812-009.0-1</t>
  </si>
  <si>
    <t>Пр/774-009.0</t>
  </si>
  <si>
    <t>10</t>
  </si>
  <si>
    <t>Установка дверного доводчика к металлическим дверям</t>
  </si>
  <si>
    <t>10,1</t>
  </si>
  <si>
    <t>01.7.04.01-1006</t>
  </si>
  <si>
    <t>Доводчик дверной рычажный для распашных дверей шириной до 1250 мм, масса двери до 120 кг</t>
  </si>
  <si>
    <t>ФСБЦ-2022 доп.3, 01.7.04.01-1006, приказ Минстроя России от 26.10.2022 г. № 905/пр</t>
  </si>
  <si>
    <t>11</t>
  </si>
  <si>
    <t>53-01-020-42</t>
  </si>
  <si>
    <t>Оклеивание кромок стыков полиэтиленовой лентой при герметизации стыков</t>
  </si>
  <si>
    <t>ГЭСНр-2022 доп.17, 53-01-020-42, приказ Минстроя России от 17.02.2026 г. № 91/пр</t>
  </si>
  <si>
    <t>Стены</t>
  </si>
  <si>
    <t>рФЕР-53</t>
  </si>
  <si>
    <t>Пр/812-087.0-1</t>
  </si>
  <si>
    <t>Пр/774-087.0</t>
  </si>
  <si>
    <t>11,1</t>
  </si>
  <si>
    <t>01.7.06.03-1014</t>
  </si>
  <si>
    <t>Полоса с самоклеящимся слоем и антиадгезионной пленкой, ширина 30 мм, высота 60 мм</t>
  </si>
  <si>
    <t>10 м</t>
  </si>
  <si>
    <t>ФСБЦ-2022, 01.7.06.03-1014, приказ Минстроя России от 18.05.2022 г. № 378/пр</t>
  </si>
  <si>
    <t>12</t>
  </si>
  <si>
    <t>11-01-038-05</t>
  </si>
  <si>
    <t>Устройство покрытий из плиток поливинилхлоридных: размером 500х500 мм на клее</t>
  </si>
  <si>
    <t>100 ШТ</t>
  </si>
  <si>
    <t>ГЭСН-2022 доп.3, 11-01-038-05, приказ Минстроя России от 26.10.2022 г. № 905/пр</t>
  </si>
  <si>
    <t>12,1</t>
  </si>
  <si>
    <t>01.6.03.01-1000</t>
  </si>
  <si>
    <t>Плитки из ПВХ, размеры 500х500 мм, толщина 5 мм</t>
  </si>
  <si>
    <t>ФСБЦ-2022 доп.3, 01.6.03.01-1000, приказ Минстроя России от 26.10.2022 г. № 905/пр</t>
  </si>
  <si>
    <t>12,2</t>
  </si>
  <si>
    <t>14.1.02.04-0102</t>
  </si>
  <si>
    <t>Клей для укладки ПВХ-покрытий</t>
  </si>
  <si>
    <t>ФСБЦ-2022, 14.1.02.04-0102, приказ Минстроя России от 18.05.2022 г. № 378/пр</t>
  </si>
  <si>
    <t>12,3</t>
  </si>
  <si>
    <t>14.4.01.02-0212</t>
  </si>
  <si>
    <t>Грунтовка акриловая АК-070</t>
  </si>
  <si>
    <t>ФСБЦ-2022, 14.4.01.02-0212, приказ Минстроя России от 18.05.2022 г. № 378/пр</t>
  </si>
  <si>
    <t>13</t>
  </si>
  <si>
    <t>62-04-005-05</t>
  </si>
  <si>
    <t>Очистка вручную поверхности стен от перхлорвиниловых и масляных красок</t>
  </si>
  <si>
    <t>ГЭСНр-2022, 62-04-005-05, приказ Минстроя России от 18.05.2022 г. № 378/пр</t>
  </si>
  <si>
    <t>Малярные работы</t>
  </si>
  <si>
    <t>рФЕР-62</t>
  </si>
  <si>
    <t>Пр/812-096.0-1</t>
  </si>
  <si>
    <t>Пр/774-096.0</t>
  </si>
  <si>
    <t>14</t>
  </si>
  <si>
    <t>15-04-006-03</t>
  </si>
  <si>
    <t>Покрытие поверхностей грунтовкой глубокого проникновения: за 1 раз стен</t>
  </si>
  <si>
    <t>ГЭСН-2022, 15-04-006-03, приказ Минстроя России от 18.05.2022 г. № 378/пр</t>
  </si>
  <si>
    <t>Отделочные работы</t>
  </si>
  <si>
    <t>ФЕР-15</t>
  </si>
  <si>
    <t>Пр/812-015.0-1</t>
  </si>
  <si>
    <t>Пр/774-015.0</t>
  </si>
  <si>
    <t>14,1</t>
  </si>
  <si>
    <t>14.3.01.03-0001</t>
  </si>
  <si>
    <t>Состав грунтовочный глубокого проникновения</t>
  </si>
  <si>
    <t>ФСБЦ-2022, 14.3.01.03-0001, приказ Минстроя России от 18.05.2022 г. № 378/пр</t>
  </si>
  <si>
    <t>15</t>
  </si>
  <si>
    <t>15-04-005-03</t>
  </si>
  <si>
    <t>Окраска поливинилацетатными водоэмульсионными составами улучшенная: по штукатурке стен</t>
  </si>
  <si>
    <t>ГЭСН-2022, 15-04-005-03, приказ Минстроя России от 18.05.2022 г. № 378/пр</t>
  </si>
  <si>
    <t>15,1</t>
  </si>
  <si>
    <t>14.3.02.01-0362</t>
  </si>
  <si>
    <t>Краска водно-дисперсионная акрилатная ВД-АК-104</t>
  </si>
  <si>
    <t>ФСБЦ-2022, 14.3.02.01-0362, приказ Минстроя России от 18.05.2022 г. № 378/пр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</si>
  <si>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</si>
  <si>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</si>
  <si>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</si>
  <si>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</si>
  <si>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</si>
  <si>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</si>
  <si>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</si>
  <si>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</si>
  <si>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</si>
  <si>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</si>
  <si>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</si>
  <si>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</si>
  <si>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</si>
  <si>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</si>
  <si>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</si>
  <si>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</si>
  <si>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</si>
  <si>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</si>
  <si>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</si>
  <si>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</si>
  <si>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</si>
  <si>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</si>
  <si>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</si>
  <si>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</si>
  <si>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</si>
  <si>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</si>
  <si>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</si>
  <si>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</si>
  <si>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</si>
  <si>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</si>
  <si>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</si>
  <si>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</si>
  <si>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</si>
  <si>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</si>
  <si>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</si>
  <si>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</si>
  <si>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</si>
  <si>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</si>
  <si>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</si>
  <si>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</si>
  <si>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</si>
  <si>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</si>
  <si>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</si>
  <si>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</si>
  <si>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</si>
  <si>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</si>
  <si>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</si>
  <si>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</si>
  <si>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</si>
  <si>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</si>
  <si>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</si>
  <si>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</si>
  <si>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</si>
  <si>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</si>
  <si>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З</t>
  </si>
  <si>
    <t>ОТ</t>
  </si>
  <si>
    <t>Э</t>
  </si>
  <si>
    <t>ЭМ, в т.ч. ОТм</t>
  </si>
  <si>
    <t>М</t>
  </si>
  <si>
    <t>Стоимость материальных ресурсов</t>
  </si>
  <si>
    <t>О</t>
  </si>
  <si>
    <t>Стоимость оборудования</t>
  </si>
  <si>
    <t>Н</t>
  </si>
  <si>
    <t>С</t>
  </si>
  <si>
    <t>СП</t>
  </si>
  <si>
    <t>ПГ</t>
  </si>
  <si>
    <t>В</t>
  </si>
  <si>
    <t>Непредвиденные затраты 2%</t>
  </si>
  <si>
    <t>Итого с непредвиденными затратами</t>
  </si>
  <si>
    <t>НДС</t>
  </si>
  <si>
    <t>НДС 22%</t>
  </si>
  <si>
    <t>И</t>
  </si>
  <si>
    <t>Итого с НДС</t>
  </si>
  <si>
    <t>д.б.</t>
  </si>
  <si>
    <t>р</t>
  </si>
  <si>
    <t>НДС 20%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</si>
  <si>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</si>
  <si>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</si>
  <si>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</si>
  <si>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</si>
  <si>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</si>
  <si>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</si>
  <si>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</si>
  <si>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</si>
  <si>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</si>
  <si>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</si>
  <si>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</si>
  <si>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</si>
  <si>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</si>
  <si>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</si>
  <si>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</si>
  <si>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</si>
  <si>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</si>
  <si>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</si>
  <si>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</si>
  <si>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</si>
  <si>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</si>
  <si>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</si>
  <si>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</si>
  <si>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</si>
  <si>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</si>
  <si>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</si>
  <si>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</si>
  <si>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</si>
  <si>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</si>
  <si>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</si>
  <si>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</si>
  <si>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</si>
  <si>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</si>
  <si>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</si>
  <si>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</si>
  <si>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</si>
  <si>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</si>
  <si>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</si>
  <si>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</si>
  <si>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</si>
  <si>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</si>
  <si>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</si>
  <si>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</si>
  <si>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</si>
  <si>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</si>
  <si>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</si>
  <si>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</si>
  <si>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</si>
  <si>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</si>
  <si>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</si>
  <si>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</si>
  <si>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</si>
  <si>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</si>
  <si>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</si>
  <si>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</si>
  <si>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</si>
  <si>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</si>
  <si>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</si>
  <si>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</si>
  <si>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</si>
  <si>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</si>
  <si>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</si>
  <si>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</si>
  <si>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</si>
  <si>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</si>
  <si>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</si>
  <si>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</si>
  <si>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Вид цен</t>
  </si>
  <si>
    <t>Чувашская Республика, КТЦ к ФСНБ-2022, 1 квартал 2026 г</t>
  </si>
  <si>
    <t>Сборник индексов</t>
  </si>
  <si>
    <t>Чувашская Республика к ФСНБ-2022 ФГИС ЦС</t>
  </si>
  <si>
    <t>Письмо Минстроя России  «О размещении индексов изменения сметной стоимости строительства по группам однородных строительных ресурсов на I квартал 2026 года»</t>
  </si>
  <si>
    <t>Справочная информация</t>
  </si>
  <si>
    <t>Письмо Минстроя России от 25.02.2026 № 9859-ИФ/09</t>
  </si>
  <si>
    <t>Постановление Кабинета Министров Чувашской Республики</t>
  </si>
  <si>
    <t>Постановление Кабинета Министров Чувашской Республики от 22.04.2025 г. № 213</t>
  </si>
  <si>
    <t>_OBSM_</t>
  </si>
  <si>
    <t>1-100-28</t>
  </si>
  <si>
    <t>Средний разряд работы 2,8</t>
  </si>
  <si>
    <t>чел.-ч.</t>
  </si>
  <si>
    <t>4-100-00</t>
  </si>
  <si>
    <t>Затраты труда машинистов</t>
  </si>
  <si>
    <t>91.06.06-048</t>
  </si>
  <si>
    <t>ФСЭМ-2022, 91.06.06-048, приказ Минстроя России от 18.05.2022 г. № 378/пр</t>
  </si>
  <si>
    <t>Подъемники одномачтовые, грузоподъемность до 500 кг, высота подъема 45 м</t>
  </si>
  <si>
    <t>маш.-ч</t>
  </si>
  <si>
    <t>4-100-030</t>
  </si>
  <si>
    <t>1-100-30</t>
  </si>
  <si>
    <t>Средний разряд работы 3,0</t>
  </si>
  <si>
    <t>91.18.01-508</t>
  </si>
  <si>
    <t>ФСЭМ-2022 доп.3, 91.18.01-508, приказ Минстроя России от 26.10.2022 г. № 905/пр</t>
  </si>
  <si>
    <t>Компрессоры винтовые передвижные с электродвигателем, давление до 1 МПа (10 атм), производительность до 5 м3/мин</t>
  </si>
  <si>
    <t>91.21.10-002</t>
  </si>
  <si>
    <t>ФСЭМ-2022, 91.21.10-002, приказ Минстроя России от 18.05.2022 г. № 378/пр</t>
  </si>
  <si>
    <t>Молотки отбойные пневматические при работе от передвижных компрессоров</t>
  </si>
  <si>
    <t>1-100-20</t>
  </si>
  <si>
    <t>Средний разряд работы 2,0</t>
  </si>
  <si>
    <t>91.05.01-017</t>
  </si>
  <si>
    <t>ФСЭМ-2022 доп.3, 91.05.01-017, приказ Минстроя России от 26.10.2022 г. № 905/пр</t>
  </si>
  <si>
    <t>Краны башенные, грузоподъемность 8 т</t>
  </si>
  <si>
    <t>4-100-060</t>
  </si>
  <si>
    <t>91.07.04-002</t>
  </si>
  <si>
    <t>ФСЭМ-2022 доп.4, 91.07.04-002, приказ Минстроя России от 27.12.2022 г. № 1133/пр</t>
  </si>
  <si>
    <t>Вибраторы поверхностные</t>
  </si>
  <si>
    <t>91.14.02-001</t>
  </si>
  <si>
    <t>ФСЭМ-2022 доп.7, 91.14.02-001, приказ Минстроя России от 02.08.2023 г. № 551/пр</t>
  </si>
  <si>
    <t>Автомобили бортовые, грузоподъемность до 5 т</t>
  </si>
  <si>
    <t>4-100-040</t>
  </si>
  <si>
    <t>01.7.03.01-0001</t>
  </si>
  <si>
    <t>ФСБЦ-2022, 01.7.03.01-0001, приказ Минстроя России от 18.05.2022 г. № 378/пр</t>
  </si>
  <si>
    <t>Вода</t>
  </si>
  <si>
    <t>01.7.07.12-0024</t>
  </si>
  <si>
    <t>ФСБЦ-2022, 01.7.07.12-0024, приказ Минстроя России от 18.05.2022 г. № 378/пр</t>
  </si>
  <si>
    <t>Пленка полиэтиленовая, толщина 0,15 мм</t>
  </si>
  <si>
    <t>1-100-32</t>
  </si>
  <si>
    <t>Средний разряд работы 3,2</t>
  </si>
  <si>
    <t>91.05.01-016</t>
  </si>
  <si>
    <t>ФСЭМ-2022, 91.05.01-016, приказ Минстроя России от 18.05.2022 г. № 378/пр</t>
  </si>
  <si>
    <t>Краны башенные, грузоподъемность 5 т</t>
  </si>
  <si>
    <t>91.05.05-015</t>
  </si>
  <si>
    <t>ФСЭМ-2022, 91.05.05-015, приказ Минстроя России от 18.05.2022 г. № 378/пр</t>
  </si>
  <si>
    <t>Краны на автомобильном ходу, грузоподъемность 16 т</t>
  </si>
  <si>
    <t>91.07.08-024</t>
  </si>
  <si>
    <t>ФСЭМ-2022, 91.07.08-024, приказ Минстроя России от 18.05.2022 г. № 378/пр</t>
  </si>
  <si>
    <t>Растворосмесители передвижные, объем барабана 65 л</t>
  </si>
  <si>
    <t>01.7.03.04-0001</t>
  </si>
  <si>
    <t>ФСБЦ-2022, 01.7.03.04-0001, приказ Минстроя России от 18.05.2022 г. № 378/пр</t>
  </si>
  <si>
    <t>Электроэнергия</t>
  </si>
  <si>
    <t>КВТ-Ч</t>
  </si>
  <si>
    <t>1-100-38</t>
  </si>
  <si>
    <t>Средний разряд работы 3,8</t>
  </si>
  <si>
    <t>91.17.04-233</t>
  </si>
  <si>
    <t>ФСЭМ-2022, 91.17.04-233, приказ Минстроя России от 18.05.2022 г. № 378/пр</t>
  </si>
  <si>
    <t>Аппараты сварочные для ручной дуговой сварки, сварочный ток до 350 А</t>
  </si>
  <si>
    <t>01.7.11.07-0054</t>
  </si>
  <si>
    <t>ФСБЦ-2022, 01.7.11.07-0054, приказ Минстроя России от 18.05.2022 г. № 378/пр</t>
  </si>
  <si>
    <t>Электроды сварочные для сварки низколегированных и углеродистых сталей АНО-6, Э42, диаметр 6 мм</t>
  </si>
  <si>
    <t>03.2.01.01-0001</t>
  </si>
  <si>
    <t>ФСБЦ-2022 доп.14, 03.2.01.01-0001, приказ Минстроя России от 19.05.2025 г. № 299/пр</t>
  </si>
  <si>
    <t>Портландцемент бездобавочный общестроительный ЦЕМ 0 32,5Н</t>
  </si>
  <si>
    <t>1-100-40</t>
  </si>
  <si>
    <t>Средний разряд работы 4,0</t>
  </si>
  <si>
    <t>01.7.20.08-0051</t>
  </si>
  <si>
    <t>ФСБЦ-2022 доп.8, 01.7.20.08-0051, приказ Минстроя России от 14.11.2023 г. № 817/пр</t>
  </si>
  <si>
    <t>Ветошь хлопчатобумажная цветная</t>
  </si>
  <si>
    <t>1-100-42</t>
  </si>
  <si>
    <t>Средний разряд работы 4,2</t>
  </si>
  <si>
    <t>01.7.11.07-0227</t>
  </si>
  <si>
    <t>ФСБЦ-2022, 01.7.11.07-0227, приказ Минстроя России от 18.05.2022 г. № 378/пр</t>
  </si>
  <si>
    <t>Электроды сварочные для сварки низколегированных и углеродистых сталей УОНИ 13/45, Э42А, диаметр 4-5 мм</t>
  </si>
  <si>
    <t>01.7.15.14-1046</t>
  </si>
  <si>
    <t>ФСБЦ-2022 доп.12, 01.7.15.14-1046, приказ Минстроя России от 07.11.2024 г. № 747/пр</t>
  </si>
  <si>
    <t>Шурупы самонарезающие стальные оцинкованные кровельные с шестигранной головкой и шайбой, наконечник сверло, диаметр 4,8 мм, длина 35 мм</t>
  </si>
  <si>
    <t>1-100-45</t>
  </si>
  <si>
    <t>Средний разряд работы 4,5</t>
  </si>
  <si>
    <t>1-100-34</t>
  </si>
  <si>
    <t>Средний разряд работы 3,4</t>
  </si>
  <si>
    <t>91.21.22-638</t>
  </si>
  <si>
    <t>ФСЭМ-2022, 91.21.22-638, приказ Минстроя России от 18.05.2022 г. № 378/пр</t>
  </si>
  <si>
    <t>Пылесосы промышленные, мощность до 2000 Вт</t>
  </si>
  <si>
    <t>01.7.17.11-0011</t>
  </si>
  <si>
    <t>ФСБЦ-2022, 01.7.17.11-0011, приказ Минстроя России от 18.05.2022 г. № 378/пр</t>
  </si>
  <si>
    <t>Шкурка шлифовальная двухслойная с зернистостью 40-25</t>
  </si>
  <si>
    <t>14.5.11.01-0001</t>
  </si>
  <si>
    <t>ФСБЦ-2022, 14.5.11.01-0001, приказ Минстроя России от 18.05.2022 г. № 378/пр</t>
  </si>
  <si>
    <t>Шпатлевка клеевая</t>
  </si>
  <si>
    <t>04.1.02.05</t>
  </si>
  <si>
    <t>Смеси бетонные тяжелого бетона</t>
  </si>
  <si>
    <t>06.2.05.03</t>
  </si>
  <si>
    <t>Плиты керамогранитные 400х400 мм</t>
  </si>
  <si>
    <t>11.2.04.05</t>
  </si>
  <si>
    <t>Рейки деревянные</t>
  </si>
  <si>
    <t>14.1.06.02</t>
  </si>
  <si>
    <t>Клей для облицовочных работ (сухая смесь)</t>
  </si>
  <si>
    <t>14.4.01.21</t>
  </si>
  <si>
    <t>Грунтовка</t>
  </si>
  <si>
    <t>04.3.02.09</t>
  </si>
  <si>
    <t>Смесь сухая для заделки швов</t>
  </si>
  <si>
    <t>Плиты керамогранитные</t>
  </si>
  <si>
    <t>07.2.05.01</t>
  </si>
  <si>
    <t>Ограждения лестничных проемов</t>
  </si>
  <si>
    <t>01.7.04.04</t>
  </si>
  <si>
    <t>Замки врезные</t>
  </si>
  <si>
    <t>01.7.04.01</t>
  </si>
  <si>
    <t>Доводчики дверные</t>
  </si>
  <si>
    <t>01.7.06.03</t>
  </si>
  <si>
    <t>Ленты полиэтиленовые</t>
  </si>
  <si>
    <t>01.6.03.01</t>
  </si>
  <si>
    <t>Плитка тактильная поливинилхлоридная</t>
  </si>
  <si>
    <t>14.1.02.04</t>
  </si>
  <si>
    <t>Состав клеящий</t>
  </si>
  <si>
    <t>14.4.01.02</t>
  </si>
  <si>
    <t>Грунтовки на акриловой основе</t>
  </si>
  <si>
    <t>14.3.01.03</t>
  </si>
  <si>
    <t>14.3.02.01</t>
  </si>
  <si>
    <t>Краска водоэмульсионная</t>
  </si>
  <si>
    <t>421/пр_2020_п.58_пп.б</t>
  </si>
  <si>
    <t>Методика 421/пр (О.П.)</t>
  </si>
  <si>
    <t>571/пр_2022_п.83_т.2_стр.4_стб.3</t>
  </si>
  <si>
    <t>Разборка и (или) демонтаж строительных конструкций, систем и сетей инженерно-технического обеспечения, в том числе их элементов: металлических, металлокомпозитных, композитных конструкций</t>
  </si>
  <si>
    <t>Методика применения сметных норм 571/пр (О.П.)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</si>
  <si>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</si>
  <si>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</t>
  </si>
  <si>
    <t>Поправка: 421/пр_2020_п.58_пп.б
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</t>
  </si>
  <si>
    <t>Наименование программного продукта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</si>
  <si>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</si>
  <si>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</si>
  <si>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</si>
  <si>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</si>
  <si>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Обоснование принятых текущих цен на строительные ресурсы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</si>
  <si>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</si>
  <si>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</si>
  <si>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</si>
  <si>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</si>
  <si>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</si>
  <si>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</si>
  <si>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методом</t>
  </si>
  <si>
    <t>Основание</t>
  </si>
  <si>
    <t>(проектная и (или) иная техническая документация)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</si>
  <si>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</si>
  <si>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</si>
  <si>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</si>
  <si>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</si>
  <si>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</si>
  <si>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</si>
  <si>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</si>
  <si>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</si>
  <si>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</si>
  <si>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</si>
  <si>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</si>
  <si>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</si>
  <si>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</si>
  <si>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</si>
  <si>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</si>
  <si>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</si>
  <si>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</si>
  <si>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</si>
  <si>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</si>
  <si>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</si>
  <si>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</si>
  <si>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</si>
  <si>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</si>
  <si>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</si>
  <si>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Программа для ЭВМ «Программа: «Smeta.RU» версия 12»</t>
  </si>
  <si>
    <t>ФГИС ЦС, конъюнктурный анализ</t>
  </si>
  <si>
    <t>Ресурсно-индексным</t>
  </si>
  <si>
    <t>Составлен(а) в текущем уровне цен на март 2026 года</t>
  </si>
  <si>
    <t>ГЭСНр 57-01-002-08</t>
  </si>
  <si>
    <t>ОТ (ЗТ)</t>
  </si>
  <si>
    <t>ЭМ</t>
  </si>
  <si>
    <t>ОТм(ЗТм) Средний разряд машинистов 3</t>
  </si>
  <si>
    <t>ОТм(ЗТм)</t>
  </si>
  <si>
    <t>Итого прямые затраты</t>
  </si>
  <si>
    <t>1.1</t>
  </si>
  <si>
    <t>ФОТ</t>
  </si>
  <si>
    <t>НР Полы</t>
  </si>
  <si>
    <t>%</t>
  </si>
  <si>
    <t>СП Полы</t>
  </si>
  <si>
    <t>Всего по позиции</t>
  </si>
  <si>
    <t>=</t>
  </si>
  <si>
    <t>ГЭСН 46-04-003-05</t>
  </si>
  <si>
    <t>НР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</si>
  <si>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СП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</si>
  <si>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ГЭСН 06-01-001-01</t>
  </si>
  <si>
    <t>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
ЭМ *1,25; ЗТ *1,15; ЗТм *1,25; НР *0,9; СП *0,85</t>
  </si>
  <si>
    <t>ОТм(ЗТм) Средний разряд машинистов 6</t>
  </si>
  <si>
    <t>ОТм(ЗТм) Средний разряд машинистов 4</t>
  </si>
  <si>
    <t>3.1</t>
  </si>
  <si>
    <t>Пр/812-006.0-1;_x000D_
п.25</t>
  </si>
  <si>
    <t>НР Бетонные и железобетонные монолитные конструкции и работы в строительстве</t>
  </si>
  <si>
    <t>Пр/774-006.0;_x000D_
п.16</t>
  </si>
  <si>
    <t>СП Бетонные и железобетонные монолитные конструкции и работы в строительстве</t>
  </si>
  <si>
    <t>ГЭСН 11-01-047-01</t>
  </si>
  <si>
    <t>4.1</t>
  </si>
  <si>
    <t>4.2</t>
  </si>
  <si>
    <t>4.3</t>
  </si>
  <si>
    <t>4.4</t>
  </si>
  <si>
    <t>Пр/812-011.0-1;_x000D_
п.25</t>
  </si>
  <si>
    <t>Пр/774-011.0;_x000D_
п.16</t>
  </si>
  <si>
    <t>ГЭСН 11-01-039-06</t>
  </si>
  <si>
    <t>5.1</t>
  </si>
  <si>
    <t>5.2</t>
  </si>
  <si>
    <t>5.3</t>
  </si>
  <si>
    <t>ГЭСН 07-05-016-04</t>
  </si>
  <si>
    <t>Разборка и (или) демонтаж строительных конструкций, систем и сетей инженерно-технического обеспечения, в том числе их элементов: металлических, металлокомпозитных, композитных конструкций
ЭМ *0,7; М *0; ЗТ *0,7; ЗТм *0,7</t>
  </si>
  <si>
    <t>НР Бетонные и железобетонные сборные конструкции и работы в строительстве жилых, общественных и административно-бытовых зданий промышленных предприятий</t>
  </si>
  <si>
    <t>СП Бетонные и железобетонные сборные конструкции и работы в строительстве жилых, общественных и административно-бытовых зданий промышленных предприятий</t>
  </si>
  <si>
    <t>7.1</t>
  </si>
  <si>
    <t>Пр/812-007.1-1;_x000D_
п.25</t>
  </si>
  <si>
    <t>Пр/774-007.1;_x000D_
п.16</t>
  </si>
  <si>
    <t>ГЭСН 10-01-049-03</t>
  </si>
  <si>
    <t>8.1</t>
  </si>
  <si>
    <t>Пр/812-010.0-1;_x000D_
п.25</t>
  </si>
  <si>
    <t>НР Деревянные конструкции</t>
  </si>
  <si>
    <t>Пр/774-010.0;_x000D_
п.16</t>
  </si>
  <si>
    <t>СП Деревянные конструкции</t>
  </si>
  <si>
    <t>ГЭСН 09-04-012-02</t>
  </si>
  <si>
    <t>НР Строительные металлические конструкции</t>
  </si>
  <si>
    <t>СП Строительные металлические конструкции</t>
  </si>
  <si>
    <t>10.1</t>
  </si>
  <si>
    <t>Пр/812-009.0-1;_x000D_
п.25</t>
  </si>
  <si>
    <t>Пр/774-009.0;_x000D_
п.16</t>
  </si>
  <si>
    <t>ГЭСНр 53-01-020-42</t>
  </si>
  <si>
    <t>11.1</t>
  </si>
  <si>
    <t>НР Стены</t>
  </si>
  <si>
    <t>СП Стены</t>
  </si>
  <si>
    <t>ГЭСН 11-01-038-05</t>
  </si>
  <si>
    <t>12.1</t>
  </si>
  <si>
    <t>12.2</t>
  </si>
  <si>
    <t>12.3</t>
  </si>
  <si>
    <t>ГЭСНр 62-04-005-05</t>
  </si>
  <si>
    <t>НР Малярные работы</t>
  </si>
  <si>
    <t>СП Малярные работы</t>
  </si>
  <si>
    <t>ГЭСН 15-04-006-03</t>
  </si>
  <si>
    <t>14.1</t>
  </si>
  <si>
    <t>Пр/812-015.0-1;_x000D_
п.25</t>
  </si>
  <si>
    <t>НР Отделочные работы</t>
  </si>
  <si>
    <t>Пр/774-015.0;_x000D_
п.16</t>
  </si>
  <si>
    <t>СП Отделочные работы</t>
  </si>
  <si>
    <t>ГЭСН 15-04-005-03</t>
  </si>
  <si>
    <t>15.1</t>
  </si>
  <si>
    <t>ИТОГИ ПО СМЕТЕ</t>
  </si>
  <si>
    <t>ВСЕГО строительные работы</t>
  </si>
  <si>
    <t>в том числе</t>
  </si>
  <si>
    <t>Всего прямые затраты</t>
  </si>
  <si>
    <t xml:space="preserve">  оплата труда (ОТ)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</si>
  <si>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</si>
  <si>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</si>
  <si>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</si>
  <si>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</si>
  <si>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</si>
  <si>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</si>
  <si>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</si>
  <si>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</si>
  <si>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ФОТ (справочно)</t>
  </si>
  <si>
    <t>накладные расходы</t>
  </si>
  <si>
    <t>сметная прибыль</t>
  </si>
  <si>
    <t xml:space="preserve">  оплата труда машинистов (ОТм)</t>
  </si>
  <si>
    <t>ВСЕГО монтажные работы</t>
  </si>
  <si>
    <t>ВСЕГО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</si>
  <si>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</si>
  <si>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</si>
  <si>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ВСЕГО прочие затраты</t>
  </si>
  <si>
    <t xml:space="preserve">   прочие затраты</t>
  </si>
  <si>
    <t xml:space="preserve">   прочие перевозки</t>
  </si>
  <si>
    <t xml:space="preserve">   Хозяйственный инвентарь</t>
  </si>
  <si>
    <t>Пусконаладочные работы</t>
  </si>
  <si>
    <t>ВСЕГО по смете</t>
  </si>
  <si>
    <t>Всего ФОТ (справочно)</t>
  </si>
  <si>
    <t>Всего накладные расходы</t>
  </si>
  <si>
    <t>Всего сметная прибыль</t>
  </si>
  <si>
    <t>Всего оборудование</t>
  </si>
  <si>
    <t>Всего прочие затраты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</si>
  <si>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</si>
  <si>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</si>
  <si>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</si>
  <si>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</si>
  <si>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</si>
  <si>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>Ведомость объемов работ</t>
  </si>
  <si>
    <t>428017, Чувашская Республика, г. Чебоксары, ул. Гузовского, д. 14</t>
  </si>
  <si>
    <t>на выполнение работ по текущему ремонту отделения почтовой связи 428017 УФПС Чувашской Республики АО «Почта России», расположенного по адресу: Чувашская Республика, г. Чебоксары, ул. Гузовского, д. 14</t>
  </si>
  <si>
    <t>Приложение № 1 к части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</si>
</sst>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#,##0.00;[Red]\-\ #,##0.00"/>
    <numFmt numFmtId="166" formatCode="#,##0.00#####;[Red]\-\ #,##0.00#####"/>
    <numFmt numFmtId="167" formatCode="#,##0.00############;[Red]\-\ #,##0.00############"/>
  </numFmts>
  <fonts count="25" x14ac:knownFonts="1">
    <font>
      <sz val="10"/>
      <name val="Arial"/>
      <charset val="204"/>
    </font>
    <font>
      <b/>
      <sz val="10"/>
      <color indexed="12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9"/>
      <color rgb="FF000000"/>
      <name val="Arial"/>
      <family val="2"/>
      <charset val="204"/>
    </font>
    <font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23">
    <xf numFmtId="0" fontId="0" fillId="0" borderId="0" xfId="0"/>
    <xf numFmtId="0" fontId="1" fillId="0" borderId="0" xfId="0" applyFont="1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1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9" fillId="0" borderId="0" xfId="0" applyNumberFormat="1" applyFont="1" applyAlignment="1"/>
    <xf numFmtId="0" fontId="9" fillId="0" borderId="0" xfId="0" applyNumberFormat="1" applyFont="1" applyAlignment="1">
      <alignment vertical="top" wrapText="1"/>
    </xf>
    <xf numFmtId="0" fontId="9" fillId="0" borderId="2" xfId="0" applyNumberFormat="1" applyFont="1" applyBorder="1" applyAlignment="1">
      <alignment vertical="top"/>
    </xf>
    <xf numFmtId="0" fontId="9" fillId="0" borderId="0" xfId="0" applyNumberFormat="1" applyFont="1" applyAlignment="1">
      <alignment horizontal="left" vertical="top" wrapText="1"/>
    </xf>
    <xf numFmtId="0" fontId="9" fillId="0" borderId="2" xfId="0" applyNumberFormat="1" applyFont="1" applyBorder="1" applyAlignment="1">
      <alignment horizontal="left" vertical="top" wrapText="1"/>
    </xf>
    <xf numFmtId="0" fontId="10" fillId="0" borderId="0" xfId="0" applyNumberFormat="1" applyFont="1" applyAlignment="1"/>
    <xf numFmtId="0" fontId="10" fillId="0" borderId="2" xfId="0" applyNumberFormat="1" applyFont="1" applyBorder="1" applyAlignment="1"/>
    <xf numFmtId="0" fontId="16" fillId="0" borderId="0" xfId="0" applyNumberFormat="1" applyFont="1" applyAlignment="1"/>
    <xf numFmtId="0" fontId="16" fillId="0" borderId="0" xfId="0" applyNumberFormat="1" applyFont="1" applyAlignment="1">
      <alignment wrapText="1"/>
    </xf>
    <xf numFmtId="0" fontId="17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horizontal="center" wrapText="1"/>
    </xf>
    <xf numFmtId="0" fontId="9" fillId="0" borderId="1" xfId="0" applyNumberFormat="1" applyFont="1" applyBorder="1" applyAlignment="1">
      <alignment horizontal="center"/>
    </xf>
    <xf numFmtId="0" fontId="9" fillId="0" borderId="2" xfId="0" applyNumberFormat="1" applyFont="1" applyBorder="1" applyAlignment="1"/>
    <xf numFmtId="0" fontId="9" fillId="0" borderId="0" xfId="0" applyNumberFormat="1" applyFont="1" applyAlignment="1">
      <alignment horizontal="left" wrapText="1"/>
    </xf>
    <xf numFmtId="0" fontId="9" fillId="0" borderId="0" xfId="0" applyNumberFormat="1" applyFont="1" applyAlignment="1">
      <alignment wrapText="1"/>
    </xf>
    <xf numFmtId="0" fontId="12" fillId="0" borderId="0" xfId="0" applyNumberFormat="1" applyFont="1" applyAlignment="1"/>
    <xf numFmtId="14" fontId="16" fillId="0" borderId="0" xfId="0" applyNumberFormat="1" applyFont="1" applyAlignment="1"/>
    <xf numFmtId="0" fontId="9" fillId="0" borderId="0" xfId="0" applyNumberFormat="1" applyFont="1" applyAlignment="1">
      <alignment horizontal="right"/>
    </xf>
    <xf numFmtId="0" fontId="14" fillId="0" borderId="0" xfId="0" applyNumberFormat="1" applyFont="1" applyAlignment="1"/>
    <xf numFmtId="164" fontId="9" fillId="0" borderId="0" xfId="0" applyNumberFormat="1" applyFont="1" applyAlignment="1">
      <alignment horizontal="right"/>
    </xf>
    <xf numFmtId="0" fontId="16" fillId="0" borderId="1" xfId="0" applyNumberFormat="1" applyFont="1" applyBorder="1" applyAlignment="1"/>
    <xf numFmtId="0" fontId="9" fillId="0" borderId="7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/>
    </xf>
    <xf numFmtId="0" fontId="16" fillId="0" borderId="7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left" vertical="top" wrapText="1"/>
    </xf>
    <xf numFmtId="0" fontId="19" fillId="0" borderId="0" xfId="0" quotePrefix="1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right" vertical="top" wrapText="1"/>
    </xf>
    <xf numFmtId="0" fontId="19" fillId="0" borderId="0" xfId="0" applyFont="1" applyAlignment="1">
      <alignment horizontal="right" vertical="top"/>
    </xf>
    <xf numFmtId="0" fontId="19" fillId="0" borderId="0" xfId="0" applyFont="1" applyAlignment="1">
      <alignment horizontal="right" vertical="top" wrapText="1"/>
    </xf>
    <xf numFmtId="165" fontId="19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 wrapText="1"/>
    </xf>
    <xf numFmtId="166" fontId="19" fillId="0" borderId="0" xfId="0" applyNumberFormat="1" applyFont="1" applyAlignment="1">
      <alignment horizontal="right" vertical="top"/>
    </xf>
    <xf numFmtId="165" fontId="21" fillId="0" borderId="0" xfId="0" applyNumberFormat="1" applyFont="1" applyAlignment="1">
      <alignment horizontal="right" vertical="top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right" vertical="top" wrapText="1"/>
    </xf>
    <xf numFmtId="0" fontId="19" fillId="0" borderId="1" xfId="0" applyFont="1" applyBorder="1" applyAlignment="1">
      <alignment horizontal="right" vertical="top"/>
    </xf>
    <xf numFmtId="165" fontId="19" fillId="0" borderId="1" xfId="0" applyNumberFormat="1" applyFont="1" applyBorder="1" applyAlignment="1">
      <alignment horizontal="right" vertical="top"/>
    </xf>
    <xf numFmtId="0" fontId="19" fillId="0" borderId="1" xfId="0" applyFont="1" applyBorder="1" applyAlignment="1">
      <alignment horizontal="right" vertical="top" wrapText="1"/>
    </xf>
    <xf numFmtId="165" fontId="0" fillId="0" borderId="0" xfId="0" applyNumberFormat="1"/>
    <xf numFmtId="165" fontId="19" fillId="0" borderId="0" xfId="0" applyNumberFormat="1" applyFont="1" applyAlignment="1">
      <alignment horizontal="right"/>
    </xf>
    <xf numFmtId="0" fontId="21" fillId="0" borderId="0" xfId="0" applyFont="1" applyAlignment="1">
      <alignment horizontal="left" vertical="top" wrapText="1"/>
    </xf>
    <xf numFmtId="0" fontId="19" fillId="0" borderId="0" xfId="0" applyFont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quotePrefix="1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21" fillId="0" borderId="0" xfId="0" applyFont="1" applyAlignment="1">
      <alignment vertical="top"/>
    </xf>
    <xf numFmtId="0" fontId="11" fillId="0" borderId="0" xfId="0" applyFont="1" applyAlignment="1">
      <alignment horizontal="left" vertical="top" wrapText="1"/>
    </xf>
    <xf numFmtId="0" fontId="21" fillId="0" borderId="0" xfId="0" applyFont="1" applyAlignment="1">
      <alignment horizontal="right" vertical="top"/>
    </xf>
    <xf numFmtId="0" fontId="21" fillId="0" borderId="2" xfId="0" applyFont="1" applyBorder="1" applyAlignment="1">
      <alignment vertical="top"/>
    </xf>
    <xf numFmtId="0" fontId="11" fillId="0" borderId="2" xfId="0" applyFont="1" applyBorder="1" applyAlignment="1">
      <alignment horizontal="left" vertical="top" wrapText="1"/>
    </xf>
    <xf numFmtId="165" fontId="21" fillId="0" borderId="2" xfId="0" applyNumberFormat="1" applyFont="1" applyBorder="1" applyAlignment="1">
      <alignment horizontal="right" vertical="top"/>
    </xf>
    <xf numFmtId="0" fontId="21" fillId="0" borderId="2" xfId="0" applyFont="1" applyBorder="1" applyAlignment="1">
      <alignment horizontal="right" vertical="top"/>
    </xf>
    <xf numFmtId="167" fontId="19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65" fontId="9" fillId="0" borderId="0" xfId="0" applyNumberFormat="1" applyFont="1" applyAlignment="1"/>
    <xf numFmtId="165" fontId="10" fillId="0" borderId="0" xfId="0" applyNumberFormat="1" applyFont="1" applyAlignment="1"/>
    <xf numFmtId="166" fontId="10" fillId="0" borderId="0" xfId="0" applyNumberFormat="1" applyFont="1" applyAlignment="1"/>
    <xf numFmtId="0" fontId="24" fillId="0" borderId="0" xfId="0" applyFont="1"/>
    <xf numFmtId="0" fontId="16" fillId="0" borderId="0" xfId="0" applyNumberFormat="1" applyFont="1" applyFill="1" applyAlignment="1"/>
    <xf numFmtId="165" fontId="2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16" fillId="0" borderId="1" xfId="1" applyFont="1" applyBorder="1" applyAlignment="1">
      <alignment horizontal="left"/>
    </xf>
    <xf numFmtId="0" fontId="16" fillId="0" borderId="1" xfId="1" applyFont="1" applyBorder="1"/>
    <xf numFmtId="0" fontId="1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/>
    <xf numFmtId="0" fontId="0" fillId="2" borderId="0" xfId="0" applyFill="1" applyAlignment="1"/>
    <xf numFmtId="0" fontId="0" fillId="3" borderId="0" xfId="0" applyFill="1" applyAlignment="1"/>
    <xf numFmtId="0" fontId="9" fillId="0" borderId="0" xfId="0" applyNumberFormat="1" applyFont="1" applyAlignment="1">
      <alignment horizontal="left" vertical="top" wrapText="1"/>
    </xf>
    <xf numFmtId="0" fontId="9" fillId="0" borderId="1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center"/>
    </xf>
    <xf numFmtId="0" fontId="13" fillId="0" borderId="1" xfId="0" applyNumberFormat="1" applyFont="1" applyFill="1" applyBorder="1" applyAlignment="1">
      <alignment horizontal="center" wrapText="1"/>
    </xf>
    <xf numFmtId="0" fontId="15" fillId="0" borderId="2" xfId="0" applyNumberFormat="1" applyFont="1" applyFill="1" applyBorder="1" applyAlignment="1">
      <alignment horizontal="center" vertical="top" wrapText="1"/>
    </xf>
    <xf numFmtId="0" fontId="15" fillId="0" borderId="2" xfId="0" applyNumberFormat="1" applyFont="1" applyBorder="1" applyAlignment="1">
      <alignment horizontal="center" vertical="top" wrapText="1"/>
    </xf>
    <xf numFmtId="165" fontId="9" fillId="0" borderId="0" xfId="0" applyNumberFormat="1" applyFont="1" applyAlignment="1">
      <alignment horizontal="right"/>
    </xf>
    <xf numFmtId="0" fontId="9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center" wrapText="1"/>
    </xf>
    <xf numFmtId="0" fontId="18" fillId="0" borderId="1" xfId="0" applyNumberFormat="1" applyFont="1" applyFill="1" applyBorder="1" applyAlignment="1">
      <alignment horizontal="center" wrapText="1"/>
    </xf>
    <xf numFmtId="0" fontId="9" fillId="0" borderId="1" xfId="0" applyNumberFormat="1" applyFont="1" applyBorder="1" applyAlignment="1">
      <alignment horizontal="left" wrapText="1"/>
    </xf>
    <xf numFmtId="165" fontId="21" fillId="0" borderId="0" xfId="0" applyNumberFormat="1" applyFont="1" applyAlignment="1">
      <alignment horizontal="left" vertical="top"/>
    </xf>
    <xf numFmtId="165" fontId="21" fillId="0" borderId="2" xfId="0" applyNumberFormat="1" applyFont="1" applyBorder="1" applyAlignment="1">
      <alignment horizontal="right" vertical="top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right" vertical="top" wrapText="1"/>
    </xf>
    <xf numFmtId="0" fontId="16" fillId="0" borderId="1" xfId="1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1" fillId="0" borderId="0" xfId="0" applyFont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W471"/>
  <sheetViews>
    <sheetView tabSelected="1" view="pageBreakPreview" zoomScale="90" zoomScaleNormal="100" zoomScaleSheetLayoutView="90" workbookViewId="0">
      <selection activeCell="C466" sqref="B466:G470"/>
    </sheetView>
  </sheetViews>
  <sheetFormatPr defaultRowHeight="12.75" x14ac:dyDescent="0.2"/>
  <cols>
    <col min="1" max="1" width="5.7109375" customWidth="1"/>
    <col min="2" max="2" width="20.7109375" customWidth="1"/>
    <col min="3" max="3" width="40.7109375" customWidth="1"/>
    <col min="4" max="4" width="10.7109375" customWidth="1"/>
    <col min="5" max="12" width="15.7109375" customWidth="1"/>
    <col min="15" max="92" width="0" hidden="1" customWidth="1"/>
    <col min="93" max="93" width="108.7109375" hidden="1" customWidth="1"/>
    <col min="94" max="100" width="0" hidden="1" customWidth="1"/>
    <col min="101" max="101" width="173.7109375" hidden="1" customWidth="1"/>
  </cols>
  <sheetData>
    <row r="1" spans="1:93" ht="24" customHeight="1" x14ac:dyDescent="0.25">
      <c r="I1" s="90" t="s">
        <v>639</v>
      </c>
      <c r="J1" s="90"/>
      <c r="K1" s="90"/>
      <c r="L1" s="90"/>
    </row>
    <row r="2" spans="1:93" ht="17.45" customHeight="1" x14ac:dyDescent="0.25">
      <c r="J2" s="74"/>
    </row>
    <row r="3" spans="1:93" ht="19.149999999999999" customHeight="1" x14ac:dyDescent="0.25">
      <c r="J3" s="74"/>
    </row>
    <row r="4" spans="1:93" ht="17.45" customHeight="1" x14ac:dyDescent="0.25">
      <c r="J4" s="74"/>
    </row>
    <row r="5" spans="1:93" ht="18" customHeight="1" x14ac:dyDescent="0.25">
      <c r="J5" s="74"/>
    </row>
    <row r="6" spans="1:93" ht="18" x14ac:dyDescent="0.25">
      <c r="J6" s="74"/>
    </row>
    <row r="7" spans="1:93" ht="18" x14ac:dyDescent="0.25">
      <c r="J7" s="74"/>
    </row>
    <row r="9" spans="1:93" ht="12.75" customHeight="1" x14ac:dyDescent="0.2">
      <c r="A9" s="88" t="s">
        <v>482</v>
      </c>
      <c r="B9" s="88"/>
      <c r="C9" s="88"/>
      <c r="D9" s="88"/>
      <c r="E9" s="88"/>
      <c r="F9" s="89" t="s">
        <v>521</v>
      </c>
      <c r="G9" s="89"/>
      <c r="H9" s="89"/>
      <c r="I9" s="89"/>
      <c r="J9" s="89"/>
      <c r="K9" s="89"/>
      <c r="L9" s="89"/>
    </row>
    <row r="10" spans="1:93" ht="13.15" customHeight="1" x14ac:dyDescent="0.2">
      <c r="A10" s="15"/>
      <c r="B10" s="15"/>
      <c r="C10" s="15"/>
      <c r="D10" s="15"/>
      <c r="E10" s="15"/>
      <c r="F10" s="16"/>
      <c r="G10" s="16"/>
      <c r="H10" s="16"/>
      <c r="I10" s="16"/>
      <c r="J10" s="16"/>
      <c r="K10" s="16"/>
      <c r="L10" s="16"/>
    </row>
    <row r="11" spans="1:93" ht="25.5" x14ac:dyDescent="0.2">
      <c r="A11" s="88" t="s">
        <v>483</v>
      </c>
      <c r="B11" s="88"/>
      <c r="C11" s="88"/>
      <c r="D11" s="88"/>
      <c r="E11" s="88"/>
      <c r="F11" s="89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11" s="89"/>
      <c r="H11" s="89"/>
      <c r="I11" s="89"/>
      <c r="J11" s="89"/>
      <c r="K11" s="89"/>
      <c r="L11" s="89"/>
      <c r="CO11" s="39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12" spans="1:93" ht="13.15" customHeight="1" x14ac:dyDescent="0.2">
      <c r="A12" s="15"/>
      <c r="B12" s="15"/>
      <c r="C12" s="15"/>
      <c r="D12" s="15"/>
      <c r="E12" s="15"/>
      <c r="F12" s="16"/>
      <c r="G12" s="16"/>
      <c r="H12" s="16"/>
      <c r="I12" s="16"/>
      <c r="J12" s="16"/>
      <c r="K12" s="16"/>
      <c r="L12" s="16"/>
    </row>
    <row r="13" spans="1:93" ht="140.25" x14ac:dyDescent="0.2">
      <c r="A13" s="88" t="s">
        <v>484</v>
      </c>
      <c r="B13" s="88"/>
      <c r="C13" s="88"/>
      <c r="D13" s="88"/>
      <c r="E13" s="88"/>
      <c r="F13" s="89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13" s="89"/>
      <c r="H13" s="89"/>
      <c r="I13" s="89"/>
      <c r="J13" s="89"/>
      <c r="K13" s="89"/>
      <c r="L13" s="89"/>
      <c r="CO13" s="39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14" spans="1:93" ht="13.15" customHeight="1" x14ac:dyDescent="0.2">
      <c r="A14" s="15"/>
      <c r="B14" s="15"/>
      <c r="C14" s="15"/>
      <c r="D14" s="15"/>
      <c r="E14" s="15"/>
      <c r="F14" s="16"/>
      <c r="G14" s="16"/>
      <c r="H14" s="16"/>
      <c r="I14" s="16"/>
      <c r="J14" s="16"/>
      <c r="K14" s="16"/>
      <c r="L14" s="16"/>
    </row>
    <row r="15" spans="1:93" ht="76.5" customHeight="1" x14ac:dyDescent="0.2">
      <c r="A15" s="88" t="s">
        <v>485</v>
      </c>
      <c r="B15" s="88"/>
      <c r="C15" s="88"/>
      <c r="D15" s="88"/>
      <c r="E15" s="88"/>
      <c r="F15" s="89" t="s">
        <v>351</v>
      </c>
      <c r="G15" s="89"/>
      <c r="H15" s="89"/>
      <c r="I15" s="89"/>
      <c r="J15" s="89"/>
      <c r="K15" s="89"/>
      <c r="L15" s="89"/>
    </row>
    <row r="16" spans="1:93" ht="13.15" customHeight="1" x14ac:dyDescent="0.2">
      <c r="A16" s="15"/>
      <c r="B16" s="15"/>
      <c r="C16" s="15"/>
      <c r="D16" s="15"/>
      <c r="E16" s="15"/>
      <c r="F16" s="16"/>
      <c r="G16" s="16"/>
      <c r="H16" s="16"/>
      <c r="I16" s="16"/>
      <c r="J16" s="16"/>
      <c r="K16" s="16"/>
      <c r="L16" s="16"/>
    </row>
    <row r="17" spans="1:12" ht="38.25" customHeight="1" x14ac:dyDescent="0.2">
      <c r="A17" s="88" t="s">
        <v>486</v>
      </c>
      <c r="B17" s="88"/>
      <c r="C17" s="88"/>
      <c r="D17" s="88"/>
      <c r="E17" s="88"/>
      <c r="F17" s="89" t="s">
        <v>353</v>
      </c>
      <c r="G17" s="89"/>
      <c r="H17" s="89"/>
      <c r="I17" s="89"/>
      <c r="J17" s="89"/>
      <c r="K17" s="89"/>
      <c r="L17" s="89"/>
    </row>
    <row r="18" spans="1:12" ht="13.15" customHeight="1" x14ac:dyDescent="0.2">
      <c r="A18" s="17"/>
      <c r="B18" s="17"/>
      <c r="C18" s="17"/>
      <c r="D18" s="17"/>
      <c r="E18" s="17"/>
      <c r="F18" s="18"/>
      <c r="G18" s="18"/>
      <c r="H18" s="18"/>
      <c r="I18" s="18"/>
      <c r="J18" s="18"/>
      <c r="K18" s="18"/>
      <c r="L18" s="18"/>
    </row>
    <row r="19" spans="1:12" ht="13.15" customHeight="1" x14ac:dyDescent="0.2">
      <c r="A19" s="88" t="s">
        <v>487</v>
      </c>
      <c r="B19" s="88"/>
      <c r="C19" s="88"/>
      <c r="D19" s="88"/>
      <c r="E19" s="88"/>
      <c r="F19" s="89" t="s">
        <v>522</v>
      </c>
      <c r="G19" s="89"/>
      <c r="H19" s="89"/>
      <c r="I19" s="89"/>
      <c r="J19" s="89"/>
      <c r="K19" s="89"/>
      <c r="L19" s="89"/>
    </row>
    <row r="20" spans="1:12" ht="12.75" customHeight="1" x14ac:dyDescent="0.2">
      <c r="A20" s="17"/>
      <c r="B20" s="17"/>
      <c r="C20" s="17"/>
      <c r="D20" s="17"/>
      <c r="E20" s="17"/>
      <c r="F20" s="18"/>
      <c r="G20" s="18"/>
      <c r="H20" s="18"/>
      <c r="I20" s="18"/>
      <c r="J20" s="18"/>
      <c r="K20" s="18"/>
      <c r="L20" s="18"/>
    </row>
    <row r="21" spans="1:12" ht="12.75" customHeight="1" x14ac:dyDescent="0.2">
      <c r="A21" s="88" t="s">
        <v>488</v>
      </c>
      <c r="B21" s="88"/>
      <c r="C21" s="88"/>
      <c r="D21" s="88"/>
      <c r="E21" s="88"/>
      <c r="F21" s="89" t="str">
        <f>IF(Source!CZ12 &lt;&gt; "", Source!CZ12, "")</f>
        <v>Чувашская Республика - Чувашия</v>
      </c>
      <c r="G21" s="89"/>
      <c r="H21" s="89"/>
      <c r="I21" s="89"/>
      <c r="J21" s="89"/>
      <c r="K21" s="89"/>
      <c r="L21" s="89"/>
    </row>
    <row r="22" spans="1:12" ht="12.75" customHeight="1" x14ac:dyDescent="0.2">
      <c r="A22" s="17"/>
      <c r="B22" s="17"/>
      <c r="C22" s="17"/>
      <c r="D22" s="17"/>
      <c r="E22" s="17"/>
      <c r="F22" s="18"/>
      <c r="G22" s="18"/>
      <c r="H22" s="18"/>
      <c r="I22" s="18"/>
      <c r="J22" s="18"/>
      <c r="K22" s="18"/>
      <c r="L22" s="16"/>
    </row>
    <row r="23" spans="1:12" ht="12.75" customHeight="1" x14ac:dyDescent="0.2">
      <c r="A23" s="88" t="s">
        <v>489</v>
      </c>
      <c r="B23" s="88"/>
      <c r="C23" s="88"/>
      <c r="D23" s="88"/>
      <c r="E23" s="88"/>
      <c r="F23" s="89" t="str">
        <f>IF(Source!DA12 &lt;&gt; "", Source!DA12, "")</f>
        <v>Чувашская Республика - Чувашия</v>
      </c>
      <c r="G23" s="89"/>
      <c r="H23" s="89"/>
      <c r="I23" s="89"/>
      <c r="J23" s="89"/>
      <c r="K23" s="89"/>
      <c r="L23" s="89"/>
    </row>
    <row r="24" spans="1:12" ht="12.75" customHeight="1" x14ac:dyDescent="0.2">
      <c r="A24" s="19"/>
      <c r="B24" s="19"/>
      <c r="C24" s="19"/>
      <c r="D24" s="19"/>
      <c r="E24" s="19"/>
      <c r="F24" s="20"/>
      <c r="G24" s="20"/>
      <c r="H24" s="20"/>
      <c r="I24" s="20"/>
      <c r="J24" s="20"/>
      <c r="K24" s="20"/>
      <c r="L24" s="20"/>
    </row>
    <row r="25" spans="1:12" ht="12.75" customHeight="1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ht="15.75" customHeight="1" x14ac:dyDescent="0.25">
      <c r="A26" s="91" t="s">
        <v>637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</row>
    <row r="27" spans="1:12" ht="14.25" customHeight="1" x14ac:dyDescent="0.2">
      <c r="A27" s="92" t="s">
        <v>490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</row>
    <row r="28" spans="1:12" ht="13.9" customHeight="1" x14ac:dyDescent="0.2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</row>
    <row r="29" spans="1:12" ht="15.75" customHeight="1" x14ac:dyDescent="0.25">
      <c r="A29" s="91" t="s">
        <v>637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</row>
    <row r="30" spans="1:12" ht="14.25" customHeight="1" x14ac:dyDescent="0.2">
      <c r="A30" s="93" t="s">
        <v>491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</row>
    <row r="31" spans="1:12" ht="14.25" customHeight="1" x14ac:dyDescent="0.2">
      <c r="A31" s="21"/>
      <c r="B31" s="21"/>
      <c r="C31" s="21"/>
      <c r="D31" s="21"/>
      <c r="E31" s="21"/>
      <c r="F31" s="22"/>
      <c r="G31" s="22"/>
      <c r="H31" s="22"/>
      <c r="I31" s="22"/>
      <c r="J31" s="22"/>
      <c r="K31" s="22"/>
      <c r="L31" s="22"/>
    </row>
    <row r="32" spans="1:12" ht="15.75" customHeight="1" x14ac:dyDescent="0.25">
      <c r="A32" s="96" t="str">
        <f>CONCATENATE( "ЛОКАЛЬНАЯ СМЕТА №02-01-01 ", )</f>
        <v xml:space="preserve">ЛОКАЛЬНАЯ СМЕТА №02-01-01 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</row>
    <row r="33" spans="1:12" ht="13.9" customHeight="1" x14ac:dyDescent="0.25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3"/>
    </row>
    <row r="34" spans="1:12" ht="39.6" customHeight="1" x14ac:dyDescent="0.25">
      <c r="A34" s="97" t="s">
        <v>638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14.25" customHeight="1" x14ac:dyDescent="0.2">
      <c r="A35" s="93" t="s">
        <v>492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</row>
    <row r="36" spans="1:12" ht="13.9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 ht="13.9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spans="1:12" ht="13.15" customHeight="1" x14ac:dyDescent="0.2">
      <c r="A38" s="14" t="s">
        <v>493</v>
      </c>
      <c r="B38" s="14"/>
      <c r="C38" s="25" t="s">
        <v>523</v>
      </c>
      <c r="D38" s="14" t="s">
        <v>494</v>
      </c>
      <c r="E38" s="14"/>
      <c r="F38" s="14"/>
      <c r="G38" s="14"/>
      <c r="H38" s="14"/>
      <c r="I38" s="14"/>
      <c r="J38" s="14"/>
      <c r="K38" s="14"/>
      <c r="L38" s="14"/>
    </row>
    <row r="39" spans="1:12" ht="13.15" customHeight="1" x14ac:dyDescent="0.2">
      <c r="A39" s="14"/>
      <c r="B39" s="14"/>
      <c r="C39" s="26"/>
      <c r="D39" s="14"/>
      <c r="E39" s="14"/>
      <c r="F39" s="14"/>
      <c r="G39" s="14"/>
      <c r="H39" s="14"/>
      <c r="I39" s="14"/>
      <c r="J39" s="14"/>
      <c r="K39" s="14"/>
      <c r="L39" s="14"/>
    </row>
    <row r="40" spans="1:12" ht="13.15" customHeight="1" x14ac:dyDescent="0.2">
      <c r="A40" s="14" t="s">
        <v>495</v>
      </c>
      <c r="B40" s="14"/>
      <c r="C40" s="98" t="s">
        <v>636</v>
      </c>
      <c r="D40" s="98"/>
      <c r="E40" s="98"/>
      <c r="F40" s="98"/>
      <c r="G40" s="98"/>
      <c r="H40" s="98"/>
      <c r="I40" s="98"/>
      <c r="J40" s="98"/>
      <c r="K40" s="98"/>
      <c r="L40" s="98"/>
    </row>
    <row r="41" spans="1:12" ht="12.75" customHeight="1" x14ac:dyDescent="0.2">
      <c r="A41" s="27"/>
      <c r="B41" s="28"/>
      <c r="C41" s="93" t="s">
        <v>496</v>
      </c>
      <c r="D41" s="93"/>
      <c r="E41" s="93"/>
      <c r="F41" s="93"/>
      <c r="G41" s="93"/>
      <c r="H41" s="93"/>
      <c r="I41" s="93"/>
      <c r="J41" s="93"/>
      <c r="K41" s="93"/>
      <c r="L41" s="93"/>
    </row>
    <row r="42" spans="1:12" ht="13.9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spans="1:12" ht="13.9" customHeight="1" x14ac:dyDescent="0.2">
      <c r="A43" s="29" t="s">
        <v>524</v>
      </c>
      <c r="B43" s="21"/>
      <c r="C43" s="21"/>
      <c r="D43" s="30"/>
      <c r="E43" s="21"/>
      <c r="F43" s="21"/>
      <c r="G43" s="21"/>
      <c r="H43" s="21"/>
      <c r="I43" s="21"/>
      <c r="J43" s="21"/>
      <c r="K43" s="21"/>
      <c r="L43" s="21"/>
    </row>
    <row r="44" spans="1:12" ht="13.9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spans="1:12" ht="13.9" hidden="1" customHeight="1" x14ac:dyDescent="0.2">
      <c r="A45" s="29" t="s">
        <v>497</v>
      </c>
      <c r="B45" s="21"/>
      <c r="C45" s="94">
        <f>C48+C49+C50+C51</f>
        <v>907.43</v>
      </c>
      <c r="D45" s="95"/>
      <c r="E45" s="14" t="s">
        <v>498</v>
      </c>
      <c r="F45" s="19"/>
      <c r="G45" s="19"/>
      <c r="H45" s="19"/>
      <c r="I45" s="19"/>
      <c r="J45" s="19"/>
      <c r="K45" s="19"/>
      <c r="L45" s="21"/>
    </row>
    <row r="46" spans="1:12" ht="13.9" hidden="1" customHeight="1" x14ac:dyDescent="0.2">
      <c r="A46" s="29"/>
      <c r="B46" s="21"/>
      <c r="C46" s="70"/>
      <c r="D46" s="31"/>
      <c r="E46" s="14"/>
      <c r="F46" s="19"/>
      <c r="G46" s="14" t="s">
        <v>499</v>
      </c>
      <c r="H46" s="21"/>
      <c r="I46" s="14"/>
      <c r="J46" s="14"/>
      <c r="K46" s="72">
        <f>ROUND(SUM(AR59:AR463)/1000, 2)</f>
        <v>111.19</v>
      </c>
      <c r="L46" s="14" t="s">
        <v>498</v>
      </c>
    </row>
    <row r="47" spans="1:12" ht="13.9" hidden="1" customHeight="1" x14ac:dyDescent="0.2">
      <c r="A47" s="21"/>
      <c r="B47" s="32" t="s">
        <v>500</v>
      </c>
      <c r="C47" s="71"/>
      <c r="D47" s="21"/>
      <c r="E47" s="14"/>
      <c r="F47" s="19"/>
      <c r="G47" s="14" t="s">
        <v>501</v>
      </c>
      <c r="H47" s="21"/>
      <c r="I47" s="14"/>
      <c r="J47" s="14"/>
      <c r="K47" s="72">
        <f>ROUND(SUM(AT59:AT463)/1000, 2)</f>
        <v>1.46</v>
      </c>
      <c r="L47" s="14" t="s">
        <v>498</v>
      </c>
    </row>
    <row r="48" spans="1:12" ht="13.9" hidden="1" customHeight="1" x14ac:dyDescent="0.2">
      <c r="A48" s="21"/>
      <c r="B48" s="29" t="s">
        <v>502</v>
      </c>
      <c r="C48" s="94">
        <f>ROUND((Source!F75)/1000, 2)</f>
        <v>907.43</v>
      </c>
      <c r="D48" s="95"/>
      <c r="E48" s="14" t="s">
        <v>498</v>
      </c>
      <c r="F48" s="19"/>
      <c r="G48" s="14" t="s">
        <v>503</v>
      </c>
      <c r="H48" s="21"/>
      <c r="I48" s="14"/>
      <c r="J48" s="31"/>
      <c r="K48" s="73">
        <f>Source!F80</f>
        <v>301.85435999999999</v>
      </c>
      <c r="L48" s="14" t="s">
        <v>357</v>
      </c>
    </row>
    <row r="49" spans="1:83" ht="13.9" hidden="1" customHeight="1" x14ac:dyDescent="0.2">
      <c r="A49" s="21"/>
      <c r="B49" s="29" t="s">
        <v>504</v>
      </c>
      <c r="C49" s="94">
        <f>ROUND((Source!F76)/1000, 2)</f>
        <v>0</v>
      </c>
      <c r="D49" s="95"/>
      <c r="E49" s="14" t="s">
        <v>498</v>
      </c>
      <c r="F49" s="19"/>
      <c r="G49" s="14" t="s">
        <v>505</v>
      </c>
      <c r="H49" s="21"/>
      <c r="I49" s="14"/>
      <c r="J49" s="33"/>
      <c r="K49" s="73">
        <f>Source!F81</f>
        <v>3.6470050000000001</v>
      </c>
      <c r="L49" s="14" t="s">
        <v>357</v>
      </c>
    </row>
    <row r="50" spans="1:83" ht="13.9" hidden="1" customHeight="1" x14ac:dyDescent="0.2">
      <c r="A50" s="21"/>
      <c r="B50" s="29" t="s">
        <v>506</v>
      </c>
      <c r="C50" s="94">
        <f>ROUND((Source!F67)/1000, 2)</f>
        <v>0</v>
      </c>
      <c r="D50" s="95"/>
      <c r="E50" s="14" t="s">
        <v>498</v>
      </c>
      <c r="F50" s="19"/>
      <c r="G50" s="14"/>
      <c r="H50" s="14"/>
      <c r="I50" s="14"/>
      <c r="J50" s="14"/>
      <c r="K50" s="19"/>
      <c r="L50" s="14"/>
    </row>
    <row r="51" spans="1:83" ht="13.9" hidden="1" customHeight="1" x14ac:dyDescent="0.2">
      <c r="A51" s="21"/>
      <c r="B51" s="29" t="s">
        <v>507</v>
      </c>
      <c r="C51" s="94">
        <f>ROUND((Source!F77)/1000, 2)</f>
        <v>0</v>
      </c>
      <c r="D51" s="95"/>
      <c r="E51" s="14" t="s">
        <v>498</v>
      </c>
      <c r="F51" s="19"/>
      <c r="G51" s="14"/>
      <c r="H51" s="14"/>
      <c r="I51" s="14"/>
      <c r="J51" s="14"/>
      <c r="K51" s="19"/>
      <c r="L51" s="14"/>
    </row>
    <row r="52" spans="1:83" ht="13.9" hidden="1" customHeight="1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</row>
    <row r="53" spans="1:83" ht="13.15" customHeight="1" x14ac:dyDescent="0.2">
      <c r="A53" s="101" t="s">
        <v>508</v>
      </c>
      <c r="B53" s="101" t="s">
        <v>509</v>
      </c>
      <c r="C53" s="101" t="s">
        <v>510</v>
      </c>
      <c r="D53" s="101" t="s">
        <v>511</v>
      </c>
      <c r="E53" s="104" t="s">
        <v>512</v>
      </c>
      <c r="F53" s="105"/>
      <c r="G53" s="106"/>
      <c r="H53" s="104" t="s">
        <v>513</v>
      </c>
      <c r="I53" s="105"/>
      <c r="J53" s="105"/>
      <c r="K53" s="105"/>
      <c r="L53" s="106"/>
    </row>
    <row r="54" spans="1:83" ht="13.15" customHeight="1" x14ac:dyDescent="0.2">
      <c r="A54" s="102"/>
      <c r="B54" s="102"/>
      <c r="C54" s="102"/>
      <c r="D54" s="102"/>
      <c r="E54" s="107"/>
      <c r="F54" s="108"/>
      <c r="G54" s="109"/>
      <c r="H54" s="107"/>
      <c r="I54" s="108"/>
      <c r="J54" s="108"/>
      <c r="K54" s="108"/>
      <c r="L54" s="109"/>
    </row>
    <row r="55" spans="1:83" ht="13.15" customHeight="1" x14ac:dyDescent="0.2">
      <c r="A55" s="102"/>
      <c r="B55" s="102"/>
      <c r="C55" s="102"/>
      <c r="D55" s="102"/>
      <c r="E55" s="107"/>
      <c r="F55" s="108"/>
      <c r="G55" s="109"/>
      <c r="H55" s="107"/>
      <c r="I55" s="108"/>
      <c r="J55" s="108"/>
      <c r="K55" s="108"/>
      <c r="L55" s="109"/>
    </row>
    <row r="56" spans="1:83" ht="13.15" customHeight="1" x14ac:dyDescent="0.2">
      <c r="A56" s="102"/>
      <c r="B56" s="102"/>
      <c r="C56" s="102"/>
      <c r="D56" s="102"/>
      <c r="E56" s="110"/>
      <c r="F56" s="111"/>
      <c r="G56" s="112"/>
      <c r="H56" s="110"/>
      <c r="I56" s="111"/>
      <c r="J56" s="111"/>
      <c r="K56" s="111"/>
      <c r="L56" s="112"/>
    </row>
    <row r="57" spans="1:83" ht="52.9" customHeight="1" x14ac:dyDescent="0.2">
      <c r="A57" s="103"/>
      <c r="B57" s="103"/>
      <c r="C57" s="103"/>
      <c r="D57" s="103"/>
      <c r="E57" s="35" t="s">
        <v>514</v>
      </c>
      <c r="F57" s="35" t="s">
        <v>515</v>
      </c>
      <c r="G57" s="36" t="s">
        <v>516</v>
      </c>
      <c r="H57" s="35" t="s">
        <v>517</v>
      </c>
      <c r="I57" s="35" t="s">
        <v>518</v>
      </c>
      <c r="J57" s="35" t="s">
        <v>519</v>
      </c>
      <c r="K57" s="35" t="s">
        <v>515</v>
      </c>
      <c r="L57" s="35" t="s">
        <v>520</v>
      </c>
    </row>
    <row r="58" spans="1:83" ht="13.9" customHeight="1" x14ac:dyDescent="0.2">
      <c r="A58" s="37">
        <v>1</v>
      </c>
      <c r="B58" s="37">
        <v>2</v>
      </c>
      <c r="C58" s="37">
        <v>3</v>
      </c>
      <c r="D58" s="37">
        <v>4</v>
      </c>
      <c r="E58" s="37">
        <v>5</v>
      </c>
      <c r="F58" s="37">
        <v>6</v>
      </c>
      <c r="G58" s="37">
        <v>7</v>
      </c>
      <c r="H58" s="37">
        <v>8</v>
      </c>
      <c r="I58" s="37">
        <v>9</v>
      </c>
      <c r="J58" s="37">
        <v>10</v>
      </c>
      <c r="K58" s="38">
        <v>11</v>
      </c>
      <c r="L58" s="38">
        <v>12</v>
      </c>
    </row>
    <row r="59" spans="1:83" ht="28.5" x14ac:dyDescent="0.2">
      <c r="A59" s="40" t="s">
        <v>16</v>
      </c>
      <c r="B59" s="42" t="s">
        <v>525</v>
      </c>
      <c r="C59" s="42" t="str">
        <f>Source!G24</f>
        <v>Разборка покрытий полов: из керамогранитных плит</v>
      </c>
      <c r="D59" s="43" t="str">
        <f>Source!H24</f>
        <v>100 м2</v>
      </c>
      <c r="E59" s="44">
        <f>Source!K24</f>
        <v>0.3</v>
      </c>
      <c r="F59" s="44"/>
      <c r="G59" s="44">
        <f>Source!I24</f>
        <v>0.3</v>
      </c>
      <c r="H59" s="46"/>
      <c r="I59" s="45"/>
      <c r="J59" s="46"/>
      <c r="K59" s="45"/>
      <c r="L59" s="46"/>
    </row>
    <row r="60" spans="1:83" x14ac:dyDescent="0.2">
      <c r="C60" s="47" t="str">
        <f>"Объем: "&amp;Source!I24&amp;"=(27+"&amp;"2*"&amp;"1,5)/"&amp;"100"</f>
        <v>Объем: 0,3=(27+2*1,5)/100</v>
      </c>
    </row>
    <row r="61" spans="1:83" ht="15" x14ac:dyDescent="0.2">
      <c r="A61" s="41"/>
      <c r="B61" s="44">
        <v>1</v>
      </c>
      <c r="C61" s="41" t="s">
        <v>526</v>
      </c>
      <c r="D61" s="43" t="s">
        <v>357</v>
      </c>
      <c r="E61" s="48"/>
      <c r="F61" s="44"/>
      <c r="G61" s="44">
        <f>Source!U24</f>
        <v>23.622</v>
      </c>
      <c r="H61" s="44"/>
      <c r="I61" s="44"/>
      <c r="J61" s="44"/>
      <c r="K61" s="44"/>
      <c r="L61" s="49">
        <f>SUM(L62:L62)-SUMIF(CE62:CE62, 1, L62:L62)</f>
        <v>8352.98</v>
      </c>
    </row>
    <row r="62" spans="1:83" ht="14.25" x14ac:dyDescent="0.2">
      <c r="A62" s="42"/>
      <c r="B62" s="42" t="s">
        <v>355</v>
      </c>
      <c r="C62" s="42" t="s">
        <v>356</v>
      </c>
      <c r="D62" s="43" t="s">
        <v>357</v>
      </c>
      <c r="E62" s="44">
        <v>78.739999999999995</v>
      </c>
      <c r="F62" s="44"/>
      <c r="G62" s="44">
        <f>SmtRes!CX1</f>
        <v>23.622</v>
      </c>
      <c r="H62" s="46"/>
      <c r="I62" s="45"/>
      <c r="J62" s="46">
        <f>SmtRes!CZ1</f>
        <v>353.61</v>
      </c>
      <c r="K62" s="45"/>
      <c r="L62" s="46">
        <f>SmtRes!DI1</f>
        <v>8352.98</v>
      </c>
    </row>
    <row r="63" spans="1:83" ht="15" x14ac:dyDescent="0.2">
      <c r="A63" s="41"/>
      <c r="B63" s="44">
        <v>2</v>
      </c>
      <c r="C63" s="41" t="s">
        <v>527</v>
      </c>
      <c r="D63" s="43"/>
      <c r="E63" s="48"/>
      <c r="F63" s="44"/>
      <c r="G63" s="44"/>
      <c r="H63" s="44"/>
      <c r="I63" s="44"/>
      <c r="J63" s="44"/>
      <c r="K63" s="44"/>
      <c r="L63" s="49">
        <f>SUM(L64:L66)-SUMIF(CE64:CE66, 1, L64:L66)</f>
        <v>14.419999999999987</v>
      </c>
    </row>
    <row r="64" spans="1:83" ht="15" x14ac:dyDescent="0.2">
      <c r="A64" s="41"/>
      <c r="B64" s="44"/>
      <c r="C64" s="41" t="s">
        <v>529</v>
      </c>
      <c r="D64" s="43" t="s">
        <v>357</v>
      </c>
      <c r="E64" s="48"/>
      <c r="F64" s="44"/>
      <c r="G64" s="44">
        <f>Source!V24</f>
        <v>0.23699999999999999</v>
      </c>
      <c r="H64" s="44"/>
      <c r="I64" s="44"/>
      <c r="J64" s="44"/>
      <c r="K64" s="44"/>
      <c r="L64" s="49">
        <f>SUMIF(CE65:CE66, 1, L65:L66)</f>
        <v>85.24</v>
      </c>
      <c r="CE64">
        <v>1</v>
      </c>
    </row>
    <row r="65" spans="1:83" ht="42.75" x14ac:dyDescent="0.2">
      <c r="A65" s="42"/>
      <c r="B65" s="42" t="s">
        <v>360</v>
      </c>
      <c r="C65" s="42" t="s">
        <v>362</v>
      </c>
      <c r="D65" s="43" t="s">
        <v>363</v>
      </c>
      <c r="E65" s="44">
        <v>0.79</v>
      </c>
      <c r="F65" s="44"/>
      <c r="G65" s="44">
        <f>SmtRes!CX3</f>
        <v>0.23699999999999999</v>
      </c>
      <c r="H65" s="46">
        <f>SmtRes!CZ3</f>
        <v>37.32</v>
      </c>
      <c r="I65" s="45">
        <f>SmtRes!AJ3</f>
        <v>1.63</v>
      </c>
      <c r="J65" s="46">
        <f>ROUND(H65*I65, 2)</f>
        <v>60.83</v>
      </c>
      <c r="K65" s="45"/>
      <c r="L65" s="46">
        <f>SmtRes!DG3</f>
        <v>14.42</v>
      </c>
    </row>
    <row r="66" spans="1:83" ht="28.5" x14ac:dyDescent="0.2">
      <c r="A66" s="42"/>
      <c r="B66" s="42" t="s">
        <v>364</v>
      </c>
      <c r="C66" s="50" t="s">
        <v>528</v>
      </c>
      <c r="D66" s="51" t="s">
        <v>357</v>
      </c>
      <c r="E66" s="52">
        <f>SmtRes!DO3*SmtRes!AT3</f>
        <v>0.79</v>
      </c>
      <c r="F66" s="52"/>
      <c r="G66" s="52">
        <f>ROUND(E66*G59, 7)</f>
        <v>0.23699999999999999</v>
      </c>
      <c r="H66" s="53"/>
      <c r="I66" s="54"/>
      <c r="J66" s="53">
        <f>ROUND(SmtRes!AG3/SmtRes!DO3, 2)</f>
        <v>359.65</v>
      </c>
      <c r="K66" s="54"/>
      <c r="L66" s="53">
        <f>SmtRes!DH3</f>
        <v>85.24</v>
      </c>
      <c r="CE66">
        <v>1</v>
      </c>
    </row>
    <row r="67" spans="1:83" ht="15" x14ac:dyDescent="0.2">
      <c r="A67" s="42"/>
      <c r="B67" s="42"/>
      <c r="C67" s="57" t="s">
        <v>530</v>
      </c>
      <c r="D67" s="43"/>
      <c r="E67" s="44"/>
      <c r="F67" s="44"/>
      <c r="G67" s="44"/>
      <c r="H67" s="46"/>
      <c r="I67" s="45"/>
      <c r="J67" s="46"/>
      <c r="K67" s="45"/>
      <c r="L67" s="46">
        <f>L61+L63+L64</f>
        <v>8452.64</v>
      </c>
    </row>
    <row r="68" spans="1:83" ht="14.25" x14ac:dyDescent="0.2">
      <c r="A68" s="40" t="s">
        <v>531</v>
      </c>
      <c r="B68" s="42" t="str">
        <f>Source!F25</f>
        <v>999-9900</v>
      </c>
      <c r="C68" s="42" t="str">
        <f>Source!G25</f>
        <v>Строительный мусор</v>
      </c>
      <c r="D68" s="43" t="str">
        <f>Source!H25</f>
        <v>т</v>
      </c>
      <c r="E68" s="44">
        <f>SmtRes!AT4</f>
        <v>4.3</v>
      </c>
      <c r="F68" s="44"/>
      <c r="G68" s="44">
        <f>Source!I25</f>
        <v>1.2900000000000003</v>
      </c>
      <c r="H68" s="46">
        <f>Source!AL25+Source!AO25+Source!AM25+Source!AN25</f>
        <v>0</v>
      </c>
      <c r="I68" s="45"/>
      <c r="J68" s="46"/>
      <c r="K68" s="45"/>
      <c r="L68" s="46">
        <f>Source!P25</f>
        <v>0</v>
      </c>
      <c r="AD68">
        <f>ROUND((Source!AT25/100)*((ROUND(ROUND(Source!AO25,2)*Source!I25, 2)+ROUND(ROUND(Source!AN25,2)*Source!I25, 2))), 2)</f>
        <v>0</v>
      </c>
      <c r="AE68">
        <f>ROUND((Source!AU25/100)*((ROUND(ROUND(Source!AO25,2)*Source!I25, 2)+ROUND(ROUND(Source!AN25,2)*Source!I25, 2))), 2)</f>
        <v>0</v>
      </c>
      <c r="AN68">
        <f>L68</f>
        <v>0</v>
      </c>
      <c r="AW68">
        <f>L68</f>
        <v>0</v>
      </c>
      <c r="AZ68">
        <f>Source!X25</f>
        <v>0</v>
      </c>
      <c r="BA68">
        <f>Source!Y25</f>
        <v>0</v>
      </c>
      <c r="CD68">
        <v>1</v>
      </c>
    </row>
    <row r="69" spans="1:83" ht="14.25" x14ac:dyDescent="0.2">
      <c r="A69" s="42"/>
      <c r="B69" s="42"/>
      <c r="C69" s="42" t="s">
        <v>532</v>
      </c>
      <c r="D69" s="43"/>
      <c r="E69" s="44"/>
      <c r="F69" s="44"/>
      <c r="G69" s="44"/>
      <c r="H69" s="46"/>
      <c r="I69" s="45"/>
      <c r="J69" s="46"/>
      <c r="K69" s="45"/>
      <c r="L69" s="46">
        <f>SUM(AR59:AR72)+SUM(AS59:AS72)+SUM(AT59:AT72)+SUM(AU59:AU72)+SUM(AV59:AV72)</f>
        <v>8438.2199999999993</v>
      </c>
    </row>
    <row r="70" spans="1:83" ht="14.25" x14ac:dyDescent="0.2">
      <c r="A70" s="42"/>
      <c r="B70" s="42" t="s">
        <v>24</v>
      </c>
      <c r="C70" s="42" t="s">
        <v>533</v>
      </c>
      <c r="D70" s="43" t="s">
        <v>534</v>
      </c>
      <c r="E70" s="44">
        <f>Source!BZ24</f>
        <v>89</v>
      </c>
      <c r="F70" s="44"/>
      <c r="G70" s="44">
        <f>Source!AT24</f>
        <v>89</v>
      </c>
      <c r="H70" s="46"/>
      <c r="I70" s="45"/>
      <c r="J70" s="46"/>
      <c r="K70" s="45"/>
      <c r="L70" s="46">
        <f>SUM(AZ59:AZ72)</f>
        <v>7510.02</v>
      </c>
    </row>
    <row r="71" spans="1:83" ht="14.25" x14ac:dyDescent="0.2">
      <c r="A71" s="50"/>
      <c r="B71" s="50" t="s">
        <v>25</v>
      </c>
      <c r="C71" s="50" t="s">
        <v>535</v>
      </c>
      <c r="D71" s="51" t="s">
        <v>534</v>
      </c>
      <c r="E71" s="52">
        <f>Source!CA24</f>
        <v>49</v>
      </c>
      <c r="F71" s="52"/>
      <c r="G71" s="52">
        <f>Source!AU24</f>
        <v>49</v>
      </c>
      <c r="H71" s="53"/>
      <c r="I71" s="54"/>
      <c r="J71" s="53"/>
      <c r="K71" s="54"/>
      <c r="L71" s="53">
        <f>SUM(BA59:BA72)</f>
        <v>4134.7299999999996</v>
      </c>
    </row>
    <row r="72" spans="1:83" ht="15" x14ac:dyDescent="0.2">
      <c r="C72" s="99" t="s">
        <v>536</v>
      </c>
      <c r="D72" s="99"/>
      <c r="E72" s="99"/>
      <c r="F72" s="99"/>
      <c r="G72" s="99"/>
      <c r="H72" s="99"/>
      <c r="I72" s="100">
        <f>IF(E59&lt;&gt;0,K72/E59, 0)</f>
        <v>66991.300000000017</v>
      </c>
      <c r="J72" s="100"/>
      <c r="K72" s="100">
        <f>L61+L63+L70+L71+L64+SUM(L68:L68)</f>
        <v>20097.390000000003</v>
      </c>
      <c r="L72" s="100"/>
      <c r="AD72">
        <f>ROUND((Source!AT24/100)*((ROUND(SUMIF(SmtRes!AQ1:'SmtRes'!AQ4,"=1",SmtRes!AD1:'SmtRes'!AD4)*Source!I24, 2)+ROUND(SUMIF(SmtRes!AQ1:'SmtRes'!AQ4,"=1",SmtRes!AC1:'SmtRes'!AC4)*Source!I24, 2))), 2)</f>
        <v>190.44</v>
      </c>
      <c r="AE72">
        <f>ROUND((Source!AU24/100)*((ROUND(SUMIF(SmtRes!AQ1:'SmtRes'!AQ4,"=1",SmtRes!AD1:'SmtRes'!AD4)*Source!I24, 2)+ROUND(SUMIF(SmtRes!AQ1:'SmtRes'!AQ4,"=1",SmtRes!AC1:'SmtRes'!AC4)*Source!I24, 2))), 2)</f>
        <v>104.85</v>
      </c>
      <c r="AN72" s="55">
        <f>L61+L63+L70+L71+L64</f>
        <v>20097.390000000003</v>
      </c>
      <c r="AO72" s="55">
        <f>L63</f>
        <v>14.419999999999987</v>
      </c>
      <c r="AQ72" t="s">
        <v>537</v>
      </c>
      <c r="AR72" s="55">
        <f>L61</f>
        <v>8352.98</v>
      </c>
      <c r="AT72" s="55">
        <f>L64</f>
        <v>85.24</v>
      </c>
      <c r="AV72" t="s">
        <v>537</v>
      </c>
      <c r="AW72">
        <f>0</f>
        <v>0</v>
      </c>
      <c r="AZ72">
        <f>Source!X24</f>
        <v>7510.02</v>
      </c>
      <c r="BA72">
        <f>Source!Y24</f>
        <v>4134.7299999999996</v>
      </c>
      <c r="CD72">
        <v>1</v>
      </c>
    </row>
    <row r="73" spans="1:83" ht="57" x14ac:dyDescent="0.2">
      <c r="A73" s="40" t="s">
        <v>30</v>
      </c>
      <c r="B73" s="42" t="s">
        <v>538</v>
      </c>
      <c r="C73" s="42" t="str">
        <f>Source!G26</f>
        <v>Разборка бетонных конструкций объемом более 1 м3 при помощи отбойных молотков из бетона марки: 300</v>
      </c>
      <c r="D73" s="43" t="str">
        <f>Source!H26</f>
        <v>м3</v>
      </c>
      <c r="E73" s="44">
        <f>Source!K26</f>
        <v>1.45</v>
      </c>
      <c r="F73" s="44"/>
      <c r="G73" s="44">
        <f>Source!I26</f>
        <v>1.45</v>
      </c>
      <c r="H73" s="46"/>
      <c r="I73" s="45"/>
      <c r="J73" s="46"/>
      <c r="K73" s="45"/>
      <c r="L73" s="46"/>
    </row>
    <row r="74" spans="1:83" ht="15" x14ac:dyDescent="0.2">
      <c r="A74" s="41"/>
      <c r="B74" s="44">
        <v>1</v>
      </c>
      <c r="C74" s="41" t="s">
        <v>526</v>
      </c>
      <c r="D74" s="43" t="s">
        <v>357</v>
      </c>
      <c r="E74" s="48"/>
      <c r="F74" s="44"/>
      <c r="G74" s="44">
        <f>Source!U26</f>
        <v>71.905500000000004</v>
      </c>
      <c r="H74" s="44"/>
      <c r="I74" s="44"/>
      <c r="J74" s="44"/>
      <c r="K74" s="44"/>
      <c r="L74" s="49">
        <f>SUM(L75:L75)-SUMIF(CE75:CE75, 1, L75:L75)</f>
        <v>25860.81</v>
      </c>
    </row>
    <row r="75" spans="1:83" ht="14.25" x14ac:dyDescent="0.2">
      <c r="A75" s="42"/>
      <c r="B75" s="42" t="s">
        <v>365</v>
      </c>
      <c r="C75" s="42" t="s">
        <v>366</v>
      </c>
      <c r="D75" s="43" t="s">
        <v>357</v>
      </c>
      <c r="E75" s="44">
        <v>49.59</v>
      </c>
      <c r="F75" s="44"/>
      <c r="G75" s="44">
        <f>SmtRes!CX5</f>
        <v>71.905500000000004</v>
      </c>
      <c r="H75" s="46"/>
      <c r="I75" s="45"/>
      <c r="J75" s="46">
        <f>SmtRes!CZ5</f>
        <v>359.65</v>
      </c>
      <c r="K75" s="45"/>
      <c r="L75" s="46">
        <f>SmtRes!DI5</f>
        <v>25860.81</v>
      </c>
    </row>
    <row r="76" spans="1:83" ht="15" x14ac:dyDescent="0.2">
      <c r="A76" s="41"/>
      <c r="B76" s="44">
        <v>2</v>
      </c>
      <c r="C76" s="41" t="s">
        <v>527</v>
      </c>
      <c r="D76" s="43"/>
      <c r="E76" s="48"/>
      <c r="F76" s="44"/>
      <c r="G76" s="44"/>
      <c r="H76" s="44"/>
      <c r="I76" s="44"/>
      <c r="J76" s="44"/>
      <c r="K76" s="44"/>
      <c r="L76" s="49">
        <f>SUM(L77:L79)-SUMIF(CE77:CE79, 1, L77:L79)</f>
        <v>6269.85</v>
      </c>
    </row>
    <row r="77" spans="1:83" ht="15" hidden="1" x14ac:dyDescent="0.2">
      <c r="A77" s="41"/>
      <c r="B77" s="44"/>
      <c r="C77" s="41" t="s">
        <v>529</v>
      </c>
      <c r="D77" s="43" t="s">
        <v>357</v>
      </c>
      <c r="E77" s="48"/>
      <c r="F77" s="44"/>
      <c r="G77" s="44">
        <f>Source!V26</f>
        <v>0</v>
      </c>
      <c r="H77" s="44"/>
      <c r="I77" s="44"/>
      <c r="J77" s="44"/>
      <c r="K77" s="44"/>
      <c r="L77" s="49">
        <f>SUMIF(CE78:CE79, 1, L78:L79)</f>
        <v>0</v>
      </c>
      <c r="CE77">
        <v>1</v>
      </c>
    </row>
    <row r="78" spans="1:83" ht="57" x14ac:dyDescent="0.2">
      <c r="A78" s="42"/>
      <c r="B78" s="42" t="s">
        <v>367</v>
      </c>
      <c r="C78" s="42" t="s">
        <v>369</v>
      </c>
      <c r="D78" s="43" t="s">
        <v>363</v>
      </c>
      <c r="E78" s="44">
        <v>23.08</v>
      </c>
      <c r="F78" s="44"/>
      <c r="G78" s="44">
        <f>SmtRes!CX6</f>
        <v>33.466000000000001</v>
      </c>
      <c r="H78" s="46">
        <f>SmtRes!CZ6</f>
        <v>115.43</v>
      </c>
      <c r="I78" s="45">
        <f>SmtRes!AJ6</f>
        <v>1.57</v>
      </c>
      <c r="J78" s="46">
        <f>ROUND(H78*I78, 2)</f>
        <v>181.23</v>
      </c>
      <c r="K78" s="45"/>
      <c r="L78" s="46">
        <f>SmtRes!DG6</f>
        <v>6065.04</v>
      </c>
    </row>
    <row r="79" spans="1:83" ht="42.75" x14ac:dyDescent="0.2">
      <c r="A79" s="42"/>
      <c r="B79" s="42" t="s">
        <v>370</v>
      </c>
      <c r="C79" s="50" t="s">
        <v>372</v>
      </c>
      <c r="D79" s="51" t="s">
        <v>363</v>
      </c>
      <c r="E79" s="52">
        <v>46.16</v>
      </c>
      <c r="F79" s="52"/>
      <c r="G79" s="52">
        <f>SmtRes!CX7</f>
        <v>66.932000000000002</v>
      </c>
      <c r="H79" s="53">
        <f>SmtRes!CZ7</f>
        <v>2.11</v>
      </c>
      <c r="I79" s="54">
        <f>SmtRes!AJ7</f>
        <v>1.45</v>
      </c>
      <c r="J79" s="53">
        <f>ROUND(H79*I79, 2)</f>
        <v>3.06</v>
      </c>
      <c r="K79" s="54"/>
      <c r="L79" s="53">
        <f>SmtRes!DG7</f>
        <v>204.81</v>
      </c>
    </row>
    <row r="80" spans="1:83" ht="15" x14ac:dyDescent="0.2">
      <c r="A80" s="42"/>
      <c r="B80" s="42"/>
      <c r="C80" s="57" t="s">
        <v>530</v>
      </c>
      <c r="D80" s="43"/>
      <c r="E80" s="44"/>
      <c r="F80" s="44"/>
      <c r="G80" s="44"/>
      <c r="H80" s="46"/>
      <c r="I80" s="45"/>
      <c r="J80" s="46"/>
      <c r="K80" s="45"/>
      <c r="L80" s="46">
        <f>L74+L76+L77</f>
        <v>32130.660000000003</v>
      </c>
    </row>
    <row r="81" spans="1:101" ht="14.25" x14ac:dyDescent="0.2">
      <c r="A81" s="42"/>
      <c r="B81" s="42"/>
      <c r="C81" s="42" t="s">
        <v>532</v>
      </c>
      <c r="D81" s="43"/>
      <c r="E81" s="44"/>
      <c r="F81" s="44"/>
      <c r="G81" s="44"/>
      <c r="H81" s="46"/>
      <c r="I81" s="45"/>
      <c r="J81" s="46"/>
      <c r="K81" s="45"/>
      <c r="L81" s="46">
        <f>SUM(AR73:AR84)+SUM(AS73:AS84)+SUM(AT73:AT84)+SUM(AU73:AU84)+SUM(AV73:AV84)</f>
        <v>25860.81</v>
      </c>
    </row>
    <row r="82" spans="1:101" ht="71.25" x14ac:dyDescent="0.2">
      <c r="A82" s="42"/>
      <c r="B82" s="42" t="s">
        <v>39</v>
      </c>
      <c r="C82" s="42" t="s">
        <v>539</v>
      </c>
      <c r="D82" s="43" t="s">
        <v>534</v>
      </c>
      <c r="E82" s="44">
        <f>Source!BZ26</f>
        <v>91</v>
      </c>
      <c r="F82" s="44"/>
      <c r="G82" s="44">
        <f>Source!AT26</f>
        <v>91</v>
      </c>
      <c r="H82" s="46"/>
      <c r="I82" s="45"/>
      <c r="J82" s="46"/>
      <c r="K82" s="45"/>
      <c r="L82" s="46">
        <f>SUM(AZ73:AZ84)</f>
        <v>23533.34</v>
      </c>
    </row>
    <row r="83" spans="1:101" ht="71.25" x14ac:dyDescent="0.2">
      <c r="A83" s="50"/>
      <c r="B83" s="50" t="s">
        <v>40</v>
      </c>
      <c r="C83" s="50" t="s">
        <v>540</v>
      </c>
      <c r="D83" s="51" t="s">
        <v>534</v>
      </c>
      <c r="E83" s="52">
        <f>Source!CA26</f>
        <v>52</v>
      </c>
      <c r="F83" s="52"/>
      <c r="G83" s="52">
        <f>Source!AU26</f>
        <v>52</v>
      </c>
      <c r="H83" s="53"/>
      <c r="I83" s="54"/>
      <c r="J83" s="53"/>
      <c r="K83" s="54"/>
      <c r="L83" s="53">
        <f>SUM(BA73:BA84)</f>
        <v>13447.62</v>
      </c>
    </row>
    <row r="84" spans="1:101" ht="15" x14ac:dyDescent="0.2">
      <c r="C84" s="99" t="s">
        <v>536</v>
      </c>
      <c r="D84" s="99"/>
      <c r="E84" s="99"/>
      <c r="F84" s="99"/>
      <c r="G84" s="99"/>
      <c r="H84" s="99"/>
      <c r="I84" s="100">
        <f>IF(E73&lt;&gt;0,K84/E73, 0)</f>
        <v>47663.186206896549</v>
      </c>
      <c r="J84" s="100"/>
      <c r="K84" s="100">
        <f>L74+L76+L82+L83+L77</f>
        <v>69111.62</v>
      </c>
      <c r="L84" s="100"/>
      <c r="AD84">
        <f>ROUND((Source!AT26/100)*((ROUND(SUMIF(SmtRes!AQ5:'SmtRes'!AQ7,"=1",SmtRes!AD5:'SmtRes'!AD7)*Source!I26, 2)+ROUND(SUMIF(SmtRes!AQ5:'SmtRes'!AQ7,"=1",SmtRes!AC5:'SmtRes'!AC7)*Source!I26, 2))), 2)</f>
        <v>474.56</v>
      </c>
      <c r="AE84">
        <f>ROUND((Source!AU26/100)*((ROUND(SUMIF(SmtRes!AQ5:'SmtRes'!AQ7,"=1",SmtRes!AD5:'SmtRes'!AD7)*Source!I26, 2)+ROUND(SUMIF(SmtRes!AQ5:'SmtRes'!AQ7,"=1",SmtRes!AC5:'SmtRes'!AC7)*Source!I26, 2))), 2)</f>
        <v>271.17</v>
      </c>
      <c r="AN84" s="55">
        <f>L74+L76+L82+L83+L77</f>
        <v>69111.62</v>
      </c>
      <c r="AO84" s="55">
        <f>L76</f>
        <v>6269.85</v>
      </c>
      <c r="AQ84" t="s">
        <v>537</v>
      </c>
      <c r="AR84" s="55">
        <f>L74</f>
        <v>25860.81</v>
      </c>
      <c r="AT84" s="55">
        <f>L77</f>
        <v>0</v>
      </c>
      <c r="AV84" t="s">
        <v>537</v>
      </c>
      <c r="AW84">
        <f>0</f>
        <v>0</v>
      </c>
      <c r="AZ84">
        <f>Source!X26</f>
        <v>23533.34</v>
      </c>
      <c r="BA84">
        <f>Source!Y26</f>
        <v>13447.62</v>
      </c>
      <c r="CD84">
        <v>1</v>
      </c>
    </row>
    <row r="85" spans="1:101" ht="14.25" x14ac:dyDescent="0.2">
      <c r="A85" s="40" t="s">
        <v>41</v>
      </c>
      <c r="B85" s="42" t="s">
        <v>541</v>
      </c>
      <c r="C85" s="42" t="str">
        <f>Source!G27</f>
        <v>Устройство бетонной подготовки</v>
      </c>
      <c r="D85" s="43" t="str">
        <f>Source!H27</f>
        <v>100 м3</v>
      </c>
      <c r="E85" s="44">
        <f>Source!K27</f>
        <v>1.4500000000000001E-2</v>
      </c>
      <c r="F85" s="44"/>
      <c r="G85" s="44">
        <f>Source!I27</f>
        <v>1.4500000000000001E-2</v>
      </c>
      <c r="H85" s="46"/>
      <c r="I85" s="45"/>
      <c r="J85" s="46"/>
      <c r="K85" s="45"/>
      <c r="L85" s="46"/>
    </row>
    <row r="86" spans="1:101" ht="51" x14ac:dyDescent="0.2">
      <c r="B86" s="59" t="s">
        <v>474</v>
      </c>
      <c r="C86" s="113" t="s">
        <v>542</v>
      </c>
      <c r="D86" s="113"/>
      <c r="E86" s="113"/>
      <c r="F86" s="113"/>
      <c r="G86" s="113"/>
      <c r="H86" s="113"/>
      <c r="I86" s="113"/>
      <c r="J86" s="113"/>
      <c r="K86" s="113"/>
      <c r="L86" s="113"/>
      <c r="CW86" s="60" t="s">
        <v>542</v>
      </c>
    </row>
    <row r="87" spans="1:101" x14ac:dyDescent="0.2">
      <c r="C87" s="47" t="str">
        <f>"Объем: "&amp;Source!I27&amp;"=1,45/"&amp;"100"</f>
        <v>Объем: 0,0145=1,45/100</v>
      </c>
    </row>
    <row r="88" spans="1:101" ht="15" x14ac:dyDescent="0.2">
      <c r="A88" s="41"/>
      <c r="B88" s="44">
        <v>1</v>
      </c>
      <c r="C88" s="41" t="s">
        <v>526</v>
      </c>
      <c r="D88" s="43" t="s">
        <v>357</v>
      </c>
      <c r="E88" s="48"/>
      <c r="F88" s="44"/>
      <c r="G88" s="44">
        <f>Source!U27</f>
        <v>2.251125</v>
      </c>
      <c r="H88" s="44"/>
      <c r="I88" s="44"/>
      <c r="J88" s="44"/>
      <c r="K88" s="44"/>
      <c r="L88" s="49">
        <f>SUM(L89:L89)-SUMIF(CE89:CE89, 1, L89:L89)</f>
        <v>741.59</v>
      </c>
    </row>
    <row r="89" spans="1:101" ht="14.25" x14ac:dyDescent="0.2">
      <c r="A89" s="42"/>
      <c r="B89" s="42" t="s">
        <v>373</v>
      </c>
      <c r="C89" s="42" t="s">
        <v>374</v>
      </c>
      <c r="D89" s="43" t="s">
        <v>357</v>
      </c>
      <c r="E89" s="44">
        <v>135</v>
      </c>
      <c r="F89" s="44">
        <f>ROUND(1.15,7)</f>
        <v>1.1499999999999999</v>
      </c>
      <c r="G89" s="44">
        <f>SmtRes!CX8</f>
        <v>2.251125</v>
      </c>
      <c r="H89" s="46"/>
      <c r="I89" s="45"/>
      <c r="J89" s="46">
        <f>SmtRes!CZ8</f>
        <v>329.43</v>
      </c>
      <c r="K89" s="45"/>
      <c r="L89" s="46">
        <f>SmtRes!DI8</f>
        <v>741.59</v>
      </c>
    </row>
    <row r="90" spans="1:101" ht="15" x14ac:dyDescent="0.2">
      <c r="A90" s="41"/>
      <c r="B90" s="44">
        <v>2</v>
      </c>
      <c r="C90" s="41" t="s">
        <v>527</v>
      </c>
      <c r="D90" s="43"/>
      <c r="E90" s="48"/>
      <c r="F90" s="44"/>
      <c r="G90" s="44"/>
      <c r="H90" s="44"/>
      <c r="I90" s="44"/>
      <c r="J90" s="44"/>
      <c r="K90" s="44"/>
      <c r="L90" s="49">
        <f>SUM(L91:L96)-SUMIF(CE91:CE96, 1, L91:L96)</f>
        <v>361.17000000000013</v>
      </c>
    </row>
    <row r="91" spans="1:101" ht="15" x14ac:dyDescent="0.2">
      <c r="A91" s="41"/>
      <c r="B91" s="44"/>
      <c r="C91" s="41" t="s">
        <v>529</v>
      </c>
      <c r="D91" s="43" t="s">
        <v>357</v>
      </c>
      <c r="E91" s="48"/>
      <c r="F91" s="44"/>
      <c r="G91" s="44">
        <f>Source!V27</f>
        <v>0.32842499999999997</v>
      </c>
      <c r="H91" s="44"/>
      <c r="I91" s="44"/>
      <c r="J91" s="44"/>
      <c r="K91" s="44"/>
      <c r="L91" s="49">
        <f>SUMIF(CE92:CE96, 1, L92:L96)</f>
        <v>178.35999999999999</v>
      </c>
      <c r="CE91">
        <v>1</v>
      </c>
    </row>
    <row r="92" spans="1:101" ht="28.5" x14ac:dyDescent="0.2">
      <c r="A92" s="42"/>
      <c r="B92" s="42" t="s">
        <v>375</v>
      </c>
      <c r="C92" s="42" t="s">
        <v>377</v>
      </c>
      <c r="D92" s="43" t="s">
        <v>363</v>
      </c>
      <c r="E92" s="44">
        <v>18</v>
      </c>
      <c r="F92" s="44">
        <f>ROUND(1.25,7)</f>
        <v>1.25</v>
      </c>
      <c r="G92" s="44">
        <f>SmtRes!CX10</f>
        <v>0.32624999999999998</v>
      </c>
      <c r="H92" s="46"/>
      <c r="I92" s="45"/>
      <c r="J92" s="46">
        <f>SmtRes!CZ10</f>
        <v>1098</v>
      </c>
      <c r="K92" s="45"/>
      <c r="L92" s="46">
        <f>SmtRes!DG10</f>
        <v>358.22</v>
      </c>
    </row>
    <row r="93" spans="1:101" ht="28.5" x14ac:dyDescent="0.2">
      <c r="A93" s="42"/>
      <c r="B93" s="42" t="s">
        <v>378</v>
      </c>
      <c r="C93" s="42" t="s">
        <v>543</v>
      </c>
      <c r="D93" s="43" t="s">
        <v>357</v>
      </c>
      <c r="E93" s="44">
        <f>SmtRes!DO10*SmtRes!AT10</f>
        <v>18</v>
      </c>
      <c r="F93" s="44">
        <f>ROUND(1.25,7)</f>
        <v>1.25</v>
      </c>
      <c r="G93" s="44">
        <f>ROUND(E93*F93*G85, 7)</f>
        <v>0.32624999999999998</v>
      </c>
      <c r="H93" s="46"/>
      <c r="I93" s="45"/>
      <c r="J93" s="46">
        <f>ROUND(SmtRes!AG10/SmtRes!DO10, 2)</f>
        <v>544.01</v>
      </c>
      <c r="K93" s="45"/>
      <c r="L93" s="46">
        <f>SmtRes!DH10</f>
        <v>177.48</v>
      </c>
      <c r="CE93">
        <v>1</v>
      </c>
    </row>
    <row r="94" spans="1:101" ht="14.25" x14ac:dyDescent="0.2">
      <c r="A94" s="42"/>
      <c r="B94" s="42" t="s">
        <v>379</v>
      </c>
      <c r="C94" s="42" t="s">
        <v>381</v>
      </c>
      <c r="D94" s="43" t="s">
        <v>363</v>
      </c>
      <c r="E94" s="44">
        <v>5.93</v>
      </c>
      <c r="F94" s="44">
        <f>ROUND(1.25,7)</f>
        <v>1.25</v>
      </c>
      <c r="G94" s="44">
        <f>SmtRes!CX11</f>
        <v>0.1074813</v>
      </c>
      <c r="H94" s="46">
        <f>SmtRes!CZ11</f>
        <v>8.5399999999999991</v>
      </c>
      <c r="I94" s="45">
        <f>SmtRes!AJ11</f>
        <v>1.6</v>
      </c>
      <c r="J94" s="46">
        <f>ROUND(H94*I94, 2)</f>
        <v>13.66</v>
      </c>
      <c r="K94" s="45"/>
      <c r="L94" s="46">
        <f>SmtRes!DG11</f>
        <v>1.47</v>
      </c>
    </row>
    <row r="95" spans="1:101" ht="28.5" x14ac:dyDescent="0.2">
      <c r="A95" s="42"/>
      <c r="B95" s="42" t="s">
        <v>382</v>
      </c>
      <c r="C95" s="42" t="s">
        <v>384</v>
      </c>
      <c r="D95" s="43" t="s">
        <v>363</v>
      </c>
      <c r="E95" s="44">
        <v>0.12</v>
      </c>
      <c r="F95" s="44">
        <f>ROUND(1.25,7)</f>
        <v>1.25</v>
      </c>
      <c r="G95" s="44">
        <f>SmtRes!CX12</f>
        <v>2.1749999999999999E-3</v>
      </c>
      <c r="H95" s="46"/>
      <c r="I95" s="45"/>
      <c r="J95" s="46">
        <f>SmtRes!CZ12</f>
        <v>680.75</v>
      </c>
      <c r="K95" s="45"/>
      <c r="L95" s="46">
        <f>SmtRes!DG12</f>
        <v>1.48</v>
      </c>
    </row>
    <row r="96" spans="1:101" ht="28.5" x14ac:dyDescent="0.2">
      <c r="A96" s="42"/>
      <c r="B96" s="42" t="s">
        <v>385</v>
      </c>
      <c r="C96" s="42" t="s">
        <v>544</v>
      </c>
      <c r="D96" s="43" t="s">
        <v>357</v>
      </c>
      <c r="E96" s="44">
        <f>SmtRes!DO12*SmtRes!AT12</f>
        <v>0.12</v>
      </c>
      <c r="F96" s="44">
        <f>ROUND(1.25,7)</f>
        <v>1.25</v>
      </c>
      <c r="G96" s="44">
        <f>ROUND(E96*F96*G85, 7)</f>
        <v>2.1749999999999999E-3</v>
      </c>
      <c r="H96" s="46"/>
      <c r="I96" s="45"/>
      <c r="J96" s="46">
        <f>ROUND(SmtRes!AG12/SmtRes!DO12, 2)</f>
        <v>404.99</v>
      </c>
      <c r="K96" s="45"/>
      <c r="L96" s="46">
        <f>SmtRes!DH12</f>
        <v>0.88</v>
      </c>
      <c r="CE96">
        <v>1</v>
      </c>
    </row>
    <row r="97" spans="1:101" ht="15" x14ac:dyDescent="0.2">
      <c r="A97" s="41"/>
      <c r="B97" s="44">
        <v>4</v>
      </c>
      <c r="C97" s="41" t="s">
        <v>260</v>
      </c>
      <c r="D97" s="43"/>
      <c r="E97" s="48"/>
      <c r="F97" s="44"/>
      <c r="G97" s="44"/>
      <c r="H97" s="44"/>
      <c r="I97" s="44"/>
      <c r="J97" s="44"/>
      <c r="K97" s="44"/>
      <c r="L97" s="49">
        <f>SUM(L98:L99)-SUMIF(CE98:CE99, 1, L98:L99)</f>
        <v>55.63</v>
      </c>
    </row>
    <row r="98" spans="1:101" ht="14.25" x14ac:dyDescent="0.2">
      <c r="A98" s="42"/>
      <c r="B98" s="42" t="s">
        <v>386</v>
      </c>
      <c r="C98" s="42" t="s">
        <v>388</v>
      </c>
      <c r="D98" s="43" t="s">
        <v>33</v>
      </c>
      <c r="E98" s="44">
        <v>1.75</v>
      </c>
      <c r="F98" s="44"/>
      <c r="G98" s="44">
        <f>SmtRes!CX13</f>
        <v>2.5375000000000002E-2</v>
      </c>
      <c r="H98" s="46">
        <f>SmtRes!CZ13</f>
        <v>35.71</v>
      </c>
      <c r="I98" s="45">
        <f>SmtRes!AI13</f>
        <v>0.83</v>
      </c>
      <c r="J98" s="46">
        <f>ROUND(H98*I98, 2)</f>
        <v>29.64</v>
      </c>
      <c r="K98" s="45"/>
      <c r="L98" s="46">
        <f>SmtRes!DF13</f>
        <v>0.75</v>
      </c>
    </row>
    <row r="99" spans="1:101" ht="28.5" x14ac:dyDescent="0.2">
      <c r="A99" s="42"/>
      <c r="B99" s="42" t="s">
        <v>389</v>
      </c>
      <c r="C99" s="42" t="s">
        <v>391</v>
      </c>
      <c r="D99" s="43" t="s">
        <v>69</v>
      </c>
      <c r="E99" s="44">
        <v>250</v>
      </c>
      <c r="F99" s="44"/>
      <c r="G99" s="44">
        <f>SmtRes!CX14</f>
        <v>3.625</v>
      </c>
      <c r="H99" s="46">
        <f>SmtRes!CZ14</f>
        <v>12.83</v>
      </c>
      <c r="I99" s="45">
        <f>SmtRes!AI14</f>
        <v>1.18</v>
      </c>
      <c r="J99" s="46">
        <f>ROUND(H99*I99, 2)</f>
        <v>15.14</v>
      </c>
      <c r="K99" s="45"/>
      <c r="L99" s="46">
        <f>SmtRes!DF14</f>
        <v>54.88</v>
      </c>
    </row>
    <row r="100" spans="1:101" ht="14.25" x14ac:dyDescent="0.2">
      <c r="A100" s="42"/>
      <c r="B100" s="42" t="str">
        <f>EtalonRes!I15</f>
        <v>04.1.02.05</v>
      </c>
      <c r="C100" s="50" t="str">
        <f>EtalonRes!K15</f>
        <v>Смеси бетонные тяжелого бетона</v>
      </c>
      <c r="D100" s="51" t="str">
        <f>EtalonRes!O15</f>
        <v>м3</v>
      </c>
      <c r="E100" s="52">
        <f>EtalonRes!X15</f>
        <v>102</v>
      </c>
      <c r="F100" s="52"/>
      <c r="G100" s="52">
        <f>ROUND(EtalonRes!AG15*Source!I27, 7)</f>
        <v>1.4790000000000001</v>
      </c>
      <c r="H100" s="53"/>
      <c r="I100" s="54"/>
      <c r="J100" s="53"/>
      <c r="K100" s="54"/>
      <c r="L100" s="53"/>
    </row>
    <row r="101" spans="1:101" ht="15" x14ac:dyDescent="0.2">
      <c r="A101" s="42"/>
      <c r="B101" s="42"/>
      <c r="C101" s="57" t="s">
        <v>530</v>
      </c>
      <c r="D101" s="43"/>
      <c r="E101" s="44"/>
      <c r="F101" s="44"/>
      <c r="G101" s="44"/>
      <c r="H101" s="46"/>
      <c r="I101" s="45"/>
      <c r="J101" s="46"/>
      <c r="K101" s="45"/>
      <c r="L101" s="46">
        <f>L88+L90+L91+L97</f>
        <v>1336.7500000000002</v>
      </c>
    </row>
    <row r="102" spans="1:101" ht="42.75" x14ac:dyDescent="0.2">
      <c r="A102" s="40" t="s">
        <v>545</v>
      </c>
      <c r="B102" s="42" t="str">
        <f>Source!F28</f>
        <v>04.1.02.05-0136</v>
      </c>
      <c r="C102" s="42" t="str">
        <f>Source!G28</f>
        <v>Смеси бетонные тяжелого бетона (БСТ) на щебне из гравия, класс В20, F(1)100, W4</v>
      </c>
      <c r="D102" s="43" t="str">
        <f>Source!H28</f>
        <v>м3</v>
      </c>
      <c r="E102" s="44">
        <f>SmtRes!AT15</f>
        <v>102</v>
      </c>
      <c r="F102" s="44"/>
      <c r="G102" s="44">
        <f>Source!I28</f>
        <v>1.4790000000000001</v>
      </c>
      <c r="H102" s="46"/>
      <c r="I102" s="45"/>
      <c r="J102" s="46">
        <f>Source!AK28</f>
        <v>6402.48</v>
      </c>
      <c r="K102" s="45"/>
      <c r="L102" s="46">
        <f>Source!P28</f>
        <v>9469.27</v>
      </c>
      <c r="AD102">
        <f>ROUND((Source!AT28/100)*((ROUND(ROUND(Source!AO28,2)*Source!I28, 2)+ROUND(ROUND(Source!AN28,2)*Source!I28, 2))), 2)</f>
        <v>0</v>
      </c>
      <c r="AE102">
        <f>ROUND((Source!AU28/100)*((ROUND(ROUND(Source!AO28,2)*Source!I28, 2)+ROUND(ROUND(Source!AN28,2)*Source!I28, 2))), 2)</f>
        <v>0</v>
      </c>
      <c r="AN102">
        <f>L102</f>
        <v>9469.27</v>
      </c>
      <c r="AW102">
        <f>L102</f>
        <v>9469.27</v>
      </c>
      <c r="AZ102">
        <f>Source!X28</f>
        <v>0</v>
      </c>
      <c r="BA102">
        <f>Source!Y28</f>
        <v>0</v>
      </c>
      <c r="CD102">
        <v>1</v>
      </c>
    </row>
    <row r="103" spans="1:101" ht="14.25" x14ac:dyDescent="0.2">
      <c r="A103" s="42"/>
      <c r="B103" s="42"/>
      <c r="C103" s="42" t="s">
        <v>532</v>
      </c>
      <c r="D103" s="43"/>
      <c r="E103" s="44"/>
      <c r="F103" s="44"/>
      <c r="G103" s="44"/>
      <c r="H103" s="46"/>
      <c r="I103" s="45"/>
      <c r="J103" s="46"/>
      <c r="K103" s="45"/>
      <c r="L103" s="46">
        <f>SUM(AR85:AR106)+SUM(AS85:AS106)+SUM(AT85:AT106)+SUM(AU85:AU106)+SUM(AV85:AV106)</f>
        <v>919.95</v>
      </c>
    </row>
    <row r="104" spans="1:101" ht="42.75" x14ac:dyDescent="0.2">
      <c r="A104" s="42"/>
      <c r="B104" s="42" t="s">
        <v>546</v>
      </c>
      <c r="C104" s="42" t="s">
        <v>547</v>
      </c>
      <c r="D104" s="43" t="s">
        <v>534</v>
      </c>
      <c r="E104" s="44">
        <f>Source!BZ27</f>
        <v>102</v>
      </c>
      <c r="F104" s="44">
        <f>ROUND(0.9,7)</f>
        <v>0.9</v>
      </c>
      <c r="G104" s="44">
        <f>Source!AT27</f>
        <v>91.8</v>
      </c>
      <c r="H104" s="46"/>
      <c r="I104" s="45"/>
      <c r="J104" s="46"/>
      <c r="K104" s="45"/>
      <c r="L104" s="46">
        <f>SUM(AZ85:AZ106)</f>
        <v>844.51</v>
      </c>
    </row>
    <row r="105" spans="1:101" ht="42.75" x14ac:dyDescent="0.2">
      <c r="A105" s="50"/>
      <c r="B105" s="50" t="s">
        <v>548</v>
      </c>
      <c r="C105" s="50" t="s">
        <v>549</v>
      </c>
      <c r="D105" s="51" t="s">
        <v>534</v>
      </c>
      <c r="E105" s="52">
        <f>Source!CA27</f>
        <v>58</v>
      </c>
      <c r="F105" s="52">
        <f>ROUND(0.85,7)</f>
        <v>0.85</v>
      </c>
      <c r="G105" s="52">
        <f>Source!AU27</f>
        <v>49.3</v>
      </c>
      <c r="H105" s="53"/>
      <c r="I105" s="54"/>
      <c r="J105" s="53"/>
      <c r="K105" s="54"/>
      <c r="L105" s="53">
        <f>SUM(BA85:BA106)</f>
        <v>453.54</v>
      </c>
    </row>
    <row r="106" spans="1:101" ht="15" x14ac:dyDescent="0.2">
      <c r="C106" s="99" t="s">
        <v>536</v>
      </c>
      <c r="D106" s="99"/>
      <c r="E106" s="99"/>
      <c r="F106" s="99"/>
      <c r="G106" s="99"/>
      <c r="H106" s="99"/>
      <c r="I106" s="100">
        <f>IF(E85&lt;&gt;0,K106/E85, 0)</f>
        <v>834763.44827586215</v>
      </c>
      <c r="J106" s="100"/>
      <c r="K106" s="100">
        <f>L88+L90+L97+L104+L105+L91+SUM(L102:L102)</f>
        <v>12104.070000000002</v>
      </c>
      <c r="L106" s="100"/>
      <c r="AD106">
        <f>ROUND((Source!AT27/100)*((ROUND(SUMIF(SmtRes!AQ8:'SmtRes'!AQ15,"=1",SmtRes!AD8:'SmtRes'!AD15)*Source!I27, 2)+ROUND(SUMIF(SmtRes!AQ8:'SmtRes'!AQ15,"=1",SmtRes!AC8:'SmtRes'!AC15)*Source!I27, 2))), 2)</f>
        <v>17.02</v>
      </c>
      <c r="AE106">
        <f>ROUND((Source!AU27/100)*((ROUND(SUMIF(SmtRes!AQ8:'SmtRes'!AQ15,"=1",SmtRes!AD8:'SmtRes'!AD15)*Source!I27, 2)+ROUND(SUMIF(SmtRes!AQ8:'SmtRes'!AQ15,"=1",SmtRes!AC8:'SmtRes'!AC15)*Source!I27, 2))), 2)</f>
        <v>9.14</v>
      </c>
      <c r="AN106" s="55">
        <f>L88+L90+L97+L104+L105+L91</f>
        <v>2634.8000000000006</v>
      </c>
      <c r="AO106" s="55">
        <f>L90</f>
        <v>361.17000000000013</v>
      </c>
      <c r="AQ106" t="s">
        <v>537</v>
      </c>
      <c r="AR106" s="55">
        <f>L88</f>
        <v>741.59</v>
      </c>
      <c r="AT106" s="55">
        <f>L91</f>
        <v>178.35999999999999</v>
      </c>
      <c r="AV106" t="s">
        <v>537</v>
      </c>
      <c r="AW106" s="55">
        <f>L97</f>
        <v>55.63</v>
      </c>
      <c r="AZ106">
        <f>Source!X27</f>
        <v>844.51</v>
      </c>
      <c r="BA106">
        <f>Source!Y27</f>
        <v>453.54</v>
      </c>
      <c r="CD106">
        <v>1</v>
      </c>
    </row>
    <row r="107" spans="1:101" ht="28.5" x14ac:dyDescent="0.2">
      <c r="A107" s="40" t="s">
        <v>59</v>
      </c>
      <c r="B107" s="42" t="s">
        <v>550</v>
      </c>
      <c r="C107" s="42" t="str">
        <f>Source!G29</f>
        <v>Устройство покрытий из плит керамогранитных размером: 40х40 см</v>
      </c>
      <c r="D107" s="43" t="str">
        <f>Source!H29</f>
        <v>100 м2</v>
      </c>
      <c r="E107" s="44">
        <f>Source!K29</f>
        <v>0.4</v>
      </c>
      <c r="F107" s="44"/>
      <c r="G107" s="44">
        <f>Source!I29</f>
        <v>0.4</v>
      </c>
      <c r="H107" s="46"/>
      <c r="I107" s="45"/>
      <c r="J107" s="46"/>
      <c r="K107" s="45"/>
      <c r="L107" s="46"/>
    </row>
    <row r="108" spans="1:101" ht="51" x14ac:dyDescent="0.2">
      <c r="B108" s="59" t="s">
        <v>474</v>
      </c>
      <c r="C108" s="113" t="s">
        <v>542</v>
      </c>
      <c r="D108" s="113"/>
      <c r="E108" s="113"/>
      <c r="F108" s="113"/>
      <c r="G108" s="113"/>
      <c r="H108" s="113"/>
      <c r="I108" s="113"/>
      <c r="J108" s="113"/>
      <c r="K108" s="113"/>
      <c r="L108" s="113"/>
      <c r="CW108" s="60" t="s">
        <v>542</v>
      </c>
    </row>
    <row r="109" spans="1:101" x14ac:dyDescent="0.2">
      <c r="C109" s="47" t="str">
        <f>"Объем: "&amp;Source!I29&amp;"=40/"&amp;"100"</f>
        <v>Объем: 0,4=40/100</v>
      </c>
    </row>
    <row r="110" spans="1:101" ht="15" x14ac:dyDescent="0.2">
      <c r="A110" s="41"/>
      <c r="B110" s="44">
        <v>1</v>
      </c>
      <c r="C110" s="41" t="s">
        <v>526</v>
      </c>
      <c r="D110" s="43" t="s">
        <v>357</v>
      </c>
      <c r="E110" s="48"/>
      <c r="F110" s="44"/>
      <c r="G110" s="44">
        <f>Source!U29</f>
        <v>142.79320000000001</v>
      </c>
      <c r="H110" s="44"/>
      <c r="I110" s="44"/>
      <c r="J110" s="44"/>
      <c r="K110" s="44"/>
      <c r="L110" s="49">
        <f>SUM(L111:L111)-SUMIF(CE111:CE111, 1, L111:L111)</f>
        <v>52650.71</v>
      </c>
    </row>
    <row r="111" spans="1:101" ht="14.25" x14ac:dyDescent="0.2">
      <c r="A111" s="42"/>
      <c r="B111" s="42" t="s">
        <v>392</v>
      </c>
      <c r="C111" s="42" t="s">
        <v>393</v>
      </c>
      <c r="D111" s="43" t="s">
        <v>357</v>
      </c>
      <c r="E111" s="44">
        <v>310.42</v>
      </c>
      <c r="F111" s="44">
        <f>ROUND(1.15,7)</f>
        <v>1.1499999999999999</v>
      </c>
      <c r="G111" s="44">
        <f>SmtRes!CX16</f>
        <v>142.79320000000001</v>
      </c>
      <c r="H111" s="46"/>
      <c r="I111" s="45"/>
      <c r="J111" s="46">
        <f>SmtRes!CZ16</f>
        <v>368.72</v>
      </c>
      <c r="K111" s="45"/>
      <c r="L111" s="46">
        <f>SmtRes!DI16</f>
        <v>52650.71</v>
      </c>
    </row>
    <row r="112" spans="1:101" ht="15" x14ac:dyDescent="0.2">
      <c r="A112" s="41"/>
      <c r="B112" s="44">
        <v>2</v>
      </c>
      <c r="C112" s="41" t="s">
        <v>527</v>
      </c>
      <c r="D112" s="43"/>
      <c r="E112" s="48"/>
      <c r="F112" s="44"/>
      <c r="G112" s="44"/>
      <c r="H112" s="44"/>
      <c r="I112" s="44"/>
      <c r="J112" s="44"/>
      <c r="K112" s="44"/>
      <c r="L112" s="49">
        <f>SUM(L113:L121)-SUMIF(CE113:CE121, 1, L113:L121)</f>
        <v>19.230000000000018</v>
      </c>
    </row>
    <row r="113" spans="1:83" ht="15" x14ac:dyDescent="0.2">
      <c r="A113" s="41"/>
      <c r="B113" s="44"/>
      <c r="C113" s="41" t="s">
        <v>529</v>
      </c>
      <c r="D113" s="43" t="s">
        <v>357</v>
      </c>
      <c r="E113" s="48"/>
      <c r="F113" s="44"/>
      <c r="G113" s="44">
        <f>Source!V29</f>
        <v>0.86499999999999999</v>
      </c>
      <c r="H113" s="44"/>
      <c r="I113" s="44"/>
      <c r="J113" s="44"/>
      <c r="K113" s="44"/>
      <c r="L113" s="49">
        <f>SUMIF(CE114:CE121, 1, L114:L121)</f>
        <v>314.08</v>
      </c>
      <c r="CE113">
        <v>1</v>
      </c>
    </row>
    <row r="114" spans="1:83" ht="28.5" x14ac:dyDescent="0.2">
      <c r="A114" s="42"/>
      <c r="B114" s="42" t="s">
        <v>394</v>
      </c>
      <c r="C114" s="42" t="s">
        <v>396</v>
      </c>
      <c r="D114" s="43" t="s">
        <v>363</v>
      </c>
      <c r="E114" s="44">
        <v>0.02</v>
      </c>
      <c r="F114" s="44">
        <f t="shared" ref="F114:F121" si="0">ROUND(1.25,7)</f>
        <v>1.25</v>
      </c>
      <c r="G114" s="44">
        <f>SmtRes!CX18</f>
        <v>0.01</v>
      </c>
      <c r="H114" s="46">
        <f>SmtRes!CZ18</f>
        <v>251.77</v>
      </c>
      <c r="I114" s="45">
        <f>SmtRes!AJ18</f>
        <v>1.54</v>
      </c>
      <c r="J114" s="46">
        <f>ROUND(H114*I114, 2)</f>
        <v>387.73</v>
      </c>
      <c r="K114" s="45"/>
      <c r="L114" s="46">
        <f>SmtRes!DG18</f>
        <v>3.88</v>
      </c>
    </row>
    <row r="115" spans="1:83" ht="28.5" x14ac:dyDescent="0.2">
      <c r="A115" s="42"/>
      <c r="B115" s="42" t="s">
        <v>378</v>
      </c>
      <c r="C115" s="42" t="s">
        <v>543</v>
      </c>
      <c r="D115" s="43" t="s">
        <v>357</v>
      </c>
      <c r="E115" s="44">
        <f>SmtRes!DO18*SmtRes!AT18</f>
        <v>0.02</v>
      </c>
      <c r="F115" s="44">
        <f t="shared" si="0"/>
        <v>1.25</v>
      </c>
      <c r="G115" s="44">
        <f>ROUND(E115*F115*G107, 7)</f>
        <v>0.01</v>
      </c>
      <c r="H115" s="46"/>
      <c r="I115" s="45"/>
      <c r="J115" s="46">
        <f>ROUND(SmtRes!AG18/SmtRes!DO18, 2)</f>
        <v>544.01</v>
      </c>
      <c r="K115" s="45"/>
      <c r="L115" s="46">
        <f>SmtRes!DH18</f>
        <v>5.44</v>
      </c>
      <c r="CE115">
        <v>1</v>
      </c>
    </row>
    <row r="116" spans="1:83" ht="28.5" x14ac:dyDescent="0.2">
      <c r="A116" s="42"/>
      <c r="B116" s="42" t="s">
        <v>397</v>
      </c>
      <c r="C116" s="42" t="s">
        <v>399</v>
      </c>
      <c r="D116" s="43" t="s">
        <v>363</v>
      </c>
      <c r="E116" s="44">
        <v>0.01</v>
      </c>
      <c r="F116" s="44">
        <f t="shared" si="0"/>
        <v>1.25</v>
      </c>
      <c r="G116" s="44">
        <f>SmtRes!CX19</f>
        <v>5.0000000000000001E-3</v>
      </c>
      <c r="H116" s="46"/>
      <c r="I116" s="45"/>
      <c r="J116" s="46">
        <f>SmtRes!CZ19</f>
        <v>1719.93</v>
      </c>
      <c r="K116" s="45"/>
      <c r="L116" s="46">
        <f>SmtRes!DG19</f>
        <v>8.6</v>
      </c>
    </row>
    <row r="117" spans="1:83" ht="28.5" x14ac:dyDescent="0.2">
      <c r="A117" s="42"/>
      <c r="B117" s="42" t="s">
        <v>378</v>
      </c>
      <c r="C117" s="42" t="s">
        <v>543</v>
      </c>
      <c r="D117" s="43" t="s">
        <v>357</v>
      </c>
      <c r="E117" s="44">
        <f>SmtRes!DO19*SmtRes!AT19</f>
        <v>0.01</v>
      </c>
      <c r="F117" s="44">
        <f t="shared" si="0"/>
        <v>1.25</v>
      </c>
      <c r="G117" s="44">
        <f>ROUND(E117*F117*G107, 7)</f>
        <v>5.0000000000000001E-3</v>
      </c>
      <c r="H117" s="46"/>
      <c r="I117" s="45"/>
      <c r="J117" s="46">
        <f>ROUND(SmtRes!AG19/SmtRes!DO19, 2)</f>
        <v>544.01</v>
      </c>
      <c r="K117" s="45"/>
      <c r="L117" s="46">
        <f>SmtRes!DH19</f>
        <v>2.72</v>
      </c>
      <c r="CE117">
        <v>1</v>
      </c>
    </row>
    <row r="118" spans="1:83" ht="28.5" x14ac:dyDescent="0.2">
      <c r="A118" s="42"/>
      <c r="B118" s="42" t="s">
        <v>400</v>
      </c>
      <c r="C118" s="42" t="s">
        <v>402</v>
      </c>
      <c r="D118" s="43" t="s">
        <v>363</v>
      </c>
      <c r="E118" s="44">
        <v>1.69</v>
      </c>
      <c r="F118" s="44">
        <f t="shared" si="0"/>
        <v>1.25</v>
      </c>
      <c r="G118" s="44">
        <f>SmtRes!CX20</f>
        <v>0.84499999999999997</v>
      </c>
      <c r="H118" s="46">
        <f>SmtRes!CZ20</f>
        <v>2.31</v>
      </c>
      <c r="I118" s="45">
        <f>SmtRes!AJ20</f>
        <v>1.72</v>
      </c>
      <c r="J118" s="46">
        <f>ROUND(H118*I118, 2)</f>
        <v>3.97</v>
      </c>
      <c r="K118" s="45"/>
      <c r="L118" s="46">
        <f>SmtRes!DG20</f>
        <v>3.35</v>
      </c>
    </row>
    <row r="119" spans="1:83" ht="28.5" x14ac:dyDescent="0.2">
      <c r="A119" s="42"/>
      <c r="B119" s="42" t="s">
        <v>364</v>
      </c>
      <c r="C119" s="42" t="s">
        <v>528</v>
      </c>
      <c r="D119" s="43" t="s">
        <v>357</v>
      </c>
      <c r="E119" s="44">
        <f>SmtRes!DO20*SmtRes!AT20</f>
        <v>1.69</v>
      </c>
      <c r="F119" s="44">
        <f t="shared" si="0"/>
        <v>1.25</v>
      </c>
      <c r="G119" s="44">
        <f>ROUND(E119*F119*G107, 7)</f>
        <v>0.84499999999999997</v>
      </c>
      <c r="H119" s="46"/>
      <c r="I119" s="45"/>
      <c r="J119" s="46">
        <f>ROUND(SmtRes!AG20/SmtRes!DO20, 2)</f>
        <v>359.65</v>
      </c>
      <c r="K119" s="45"/>
      <c r="L119" s="46">
        <f>SmtRes!DH20</f>
        <v>303.89999999999998</v>
      </c>
      <c r="CE119">
        <v>1</v>
      </c>
    </row>
    <row r="120" spans="1:83" ht="28.5" x14ac:dyDescent="0.2">
      <c r="A120" s="42"/>
      <c r="B120" s="42" t="s">
        <v>382</v>
      </c>
      <c r="C120" s="42" t="s">
        <v>384</v>
      </c>
      <c r="D120" s="43" t="s">
        <v>363</v>
      </c>
      <c r="E120" s="44">
        <v>0.01</v>
      </c>
      <c r="F120" s="44">
        <f t="shared" si="0"/>
        <v>1.25</v>
      </c>
      <c r="G120" s="44">
        <f>SmtRes!CX21</f>
        <v>5.0000000000000001E-3</v>
      </c>
      <c r="H120" s="46"/>
      <c r="I120" s="45"/>
      <c r="J120" s="46">
        <f>SmtRes!CZ21</f>
        <v>680.75</v>
      </c>
      <c r="K120" s="45"/>
      <c r="L120" s="46">
        <f>SmtRes!DG21</f>
        <v>3.4</v>
      </c>
    </row>
    <row r="121" spans="1:83" ht="28.5" x14ac:dyDescent="0.2">
      <c r="A121" s="42"/>
      <c r="B121" s="42" t="s">
        <v>385</v>
      </c>
      <c r="C121" s="42" t="s">
        <v>544</v>
      </c>
      <c r="D121" s="43" t="s">
        <v>357</v>
      </c>
      <c r="E121" s="44">
        <f>SmtRes!DO21*SmtRes!AT21</f>
        <v>0.01</v>
      </c>
      <c r="F121" s="44">
        <f t="shared" si="0"/>
        <v>1.25</v>
      </c>
      <c r="G121" s="44">
        <f>ROUND(E121*F121*G107, 7)</f>
        <v>5.0000000000000001E-3</v>
      </c>
      <c r="H121" s="46"/>
      <c r="I121" s="45"/>
      <c r="J121" s="46">
        <f>ROUND(SmtRes!AG21/SmtRes!DO21, 2)</f>
        <v>404.99</v>
      </c>
      <c r="K121" s="45"/>
      <c r="L121" s="46">
        <f>SmtRes!DH21</f>
        <v>2.02</v>
      </c>
      <c r="CE121">
        <v>1</v>
      </c>
    </row>
    <row r="122" spans="1:83" ht="15" x14ac:dyDescent="0.2">
      <c r="A122" s="41"/>
      <c r="B122" s="44">
        <v>4</v>
      </c>
      <c r="C122" s="41" t="s">
        <v>260</v>
      </c>
      <c r="D122" s="43"/>
      <c r="E122" s="48"/>
      <c r="F122" s="44"/>
      <c r="G122" s="44"/>
      <c r="H122" s="44"/>
      <c r="I122" s="44"/>
      <c r="J122" s="44"/>
      <c r="K122" s="44"/>
      <c r="L122" s="49">
        <f>SUM(L123:L125)-SUMIF(CE123:CE125, 1, L123:L125)</f>
        <v>400.40999999999997</v>
      </c>
    </row>
    <row r="123" spans="1:83" ht="14.25" x14ac:dyDescent="0.2">
      <c r="A123" s="42"/>
      <c r="B123" s="42" t="s">
        <v>386</v>
      </c>
      <c r="C123" s="42" t="s">
        <v>388</v>
      </c>
      <c r="D123" s="43" t="s">
        <v>33</v>
      </c>
      <c r="E123" s="44">
        <v>0.44</v>
      </c>
      <c r="F123" s="44"/>
      <c r="G123" s="44">
        <f>SmtRes!CX22</f>
        <v>0.17599999999999999</v>
      </c>
      <c r="H123" s="46">
        <f>SmtRes!CZ22</f>
        <v>35.71</v>
      </c>
      <c r="I123" s="45">
        <f>SmtRes!AI22</f>
        <v>0.83</v>
      </c>
      <c r="J123" s="46">
        <f>ROUND(H123*I123, 2)</f>
        <v>29.64</v>
      </c>
      <c r="K123" s="45"/>
      <c r="L123" s="46">
        <f>SmtRes!DF22</f>
        <v>5.22</v>
      </c>
    </row>
    <row r="124" spans="1:83" ht="14.25" x14ac:dyDescent="0.2">
      <c r="A124" s="42"/>
      <c r="B124" s="42" t="s">
        <v>403</v>
      </c>
      <c r="C124" s="42" t="s">
        <v>405</v>
      </c>
      <c r="D124" s="43" t="s">
        <v>406</v>
      </c>
      <c r="E124" s="44">
        <v>3.2500000000000001E-2</v>
      </c>
      <c r="F124" s="44"/>
      <c r="G124" s="44">
        <f>SmtRes!CX23</f>
        <v>1.2999999999999999E-2</v>
      </c>
      <c r="H124" s="46"/>
      <c r="I124" s="45"/>
      <c r="J124" s="46">
        <f>SmtRes!CZ23</f>
        <v>7.71</v>
      </c>
      <c r="K124" s="45"/>
      <c r="L124" s="46">
        <f>SmtRes!DF23</f>
        <v>0.1</v>
      </c>
    </row>
    <row r="125" spans="1:83" ht="42.75" x14ac:dyDescent="0.2">
      <c r="A125" s="42"/>
      <c r="B125" s="42" t="s">
        <v>90</v>
      </c>
      <c r="C125" s="42" t="s">
        <v>91</v>
      </c>
      <c r="D125" s="43" t="s">
        <v>29</v>
      </c>
      <c r="E125" s="44">
        <v>1.2999999999999999E-2</v>
      </c>
      <c r="F125" s="44"/>
      <c r="G125" s="44">
        <f>SmtRes!CX24</f>
        <v>5.1999999999999998E-3</v>
      </c>
      <c r="H125" s="46">
        <f>SmtRes!CZ24</f>
        <v>37800.300000000003</v>
      </c>
      <c r="I125" s="45">
        <f>SmtRes!AI24</f>
        <v>2.0099999999999998</v>
      </c>
      <c r="J125" s="46">
        <f>ROUND(H125*I125, 2)</f>
        <v>75978.600000000006</v>
      </c>
      <c r="K125" s="45"/>
      <c r="L125" s="46">
        <f>SmtRes!DF24</f>
        <v>395.09</v>
      </c>
    </row>
    <row r="126" spans="1:83" ht="14.25" x14ac:dyDescent="0.2">
      <c r="A126" s="42"/>
      <c r="B126" s="42" t="str">
        <f>EtalonRes!I25</f>
        <v>06.2.05.03</v>
      </c>
      <c r="C126" s="42" t="str">
        <f>EtalonRes!K25</f>
        <v>Плиты керамогранитные 400х400 мм</v>
      </c>
      <c r="D126" s="43" t="str">
        <f>EtalonRes!O25</f>
        <v>м2</v>
      </c>
      <c r="E126" s="44">
        <f>EtalonRes!X25</f>
        <v>102</v>
      </c>
      <c r="F126" s="44"/>
      <c r="G126" s="44">
        <f>ROUND(EtalonRes!AG25*Source!I29, 7)</f>
        <v>40.799999999999997</v>
      </c>
      <c r="H126" s="46"/>
      <c r="I126" s="45"/>
      <c r="J126" s="46"/>
      <c r="K126" s="45"/>
      <c r="L126" s="46"/>
    </row>
    <row r="127" spans="1:83" ht="14.25" x14ac:dyDescent="0.2">
      <c r="A127" s="42"/>
      <c r="B127" s="42" t="str">
        <f>EtalonRes!I26</f>
        <v>11.2.04.05</v>
      </c>
      <c r="C127" s="42" t="str">
        <f>EtalonRes!K26</f>
        <v>Рейки деревянные</v>
      </c>
      <c r="D127" s="43" t="str">
        <f>EtalonRes!O26</f>
        <v>м3</v>
      </c>
      <c r="E127" s="44">
        <f>EtalonRes!X26</f>
        <v>0.01</v>
      </c>
      <c r="F127" s="44"/>
      <c r="G127" s="44">
        <f>ROUND(EtalonRes!AG26*Source!I29, 7)</f>
        <v>4.0000000000000001E-3</v>
      </c>
      <c r="H127" s="46"/>
      <c r="I127" s="45"/>
      <c r="J127" s="46"/>
      <c r="K127" s="45"/>
      <c r="L127" s="46"/>
    </row>
    <row r="128" spans="1:83" ht="28.5" x14ac:dyDescent="0.2">
      <c r="A128" s="42"/>
      <c r="B128" s="42" t="str">
        <f>EtalonRes!I27</f>
        <v>14.1.06.02</v>
      </c>
      <c r="C128" s="42" t="str">
        <f>EtalonRes!K27</f>
        <v>Клей для облицовочных работ (сухая смесь)</v>
      </c>
      <c r="D128" s="43" t="str">
        <f>EtalonRes!O27</f>
        <v>т</v>
      </c>
      <c r="E128" s="44">
        <f>EtalonRes!X27</f>
        <v>1.2</v>
      </c>
      <c r="F128" s="44"/>
      <c r="G128" s="44">
        <f>ROUND(EtalonRes!AG27*Source!I29, 7)</f>
        <v>0.48</v>
      </c>
      <c r="H128" s="46"/>
      <c r="I128" s="45"/>
      <c r="J128" s="46"/>
      <c r="K128" s="45"/>
      <c r="L128" s="46"/>
    </row>
    <row r="129" spans="1:101" ht="14.25" x14ac:dyDescent="0.2">
      <c r="A129" s="42"/>
      <c r="B129" s="42" t="str">
        <f>EtalonRes!I28</f>
        <v>14.4.01.21</v>
      </c>
      <c r="C129" s="50" t="str">
        <f>EtalonRes!K28</f>
        <v>Грунтовка</v>
      </c>
      <c r="D129" s="51" t="str">
        <f>EtalonRes!O28</f>
        <v>т</v>
      </c>
      <c r="E129" s="52">
        <f>EtalonRes!X28</f>
        <v>0</v>
      </c>
      <c r="F129" s="52"/>
      <c r="G129" s="52">
        <f>ROUND(EtalonRes!AG28*Source!I29, 7)</f>
        <v>0</v>
      </c>
      <c r="H129" s="53"/>
      <c r="I129" s="54"/>
      <c r="J129" s="53"/>
      <c r="K129" s="54"/>
      <c r="L129" s="53"/>
    </row>
    <row r="130" spans="1:101" ht="15" x14ac:dyDescent="0.2">
      <c r="A130" s="42"/>
      <c r="B130" s="42"/>
      <c r="C130" s="57" t="s">
        <v>530</v>
      </c>
      <c r="D130" s="43"/>
      <c r="E130" s="44"/>
      <c r="F130" s="44"/>
      <c r="G130" s="44"/>
      <c r="H130" s="46"/>
      <c r="I130" s="45"/>
      <c r="J130" s="46"/>
      <c r="K130" s="45"/>
      <c r="L130" s="46">
        <f>L110+L112+L113+L122</f>
        <v>53384.430000000008</v>
      </c>
    </row>
    <row r="131" spans="1:101" ht="42.75" x14ac:dyDescent="0.2">
      <c r="A131" s="40" t="s">
        <v>551</v>
      </c>
      <c r="B131" s="42" t="str">
        <f>Source!F30</f>
        <v>06.2.05.03-0002</v>
      </c>
      <c r="C131" s="42" t="str">
        <f>Source!G30</f>
        <v>Плитка керамогранитная, неполированная, многоцветная, толщина 10 мм</v>
      </c>
      <c r="D131" s="43" t="str">
        <f>Source!H30</f>
        <v>м2</v>
      </c>
      <c r="E131" s="44">
        <f>SmtRes!AT25</f>
        <v>102</v>
      </c>
      <c r="F131" s="44"/>
      <c r="G131" s="44">
        <f>Source!I30</f>
        <v>40.799999999999997</v>
      </c>
      <c r="H131" s="46"/>
      <c r="I131" s="45"/>
      <c r="J131" s="46">
        <f>Source!AK30</f>
        <v>1084.0899999999999</v>
      </c>
      <c r="K131" s="45"/>
      <c r="L131" s="46">
        <f>Source!P30</f>
        <v>44230.87</v>
      </c>
      <c r="AD131">
        <f>ROUND((Source!AT30/100)*((ROUND(ROUND(Source!AO30,2)*Source!I30, 2)+ROUND(ROUND(Source!AN30,2)*Source!I30, 2))), 2)</f>
        <v>0</v>
      </c>
      <c r="AE131">
        <f>ROUND((Source!AU30/100)*((ROUND(ROUND(Source!AO30,2)*Source!I30, 2)+ROUND(ROUND(Source!AN30,2)*Source!I30, 2))), 2)</f>
        <v>0</v>
      </c>
      <c r="AN131">
        <f>L131</f>
        <v>44230.87</v>
      </c>
      <c r="AW131">
        <f>L131</f>
        <v>44230.87</v>
      </c>
      <c r="AZ131">
        <f>Source!X30</f>
        <v>0</v>
      </c>
      <c r="BA131">
        <f>Source!Y30</f>
        <v>0</v>
      </c>
      <c r="CD131">
        <v>1</v>
      </c>
    </row>
    <row r="132" spans="1:101" ht="42.75" x14ac:dyDescent="0.2">
      <c r="A132" s="40" t="s">
        <v>552</v>
      </c>
      <c r="B132" s="42" t="str">
        <f>Source!F31</f>
        <v>11.2.04.05-0001</v>
      </c>
      <c r="C132" s="42" t="str">
        <f>Source!G31</f>
        <v>Рейка строганная сухая хвойных пород (ель, сосна), длина 2-3 м, размеры 8х18 мм</v>
      </c>
      <c r="D132" s="43" t="str">
        <f>Source!H31</f>
        <v>м3</v>
      </c>
      <c r="E132" s="44">
        <f>SmtRes!AT26</f>
        <v>0.01</v>
      </c>
      <c r="F132" s="44"/>
      <c r="G132" s="44">
        <f>Source!I31</f>
        <v>4.0000000000000001E-3</v>
      </c>
      <c r="H132" s="46">
        <f>Source!AL31+Source!AO31+Source!AM31+Source!AN31</f>
        <v>23139.16</v>
      </c>
      <c r="I132" s="45">
        <f>IF(Source!BC31&lt;&gt; 0, Source!BC31, 1)</f>
        <v>1.42</v>
      </c>
      <c r="J132" s="46">
        <f>ROUND(H132*I132, 2)</f>
        <v>32857.61</v>
      </c>
      <c r="K132" s="45"/>
      <c r="L132" s="46">
        <f>Source!P31</f>
        <v>131.43</v>
      </c>
      <c r="AD132">
        <f>ROUND((Source!AT31/100)*((ROUND(ROUND(Source!AO31,2)*Source!I31, 2)+ROUND(ROUND(Source!AN31,2)*Source!I31, 2))), 2)</f>
        <v>0</v>
      </c>
      <c r="AE132">
        <f>ROUND((Source!AU31/100)*((ROUND(ROUND(Source!AO31,2)*Source!I31, 2)+ROUND(ROUND(Source!AN31,2)*Source!I31, 2))), 2)</f>
        <v>0</v>
      </c>
      <c r="AN132">
        <f>L132</f>
        <v>131.43</v>
      </c>
      <c r="AW132">
        <f>L132</f>
        <v>131.43</v>
      </c>
      <c r="AZ132">
        <f>Source!X31</f>
        <v>0</v>
      </c>
      <c r="BA132">
        <f>Source!Y31</f>
        <v>0</v>
      </c>
      <c r="CD132">
        <v>1</v>
      </c>
    </row>
    <row r="133" spans="1:101" ht="42.75" x14ac:dyDescent="0.2">
      <c r="A133" s="40" t="s">
        <v>553</v>
      </c>
      <c r="B133" s="42" t="str">
        <f>Source!F32</f>
        <v>14.1.06.02-0002</v>
      </c>
      <c r="C133" s="42" t="str">
        <f>Source!G32</f>
        <v>Клей монтажный сухой для внутренних и наружных работ на основе цементного вяжущего, для плитки</v>
      </c>
      <c r="D133" s="43" t="str">
        <f>Source!H32</f>
        <v>т</v>
      </c>
      <c r="E133" s="44">
        <f>SmtRes!AT27</f>
        <v>1.2</v>
      </c>
      <c r="F133" s="44"/>
      <c r="G133" s="44">
        <f>Source!I32</f>
        <v>0.48</v>
      </c>
      <c r="H133" s="46">
        <f>Source!AL32+Source!AO32+Source!AM32+Source!AN32</f>
        <v>33998.35</v>
      </c>
      <c r="I133" s="45">
        <f>IF(Source!BC32&lt;&gt; 0, Source!BC32, 1)</f>
        <v>1.22</v>
      </c>
      <c r="J133" s="46">
        <f>ROUND(H133*I133, 2)</f>
        <v>41477.99</v>
      </c>
      <c r="K133" s="45"/>
      <c r="L133" s="46">
        <f>Source!P32</f>
        <v>19909.439999999999</v>
      </c>
      <c r="AD133">
        <f>ROUND((Source!AT32/100)*((ROUND(ROUND(Source!AO32,2)*Source!I32, 2)+ROUND(ROUND(Source!AN32,2)*Source!I32, 2))), 2)</f>
        <v>0</v>
      </c>
      <c r="AE133">
        <f>ROUND((Source!AU32/100)*((ROUND(ROUND(Source!AO32,2)*Source!I32, 2)+ROUND(ROUND(Source!AN32,2)*Source!I32, 2))), 2)</f>
        <v>0</v>
      </c>
      <c r="AN133">
        <f>L133</f>
        <v>19909.439999999999</v>
      </c>
      <c r="AW133">
        <f>L133</f>
        <v>19909.439999999999</v>
      </c>
      <c r="AZ133">
        <f>Source!X32</f>
        <v>0</v>
      </c>
      <c r="BA133">
        <f>Source!Y32</f>
        <v>0</v>
      </c>
      <c r="CD133">
        <v>1</v>
      </c>
    </row>
    <row r="134" spans="1:101" ht="42.75" x14ac:dyDescent="0.2">
      <c r="A134" s="40" t="s">
        <v>554</v>
      </c>
      <c r="B134" s="42" t="str">
        <f>Source!F33</f>
        <v>14.4.01.21-0314</v>
      </c>
      <c r="C134" s="42" t="str">
        <f>Source!G33</f>
        <v>Грунтовка с высокой степенью проникновения для укрепления бетонных поверхностей</v>
      </c>
      <c r="D134" s="43" t="str">
        <f>Source!H33</f>
        <v>кг</v>
      </c>
      <c r="E134" s="44">
        <f>SmtRes!AT28</f>
        <v>13</v>
      </c>
      <c r="F134" s="44"/>
      <c r="G134" s="44">
        <f>Source!I33</f>
        <v>5.2</v>
      </c>
      <c r="H134" s="46">
        <f>Source!AL33+Source!AO33+Source!AM33+Source!AN33</f>
        <v>1284.05</v>
      </c>
      <c r="I134" s="45">
        <f>IF(Source!BC33&lt;&gt; 0, Source!BC33, 1)</f>
        <v>1.37</v>
      </c>
      <c r="J134" s="46">
        <f>ROUND(H134*I134, 2)</f>
        <v>1759.15</v>
      </c>
      <c r="K134" s="45"/>
      <c r="L134" s="46">
        <f>Source!P33</f>
        <v>9147.58</v>
      </c>
      <c r="AD134">
        <f>ROUND((Source!AT33/100)*((ROUND(ROUND(Source!AO33,2)*Source!I33, 2)+ROUND(ROUND(Source!AN33,2)*Source!I33, 2))), 2)</f>
        <v>0</v>
      </c>
      <c r="AE134">
        <f>ROUND((Source!AU33/100)*((ROUND(ROUND(Source!AO33,2)*Source!I33, 2)+ROUND(ROUND(Source!AN33,2)*Source!I33, 2))), 2)</f>
        <v>0</v>
      </c>
      <c r="AN134">
        <f>L134</f>
        <v>9147.58</v>
      </c>
      <c r="AW134">
        <f>L134</f>
        <v>9147.58</v>
      </c>
      <c r="AZ134">
        <f>Source!X33</f>
        <v>0</v>
      </c>
      <c r="BA134">
        <f>Source!Y33</f>
        <v>0</v>
      </c>
      <c r="CD134">
        <v>1</v>
      </c>
    </row>
    <row r="135" spans="1:101" ht="14.25" x14ac:dyDescent="0.2">
      <c r="A135" s="42"/>
      <c r="B135" s="42"/>
      <c r="C135" s="42" t="s">
        <v>532</v>
      </c>
      <c r="D135" s="43"/>
      <c r="E135" s="44"/>
      <c r="F135" s="44"/>
      <c r="G135" s="44"/>
      <c r="H135" s="46"/>
      <c r="I135" s="45"/>
      <c r="J135" s="46"/>
      <c r="K135" s="45"/>
      <c r="L135" s="46">
        <f>SUM(AR107:AR138)+SUM(AS107:AS138)+SUM(AT107:AT138)+SUM(AU107:AU138)+SUM(AV107:AV138)</f>
        <v>52964.79</v>
      </c>
    </row>
    <row r="136" spans="1:101" ht="28.5" x14ac:dyDescent="0.2">
      <c r="A136" s="42"/>
      <c r="B136" s="42" t="s">
        <v>555</v>
      </c>
      <c r="C136" s="42" t="s">
        <v>533</v>
      </c>
      <c r="D136" s="43" t="s">
        <v>534</v>
      </c>
      <c r="E136" s="44">
        <f>Source!BZ29</f>
        <v>112</v>
      </c>
      <c r="F136" s="44">
        <f>ROUND(0.9,7)</f>
        <v>0.9</v>
      </c>
      <c r="G136" s="44">
        <f>Source!AT29</f>
        <v>100.8</v>
      </c>
      <c r="H136" s="46"/>
      <c r="I136" s="45"/>
      <c r="J136" s="46"/>
      <c r="K136" s="45"/>
      <c r="L136" s="46">
        <f>SUM(AZ107:AZ138)</f>
        <v>53388.51</v>
      </c>
    </row>
    <row r="137" spans="1:101" ht="28.5" x14ac:dyDescent="0.2">
      <c r="A137" s="50"/>
      <c r="B137" s="50" t="s">
        <v>556</v>
      </c>
      <c r="C137" s="50" t="s">
        <v>535</v>
      </c>
      <c r="D137" s="51" t="s">
        <v>534</v>
      </c>
      <c r="E137" s="52">
        <f>Source!CA29</f>
        <v>65</v>
      </c>
      <c r="F137" s="52">
        <f>ROUND(0.85,7)</f>
        <v>0.85</v>
      </c>
      <c r="G137" s="52">
        <f>Source!AU29</f>
        <v>55.25</v>
      </c>
      <c r="H137" s="53"/>
      <c r="I137" s="54"/>
      <c r="J137" s="53"/>
      <c r="K137" s="54"/>
      <c r="L137" s="53">
        <f>SUM(BA107:BA138)</f>
        <v>29263.05</v>
      </c>
    </row>
    <row r="138" spans="1:101" ht="15" x14ac:dyDescent="0.2">
      <c r="C138" s="99" t="s">
        <v>536</v>
      </c>
      <c r="D138" s="99"/>
      <c r="E138" s="99"/>
      <c r="F138" s="99"/>
      <c r="G138" s="99"/>
      <c r="H138" s="99"/>
      <c r="I138" s="100">
        <f>IF(E107&lt;&gt;0,K138/E107, 0)</f>
        <v>523638.27499999997</v>
      </c>
      <c r="J138" s="100"/>
      <c r="K138" s="100">
        <f>L110+L112+L122+L136+L137+L113+SUM(L131:L134)</f>
        <v>209455.31</v>
      </c>
      <c r="L138" s="100"/>
      <c r="AD138">
        <f>ROUND((Source!AT29/100)*((ROUND(SUMIF(SmtRes!AQ16:'SmtRes'!AQ28,"=1",SmtRes!AD16:'SmtRes'!AD28)*Source!I29, 2)+ROUND(SUMIF(SmtRes!AQ16:'SmtRes'!AQ28,"=1",SmtRes!AC16:'SmtRes'!AC28)*Source!I29, 2))), 2)</f>
        <v>895.66</v>
      </c>
      <c r="AE138">
        <f>ROUND((Source!AU29/100)*((ROUND(SUMIF(SmtRes!AQ16:'SmtRes'!AQ28,"=1",SmtRes!AD16:'SmtRes'!AD28)*Source!I29, 2)+ROUND(SUMIF(SmtRes!AQ16:'SmtRes'!AQ28,"=1",SmtRes!AC16:'SmtRes'!AC28)*Source!I29, 2))), 2)</f>
        <v>490.92</v>
      </c>
      <c r="AN138" s="55">
        <f>L110+L112+L122+L136+L137+L113</f>
        <v>136035.99</v>
      </c>
      <c r="AO138" s="55">
        <f>L112</f>
        <v>19.230000000000018</v>
      </c>
      <c r="AQ138" t="s">
        <v>537</v>
      </c>
      <c r="AR138" s="55">
        <f>L110</f>
        <v>52650.71</v>
      </c>
      <c r="AT138" s="55">
        <f>L113</f>
        <v>314.08</v>
      </c>
      <c r="AV138" t="s">
        <v>537</v>
      </c>
      <c r="AW138" s="55">
        <f>L122</f>
        <v>400.40999999999997</v>
      </c>
      <c r="AZ138">
        <f>Source!X29</f>
        <v>53388.51</v>
      </c>
      <c r="BA138">
        <f>Source!Y29</f>
        <v>29263.05</v>
      </c>
      <c r="CD138">
        <v>1</v>
      </c>
    </row>
    <row r="139" spans="1:101" ht="28.5" x14ac:dyDescent="0.2">
      <c r="A139" s="40" t="s">
        <v>84</v>
      </c>
      <c r="B139" s="42" t="s">
        <v>557</v>
      </c>
      <c r="C139" s="42" t="str">
        <f>Source!G34</f>
        <v>Устройство плинтусов: из плиток керамогранитных</v>
      </c>
      <c r="D139" s="43" t="str">
        <f>Source!H34</f>
        <v>100 м</v>
      </c>
      <c r="E139" s="44">
        <f>Source!K34</f>
        <v>0.09</v>
      </c>
      <c r="F139" s="44"/>
      <c r="G139" s="44">
        <f>Source!I34</f>
        <v>0.09</v>
      </c>
      <c r="H139" s="46"/>
      <c r="I139" s="45"/>
      <c r="J139" s="46"/>
      <c r="K139" s="45"/>
      <c r="L139" s="46"/>
    </row>
    <row r="140" spans="1:101" ht="51" x14ac:dyDescent="0.2">
      <c r="B140" s="59" t="s">
        <v>474</v>
      </c>
      <c r="C140" s="113" t="s">
        <v>542</v>
      </c>
      <c r="D140" s="113"/>
      <c r="E140" s="113"/>
      <c r="F140" s="113"/>
      <c r="G140" s="113"/>
      <c r="H140" s="113"/>
      <c r="I140" s="113"/>
      <c r="J140" s="113"/>
      <c r="K140" s="113"/>
      <c r="L140" s="113"/>
      <c r="CW140" s="60" t="s">
        <v>542</v>
      </c>
    </row>
    <row r="141" spans="1:101" x14ac:dyDescent="0.2">
      <c r="C141" s="47" t="str">
        <f>"Объем: "&amp;Source!I34&amp;"=9/"&amp;"100"</f>
        <v>Объем: 0,09=9/100</v>
      </c>
    </row>
    <row r="142" spans="1:101" ht="15" x14ac:dyDescent="0.2">
      <c r="A142" s="41"/>
      <c r="B142" s="44">
        <v>1</v>
      </c>
      <c r="C142" s="41" t="s">
        <v>526</v>
      </c>
      <c r="D142" s="43" t="s">
        <v>357</v>
      </c>
      <c r="E142" s="48"/>
      <c r="F142" s="44"/>
      <c r="G142" s="44">
        <f>Source!U34</f>
        <v>3.0439349999999998</v>
      </c>
      <c r="H142" s="44"/>
      <c r="I142" s="44"/>
      <c r="J142" s="44"/>
      <c r="K142" s="44"/>
      <c r="L142" s="49">
        <f>SUM(L143:L143)-SUMIF(CE143:CE143, 1, L143:L143)</f>
        <v>1205.1500000000001</v>
      </c>
    </row>
    <row r="143" spans="1:101" ht="14.25" x14ac:dyDescent="0.2">
      <c r="A143" s="42"/>
      <c r="B143" s="42" t="s">
        <v>407</v>
      </c>
      <c r="C143" s="42" t="s">
        <v>408</v>
      </c>
      <c r="D143" s="43" t="s">
        <v>357</v>
      </c>
      <c r="E143" s="44">
        <v>29.41</v>
      </c>
      <c r="F143" s="44">
        <f>ROUND(1.15,7)</f>
        <v>1.1499999999999999</v>
      </c>
      <c r="G143" s="44">
        <f>SmtRes!CX29</f>
        <v>3.0439349999999998</v>
      </c>
      <c r="H143" s="46"/>
      <c r="I143" s="45"/>
      <c r="J143" s="46">
        <f>SmtRes!CZ29</f>
        <v>395.92</v>
      </c>
      <c r="K143" s="45"/>
      <c r="L143" s="46">
        <f>SmtRes!DI29</f>
        <v>1205.1500000000001</v>
      </c>
    </row>
    <row r="144" spans="1:101" ht="15" x14ac:dyDescent="0.2">
      <c r="A144" s="41"/>
      <c r="B144" s="44">
        <v>2</v>
      </c>
      <c r="C144" s="41" t="s">
        <v>527</v>
      </c>
      <c r="D144" s="43"/>
      <c r="E144" s="48"/>
      <c r="F144" s="44"/>
      <c r="G144" s="44"/>
      <c r="H144" s="44"/>
      <c r="I144" s="44"/>
      <c r="J144" s="44"/>
      <c r="K144" s="44"/>
      <c r="L144" s="49">
        <f>SUM(L145:L149)-SUMIF(CE145:CE149, 1, L145:L149)</f>
        <v>23.050000000000004</v>
      </c>
    </row>
    <row r="145" spans="1:83" ht="15" x14ac:dyDescent="0.2">
      <c r="A145" s="41"/>
      <c r="B145" s="44"/>
      <c r="C145" s="41" t="s">
        <v>529</v>
      </c>
      <c r="D145" s="43" t="s">
        <v>357</v>
      </c>
      <c r="E145" s="48"/>
      <c r="F145" s="44"/>
      <c r="G145" s="44">
        <f>Source!V34</f>
        <v>3.4875000000000003E-2</v>
      </c>
      <c r="H145" s="44"/>
      <c r="I145" s="44"/>
      <c r="J145" s="44"/>
      <c r="K145" s="44"/>
      <c r="L145" s="49">
        <f>SUMIF(CE146:CE149, 1, L146:L149)</f>
        <v>14.07</v>
      </c>
      <c r="CE145">
        <v>1</v>
      </c>
    </row>
    <row r="146" spans="1:83" ht="42.75" x14ac:dyDescent="0.2">
      <c r="A146" s="42"/>
      <c r="B146" s="42" t="s">
        <v>360</v>
      </c>
      <c r="C146" s="42" t="s">
        <v>362</v>
      </c>
      <c r="D146" s="43" t="s">
        <v>363</v>
      </c>
      <c r="E146" s="44">
        <v>0.01</v>
      </c>
      <c r="F146" s="44">
        <f>ROUND(1.25,7)</f>
        <v>1.25</v>
      </c>
      <c r="G146" s="44">
        <f>SmtRes!CX31</f>
        <v>1.1249999999999999E-3</v>
      </c>
      <c r="H146" s="46">
        <f>SmtRes!CZ31</f>
        <v>37.32</v>
      </c>
      <c r="I146" s="45">
        <f>SmtRes!AJ31</f>
        <v>1.63</v>
      </c>
      <c r="J146" s="46">
        <f>ROUND(H146*I146, 2)</f>
        <v>60.83</v>
      </c>
      <c r="K146" s="45"/>
      <c r="L146" s="46">
        <f>SmtRes!DG31</f>
        <v>7.0000000000000007E-2</v>
      </c>
    </row>
    <row r="147" spans="1:83" ht="28.5" x14ac:dyDescent="0.2">
      <c r="A147" s="42"/>
      <c r="B147" s="42" t="s">
        <v>364</v>
      </c>
      <c r="C147" s="42" t="s">
        <v>528</v>
      </c>
      <c r="D147" s="43" t="s">
        <v>357</v>
      </c>
      <c r="E147" s="44">
        <f>SmtRes!DO31*SmtRes!AT31</f>
        <v>0.01</v>
      </c>
      <c r="F147" s="44">
        <f>ROUND(1.25,7)</f>
        <v>1.25</v>
      </c>
      <c r="G147" s="44">
        <f>ROUND(E147*F147*G139, 7)</f>
        <v>1.1249999999999999E-3</v>
      </c>
      <c r="H147" s="46"/>
      <c r="I147" s="45"/>
      <c r="J147" s="46">
        <f>ROUND(SmtRes!AG31/SmtRes!DO31, 2)</f>
        <v>359.65</v>
      </c>
      <c r="K147" s="45"/>
      <c r="L147" s="46">
        <f>SmtRes!DH31</f>
        <v>0.4</v>
      </c>
      <c r="CE147">
        <v>1</v>
      </c>
    </row>
    <row r="148" spans="1:83" ht="28.5" x14ac:dyDescent="0.2">
      <c r="A148" s="42"/>
      <c r="B148" s="42" t="s">
        <v>382</v>
      </c>
      <c r="C148" s="42" t="s">
        <v>384</v>
      </c>
      <c r="D148" s="43" t="s">
        <v>363</v>
      </c>
      <c r="E148" s="44">
        <v>0.3</v>
      </c>
      <c r="F148" s="44">
        <f>ROUND(1.25,7)</f>
        <v>1.25</v>
      </c>
      <c r="G148" s="44">
        <f>SmtRes!CX32</f>
        <v>3.3750000000000002E-2</v>
      </c>
      <c r="H148" s="46"/>
      <c r="I148" s="45"/>
      <c r="J148" s="46">
        <f>SmtRes!CZ32</f>
        <v>680.75</v>
      </c>
      <c r="K148" s="45"/>
      <c r="L148" s="46">
        <f>SmtRes!DG32</f>
        <v>22.98</v>
      </c>
    </row>
    <row r="149" spans="1:83" ht="28.5" x14ac:dyDescent="0.2">
      <c r="A149" s="42"/>
      <c r="B149" s="42" t="s">
        <v>385</v>
      </c>
      <c r="C149" s="42" t="s">
        <v>544</v>
      </c>
      <c r="D149" s="43" t="s">
        <v>357</v>
      </c>
      <c r="E149" s="44">
        <f>SmtRes!DO32*SmtRes!AT32</f>
        <v>0.3</v>
      </c>
      <c r="F149" s="44">
        <f>ROUND(1.25,7)</f>
        <v>1.25</v>
      </c>
      <c r="G149" s="44">
        <f>ROUND(E149*F149*G139, 7)</f>
        <v>3.3750000000000002E-2</v>
      </c>
      <c r="H149" s="46"/>
      <c r="I149" s="45"/>
      <c r="J149" s="46">
        <f>ROUND(SmtRes!AG32/SmtRes!DO32, 2)</f>
        <v>404.99</v>
      </c>
      <c r="K149" s="45"/>
      <c r="L149" s="46">
        <f>SmtRes!DH32</f>
        <v>13.67</v>
      </c>
      <c r="CE149">
        <v>1</v>
      </c>
    </row>
    <row r="150" spans="1:83" ht="15" x14ac:dyDescent="0.2">
      <c r="A150" s="41"/>
      <c r="B150" s="44">
        <v>4</v>
      </c>
      <c r="C150" s="41" t="s">
        <v>260</v>
      </c>
      <c r="D150" s="43"/>
      <c r="E150" s="48"/>
      <c r="F150" s="44"/>
      <c r="G150" s="44"/>
      <c r="H150" s="44"/>
      <c r="I150" s="44"/>
      <c r="J150" s="44"/>
      <c r="K150" s="44"/>
      <c r="L150" s="49">
        <f>SUM(L151:L152)-SUMIF(CE151:CE152, 1, L151:L152)</f>
        <v>0.09</v>
      </c>
    </row>
    <row r="151" spans="1:83" ht="14.25" x14ac:dyDescent="0.2">
      <c r="A151" s="42"/>
      <c r="B151" s="42" t="s">
        <v>386</v>
      </c>
      <c r="C151" s="42" t="s">
        <v>388</v>
      </c>
      <c r="D151" s="43" t="s">
        <v>33</v>
      </c>
      <c r="E151" s="44">
        <v>0.01</v>
      </c>
      <c r="F151" s="44"/>
      <c r="G151" s="44">
        <f>SmtRes!CX33</f>
        <v>8.9999999999999998E-4</v>
      </c>
      <c r="H151" s="46">
        <f>SmtRes!CZ33</f>
        <v>35.71</v>
      </c>
      <c r="I151" s="45">
        <f>SmtRes!AI33</f>
        <v>0.83</v>
      </c>
      <c r="J151" s="46">
        <f>ROUND(H151*I151, 2)</f>
        <v>29.64</v>
      </c>
      <c r="K151" s="45"/>
      <c r="L151" s="46">
        <f>SmtRes!DF33</f>
        <v>0.03</v>
      </c>
    </row>
    <row r="152" spans="1:83" ht="14.25" x14ac:dyDescent="0.2">
      <c r="A152" s="42"/>
      <c r="B152" s="42" t="s">
        <v>403</v>
      </c>
      <c r="C152" s="42" t="s">
        <v>405</v>
      </c>
      <c r="D152" s="43" t="s">
        <v>406</v>
      </c>
      <c r="E152" s="44">
        <v>0.09</v>
      </c>
      <c r="F152" s="44"/>
      <c r="G152" s="44">
        <f>SmtRes!CX34</f>
        <v>8.0999999999999996E-3</v>
      </c>
      <c r="H152" s="46"/>
      <c r="I152" s="45"/>
      <c r="J152" s="46">
        <f>SmtRes!CZ34</f>
        <v>7.71</v>
      </c>
      <c r="K152" s="45"/>
      <c r="L152" s="46">
        <f>SmtRes!DF34</f>
        <v>0.06</v>
      </c>
    </row>
    <row r="153" spans="1:83" ht="14.25" x14ac:dyDescent="0.2">
      <c r="A153" s="42"/>
      <c r="B153" s="42" t="str">
        <f>EtalonRes!I35</f>
        <v>04.3.02.09</v>
      </c>
      <c r="C153" s="42" t="str">
        <f>EtalonRes!K35</f>
        <v>Смесь сухая для заделки швов</v>
      </c>
      <c r="D153" s="43" t="str">
        <f>EtalonRes!O35</f>
        <v>т</v>
      </c>
      <c r="E153" s="44">
        <f>EtalonRes!X35</f>
        <v>0.01</v>
      </c>
      <c r="F153" s="44"/>
      <c r="G153" s="44">
        <f>ROUND(EtalonRes!AG35*Source!I34, 7)</f>
        <v>8.9999999999999998E-4</v>
      </c>
      <c r="H153" s="46"/>
      <c r="I153" s="45"/>
      <c r="J153" s="46"/>
      <c r="K153" s="45"/>
      <c r="L153" s="46"/>
    </row>
    <row r="154" spans="1:83" ht="14.25" x14ac:dyDescent="0.2">
      <c r="A154" s="42"/>
      <c r="B154" s="42" t="str">
        <f>EtalonRes!I36</f>
        <v>06.2.05.03</v>
      </c>
      <c r="C154" s="42" t="str">
        <f>EtalonRes!K36</f>
        <v>Плиты керамогранитные</v>
      </c>
      <c r="D154" s="43" t="str">
        <f>EtalonRes!O36</f>
        <v>м2</v>
      </c>
      <c r="E154" s="44">
        <f>EtalonRes!X36</f>
        <v>10.199999999999999</v>
      </c>
      <c r="F154" s="44"/>
      <c r="G154" s="44">
        <f>ROUND(EtalonRes!AG36*Source!I34, 7)</f>
        <v>0.91800000000000004</v>
      </c>
      <c r="H154" s="46"/>
      <c r="I154" s="45"/>
      <c r="J154" s="46"/>
      <c r="K154" s="45"/>
      <c r="L154" s="46"/>
    </row>
    <row r="155" spans="1:83" ht="28.5" x14ac:dyDescent="0.2">
      <c r="A155" s="42"/>
      <c r="B155" s="42" t="str">
        <f>EtalonRes!I37</f>
        <v>14.1.06.02</v>
      </c>
      <c r="C155" s="50" t="str">
        <f>EtalonRes!K37</f>
        <v>Клей для облицовочных работ (сухая смесь)</v>
      </c>
      <c r="D155" s="51" t="str">
        <f>EtalonRes!O37</f>
        <v>т</v>
      </c>
      <c r="E155" s="52">
        <f>EtalonRes!X37</f>
        <v>0.04</v>
      </c>
      <c r="F155" s="52"/>
      <c r="G155" s="52">
        <f>ROUND(EtalonRes!AG37*Source!I34, 7)</f>
        <v>3.5999999999999999E-3</v>
      </c>
      <c r="H155" s="53"/>
      <c r="I155" s="54"/>
      <c r="J155" s="53"/>
      <c r="K155" s="54"/>
      <c r="L155" s="53"/>
    </row>
    <row r="156" spans="1:83" ht="15" x14ac:dyDescent="0.2">
      <c r="A156" s="42"/>
      <c r="B156" s="42"/>
      <c r="C156" s="57" t="s">
        <v>530</v>
      </c>
      <c r="D156" s="43"/>
      <c r="E156" s="44"/>
      <c r="F156" s="44"/>
      <c r="G156" s="44"/>
      <c r="H156" s="46"/>
      <c r="I156" s="45"/>
      <c r="J156" s="46"/>
      <c r="K156" s="45"/>
      <c r="L156" s="46">
        <f>L142+L144+L145+L150</f>
        <v>1242.3599999999999</v>
      </c>
    </row>
    <row r="157" spans="1:83" ht="42.75" x14ac:dyDescent="0.2">
      <c r="A157" s="40" t="s">
        <v>558</v>
      </c>
      <c r="B157" s="42" t="str">
        <f>Source!F35</f>
        <v>04.3.02.09-0102</v>
      </c>
      <c r="C157" s="42" t="str">
        <f>Source!G35</f>
        <v>Смеси сухие водостойкие для затирки межплиточных швов шириной 1-6 мм (различная цветовая гамма)</v>
      </c>
      <c r="D157" s="43" t="str">
        <f>Source!H35</f>
        <v>т</v>
      </c>
      <c r="E157" s="44">
        <f>SmtRes!AT35</f>
        <v>0.01</v>
      </c>
      <c r="F157" s="44"/>
      <c r="G157" s="44">
        <f>Source!I35</f>
        <v>8.9999999999999998E-4</v>
      </c>
      <c r="H157" s="46">
        <f>Source!AL35+Source!AO35+Source!AM35+Source!AN35</f>
        <v>37800.300000000003</v>
      </c>
      <c r="I157" s="45">
        <f>IF(Source!BC35&lt;&gt; 0, Source!BC35, 1)</f>
        <v>2.0099999999999998</v>
      </c>
      <c r="J157" s="46">
        <f>ROUND(H157*I157, 2)</f>
        <v>75978.600000000006</v>
      </c>
      <c r="K157" s="45"/>
      <c r="L157" s="46">
        <f>Source!P35</f>
        <v>68.38</v>
      </c>
      <c r="AD157">
        <f>ROUND((Source!AT35/100)*((ROUND(ROUND(Source!AO35,2)*Source!I35, 2)+ROUND(ROUND(Source!AN35,2)*Source!I35, 2))), 2)</f>
        <v>0</v>
      </c>
      <c r="AE157">
        <f>ROUND((Source!AU35/100)*((ROUND(ROUND(Source!AO35,2)*Source!I35, 2)+ROUND(ROUND(Source!AN35,2)*Source!I35, 2))), 2)</f>
        <v>0</v>
      </c>
      <c r="AN157">
        <f>L157</f>
        <v>68.38</v>
      </c>
      <c r="AW157">
        <f>L157</f>
        <v>68.38</v>
      </c>
      <c r="AZ157">
        <f>Source!X35</f>
        <v>0</v>
      </c>
      <c r="BA157">
        <f>Source!Y35</f>
        <v>0</v>
      </c>
      <c r="CD157">
        <v>1</v>
      </c>
    </row>
    <row r="158" spans="1:83" ht="42.75" x14ac:dyDescent="0.2">
      <c r="A158" s="40" t="s">
        <v>559</v>
      </c>
      <c r="B158" s="42" t="str">
        <f>Source!F36</f>
        <v>06.2.05.03-0002</v>
      </c>
      <c r="C158" s="42" t="str">
        <f>Source!G36</f>
        <v>Плитка керамогранитная, неполированная, многоцветная, толщина 10 мм</v>
      </c>
      <c r="D158" s="43" t="str">
        <f>Source!H36</f>
        <v>м2</v>
      </c>
      <c r="E158" s="44">
        <f>SmtRes!AT36</f>
        <v>10.199999999999999</v>
      </c>
      <c r="F158" s="44"/>
      <c r="G158" s="44">
        <f>Source!I36</f>
        <v>0.91800000000000004</v>
      </c>
      <c r="H158" s="46"/>
      <c r="I158" s="45"/>
      <c r="J158" s="46">
        <f>Source!AK36</f>
        <v>1084.0899999999999</v>
      </c>
      <c r="K158" s="45"/>
      <c r="L158" s="46">
        <f>Source!P36</f>
        <v>995.19</v>
      </c>
      <c r="AD158">
        <f>ROUND((Source!AT36/100)*((ROUND(ROUND(Source!AO36,2)*Source!I36, 2)+ROUND(ROUND(Source!AN36,2)*Source!I36, 2))), 2)</f>
        <v>0</v>
      </c>
      <c r="AE158">
        <f>ROUND((Source!AU36/100)*((ROUND(ROUND(Source!AO36,2)*Source!I36, 2)+ROUND(ROUND(Source!AN36,2)*Source!I36, 2))), 2)</f>
        <v>0</v>
      </c>
      <c r="AN158">
        <f>L158</f>
        <v>995.19</v>
      </c>
      <c r="AW158">
        <f>L158</f>
        <v>995.19</v>
      </c>
      <c r="AZ158">
        <f>Source!X36</f>
        <v>0</v>
      </c>
      <c r="BA158">
        <f>Source!Y36</f>
        <v>0</v>
      </c>
      <c r="CD158">
        <v>1</v>
      </c>
    </row>
    <row r="159" spans="1:83" ht="42.75" x14ac:dyDescent="0.2">
      <c r="A159" s="40" t="s">
        <v>560</v>
      </c>
      <c r="B159" s="42" t="str">
        <f>Source!F37</f>
        <v>14.1.06.02-0002</v>
      </c>
      <c r="C159" s="42" t="str">
        <f>Source!G37</f>
        <v>Клей монтажный сухой для внутренних и наружных работ на основе цементного вяжущего, для плитки</v>
      </c>
      <c r="D159" s="43" t="str">
        <f>Source!H37</f>
        <v>т</v>
      </c>
      <c r="E159" s="44">
        <f>SmtRes!AT37</f>
        <v>0.04</v>
      </c>
      <c r="F159" s="44"/>
      <c r="G159" s="44">
        <f>Source!I37</f>
        <v>3.5999999999999999E-3</v>
      </c>
      <c r="H159" s="46">
        <f>Source!AL37+Source!AO37+Source!AM37+Source!AN37</f>
        <v>33998.35</v>
      </c>
      <c r="I159" s="45">
        <f>IF(Source!BC37&lt;&gt; 0, Source!BC37, 1)</f>
        <v>1.22</v>
      </c>
      <c r="J159" s="46">
        <f>ROUND(H159*I159, 2)</f>
        <v>41477.99</v>
      </c>
      <c r="K159" s="45"/>
      <c r="L159" s="46">
        <f>Source!P37</f>
        <v>149.32</v>
      </c>
      <c r="AD159">
        <f>ROUND((Source!AT37/100)*((ROUND(ROUND(Source!AO37,2)*Source!I37, 2)+ROUND(ROUND(Source!AN37,2)*Source!I37, 2))), 2)</f>
        <v>0</v>
      </c>
      <c r="AE159">
        <f>ROUND((Source!AU37/100)*((ROUND(ROUND(Source!AO37,2)*Source!I37, 2)+ROUND(ROUND(Source!AN37,2)*Source!I37, 2))), 2)</f>
        <v>0</v>
      </c>
      <c r="AN159">
        <f>L159</f>
        <v>149.32</v>
      </c>
      <c r="AW159">
        <f>L159</f>
        <v>149.32</v>
      </c>
      <c r="AZ159">
        <f>Source!X37</f>
        <v>0</v>
      </c>
      <c r="BA159">
        <f>Source!Y37</f>
        <v>0</v>
      </c>
      <c r="CD159">
        <v>1</v>
      </c>
    </row>
    <row r="160" spans="1:83" ht="14.25" x14ac:dyDescent="0.2">
      <c r="A160" s="42"/>
      <c r="B160" s="42"/>
      <c r="C160" s="42" t="s">
        <v>532</v>
      </c>
      <c r="D160" s="43"/>
      <c r="E160" s="44"/>
      <c r="F160" s="44"/>
      <c r="G160" s="44"/>
      <c r="H160" s="46"/>
      <c r="I160" s="45"/>
      <c r="J160" s="46"/>
      <c r="K160" s="45"/>
      <c r="L160" s="46">
        <f>SUM(AR139:AR163)+SUM(AS139:AS163)+SUM(AT139:AT163)+SUM(AU139:AU163)+SUM(AV139:AV163)</f>
        <v>1219.22</v>
      </c>
    </row>
    <row r="161" spans="1:101" ht="28.5" x14ac:dyDescent="0.2">
      <c r="A161" s="42"/>
      <c r="B161" s="42" t="s">
        <v>555</v>
      </c>
      <c r="C161" s="42" t="s">
        <v>533</v>
      </c>
      <c r="D161" s="43" t="s">
        <v>534</v>
      </c>
      <c r="E161" s="44">
        <f>Source!BZ34</f>
        <v>112</v>
      </c>
      <c r="F161" s="44">
        <f>ROUND(0.9,7)</f>
        <v>0.9</v>
      </c>
      <c r="G161" s="44">
        <f>Source!AT34</f>
        <v>100.8</v>
      </c>
      <c r="H161" s="46"/>
      <c r="I161" s="45"/>
      <c r="J161" s="46"/>
      <c r="K161" s="45"/>
      <c r="L161" s="46">
        <f>SUM(AZ139:AZ163)</f>
        <v>1228.97</v>
      </c>
    </row>
    <row r="162" spans="1:101" ht="28.5" x14ac:dyDescent="0.2">
      <c r="A162" s="50"/>
      <c r="B162" s="50" t="s">
        <v>556</v>
      </c>
      <c r="C162" s="50" t="s">
        <v>535</v>
      </c>
      <c r="D162" s="51" t="s">
        <v>534</v>
      </c>
      <c r="E162" s="52">
        <f>Source!CA34</f>
        <v>65</v>
      </c>
      <c r="F162" s="52">
        <f>ROUND(0.85,7)</f>
        <v>0.85</v>
      </c>
      <c r="G162" s="52">
        <f>Source!AU34</f>
        <v>55.25</v>
      </c>
      <c r="H162" s="53"/>
      <c r="I162" s="54"/>
      <c r="J162" s="53"/>
      <c r="K162" s="54"/>
      <c r="L162" s="53">
        <f>SUM(BA139:BA163)</f>
        <v>673.62</v>
      </c>
    </row>
    <row r="163" spans="1:101" ht="15" x14ac:dyDescent="0.2">
      <c r="C163" s="99" t="s">
        <v>536</v>
      </c>
      <c r="D163" s="99"/>
      <c r="E163" s="99"/>
      <c r="F163" s="99"/>
      <c r="G163" s="99"/>
      <c r="H163" s="99"/>
      <c r="I163" s="100">
        <f>IF(E139&lt;&gt;0,K163/E139, 0)</f>
        <v>48420.444444444445</v>
      </c>
      <c r="J163" s="100"/>
      <c r="K163" s="100">
        <f>L142+L144+L150+L161+L162+L145+SUM(L157:L159)</f>
        <v>4357.84</v>
      </c>
      <c r="L163" s="100"/>
      <c r="AD163">
        <f>ROUND((Source!AT34/100)*((ROUND(SUMIF(SmtRes!AQ29:'SmtRes'!AQ37,"=1",SmtRes!AD29:'SmtRes'!AD37)*Source!I34, 2)+ROUND(SUMIF(SmtRes!AQ29:'SmtRes'!AQ37,"=1",SmtRes!AC29:'SmtRes'!AC37)*Source!I34, 2))), 2)</f>
        <v>105.29</v>
      </c>
      <c r="AE163">
        <f>ROUND((Source!AU34/100)*((ROUND(SUMIF(SmtRes!AQ29:'SmtRes'!AQ37,"=1",SmtRes!AD29:'SmtRes'!AD37)*Source!I34, 2)+ROUND(SUMIF(SmtRes!AQ29:'SmtRes'!AQ37,"=1",SmtRes!AC29:'SmtRes'!AC37)*Source!I34, 2))), 2)</f>
        <v>57.71</v>
      </c>
      <c r="AN163" s="55">
        <f>L142+L144+L150+L161+L162+L145</f>
        <v>3144.9500000000003</v>
      </c>
      <c r="AO163" s="55">
        <f>L144</f>
        <v>23.050000000000004</v>
      </c>
      <c r="AQ163" t="s">
        <v>537</v>
      </c>
      <c r="AR163" s="55">
        <f>L142</f>
        <v>1205.1500000000001</v>
      </c>
      <c r="AT163" s="55">
        <f>L145</f>
        <v>14.07</v>
      </c>
      <c r="AV163" t="s">
        <v>537</v>
      </c>
      <c r="AW163" s="55">
        <f>L150</f>
        <v>0.09</v>
      </c>
      <c r="AZ163">
        <f>Source!X34</f>
        <v>1228.97</v>
      </c>
      <c r="BA163">
        <f>Source!Y34</f>
        <v>673.62</v>
      </c>
      <c r="CD163">
        <v>1</v>
      </c>
    </row>
    <row r="164" spans="1:101" ht="28.5" x14ac:dyDescent="0.2">
      <c r="A164" s="40" t="s">
        <v>95</v>
      </c>
      <c r="B164" s="42" t="s">
        <v>561</v>
      </c>
      <c r="C164" s="42" t="str">
        <f>Source!G38</f>
        <v>Устройство металлических ограждений: без поручней (разборка)</v>
      </c>
      <c r="D164" s="43" t="str">
        <f>Source!H38</f>
        <v>100 м</v>
      </c>
      <c r="E164" s="44">
        <f>Source!K38</f>
        <v>0.41</v>
      </c>
      <c r="F164" s="44"/>
      <c r="G164" s="44">
        <f>Source!I38</f>
        <v>0.41</v>
      </c>
      <c r="H164" s="46"/>
      <c r="I164" s="45"/>
      <c r="J164" s="46"/>
      <c r="K164" s="45"/>
      <c r="L164" s="46"/>
    </row>
    <row r="165" spans="1:101" ht="38.25" x14ac:dyDescent="0.2">
      <c r="B165" s="59" t="s">
        <v>476</v>
      </c>
      <c r="C165" s="113" t="s">
        <v>562</v>
      </c>
      <c r="D165" s="113"/>
      <c r="E165" s="113"/>
      <c r="F165" s="113"/>
      <c r="G165" s="113"/>
      <c r="H165" s="113"/>
      <c r="I165" s="113"/>
      <c r="J165" s="113"/>
      <c r="K165" s="113"/>
      <c r="L165" s="113"/>
      <c r="CW165" s="60" t="s">
        <v>562</v>
      </c>
    </row>
    <row r="166" spans="1:101" x14ac:dyDescent="0.2">
      <c r="C166" s="47" t="str">
        <f>"Объем: "&amp;Source!I38&amp;"=(15+"&amp;"26)/"&amp;"100"</f>
        <v>Объем: 0,41=(15+26)/100</v>
      </c>
    </row>
    <row r="167" spans="1:101" ht="15" x14ac:dyDescent="0.2">
      <c r="A167" s="41"/>
      <c r="B167" s="44">
        <v>1</v>
      </c>
      <c r="C167" s="41" t="s">
        <v>526</v>
      </c>
      <c r="D167" s="43" t="s">
        <v>357</v>
      </c>
      <c r="E167" s="48"/>
      <c r="F167" s="44"/>
      <c r="G167" s="44">
        <f>Source!U38</f>
        <v>11.910500000000001</v>
      </c>
      <c r="H167" s="44"/>
      <c r="I167" s="44"/>
      <c r="J167" s="44"/>
      <c r="K167" s="44"/>
      <c r="L167" s="49">
        <f>SUM(L168:L168)-SUMIF(CE168:CE168, 1, L168:L168)</f>
        <v>4715.6099999999997</v>
      </c>
    </row>
    <row r="168" spans="1:101" ht="14.25" x14ac:dyDescent="0.2">
      <c r="A168" s="42"/>
      <c r="B168" s="42" t="s">
        <v>407</v>
      </c>
      <c r="C168" s="42" t="s">
        <v>408</v>
      </c>
      <c r="D168" s="43" t="s">
        <v>357</v>
      </c>
      <c r="E168" s="44">
        <v>41.5</v>
      </c>
      <c r="F168" s="44">
        <f>ROUND(0.7,7)</f>
        <v>0.7</v>
      </c>
      <c r="G168" s="44">
        <f>SmtRes!CX38</f>
        <v>11.910500000000001</v>
      </c>
      <c r="H168" s="46"/>
      <c r="I168" s="45"/>
      <c r="J168" s="46">
        <f>SmtRes!CZ38</f>
        <v>395.92</v>
      </c>
      <c r="K168" s="45"/>
      <c r="L168" s="46">
        <f>SmtRes!DI38</f>
        <v>4715.6099999999997</v>
      </c>
    </row>
    <row r="169" spans="1:101" ht="15" x14ac:dyDescent="0.2">
      <c r="A169" s="41"/>
      <c r="B169" s="44">
        <v>2</v>
      </c>
      <c r="C169" s="41" t="s">
        <v>527</v>
      </c>
      <c r="D169" s="43"/>
      <c r="E169" s="48"/>
      <c r="F169" s="44"/>
      <c r="G169" s="44"/>
      <c r="H169" s="44"/>
      <c r="I169" s="44"/>
      <c r="J169" s="44"/>
      <c r="K169" s="44"/>
      <c r="L169" s="49">
        <f>SUM(L170:L175)-SUMIF(CE170:CE175, 1, L170:L175)</f>
        <v>499.10000000000014</v>
      </c>
    </row>
    <row r="170" spans="1:101" ht="15" x14ac:dyDescent="0.2">
      <c r="A170" s="41"/>
      <c r="B170" s="44"/>
      <c r="C170" s="41" t="s">
        <v>529</v>
      </c>
      <c r="D170" s="43" t="s">
        <v>357</v>
      </c>
      <c r="E170" s="48"/>
      <c r="F170" s="44"/>
      <c r="G170" s="44">
        <f>Source!V38</f>
        <v>0.74333000000000005</v>
      </c>
      <c r="H170" s="44"/>
      <c r="I170" s="44"/>
      <c r="J170" s="44"/>
      <c r="K170" s="44"/>
      <c r="L170" s="49">
        <f>SUMIF(CE171:CE175, 1, L171:L175)</f>
        <v>296.09000000000003</v>
      </c>
      <c r="CE170">
        <v>1</v>
      </c>
    </row>
    <row r="171" spans="1:101" ht="42.75" x14ac:dyDescent="0.2">
      <c r="A171" s="42"/>
      <c r="B171" s="42" t="s">
        <v>360</v>
      </c>
      <c r="C171" s="42" t="s">
        <v>362</v>
      </c>
      <c r="D171" s="43" t="s">
        <v>363</v>
      </c>
      <c r="E171" s="44">
        <v>0.38</v>
      </c>
      <c r="F171" s="44">
        <f>ROUND(0.7,7)</f>
        <v>0.7</v>
      </c>
      <c r="G171" s="44">
        <f>SmtRes!CX40</f>
        <v>0.10906</v>
      </c>
      <c r="H171" s="46">
        <f>SmtRes!CZ40</f>
        <v>37.32</v>
      </c>
      <c r="I171" s="45">
        <f>SmtRes!AJ40</f>
        <v>1.63</v>
      </c>
      <c r="J171" s="46">
        <f>ROUND(H171*I171, 2)</f>
        <v>60.83</v>
      </c>
      <c r="K171" s="45"/>
      <c r="L171" s="46">
        <f>SmtRes!DG40</f>
        <v>6.63</v>
      </c>
    </row>
    <row r="172" spans="1:101" ht="28.5" x14ac:dyDescent="0.2">
      <c r="A172" s="42"/>
      <c r="B172" s="42" t="s">
        <v>364</v>
      </c>
      <c r="C172" s="42" t="s">
        <v>528</v>
      </c>
      <c r="D172" s="43" t="s">
        <v>357</v>
      </c>
      <c r="E172" s="44">
        <f>SmtRes!DO40*SmtRes!AT40</f>
        <v>0.38</v>
      </c>
      <c r="F172" s="44">
        <f>ROUND(0.7,7)</f>
        <v>0.7</v>
      </c>
      <c r="G172" s="44">
        <f>ROUND(E172*F172*G164, 7)</f>
        <v>0.10906</v>
      </c>
      <c r="H172" s="46"/>
      <c r="I172" s="45"/>
      <c r="J172" s="46">
        <f>ROUND(SmtRes!AG40/SmtRes!DO40, 2)</f>
        <v>359.65</v>
      </c>
      <c r="K172" s="45"/>
      <c r="L172" s="46">
        <f>SmtRes!DH40</f>
        <v>39.22</v>
      </c>
      <c r="CE172">
        <v>1</v>
      </c>
    </row>
    <row r="173" spans="1:101" ht="28.5" x14ac:dyDescent="0.2">
      <c r="A173" s="42"/>
      <c r="B173" s="42" t="s">
        <v>382</v>
      </c>
      <c r="C173" s="42" t="s">
        <v>384</v>
      </c>
      <c r="D173" s="43" t="s">
        <v>363</v>
      </c>
      <c r="E173" s="44">
        <v>2.21</v>
      </c>
      <c r="F173" s="44">
        <f>ROUND(0.7,7)</f>
        <v>0.7</v>
      </c>
      <c r="G173" s="44">
        <f>SmtRes!CX41</f>
        <v>0.63427</v>
      </c>
      <c r="H173" s="46"/>
      <c r="I173" s="45"/>
      <c r="J173" s="46">
        <f>SmtRes!CZ41</f>
        <v>680.75</v>
      </c>
      <c r="K173" s="45"/>
      <c r="L173" s="46">
        <f>SmtRes!DG41</f>
        <v>431.78</v>
      </c>
    </row>
    <row r="174" spans="1:101" ht="28.5" x14ac:dyDescent="0.2">
      <c r="A174" s="42"/>
      <c r="B174" s="42" t="s">
        <v>385</v>
      </c>
      <c r="C174" s="42" t="s">
        <v>544</v>
      </c>
      <c r="D174" s="43" t="s">
        <v>357</v>
      </c>
      <c r="E174" s="44">
        <f>SmtRes!DO41*SmtRes!AT41</f>
        <v>2.21</v>
      </c>
      <c r="F174" s="44">
        <f>ROUND(0.7,7)</f>
        <v>0.7</v>
      </c>
      <c r="G174" s="44">
        <f>ROUND(E174*F174*G164, 7)</f>
        <v>0.63427</v>
      </c>
      <c r="H174" s="46"/>
      <c r="I174" s="45"/>
      <c r="J174" s="46">
        <f>ROUND(SmtRes!AG41/SmtRes!DO41, 2)</f>
        <v>404.99</v>
      </c>
      <c r="K174" s="45"/>
      <c r="L174" s="46">
        <f>SmtRes!DH41</f>
        <v>256.87</v>
      </c>
      <c r="CE174">
        <v>1</v>
      </c>
    </row>
    <row r="175" spans="1:101" ht="42.75" x14ac:dyDescent="0.2">
      <c r="A175" s="42"/>
      <c r="B175" s="42" t="s">
        <v>409</v>
      </c>
      <c r="C175" s="42" t="s">
        <v>411</v>
      </c>
      <c r="D175" s="43" t="s">
        <v>363</v>
      </c>
      <c r="E175" s="44">
        <v>5.8</v>
      </c>
      <c r="F175" s="44">
        <f>ROUND(0.7,7)</f>
        <v>0.7</v>
      </c>
      <c r="G175" s="44">
        <f>SmtRes!CX42</f>
        <v>1.6646000000000001</v>
      </c>
      <c r="H175" s="46"/>
      <c r="I175" s="45"/>
      <c r="J175" s="46">
        <f>SmtRes!CZ42</f>
        <v>36.46</v>
      </c>
      <c r="K175" s="45"/>
      <c r="L175" s="46">
        <f>SmtRes!DG42</f>
        <v>60.69</v>
      </c>
    </row>
    <row r="176" spans="1:101" ht="15" hidden="1" x14ac:dyDescent="0.2">
      <c r="A176" s="41"/>
      <c r="B176" s="44">
        <v>4</v>
      </c>
      <c r="C176" s="41" t="s">
        <v>260</v>
      </c>
      <c r="D176" s="43"/>
      <c r="E176" s="48"/>
      <c r="F176" s="44"/>
      <c r="G176" s="44"/>
      <c r="H176" s="44"/>
      <c r="I176" s="44"/>
      <c r="J176" s="44"/>
      <c r="K176" s="44"/>
      <c r="L176" s="49">
        <f>SUM(L177:L179)-SUMIF(CE177:CE179, 1, L177:L179)</f>
        <v>0</v>
      </c>
    </row>
    <row r="177" spans="1:101" ht="14.25" x14ac:dyDescent="0.2">
      <c r="A177" s="42"/>
      <c r="B177" s="42" t="s">
        <v>386</v>
      </c>
      <c r="C177" s="42" t="s">
        <v>388</v>
      </c>
      <c r="D177" s="43" t="s">
        <v>33</v>
      </c>
      <c r="E177" s="44">
        <v>0.1</v>
      </c>
      <c r="F177" s="44">
        <f>ROUND(0,7)</f>
        <v>0</v>
      </c>
      <c r="G177" s="44">
        <f>SmtRes!CX43</f>
        <v>0</v>
      </c>
      <c r="H177" s="46">
        <f>SmtRes!CZ43</f>
        <v>35.71</v>
      </c>
      <c r="I177" s="45">
        <f>SmtRes!AI43</f>
        <v>0.83</v>
      </c>
      <c r="J177" s="46">
        <f>ROUND(H177*I177, 2)</f>
        <v>29.64</v>
      </c>
      <c r="K177" s="45"/>
      <c r="L177" s="46">
        <f>SmtRes!DF43</f>
        <v>0</v>
      </c>
    </row>
    <row r="178" spans="1:101" ht="42.75" x14ac:dyDescent="0.2">
      <c r="A178" s="42"/>
      <c r="B178" s="42" t="s">
        <v>412</v>
      </c>
      <c r="C178" s="42" t="s">
        <v>414</v>
      </c>
      <c r="D178" s="43" t="s">
        <v>29</v>
      </c>
      <c r="E178" s="44">
        <v>0.02</v>
      </c>
      <c r="F178" s="44">
        <f>ROUND(0,7)</f>
        <v>0</v>
      </c>
      <c r="G178" s="44">
        <f>SmtRes!CX44</f>
        <v>0</v>
      </c>
      <c r="H178" s="46">
        <f>SmtRes!CZ44</f>
        <v>148198.01999999999</v>
      </c>
      <c r="I178" s="45">
        <f>SmtRes!AI44</f>
        <v>0.91</v>
      </c>
      <c r="J178" s="46">
        <f>ROUND(H178*I178, 2)</f>
        <v>134860.20000000001</v>
      </c>
      <c r="K178" s="45"/>
      <c r="L178" s="46">
        <f>SmtRes!DF44</f>
        <v>0</v>
      </c>
    </row>
    <row r="179" spans="1:101" ht="28.5" x14ac:dyDescent="0.2">
      <c r="A179" s="42"/>
      <c r="B179" s="42" t="s">
        <v>415</v>
      </c>
      <c r="C179" s="42" t="s">
        <v>417</v>
      </c>
      <c r="D179" s="43" t="s">
        <v>29</v>
      </c>
      <c r="E179" s="44">
        <v>0.15</v>
      </c>
      <c r="F179" s="44">
        <f>ROUND(0,7)</f>
        <v>0</v>
      </c>
      <c r="G179" s="44">
        <f>SmtRes!CX45</f>
        <v>0</v>
      </c>
      <c r="H179" s="46">
        <f>SmtRes!CZ45</f>
        <v>4800.8500000000004</v>
      </c>
      <c r="I179" s="45">
        <f>SmtRes!AI45</f>
        <v>1.53</v>
      </c>
      <c r="J179" s="46">
        <f>ROUND(H179*I179, 2)</f>
        <v>7345.3</v>
      </c>
      <c r="K179" s="45"/>
      <c r="L179" s="46">
        <f>SmtRes!DF45</f>
        <v>0</v>
      </c>
    </row>
    <row r="180" spans="1:101" ht="14.25" x14ac:dyDescent="0.2">
      <c r="A180" s="42"/>
      <c r="B180" s="42" t="str">
        <f>EtalonRes!I46</f>
        <v>07.2.05.01</v>
      </c>
      <c r="C180" s="50" t="str">
        <f>EtalonRes!K46</f>
        <v>Ограждения лестничных проемов</v>
      </c>
      <c r="D180" s="51" t="str">
        <f>EtalonRes!O46</f>
        <v>м</v>
      </c>
      <c r="E180" s="52">
        <f>EtalonRes!X46</f>
        <v>0</v>
      </c>
      <c r="F180" s="52">
        <f>ROUND(0,7)</f>
        <v>0</v>
      </c>
      <c r="G180" s="52">
        <f>ROUND(EtalonRes!AG46*Source!I38, 7)</f>
        <v>0</v>
      </c>
      <c r="H180" s="53"/>
      <c r="I180" s="54"/>
      <c r="J180" s="53"/>
      <c r="K180" s="54"/>
      <c r="L180" s="53"/>
    </row>
    <row r="181" spans="1:101" ht="15" x14ac:dyDescent="0.2">
      <c r="A181" s="42"/>
      <c r="B181" s="42"/>
      <c r="C181" s="57" t="s">
        <v>530</v>
      </c>
      <c r="D181" s="43"/>
      <c r="E181" s="44"/>
      <c r="F181" s="44"/>
      <c r="G181" s="44"/>
      <c r="H181" s="46"/>
      <c r="I181" s="45"/>
      <c r="J181" s="46"/>
      <c r="K181" s="45"/>
      <c r="L181" s="46">
        <f>L167+L169+L170+L176</f>
        <v>5510.8</v>
      </c>
    </row>
    <row r="182" spans="1:101" ht="14.25" x14ac:dyDescent="0.2">
      <c r="A182" s="42"/>
      <c r="B182" s="42"/>
      <c r="C182" s="42" t="s">
        <v>532</v>
      </c>
      <c r="D182" s="43"/>
      <c r="E182" s="44"/>
      <c r="F182" s="44"/>
      <c r="G182" s="44"/>
      <c r="H182" s="46"/>
      <c r="I182" s="45"/>
      <c r="J182" s="46"/>
      <c r="K182" s="45"/>
      <c r="L182" s="46">
        <f>SUM(AR164:AR185)+SUM(AS164:AS185)+SUM(AT164:AT185)+SUM(AU164:AU185)+SUM(AV164:AV185)</f>
        <v>5011.7</v>
      </c>
    </row>
    <row r="183" spans="1:101" ht="71.25" x14ac:dyDescent="0.2">
      <c r="A183" s="42"/>
      <c r="B183" s="42" t="s">
        <v>106</v>
      </c>
      <c r="C183" s="42" t="s">
        <v>563</v>
      </c>
      <c r="D183" s="43" t="s">
        <v>534</v>
      </c>
      <c r="E183" s="44">
        <f>Source!BZ38</f>
        <v>116</v>
      </c>
      <c r="F183" s="44"/>
      <c r="G183" s="44">
        <f>Source!AT38</f>
        <v>116</v>
      </c>
      <c r="H183" s="46"/>
      <c r="I183" s="45"/>
      <c r="J183" s="46"/>
      <c r="K183" s="45"/>
      <c r="L183" s="46">
        <f>SUM(AZ164:AZ185)</f>
        <v>5813.57</v>
      </c>
    </row>
    <row r="184" spans="1:101" ht="71.25" x14ac:dyDescent="0.2">
      <c r="A184" s="50"/>
      <c r="B184" s="50" t="s">
        <v>107</v>
      </c>
      <c r="C184" s="50" t="s">
        <v>564</v>
      </c>
      <c r="D184" s="51" t="s">
        <v>534</v>
      </c>
      <c r="E184" s="52">
        <f>Source!CA38</f>
        <v>80</v>
      </c>
      <c r="F184" s="52"/>
      <c r="G184" s="52">
        <f>Source!AU38</f>
        <v>80</v>
      </c>
      <c r="H184" s="53"/>
      <c r="I184" s="54"/>
      <c r="J184" s="53"/>
      <c r="K184" s="54"/>
      <c r="L184" s="53">
        <f>SUM(BA164:BA185)</f>
        <v>4009.36</v>
      </c>
    </row>
    <row r="185" spans="1:101" ht="15" x14ac:dyDescent="0.2">
      <c r="C185" s="99" t="s">
        <v>536</v>
      </c>
      <c r="D185" s="99"/>
      <c r="E185" s="99"/>
      <c r="F185" s="99"/>
      <c r="G185" s="99"/>
      <c r="H185" s="99"/>
      <c r="I185" s="100">
        <f>IF(E164&lt;&gt;0,K185/E164, 0)</f>
        <v>37399.341463414632</v>
      </c>
      <c r="J185" s="100"/>
      <c r="K185" s="100">
        <f>L167+L169+L176+L183+L184+L170</f>
        <v>15333.73</v>
      </c>
      <c r="L185" s="100"/>
      <c r="AD185">
        <f>ROUND((Source!AT38/100)*((ROUND(SUMIF(SmtRes!AQ38:'SmtRes'!AQ45,"=1",SmtRes!AD38:'SmtRes'!AD45)*Source!I38, 2)+ROUND(SUMIF(SmtRes!AQ38:'SmtRes'!AQ45,"=1",SmtRes!AC38:'SmtRes'!AC45)*Source!I38, 2))), 2)</f>
        <v>551.96</v>
      </c>
      <c r="AE185">
        <f>ROUND((Source!AU38/100)*((ROUND(SUMIF(SmtRes!AQ38:'SmtRes'!AQ45,"=1",SmtRes!AD38:'SmtRes'!AD45)*Source!I38, 2)+ROUND(SUMIF(SmtRes!AQ38:'SmtRes'!AQ45,"=1",SmtRes!AC38:'SmtRes'!AC45)*Source!I38, 2))), 2)</f>
        <v>380.66</v>
      </c>
      <c r="AN185" s="55">
        <f>L167+L169+L176+L183+L184+L170</f>
        <v>15333.73</v>
      </c>
      <c r="AO185" s="55">
        <f>L169</f>
        <v>499.10000000000014</v>
      </c>
      <c r="AQ185" t="s">
        <v>537</v>
      </c>
      <c r="AR185" s="55">
        <f>L167</f>
        <v>4715.6099999999997</v>
      </c>
      <c r="AT185" s="55">
        <f>L170</f>
        <v>296.09000000000003</v>
      </c>
      <c r="AV185" t="s">
        <v>537</v>
      </c>
      <c r="AW185" s="55">
        <f>L176</f>
        <v>0</v>
      </c>
      <c r="AZ185">
        <f>Source!X38</f>
        <v>5813.57</v>
      </c>
      <c r="BA185">
        <f>Source!Y38</f>
        <v>4009.36</v>
      </c>
      <c r="CD185">
        <v>1</v>
      </c>
    </row>
    <row r="186" spans="1:101" ht="28.5" x14ac:dyDescent="0.2">
      <c r="A186" s="40" t="s">
        <v>108</v>
      </c>
      <c r="B186" s="42" t="s">
        <v>561</v>
      </c>
      <c r="C186" s="42" t="str">
        <f>Source!G39</f>
        <v>Устройство металлических ограждений: без поручней</v>
      </c>
      <c r="D186" s="43" t="str">
        <f>Source!H39</f>
        <v>100 м</v>
      </c>
      <c r="E186" s="44">
        <f>Source!K39</f>
        <v>0.41</v>
      </c>
      <c r="F186" s="44"/>
      <c r="G186" s="44">
        <f>Source!I39</f>
        <v>0.41</v>
      </c>
      <c r="H186" s="46"/>
      <c r="I186" s="45"/>
      <c r="J186" s="46"/>
      <c r="K186" s="45"/>
      <c r="L186" s="46"/>
    </row>
    <row r="187" spans="1:101" ht="51" x14ac:dyDescent="0.2">
      <c r="B187" s="59" t="s">
        <v>474</v>
      </c>
      <c r="C187" s="113" t="s">
        <v>542</v>
      </c>
      <c r="D187" s="113"/>
      <c r="E187" s="113"/>
      <c r="F187" s="113"/>
      <c r="G187" s="113"/>
      <c r="H187" s="113"/>
      <c r="I187" s="113"/>
      <c r="J187" s="113"/>
      <c r="K187" s="113"/>
      <c r="L187" s="113"/>
      <c r="CW187" s="60" t="s">
        <v>542</v>
      </c>
    </row>
    <row r="188" spans="1:101" x14ac:dyDescent="0.2">
      <c r="C188" s="47" t="str">
        <f>"Объем: "&amp;Source!I39&amp;"=41/"&amp;"100"</f>
        <v>Объем: 0,41=41/100</v>
      </c>
    </row>
    <row r="189" spans="1:101" ht="15" x14ac:dyDescent="0.2">
      <c r="A189" s="41"/>
      <c r="B189" s="44">
        <v>1</v>
      </c>
      <c r="C189" s="41" t="s">
        <v>526</v>
      </c>
      <c r="D189" s="43" t="s">
        <v>357</v>
      </c>
      <c r="E189" s="48"/>
      <c r="F189" s="44"/>
      <c r="G189" s="44">
        <f>Source!U39</f>
        <v>19.567250000000001</v>
      </c>
      <c r="H189" s="44"/>
      <c r="I189" s="44"/>
      <c r="J189" s="44"/>
      <c r="K189" s="44"/>
      <c r="L189" s="49">
        <f>SUM(L190:L190)-SUMIF(CE190:CE190, 1, L190:L190)</f>
        <v>7747.07</v>
      </c>
    </row>
    <row r="190" spans="1:101" ht="14.25" x14ac:dyDescent="0.2">
      <c r="A190" s="42"/>
      <c r="B190" s="42" t="s">
        <v>407</v>
      </c>
      <c r="C190" s="42" t="s">
        <v>408</v>
      </c>
      <c r="D190" s="43" t="s">
        <v>357</v>
      </c>
      <c r="E190" s="44">
        <v>41.5</v>
      </c>
      <c r="F190" s="44">
        <f>ROUND(1.15,7)</f>
        <v>1.1499999999999999</v>
      </c>
      <c r="G190" s="44">
        <f>SmtRes!CX46</f>
        <v>19.567250000000001</v>
      </c>
      <c r="H190" s="46"/>
      <c r="I190" s="45"/>
      <c r="J190" s="46">
        <f>SmtRes!CZ46</f>
        <v>395.92</v>
      </c>
      <c r="K190" s="45"/>
      <c r="L190" s="46">
        <f>SmtRes!DI46</f>
        <v>7747.07</v>
      </c>
    </row>
    <row r="191" spans="1:101" ht="15" x14ac:dyDescent="0.2">
      <c r="A191" s="41"/>
      <c r="B191" s="44">
        <v>2</v>
      </c>
      <c r="C191" s="41" t="s">
        <v>527</v>
      </c>
      <c r="D191" s="43"/>
      <c r="E191" s="48"/>
      <c r="F191" s="44"/>
      <c r="G191" s="44"/>
      <c r="H191" s="44"/>
      <c r="I191" s="44"/>
      <c r="J191" s="44"/>
      <c r="K191" s="44"/>
      <c r="L191" s="49">
        <f>SUM(L192:L197)-SUMIF(CE192:CE197, 1, L192:L197)</f>
        <v>891.25999999999976</v>
      </c>
    </row>
    <row r="192" spans="1:101" ht="15" x14ac:dyDescent="0.2">
      <c r="A192" s="41"/>
      <c r="B192" s="44"/>
      <c r="C192" s="41" t="s">
        <v>529</v>
      </c>
      <c r="D192" s="43" t="s">
        <v>357</v>
      </c>
      <c r="E192" s="48"/>
      <c r="F192" s="44"/>
      <c r="G192" s="44">
        <f>Source!V39</f>
        <v>1.327375</v>
      </c>
      <c r="H192" s="44"/>
      <c r="I192" s="44"/>
      <c r="J192" s="44"/>
      <c r="K192" s="44"/>
      <c r="L192" s="49">
        <f>SUMIF(CE193:CE197, 1, L193:L197)</f>
        <v>528.74</v>
      </c>
      <c r="CE192">
        <v>1</v>
      </c>
    </row>
    <row r="193" spans="1:83" ht="42.75" x14ac:dyDescent="0.2">
      <c r="A193" s="42"/>
      <c r="B193" s="42" t="s">
        <v>360</v>
      </c>
      <c r="C193" s="42" t="s">
        <v>362</v>
      </c>
      <c r="D193" s="43" t="s">
        <v>363</v>
      </c>
      <c r="E193" s="44">
        <v>0.38</v>
      </c>
      <c r="F193" s="44">
        <f>ROUND(1.25,7)</f>
        <v>1.25</v>
      </c>
      <c r="G193" s="44">
        <f>SmtRes!CX48</f>
        <v>0.19475000000000001</v>
      </c>
      <c r="H193" s="46">
        <f>SmtRes!CZ48</f>
        <v>37.32</v>
      </c>
      <c r="I193" s="45">
        <f>SmtRes!AJ48</f>
        <v>1.63</v>
      </c>
      <c r="J193" s="46">
        <f>ROUND(H193*I193, 2)</f>
        <v>60.83</v>
      </c>
      <c r="K193" s="45"/>
      <c r="L193" s="46">
        <f>SmtRes!DG48</f>
        <v>11.85</v>
      </c>
    </row>
    <row r="194" spans="1:83" ht="28.5" x14ac:dyDescent="0.2">
      <c r="A194" s="42"/>
      <c r="B194" s="42" t="s">
        <v>364</v>
      </c>
      <c r="C194" s="42" t="s">
        <v>528</v>
      </c>
      <c r="D194" s="43" t="s">
        <v>357</v>
      </c>
      <c r="E194" s="44">
        <f>SmtRes!DO48*SmtRes!AT48</f>
        <v>0.38</v>
      </c>
      <c r="F194" s="44">
        <f>ROUND(1.25,7)</f>
        <v>1.25</v>
      </c>
      <c r="G194" s="44">
        <f>ROUND(E194*F194*G186, 7)</f>
        <v>0.19475000000000001</v>
      </c>
      <c r="H194" s="46"/>
      <c r="I194" s="45"/>
      <c r="J194" s="46">
        <f>ROUND(SmtRes!AG48/SmtRes!DO48, 2)</f>
        <v>359.65</v>
      </c>
      <c r="K194" s="45"/>
      <c r="L194" s="46">
        <f>SmtRes!DH48</f>
        <v>70.040000000000006</v>
      </c>
      <c r="CE194">
        <v>1</v>
      </c>
    </row>
    <row r="195" spans="1:83" ht="28.5" x14ac:dyDescent="0.2">
      <c r="A195" s="42"/>
      <c r="B195" s="42" t="s">
        <v>382</v>
      </c>
      <c r="C195" s="42" t="s">
        <v>384</v>
      </c>
      <c r="D195" s="43" t="s">
        <v>363</v>
      </c>
      <c r="E195" s="44">
        <v>2.21</v>
      </c>
      <c r="F195" s="44">
        <f>ROUND(1.25,7)</f>
        <v>1.25</v>
      </c>
      <c r="G195" s="44">
        <f>SmtRes!CX49</f>
        <v>1.132625</v>
      </c>
      <c r="H195" s="46"/>
      <c r="I195" s="45"/>
      <c r="J195" s="46">
        <f>SmtRes!CZ49</f>
        <v>680.75</v>
      </c>
      <c r="K195" s="45"/>
      <c r="L195" s="46">
        <f>SmtRes!DG49</f>
        <v>771.03</v>
      </c>
    </row>
    <row r="196" spans="1:83" ht="28.5" x14ac:dyDescent="0.2">
      <c r="A196" s="42"/>
      <c r="B196" s="42" t="s">
        <v>385</v>
      </c>
      <c r="C196" s="42" t="s">
        <v>544</v>
      </c>
      <c r="D196" s="43" t="s">
        <v>357</v>
      </c>
      <c r="E196" s="44">
        <f>SmtRes!DO49*SmtRes!AT49</f>
        <v>2.21</v>
      </c>
      <c r="F196" s="44">
        <f>ROUND(1.25,7)</f>
        <v>1.25</v>
      </c>
      <c r="G196" s="44">
        <f>ROUND(E196*F196*G186, 7)</f>
        <v>1.132625</v>
      </c>
      <c r="H196" s="46"/>
      <c r="I196" s="45"/>
      <c r="J196" s="46">
        <f>ROUND(SmtRes!AG49/SmtRes!DO49, 2)</f>
        <v>404.99</v>
      </c>
      <c r="K196" s="45"/>
      <c r="L196" s="46">
        <f>SmtRes!DH49</f>
        <v>458.7</v>
      </c>
      <c r="CE196">
        <v>1</v>
      </c>
    </row>
    <row r="197" spans="1:83" ht="42.75" x14ac:dyDescent="0.2">
      <c r="A197" s="42"/>
      <c r="B197" s="42" t="s">
        <v>409</v>
      </c>
      <c r="C197" s="42" t="s">
        <v>411</v>
      </c>
      <c r="D197" s="43" t="s">
        <v>363</v>
      </c>
      <c r="E197" s="44">
        <v>5.8</v>
      </c>
      <c r="F197" s="44">
        <f>ROUND(1.25,7)</f>
        <v>1.25</v>
      </c>
      <c r="G197" s="44">
        <f>SmtRes!CX50</f>
        <v>2.9725000000000001</v>
      </c>
      <c r="H197" s="46"/>
      <c r="I197" s="45"/>
      <c r="J197" s="46">
        <f>SmtRes!CZ50</f>
        <v>36.46</v>
      </c>
      <c r="K197" s="45"/>
      <c r="L197" s="46">
        <f>SmtRes!DG50</f>
        <v>108.38</v>
      </c>
    </row>
    <row r="198" spans="1:83" ht="15" x14ac:dyDescent="0.2">
      <c r="A198" s="41"/>
      <c r="B198" s="44">
        <v>4</v>
      </c>
      <c r="C198" s="41" t="s">
        <v>260</v>
      </c>
      <c r="D198" s="43"/>
      <c r="E198" s="48"/>
      <c r="F198" s="44"/>
      <c r="G198" s="44"/>
      <c r="H198" s="44"/>
      <c r="I198" s="44"/>
      <c r="J198" s="44"/>
      <c r="K198" s="44"/>
      <c r="L198" s="49">
        <f>SUM(L199:L201)-SUMIF(CE199:CE201, 1, L199:L201)</f>
        <v>1558.81</v>
      </c>
    </row>
    <row r="199" spans="1:83" ht="14.25" x14ac:dyDescent="0.2">
      <c r="A199" s="42"/>
      <c r="B199" s="42" t="s">
        <v>386</v>
      </c>
      <c r="C199" s="42" t="s">
        <v>388</v>
      </c>
      <c r="D199" s="43" t="s">
        <v>33</v>
      </c>
      <c r="E199" s="44">
        <v>0.1</v>
      </c>
      <c r="F199" s="44"/>
      <c r="G199" s="44">
        <f>SmtRes!CX51</f>
        <v>4.1000000000000002E-2</v>
      </c>
      <c r="H199" s="46">
        <f>SmtRes!CZ51</f>
        <v>35.71</v>
      </c>
      <c r="I199" s="45">
        <f>SmtRes!AI51</f>
        <v>0.83</v>
      </c>
      <c r="J199" s="46">
        <f>ROUND(H199*I199, 2)</f>
        <v>29.64</v>
      </c>
      <c r="K199" s="45"/>
      <c r="L199" s="46">
        <f>SmtRes!DF51</f>
        <v>1.22</v>
      </c>
    </row>
    <row r="200" spans="1:83" ht="42.75" x14ac:dyDescent="0.2">
      <c r="A200" s="42"/>
      <c r="B200" s="42" t="s">
        <v>412</v>
      </c>
      <c r="C200" s="42" t="s">
        <v>414</v>
      </c>
      <c r="D200" s="43" t="s">
        <v>29</v>
      </c>
      <c r="E200" s="44">
        <v>0.02</v>
      </c>
      <c r="F200" s="44"/>
      <c r="G200" s="44">
        <f>SmtRes!CX52</f>
        <v>8.2000000000000007E-3</v>
      </c>
      <c r="H200" s="46">
        <f>SmtRes!CZ52</f>
        <v>148198.01999999999</v>
      </c>
      <c r="I200" s="45">
        <f>SmtRes!AI52</f>
        <v>0.91</v>
      </c>
      <c r="J200" s="46">
        <f>ROUND(H200*I200, 2)</f>
        <v>134860.20000000001</v>
      </c>
      <c r="K200" s="45"/>
      <c r="L200" s="46">
        <f>SmtRes!DF52</f>
        <v>1105.8499999999999</v>
      </c>
    </row>
    <row r="201" spans="1:83" ht="28.5" x14ac:dyDescent="0.2">
      <c r="A201" s="42"/>
      <c r="B201" s="42" t="s">
        <v>415</v>
      </c>
      <c r="C201" s="42" t="s">
        <v>417</v>
      </c>
      <c r="D201" s="43" t="s">
        <v>29</v>
      </c>
      <c r="E201" s="44">
        <v>0.15</v>
      </c>
      <c r="F201" s="44"/>
      <c r="G201" s="44">
        <f>SmtRes!CX53</f>
        <v>6.1499999999999999E-2</v>
      </c>
      <c r="H201" s="46">
        <f>SmtRes!CZ53</f>
        <v>4800.8500000000004</v>
      </c>
      <c r="I201" s="45">
        <f>SmtRes!AI53</f>
        <v>1.53</v>
      </c>
      <c r="J201" s="46">
        <f>ROUND(H201*I201, 2)</f>
        <v>7345.3</v>
      </c>
      <c r="K201" s="45"/>
      <c r="L201" s="46">
        <f>SmtRes!DF53</f>
        <v>451.74</v>
      </c>
    </row>
    <row r="202" spans="1:83" ht="14.25" x14ac:dyDescent="0.2">
      <c r="A202" s="42"/>
      <c r="B202" s="42" t="str">
        <f>EtalonRes!I55</f>
        <v>07.2.05.01</v>
      </c>
      <c r="C202" s="50" t="str">
        <f>EtalonRes!K55</f>
        <v>Ограждения лестничных проемов</v>
      </c>
      <c r="D202" s="51" t="str">
        <f>EtalonRes!O55</f>
        <v>м</v>
      </c>
      <c r="E202" s="52">
        <f>EtalonRes!X55</f>
        <v>0</v>
      </c>
      <c r="F202" s="52"/>
      <c r="G202" s="52">
        <f>ROUND(EtalonRes!AG55*Source!I39, 7)</f>
        <v>0</v>
      </c>
      <c r="H202" s="53"/>
      <c r="I202" s="54"/>
      <c r="J202" s="53"/>
      <c r="K202" s="54"/>
      <c r="L202" s="53"/>
    </row>
    <row r="203" spans="1:83" ht="15" x14ac:dyDescent="0.2">
      <c r="A203" s="42"/>
      <c r="B203" s="42"/>
      <c r="C203" s="57" t="s">
        <v>530</v>
      </c>
      <c r="D203" s="43"/>
      <c r="E203" s="44"/>
      <c r="F203" s="44"/>
      <c r="G203" s="44"/>
      <c r="H203" s="46"/>
      <c r="I203" s="45"/>
      <c r="J203" s="46"/>
      <c r="K203" s="45"/>
      <c r="L203" s="46">
        <f>L189+L191+L192+L198</f>
        <v>10725.88</v>
      </c>
    </row>
    <row r="204" spans="1:83" ht="28.5" x14ac:dyDescent="0.2">
      <c r="A204" s="40" t="s">
        <v>565</v>
      </c>
      <c r="B204" s="42" t="str">
        <f>Source!F40</f>
        <v>07.2.05.01-0023</v>
      </c>
      <c r="C204" s="42" t="str">
        <f>Source!G40</f>
        <v>Ограждение металлическое пандуса и площадки (прим.)</v>
      </c>
      <c r="D204" s="43" t="str">
        <f>Source!H40</f>
        <v>м</v>
      </c>
      <c r="E204" s="44">
        <f>SmtRes!AT54</f>
        <v>100</v>
      </c>
      <c r="F204" s="44"/>
      <c r="G204" s="44">
        <f>Source!I40</f>
        <v>41</v>
      </c>
      <c r="H204" s="46">
        <f>Source!AL40+Source!AO40+Source!AM40+Source!AN40</f>
        <v>9143.89</v>
      </c>
      <c r="I204" s="45">
        <f>IF(Source!BC40&lt;&gt; 0, Source!BC40, 1)</f>
        <v>1.36</v>
      </c>
      <c r="J204" s="46">
        <f>ROUND(H204*I204, 2)</f>
        <v>12435.69</v>
      </c>
      <c r="K204" s="45"/>
      <c r="L204" s="46">
        <f>Source!P40</f>
        <v>509863.29</v>
      </c>
      <c r="AD204">
        <f>ROUND((Source!AT40/100)*((ROUND(ROUND(Source!AO40,2)*Source!I40, 2)+ROUND(ROUND(Source!AN40,2)*Source!I40, 2))), 2)</f>
        <v>0</v>
      </c>
      <c r="AE204">
        <f>ROUND((Source!AU40/100)*((ROUND(ROUND(Source!AO40,2)*Source!I40, 2)+ROUND(ROUND(Source!AN40,2)*Source!I40, 2))), 2)</f>
        <v>0</v>
      </c>
      <c r="AN204">
        <f>L204</f>
        <v>509863.29</v>
      </c>
      <c r="AW204">
        <f>L204</f>
        <v>509863.29</v>
      </c>
      <c r="AZ204">
        <f>Source!X40</f>
        <v>0</v>
      </c>
      <c r="BA204">
        <f>Source!Y40</f>
        <v>0</v>
      </c>
      <c r="CD204">
        <v>1</v>
      </c>
    </row>
    <row r="205" spans="1:83" ht="14.25" x14ac:dyDescent="0.2">
      <c r="A205" s="42"/>
      <c r="B205" s="42"/>
      <c r="C205" s="42" t="s">
        <v>532</v>
      </c>
      <c r="D205" s="43"/>
      <c r="E205" s="44"/>
      <c r="F205" s="44"/>
      <c r="G205" s="44"/>
      <c r="H205" s="46"/>
      <c r="I205" s="45"/>
      <c r="J205" s="46"/>
      <c r="K205" s="45"/>
      <c r="L205" s="46">
        <f>SUM(AR186:AR208)+SUM(AS186:AS208)+SUM(AT186:AT208)+SUM(AU186:AU208)+SUM(AV186:AV208)</f>
        <v>8275.81</v>
      </c>
    </row>
    <row r="206" spans="1:83" ht="71.25" x14ac:dyDescent="0.2">
      <c r="A206" s="42"/>
      <c r="B206" s="42" t="s">
        <v>566</v>
      </c>
      <c r="C206" s="42" t="s">
        <v>563</v>
      </c>
      <c r="D206" s="43" t="s">
        <v>534</v>
      </c>
      <c r="E206" s="44">
        <f>Source!BZ39</f>
        <v>116</v>
      </c>
      <c r="F206" s="44">
        <f>ROUND(0.9,7)</f>
        <v>0.9</v>
      </c>
      <c r="G206" s="44">
        <f>Source!AT39</f>
        <v>104.4</v>
      </c>
      <c r="H206" s="46"/>
      <c r="I206" s="45"/>
      <c r="J206" s="46"/>
      <c r="K206" s="45"/>
      <c r="L206" s="46">
        <f>SUM(AZ186:AZ208)</f>
        <v>8639.9500000000007</v>
      </c>
    </row>
    <row r="207" spans="1:83" ht="71.25" x14ac:dyDescent="0.2">
      <c r="A207" s="50"/>
      <c r="B207" s="50" t="s">
        <v>567</v>
      </c>
      <c r="C207" s="50" t="s">
        <v>564</v>
      </c>
      <c r="D207" s="51" t="s">
        <v>534</v>
      </c>
      <c r="E207" s="52">
        <f>Source!CA39</f>
        <v>80</v>
      </c>
      <c r="F207" s="52">
        <f>ROUND(0.85,7)</f>
        <v>0.85</v>
      </c>
      <c r="G207" s="52">
        <f>Source!AU39</f>
        <v>68</v>
      </c>
      <c r="H207" s="53"/>
      <c r="I207" s="54"/>
      <c r="J207" s="53"/>
      <c r="K207" s="54"/>
      <c r="L207" s="53">
        <f>SUM(BA186:BA208)</f>
        <v>5627.55</v>
      </c>
    </row>
    <row r="208" spans="1:83" ht="15" x14ac:dyDescent="0.2">
      <c r="C208" s="99" t="s">
        <v>536</v>
      </c>
      <c r="D208" s="99"/>
      <c r="E208" s="99"/>
      <c r="F208" s="99"/>
      <c r="G208" s="99"/>
      <c r="H208" s="99"/>
      <c r="I208" s="100">
        <f>IF(E186&lt;&gt;0,K208/E186, 0)</f>
        <v>1304528.4634146341</v>
      </c>
      <c r="J208" s="100"/>
      <c r="K208" s="100">
        <f>L189+L191+L198+L206+L207+L192+SUM(L204:L204)</f>
        <v>534856.66999999993</v>
      </c>
      <c r="L208" s="100"/>
      <c r="AD208">
        <f>ROUND((Source!AT39/100)*((ROUND(SUMIF(SmtRes!AQ46:'SmtRes'!AQ54,"=1",SmtRes!AD46:'SmtRes'!AD54)*Source!I39, 2)+ROUND(SUMIF(SmtRes!AQ46:'SmtRes'!AQ54,"=1",SmtRes!AC46:'SmtRes'!AC54)*Source!I39, 2))), 2)</f>
        <v>496.77</v>
      </c>
      <c r="AE208">
        <f>ROUND((Source!AU39/100)*((ROUND(SUMIF(SmtRes!AQ46:'SmtRes'!AQ54,"=1",SmtRes!AD46:'SmtRes'!AD54)*Source!I39, 2)+ROUND(SUMIF(SmtRes!AQ46:'SmtRes'!AQ54,"=1",SmtRes!AC46:'SmtRes'!AC54)*Source!I39, 2))), 2)</f>
        <v>323.56</v>
      </c>
      <c r="AN208" s="55">
        <f>L189+L191+L198+L206+L207+L192</f>
        <v>24993.38</v>
      </c>
      <c r="AO208" s="55">
        <f>L191</f>
        <v>891.25999999999976</v>
      </c>
      <c r="AQ208" t="s">
        <v>537</v>
      </c>
      <c r="AR208" s="55">
        <f>L189</f>
        <v>7747.07</v>
      </c>
      <c r="AT208" s="55">
        <f>L192</f>
        <v>528.74</v>
      </c>
      <c r="AV208" t="s">
        <v>537</v>
      </c>
      <c r="AW208" s="55">
        <f>L198</f>
        <v>1558.81</v>
      </c>
      <c r="AZ208">
        <f>Source!X39</f>
        <v>8639.9500000000007</v>
      </c>
      <c r="BA208">
        <f>Source!Y39</f>
        <v>5627.55</v>
      </c>
      <c r="CD208">
        <v>1</v>
      </c>
    </row>
    <row r="209" spans="1:101" ht="28.5" x14ac:dyDescent="0.2">
      <c r="A209" s="40" t="s">
        <v>115</v>
      </c>
      <c r="B209" s="42" t="s">
        <v>568</v>
      </c>
      <c r="C209" s="42" t="str">
        <f>Source!G41</f>
        <v>Установка: в готовые гнезда врезных дверных замков с ручками</v>
      </c>
      <c r="D209" s="43" t="str">
        <f>Source!H41</f>
        <v>10 ШТ</v>
      </c>
      <c r="E209" s="44">
        <f>Source!K41</f>
        <v>0.1</v>
      </c>
      <c r="F209" s="44"/>
      <c r="G209" s="44">
        <f>Source!I41</f>
        <v>0.1</v>
      </c>
      <c r="H209" s="46"/>
      <c r="I209" s="45"/>
      <c r="J209" s="46"/>
      <c r="K209" s="45"/>
      <c r="L209" s="46"/>
    </row>
    <row r="210" spans="1:101" ht="51" x14ac:dyDescent="0.2">
      <c r="B210" s="59" t="s">
        <v>474</v>
      </c>
      <c r="C210" s="113" t="s">
        <v>542</v>
      </c>
      <c r="D210" s="113"/>
      <c r="E210" s="113"/>
      <c r="F210" s="113"/>
      <c r="G210" s="113"/>
      <c r="H210" s="113"/>
      <c r="I210" s="113"/>
      <c r="J210" s="113"/>
      <c r="K210" s="113"/>
      <c r="L210" s="113"/>
      <c r="CW210" s="60" t="s">
        <v>542</v>
      </c>
    </row>
    <row r="211" spans="1:101" x14ac:dyDescent="0.2">
      <c r="C211" s="47" t="str">
        <f>"Объем: "&amp;Source!I41&amp;"=1/"&amp;"10"</f>
        <v>Объем: 0,1=1/10</v>
      </c>
    </row>
    <row r="212" spans="1:101" ht="15" x14ac:dyDescent="0.2">
      <c r="A212" s="41"/>
      <c r="B212" s="44">
        <v>1</v>
      </c>
      <c r="C212" s="41" t="s">
        <v>526</v>
      </c>
      <c r="D212" s="43" t="s">
        <v>357</v>
      </c>
      <c r="E212" s="48"/>
      <c r="F212" s="44"/>
      <c r="G212" s="44">
        <f>Source!U41</f>
        <v>0.4531</v>
      </c>
      <c r="H212" s="44"/>
      <c r="I212" s="44"/>
      <c r="J212" s="44"/>
      <c r="K212" s="44"/>
      <c r="L212" s="49">
        <f>SUM(L213:L213)-SUMIF(CE213:CE213, 1, L213:L213)</f>
        <v>183.5</v>
      </c>
    </row>
    <row r="213" spans="1:101" ht="14.25" x14ac:dyDescent="0.2">
      <c r="A213" s="42"/>
      <c r="B213" s="42" t="s">
        <v>418</v>
      </c>
      <c r="C213" s="42" t="s">
        <v>419</v>
      </c>
      <c r="D213" s="43" t="s">
        <v>357</v>
      </c>
      <c r="E213" s="44">
        <v>3.94</v>
      </c>
      <c r="F213" s="44">
        <f>ROUND(1.15,7)</f>
        <v>1.1499999999999999</v>
      </c>
      <c r="G213" s="44">
        <f>SmtRes!CX55</f>
        <v>0.4531</v>
      </c>
      <c r="H213" s="46"/>
      <c r="I213" s="45"/>
      <c r="J213" s="46">
        <f>SmtRes!CZ55</f>
        <v>404.99</v>
      </c>
      <c r="K213" s="45"/>
      <c r="L213" s="46">
        <f>SmtRes!DI55</f>
        <v>183.5</v>
      </c>
    </row>
    <row r="214" spans="1:101" ht="15" x14ac:dyDescent="0.2">
      <c r="A214" s="41"/>
      <c r="B214" s="44">
        <v>2</v>
      </c>
      <c r="C214" s="41" t="s">
        <v>527</v>
      </c>
      <c r="D214" s="43"/>
      <c r="E214" s="48"/>
      <c r="F214" s="44"/>
      <c r="G214" s="44"/>
      <c r="H214" s="44"/>
      <c r="I214" s="44"/>
      <c r="J214" s="44"/>
      <c r="K214" s="44"/>
      <c r="L214" s="49">
        <f>SUM(L215:L219)-SUMIF(CE215:CE219, 1, L215:L219)</f>
        <v>0.8999999999999998</v>
      </c>
    </row>
    <row r="215" spans="1:101" ht="15" x14ac:dyDescent="0.2">
      <c r="A215" s="41"/>
      <c r="B215" s="44"/>
      <c r="C215" s="41" t="s">
        <v>529</v>
      </c>
      <c r="D215" s="43" t="s">
        <v>357</v>
      </c>
      <c r="E215" s="48"/>
      <c r="F215" s="44"/>
      <c r="G215" s="44">
        <f>Source!V41</f>
        <v>7.5000000000000002E-4</v>
      </c>
      <c r="H215" s="44"/>
      <c r="I215" s="44"/>
      <c r="J215" s="44"/>
      <c r="K215" s="44"/>
      <c r="L215" s="49">
        <f>SUMIF(CE216:CE219, 1, L216:L219)</f>
        <v>0.35</v>
      </c>
      <c r="CE215">
        <v>1</v>
      </c>
    </row>
    <row r="216" spans="1:101" ht="28.5" x14ac:dyDescent="0.2">
      <c r="A216" s="42"/>
      <c r="B216" s="42" t="s">
        <v>397</v>
      </c>
      <c r="C216" s="42" t="s">
        <v>399</v>
      </c>
      <c r="D216" s="43" t="s">
        <v>363</v>
      </c>
      <c r="E216" s="44">
        <v>3.0000000000000001E-3</v>
      </c>
      <c r="F216" s="44">
        <f>ROUND(1.25,7)</f>
        <v>1.25</v>
      </c>
      <c r="G216" s="44">
        <f>SmtRes!CX57</f>
        <v>3.7500000000000001E-4</v>
      </c>
      <c r="H216" s="46"/>
      <c r="I216" s="45"/>
      <c r="J216" s="46">
        <f>SmtRes!CZ57</f>
        <v>1719.93</v>
      </c>
      <c r="K216" s="45"/>
      <c r="L216" s="46">
        <f>SmtRes!DG57</f>
        <v>0.64</v>
      </c>
    </row>
    <row r="217" spans="1:101" ht="28.5" x14ac:dyDescent="0.2">
      <c r="A217" s="42"/>
      <c r="B217" s="42" t="s">
        <v>378</v>
      </c>
      <c r="C217" s="42" t="s">
        <v>543</v>
      </c>
      <c r="D217" s="43" t="s">
        <v>357</v>
      </c>
      <c r="E217" s="44">
        <f>SmtRes!DO57*SmtRes!AT57</f>
        <v>3.0000000000000001E-3</v>
      </c>
      <c r="F217" s="44">
        <f>ROUND(1.25,7)</f>
        <v>1.25</v>
      </c>
      <c r="G217" s="44">
        <f>ROUND(E217*F217*G209, 7)</f>
        <v>3.7500000000000001E-4</v>
      </c>
      <c r="H217" s="46"/>
      <c r="I217" s="45"/>
      <c r="J217" s="46">
        <f>ROUND(SmtRes!AG57/SmtRes!DO57, 2)</f>
        <v>544.01</v>
      </c>
      <c r="K217" s="45"/>
      <c r="L217" s="46">
        <f>SmtRes!DH57</f>
        <v>0.2</v>
      </c>
      <c r="CE217">
        <v>1</v>
      </c>
    </row>
    <row r="218" spans="1:101" ht="28.5" x14ac:dyDescent="0.2">
      <c r="A218" s="42"/>
      <c r="B218" s="42" t="s">
        <v>382</v>
      </c>
      <c r="C218" s="42" t="s">
        <v>384</v>
      </c>
      <c r="D218" s="43" t="s">
        <v>363</v>
      </c>
      <c r="E218" s="44">
        <v>3.0000000000000001E-3</v>
      </c>
      <c r="F218" s="44">
        <f>ROUND(1.25,7)</f>
        <v>1.25</v>
      </c>
      <c r="G218" s="44">
        <f>SmtRes!CX58</f>
        <v>3.7500000000000001E-4</v>
      </c>
      <c r="H218" s="46"/>
      <c r="I218" s="45"/>
      <c r="J218" s="46">
        <f>SmtRes!CZ58</f>
        <v>680.75</v>
      </c>
      <c r="K218" s="45"/>
      <c r="L218" s="46">
        <f>SmtRes!DG58</f>
        <v>0.26</v>
      </c>
    </row>
    <row r="219" spans="1:101" ht="28.5" x14ac:dyDescent="0.2">
      <c r="A219" s="42"/>
      <c r="B219" s="42" t="s">
        <v>385</v>
      </c>
      <c r="C219" s="42" t="s">
        <v>544</v>
      </c>
      <c r="D219" s="43" t="s">
        <v>357</v>
      </c>
      <c r="E219" s="44">
        <f>SmtRes!DO58*SmtRes!AT58</f>
        <v>3.0000000000000001E-3</v>
      </c>
      <c r="F219" s="44">
        <f>ROUND(1.25,7)</f>
        <v>1.25</v>
      </c>
      <c r="G219" s="44">
        <f>ROUND(E219*F219*G209, 7)</f>
        <v>3.7500000000000001E-4</v>
      </c>
      <c r="H219" s="46"/>
      <c r="I219" s="45"/>
      <c r="J219" s="46">
        <f>ROUND(SmtRes!AG58/SmtRes!DO58, 2)</f>
        <v>404.99</v>
      </c>
      <c r="K219" s="45"/>
      <c r="L219" s="46">
        <f>SmtRes!DH58</f>
        <v>0.15</v>
      </c>
      <c r="CE219">
        <v>1</v>
      </c>
    </row>
    <row r="220" spans="1:101" ht="15" x14ac:dyDescent="0.2">
      <c r="A220" s="41"/>
      <c r="B220" s="44">
        <v>4</v>
      </c>
      <c r="C220" s="41" t="s">
        <v>260</v>
      </c>
      <c r="D220" s="43"/>
      <c r="E220" s="48"/>
      <c r="F220" s="44"/>
      <c r="G220" s="44"/>
      <c r="H220" s="44"/>
      <c r="I220" s="44"/>
      <c r="J220" s="44"/>
      <c r="K220" s="44"/>
      <c r="L220" s="49">
        <f>SUM(L221:L222)-SUMIF(CE221:CE222, 1, L221:L222)</f>
        <v>9.57</v>
      </c>
    </row>
    <row r="221" spans="1:101" ht="14.25" x14ac:dyDescent="0.2">
      <c r="A221" s="42"/>
      <c r="B221" s="42" t="s">
        <v>403</v>
      </c>
      <c r="C221" s="42" t="s">
        <v>405</v>
      </c>
      <c r="D221" s="43" t="s">
        <v>406</v>
      </c>
      <c r="E221" s="44">
        <v>0.84</v>
      </c>
      <c r="F221" s="44"/>
      <c r="G221" s="44">
        <f>SmtRes!CX59</f>
        <v>8.4000000000000005E-2</v>
      </c>
      <c r="H221" s="46"/>
      <c r="I221" s="45"/>
      <c r="J221" s="46">
        <f>SmtRes!CZ59</f>
        <v>7.71</v>
      </c>
      <c r="K221" s="45"/>
      <c r="L221" s="46">
        <f>SmtRes!DF59</f>
        <v>0.65</v>
      </c>
    </row>
    <row r="222" spans="1:101" ht="14.25" x14ac:dyDescent="0.2">
      <c r="A222" s="42"/>
      <c r="B222" s="42" t="s">
        <v>420</v>
      </c>
      <c r="C222" s="42" t="s">
        <v>422</v>
      </c>
      <c r="D222" s="43" t="s">
        <v>82</v>
      </c>
      <c r="E222" s="44">
        <v>1</v>
      </c>
      <c r="F222" s="44"/>
      <c r="G222" s="44">
        <f>SmtRes!CX61</f>
        <v>0.1</v>
      </c>
      <c r="H222" s="46">
        <f>SmtRes!CZ61</f>
        <v>56.11</v>
      </c>
      <c r="I222" s="45">
        <f>SmtRes!AI61</f>
        <v>1.59</v>
      </c>
      <c r="J222" s="46">
        <f>ROUND(H222*I222, 2)</f>
        <v>89.21</v>
      </c>
      <c r="K222" s="45"/>
      <c r="L222" s="46">
        <f>SmtRes!DF61</f>
        <v>8.92</v>
      </c>
    </row>
    <row r="223" spans="1:101" ht="14.25" x14ac:dyDescent="0.2">
      <c r="A223" s="42"/>
      <c r="B223" s="42" t="str">
        <f>EtalonRes!I61</f>
        <v>01.7.04.04</v>
      </c>
      <c r="C223" s="50" t="str">
        <f>EtalonRes!K61</f>
        <v>Замки врезные</v>
      </c>
      <c r="D223" s="51" t="str">
        <f>EtalonRes!O61</f>
        <v>КОМПЛ</v>
      </c>
      <c r="E223" s="52">
        <f>EtalonRes!X61</f>
        <v>10</v>
      </c>
      <c r="F223" s="52"/>
      <c r="G223" s="52">
        <f>ROUND(EtalonRes!AG61*Source!I41, 7)</f>
        <v>1</v>
      </c>
      <c r="H223" s="53"/>
      <c r="I223" s="54"/>
      <c r="J223" s="53"/>
      <c r="K223" s="54"/>
      <c r="L223" s="53"/>
    </row>
    <row r="224" spans="1:101" ht="15" x14ac:dyDescent="0.2">
      <c r="A224" s="42"/>
      <c r="B224" s="42"/>
      <c r="C224" s="57" t="s">
        <v>530</v>
      </c>
      <c r="D224" s="43"/>
      <c r="E224" s="44"/>
      <c r="F224" s="44"/>
      <c r="G224" s="44"/>
      <c r="H224" s="46"/>
      <c r="I224" s="45"/>
      <c r="J224" s="46"/>
      <c r="K224" s="45"/>
      <c r="L224" s="46">
        <f>L212+L214+L215+L220</f>
        <v>194.32</v>
      </c>
    </row>
    <row r="225" spans="1:101" ht="28.5" x14ac:dyDescent="0.2">
      <c r="A225" s="40" t="s">
        <v>569</v>
      </c>
      <c r="B225" s="42" t="str">
        <f>Source!F42</f>
        <v>01.7.04.04-0011</v>
      </c>
      <c r="C225" s="42" t="str">
        <f>Source!G42</f>
        <v>Замок врезной, тип ЗВ4, с цилиндровым механизмом</v>
      </c>
      <c r="D225" s="43" t="str">
        <f>Source!H42</f>
        <v>КОМПЛ</v>
      </c>
      <c r="E225" s="44">
        <f>SmtRes!AT60</f>
        <v>10</v>
      </c>
      <c r="F225" s="44"/>
      <c r="G225" s="44">
        <f>Source!I42</f>
        <v>1</v>
      </c>
      <c r="H225" s="46">
        <f>Source!AL42+Source!AO42+Source!AM42+Source!AN42</f>
        <v>636.84</v>
      </c>
      <c r="I225" s="45">
        <f>IF(Source!BC42&lt;&gt; 0, Source!BC42, 1)</f>
        <v>1.1599999999999999</v>
      </c>
      <c r="J225" s="46">
        <f>ROUND(H225*I225, 2)</f>
        <v>738.73</v>
      </c>
      <c r="K225" s="45"/>
      <c r="L225" s="46">
        <f>Source!P42</f>
        <v>738.73</v>
      </c>
      <c r="AD225">
        <f>ROUND((Source!AT42/100)*((ROUND(ROUND(Source!AO42,2)*Source!I42, 2)+ROUND(ROUND(Source!AN42,2)*Source!I42, 2))), 2)</f>
        <v>0</v>
      </c>
      <c r="AE225">
        <f>ROUND((Source!AU42/100)*((ROUND(ROUND(Source!AO42,2)*Source!I42, 2)+ROUND(ROUND(Source!AN42,2)*Source!I42, 2))), 2)</f>
        <v>0</v>
      </c>
      <c r="AN225">
        <f>L225</f>
        <v>738.73</v>
      </c>
      <c r="AW225">
        <f>L225</f>
        <v>738.73</v>
      </c>
      <c r="AZ225">
        <f>Source!X42</f>
        <v>0</v>
      </c>
      <c r="BA225">
        <f>Source!Y42</f>
        <v>0</v>
      </c>
      <c r="CD225">
        <v>1</v>
      </c>
    </row>
    <row r="226" spans="1:101" ht="14.25" x14ac:dyDescent="0.2">
      <c r="A226" s="42"/>
      <c r="B226" s="42"/>
      <c r="C226" s="42" t="s">
        <v>532</v>
      </c>
      <c r="D226" s="43"/>
      <c r="E226" s="44"/>
      <c r="F226" s="44"/>
      <c r="G226" s="44"/>
      <c r="H226" s="46"/>
      <c r="I226" s="45"/>
      <c r="J226" s="46"/>
      <c r="K226" s="45"/>
      <c r="L226" s="46">
        <f>SUM(AR209:AR229)+SUM(AS209:AS229)+SUM(AT209:AT229)+SUM(AU209:AU229)+SUM(AV209:AV229)</f>
        <v>183.85</v>
      </c>
    </row>
    <row r="227" spans="1:101" ht="28.5" x14ac:dyDescent="0.2">
      <c r="A227" s="42"/>
      <c r="B227" s="42" t="s">
        <v>570</v>
      </c>
      <c r="C227" s="42" t="s">
        <v>571</v>
      </c>
      <c r="D227" s="43" t="s">
        <v>534</v>
      </c>
      <c r="E227" s="44">
        <f>Source!BZ41</f>
        <v>108</v>
      </c>
      <c r="F227" s="44">
        <f>ROUND(0.9,7)</f>
        <v>0.9</v>
      </c>
      <c r="G227" s="44">
        <f>Source!AT41</f>
        <v>97.2</v>
      </c>
      <c r="H227" s="46"/>
      <c r="I227" s="45"/>
      <c r="J227" s="46"/>
      <c r="K227" s="45"/>
      <c r="L227" s="46">
        <f>SUM(AZ209:AZ229)</f>
        <v>178.7</v>
      </c>
    </row>
    <row r="228" spans="1:101" ht="28.5" x14ac:dyDescent="0.2">
      <c r="A228" s="50"/>
      <c r="B228" s="50" t="s">
        <v>572</v>
      </c>
      <c r="C228" s="50" t="s">
        <v>573</v>
      </c>
      <c r="D228" s="51" t="s">
        <v>534</v>
      </c>
      <c r="E228" s="52">
        <f>Source!CA41</f>
        <v>55</v>
      </c>
      <c r="F228" s="52">
        <f>ROUND(0.85,7)</f>
        <v>0.85</v>
      </c>
      <c r="G228" s="52">
        <f>Source!AU41</f>
        <v>46.75</v>
      </c>
      <c r="H228" s="53"/>
      <c r="I228" s="54"/>
      <c r="J228" s="53"/>
      <c r="K228" s="54"/>
      <c r="L228" s="53">
        <f>SUM(BA209:BA229)</f>
        <v>85.95</v>
      </c>
    </row>
    <row r="229" spans="1:101" ht="15" x14ac:dyDescent="0.2">
      <c r="C229" s="99" t="s">
        <v>536</v>
      </c>
      <c r="D229" s="99"/>
      <c r="E229" s="99"/>
      <c r="F229" s="99"/>
      <c r="G229" s="99"/>
      <c r="H229" s="99"/>
      <c r="I229" s="100">
        <f>IF(E209&lt;&gt;0,K229/E209, 0)</f>
        <v>11977</v>
      </c>
      <c r="J229" s="100"/>
      <c r="K229" s="100">
        <f>L212+L214+L220+L227+L228+L215+SUM(L225:L225)</f>
        <v>1197.7</v>
      </c>
      <c r="L229" s="100"/>
      <c r="AD229">
        <f>ROUND((Source!AT41/100)*((ROUND(SUMIF(SmtRes!AQ55:'SmtRes'!AQ61,"=1",SmtRes!AD55:'SmtRes'!AD61)*Source!I41, 2)+ROUND(SUMIF(SmtRes!AQ55:'SmtRes'!AQ61,"=1",SmtRes!AC55:'SmtRes'!AC61)*Source!I41, 2))), 2)</f>
        <v>131.61000000000001</v>
      </c>
      <c r="AE229">
        <f>ROUND((Source!AU41/100)*((ROUND(SUMIF(SmtRes!AQ55:'SmtRes'!AQ61,"=1",SmtRes!AD55:'SmtRes'!AD61)*Source!I41, 2)+ROUND(SUMIF(SmtRes!AQ55:'SmtRes'!AQ61,"=1",SmtRes!AC55:'SmtRes'!AC61)*Source!I41, 2))), 2)</f>
        <v>63.3</v>
      </c>
      <c r="AN229" s="55">
        <f>L212+L214+L220+L227+L228+L215</f>
        <v>458.96999999999997</v>
      </c>
      <c r="AO229" s="55">
        <f>L214</f>
        <v>0.8999999999999998</v>
      </c>
      <c r="AQ229" t="s">
        <v>537</v>
      </c>
      <c r="AR229" s="55">
        <f>L212</f>
        <v>183.5</v>
      </c>
      <c r="AT229" s="55">
        <f>L215</f>
        <v>0.35</v>
      </c>
      <c r="AV229" t="s">
        <v>537</v>
      </c>
      <c r="AW229" s="55">
        <f>L220</f>
        <v>9.57</v>
      </c>
      <c r="AZ229">
        <f>Source!X41</f>
        <v>178.7</v>
      </c>
      <c r="BA229">
        <f>Source!Y41</f>
        <v>85.95</v>
      </c>
      <c r="CD229">
        <v>1</v>
      </c>
    </row>
    <row r="230" spans="1:101" ht="28.5" x14ac:dyDescent="0.2">
      <c r="A230" s="40" t="s">
        <v>129</v>
      </c>
      <c r="B230" s="42" t="s">
        <v>574</v>
      </c>
      <c r="C230" s="42" t="str">
        <f>Source!G43</f>
        <v>Снятие дверного доводчика к металлическим дверям</v>
      </c>
      <c r="D230" s="43" t="str">
        <f>Source!H43</f>
        <v>ШТ</v>
      </c>
      <c r="E230" s="44">
        <f>Source!K43</f>
        <v>1</v>
      </c>
      <c r="F230" s="44"/>
      <c r="G230" s="44">
        <f>Source!I43</f>
        <v>1</v>
      </c>
      <c r="H230" s="46"/>
      <c r="I230" s="45"/>
      <c r="J230" s="46"/>
      <c r="K230" s="45"/>
      <c r="L230" s="46"/>
    </row>
    <row r="231" spans="1:101" ht="38.25" x14ac:dyDescent="0.2">
      <c r="B231" s="59" t="s">
        <v>476</v>
      </c>
      <c r="C231" s="113" t="s">
        <v>562</v>
      </c>
      <c r="D231" s="113"/>
      <c r="E231" s="113"/>
      <c r="F231" s="113"/>
      <c r="G231" s="113"/>
      <c r="H231" s="113"/>
      <c r="I231" s="113"/>
      <c r="J231" s="113"/>
      <c r="K231" s="113"/>
      <c r="L231" s="113"/>
      <c r="CW231" s="60" t="s">
        <v>562</v>
      </c>
    </row>
    <row r="232" spans="1:101" ht="15" x14ac:dyDescent="0.2">
      <c r="A232" s="41"/>
      <c r="B232" s="44">
        <v>1</v>
      </c>
      <c r="C232" s="41" t="s">
        <v>526</v>
      </c>
      <c r="D232" s="43" t="s">
        <v>357</v>
      </c>
      <c r="E232" s="48"/>
      <c r="F232" s="44"/>
      <c r="G232" s="44">
        <f>Source!U43</f>
        <v>0.77700000000000002</v>
      </c>
      <c r="H232" s="44"/>
      <c r="I232" s="44"/>
      <c r="J232" s="44"/>
      <c r="K232" s="44"/>
      <c r="L232" s="49">
        <f>SUM(L233:L233)-SUMIF(CE233:CE233, 1, L233:L233)</f>
        <v>324.07</v>
      </c>
    </row>
    <row r="233" spans="1:101" ht="14.25" x14ac:dyDescent="0.2">
      <c r="A233" s="42"/>
      <c r="B233" s="42" t="s">
        <v>423</v>
      </c>
      <c r="C233" s="42" t="s">
        <v>424</v>
      </c>
      <c r="D233" s="43" t="s">
        <v>357</v>
      </c>
      <c r="E233" s="44">
        <v>1.1100000000000001</v>
      </c>
      <c r="F233" s="44">
        <f>ROUND(0.7,7)</f>
        <v>0.7</v>
      </c>
      <c r="G233" s="44">
        <f>SmtRes!CX62</f>
        <v>0.77700000000000002</v>
      </c>
      <c r="H233" s="46"/>
      <c r="I233" s="45"/>
      <c r="J233" s="46">
        <f>SmtRes!CZ62</f>
        <v>417.08</v>
      </c>
      <c r="K233" s="45"/>
      <c r="L233" s="46">
        <f>SmtRes!DI62</f>
        <v>324.07</v>
      </c>
    </row>
    <row r="234" spans="1:101" ht="15" x14ac:dyDescent="0.2">
      <c r="A234" s="41"/>
      <c r="B234" s="44">
        <v>2</v>
      </c>
      <c r="C234" s="41" t="s">
        <v>527</v>
      </c>
      <c r="D234" s="43"/>
      <c r="E234" s="48"/>
      <c r="F234" s="44"/>
      <c r="G234" s="44"/>
      <c r="H234" s="44"/>
      <c r="I234" s="44"/>
      <c r="J234" s="44"/>
      <c r="K234" s="44"/>
      <c r="L234" s="49">
        <f>SUM(L235:L236)-SUMIF(CE235:CE236, 1, L235:L236)</f>
        <v>6.64</v>
      </c>
    </row>
    <row r="235" spans="1:101" ht="15" hidden="1" x14ac:dyDescent="0.2">
      <c r="A235" s="41"/>
      <c r="B235" s="44"/>
      <c r="C235" s="41" t="s">
        <v>529</v>
      </c>
      <c r="D235" s="43" t="s">
        <v>357</v>
      </c>
      <c r="E235" s="48"/>
      <c r="F235" s="44"/>
      <c r="G235" s="44">
        <f>Source!V43</f>
        <v>0</v>
      </c>
      <c r="H235" s="44"/>
      <c r="I235" s="44"/>
      <c r="J235" s="44"/>
      <c r="K235" s="44"/>
      <c r="L235" s="49">
        <f>SUMIF(CE236:CE236, 1, L236:L236)</f>
        <v>0</v>
      </c>
      <c r="CE235">
        <v>1</v>
      </c>
    </row>
    <row r="236" spans="1:101" ht="42.75" x14ac:dyDescent="0.2">
      <c r="A236" s="42"/>
      <c r="B236" s="42" t="s">
        <v>409</v>
      </c>
      <c r="C236" s="42" t="s">
        <v>411</v>
      </c>
      <c r="D236" s="43" t="s">
        <v>363</v>
      </c>
      <c r="E236" s="44">
        <v>0.26</v>
      </c>
      <c r="F236" s="44">
        <f>ROUND(0.7,7)</f>
        <v>0.7</v>
      </c>
      <c r="G236" s="44">
        <f>SmtRes!CX63</f>
        <v>0.182</v>
      </c>
      <c r="H236" s="46"/>
      <c r="I236" s="45"/>
      <c r="J236" s="46">
        <f>SmtRes!CZ63</f>
        <v>36.46</v>
      </c>
      <c r="K236" s="45"/>
      <c r="L236" s="46">
        <f>SmtRes!DG63</f>
        <v>6.64</v>
      </c>
    </row>
    <row r="237" spans="1:101" ht="15" hidden="1" x14ac:dyDescent="0.2">
      <c r="A237" s="41"/>
      <c r="B237" s="44">
        <v>4</v>
      </c>
      <c r="C237" s="41" t="s">
        <v>260</v>
      </c>
      <c r="D237" s="43"/>
      <c r="E237" s="48"/>
      <c r="F237" s="44"/>
      <c r="G237" s="44"/>
      <c r="H237" s="44"/>
      <c r="I237" s="44"/>
      <c r="J237" s="44"/>
      <c r="K237" s="44"/>
      <c r="L237" s="49">
        <f>SUM(L238:L240)-SUMIF(CE238:CE240, 1, L238:L240)</f>
        <v>0</v>
      </c>
    </row>
    <row r="238" spans="1:101" ht="14.25" x14ac:dyDescent="0.2">
      <c r="A238" s="42"/>
      <c r="B238" s="42" t="s">
        <v>403</v>
      </c>
      <c r="C238" s="42" t="s">
        <v>405</v>
      </c>
      <c r="D238" s="43" t="s">
        <v>406</v>
      </c>
      <c r="E238" s="44">
        <v>0.2132</v>
      </c>
      <c r="F238" s="44">
        <f>ROUND(0,7)</f>
        <v>0</v>
      </c>
      <c r="G238" s="44">
        <f>SmtRes!CX64</f>
        <v>0</v>
      </c>
      <c r="H238" s="46"/>
      <c r="I238" s="45"/>
      <c r="J238" s="46">
        <f>SmtRes!CZ64</f>
        <v>7.71</v>
      </c>
      <c r="K238" s="45"/>
      <c r="L238" s="46">
        <f>SmtRes!DF64</f>
        <v>0</v>
      </c>
    </row>
    <row r="239" spans="1:101" ht="57" x14ac:dyDescent="0.2">
      <c r="A239" s="42"/>
      <c r="B239" s="42" t="s">
        <v>425</v>
      </c>
      <c r="C239" s="42" t="s">
        <v>427</v>
      </c>
      <c r="D239" s="43" t="s">
        <v>82</v>
      </c>
      <c r="E239" s="44">
        <v>7.0000000000000007E-2</v>
      </c>
      <c r="F239" s="44">
        <f>ROUND(0,7)</f>
        <v>0</v>
      </c>
      <c r="G239" s="44">
        <f>SmtRes!CX65</f>
        <v>0</v>
      </c>
      <c r="H239" s="46">
        <f>SmtRes!CZ65</f>
        <v>155.63</v>
      </c>
      <c r="I239" s="45">
        <f>SmtRes!AI65</f>
        <v>0.91</v>
      </c>
      <c r="J239" s="46">
        <f>ROUND(H239*I239, 2)</f>
        <v>141.62</v>
      </c>
      <c r="K239" s="45"/>
      <c r="L239" s="46">
        <f>SmtRes!DF65</f>
        <v>0</v>
      </c>
    </row>
    <row r="240" spans="1:101" ht="71.25" x14ac:dyDescent="0.2">
      <c r="A240" s="42"/>
      <c r="B240" s="42" t="s">
        <v>428</v>
      </c>
      <c r="C240" s="42" t="s">
        <v>430</v>
      </c>
      <c r="D240" s="43" t="s">
        <v>160</v>
      </c>
      <c r="E240" s="44">
        <v>0.08</v>
      </c>
      <c r="F240" s="44">
        <f>ROUND(0,7)</f>
        <v>0</v>
      </c>
      <c r="G240" s="44">
        <f>SmtRes!CX66</f>
        <v>0</v>
      </c>
      <c r="H240" s="46">
        <f>SmtRes!CZ66</f>
        <v>120.96</v>
      </c>
      <c r="I240" s="45">
        <f>SmtRes!AI66</f>
        <v>1.19</v>
      </c>
      <c r="J240" s="46">
        <f>ROUND(H240*I240, 2)</f>
        <v>143.94</v>
      </c>
      <c r="K240" s="45"/>
      <c r="L240" s="46">
        <f>SmtRes!DF66</f>
        <v>0</v>
      </c>
    </row>
    <row r="241" spans="1:101" ht="14.25" x14ac:dyDescent="0.2">
      <c r="A241" s="42"/>
      <c r="B241" s="42" t="str">
        <f>EtalonRes!I66</f>
        <v>01.7.04.01</v>
      </c>
      <c r="C241" s="50" t="str">
        <f>EtalonRes!K66</f>
        <v>Доводчики дверные</v>
      </c>
      <c r="D241" s="51" t="str">
        <f>EtalonRes!O66</f>
        <v>ШТ</v>
      </c>
      <c r="E241" s="52">
        <f>EtalonRes!X66</f>
        <v>1</v>
      </c>
      <c r="F241" s="52">
        <f>ROUND(0,7)</f>
        <v>0</v>
      </c>
      <c r="G241" s="52">
        <f>ROUND(EtalonRes!AG66*Source!I43, 7)</f>
        <v>0</v>
      </c>
      <c r="H241" s="53"/>
      <c r="I241" s="54"/>
      <c r="J241" s="53"/>
      <c r="K241" s="54"/>
      <c r="L241" s="53"/>
    </row>
    <row r="242" spans="1:101" ht="15" x14ac:dyDescent="0.2">
      <c r="A242" s="42"/>
      <c r="B242" s="42"/>
      <c r="C242" s="57" t="s">
        <v>530</v>
      </c>
      <c r="D242" s="43"/>
      <c r="E242" s="44"/>
      <c r="F242" s="44"/>
      <c r="G242" s="44"/>
      <c r="H242" s="46"/>
      <c r="I242" s="45"/>
      <c r="J242" s="46"/>
      <c r="K242" s="45"/>
      <c r="L242" s="46">
        <f>L232+L234+L235+L237</f>
        <v>330.71</v>
      </c>
    </row>
    <row r="243" spans="1:101" ht="14.25" x14ac:dyDescent="0.2">
      <c r="A243" s="42"/>
      <c r="B243" s="42"/>
      <c r="C243" s="42" t="s">
        <v>532</v>
      </c>
      <c r="D243" s="43"/>
      <c r="E243" s="44"/>
      <c r="F243" s="44"/>
      <c r="G243" s="44"/>
      <c r="H243" s="46"/>
      <c r="I243" s="45"/>
      <c r="J243" s="46"/>
      <c r="K243" s="45"/>
      <c r="L243" s="46">
        <f>SUM(AR230:AR246)+SUM(AS230:AS246)+SUM(AT230:AT246)+SUM(AU230:AU246)+SUM(AV230:AV246)</f>
        <v>324.07</v>
      </c>
    </row>
    <row r="244" spans="1:101" ht="28.5" x14ac:dyDescent="0.2">
      <c r="A244" s="42"/>
      <c r="B244" s="42" t="s">
        <v>136</v>
      </c>
      <c r="C244" s="42" t="s">
        <v>575</v>
      </c>
      <c r="D244" s="43" t="s">
        <v>534</v>
      </c>
      <c r="E244" s="44">
        <f>Source!BZ43</f>
        <v>93</v>
      </c>
      <c r="F244" s="44"/>
      <c r="G244" s="44">
        <f>Source!AT43</f>
        <v>93</v>
      </c>
      <c r="H244" s="46"/>
      <c r="I244" s="45"/>
      <c r="J244" s="46"/>
      <c r="K244" s="45"/>
      <c r="L244" s="46">
        <f>SUM(AZ230:AZ246)</f>
        <v>301.39</v>
      </c>
    </row>
    <row r="245" spans="1:101" ht="28.5" x14ac:dyDescent="0.2">
      <c r="A245" s="50"/>
      <c r="B245" s="50" t="s">
        <v>137</v>
      </c>
      <c r="C245" s="50" t="s">
        <v>576</v>
      </c>
      <c r="D245" s="51" t="s">
        <v>534</v>
      </c>
      <c r="E245" s="52">
        <f>Source!CA43</f>
        <v>62</v>
      </c>
      <c r="F245" s="52"/>
      <c r="G245" s="52">
        <f>Source!AU43</f>
        <v>62</v>
      </c>
      <c r="H245" s="53"/>
      <c r="I245" s="54"/>
      <c r="J245" s="53"/>
      <c r="K245" s="54"/>
      <c r="L245" s="53">
        <f>SUM(BA230:BA246)</f>
        <v>200.92</v>
      </c>
    </row>
    <row r="246" spans="1:101" ht="15" x14ac:dyDescent="0.2">
      <c r="C246" s="99" t="s">
        <v>536</v>
      </c>
      <c r="D246" s="99"/>
      <c r="E246" s="99"/>
      <c r="F246" s="99"/>
      <c r="G246" s="99"/>
      <c r="H246" s="99"/>
      <c r="I246" s="100">
        <f>IF(E230&lt;&gt;0,K246/E230, 0)</f>
        <v>833.01999999999987</v>
      </c>
      <c r="J246" s="100"/>
      <c r="K246" s="100">
        <f>L232+L234+L237+L244+L245+L235</f>
        <v>833.01999999999987</v>
      </c>
      <c r="L246" s="100"/>
      <c r="AD246">
        <f>ROUND((Source!AT43/100)*((ROUND(SUMIF(SmtRes!AQ62:'SmtRes'!AQ66,"=1",SmtRes!AD62:'SmtRes'!AD66)*Source!I43, 2)+ROUND(SUMIF(SmtRes!AQ62:'SmtRes'!AQ66,"=1",SmtRes!AC62:'SmtRes'!AC66)*Source!I43, 2))), 2)</f>
        <v>387.88</v>
      </c>
      <c r="AE246">
        <f>ROUND((Source!AU43/100)*((ROUND(SUMIF(SmtRes!AQ62:'SmtRes'!AQ66,"=1",SmtRes!AD62:'SmtRes'!AD66)*Source!I43, 2)+ROUND(SUMIF(SmtRes!AQ62:'SmtRes'!AQ66,"=1",SmtRes!AC62:'SmtRes'!AC66)*Source!I43, 2))), 2)</f>
        <v>258.58999999999997</v>
      </c>
      <c r="AN246" s="55">
        <f>L232+L234+L237+L244+L245+L235</f>
        <v>833.01999999999987</v>
      </c>
      <c r="AO246" s="55">
        <f>L234</f>
        <v>6.64</v>
      </c>
      <c r="AQ246" t="s">
        <v>537</v>
      </c>
      <c r="AR246" s="55">
        <f>L232</f>
        <v>324.07</v>
      </c>
      <c r="AT246" s="55">
        <f>L235</f>
        <v>0</v>
      </c>
      <c r="AV246" t="s">
        <v>537</v>
      </c>
      <c r="AW246" s="55">
        <f>L237</f>
        <v>0</v>
      </c>
      <c r="AZ246">
        <f>Source!X43</f>
        <v>301.39</v>
      </c>
      <c r="BA246">
        <f>Source!Y43</f>
        <v>200.92</v>
      </c>
      <c r="CD246">
        <v>1</v>
      </c>
    </row>
    <row r="247" spans="1:101" ht="28.5" x14ac:dyDescent="0.2">
      <c r="A247" s="40" t="s">
        <v>138</v>
      </c>
      <c r="B247" s="42" t="s">
        <v>574</v>
      </c>
      <c r="C247" s="42" t="str">
        <f>Source!G44</f>
        <v>Установка дверного доводчика к металлическим дверям</v>
      </c>
      <c r="D247" s="43" t="str">
        <f>Source!H44</f>
        <v>ШТ</v>
      </c>
      <c r="E247" s="44">
        <f>Source!K44</f>
        <v>1</v>
      </c>
      <c r="F247" s="44"/>
      <c r="G247" s="44">
        <f>Source!I44</f>
        <v>1</v>
      </c>
      <c r="H247" s="46"/>
      <c r="I247" s="45"/>
      <c r="J247" s="46"/>
      <c r="K247" s="45"/>
      <c r="L247" s="46"/>
    </row>
    <row r="248" spans="1:101" ht="51" x14ac:dyDescent="0.2">
      <c r="B248" s="59" t="s">
        <v>474</v>
      </c>
      <c r="C248" s="113" t="s">
        <v>542</v>
      </c>
      <c r="D248" s="113"/>
      <c r="E248" s="113"/>
      <c r="F248" s="113"/>
      <c r="G248" s="113"/>
      <c r="H248" s="113"/>
      <c r="I248" s="113"/>
      <c r="J248" s="113"/>
      <c r="K248" s="113"/>
      <c r="L248" s="113"/>
      <c r="CW248" s="60" t="s">
        <v>542</v>
      </c>
    </row>
    <row r="249" spans="1:101" ht="15" x14ac:dyDescent="0.2">
      <c r="A249" s="41"/>
      <c r="B249" s="44">
        <v>1</v>
      </c>
      <c r="C249" s="41" t="s">
        <v>526</v>
      </c>
      <c r="D249" s="43" t="s">
        <v>357</v>
      </c>
      <c r="E249" s="48"/>
      <c r="F249" s="44"/>
      <c r="G249" s="44">
        <f>Source!U44</f>
        <v>1.2765</v>
      </c>
      <c r="H249" s="44"/>
      <c r="I249" s="44"/>
      <c r="J249" s="44"/>
      <c r="K249" s="44"/>
      <c r="L249" s="49">
        <f>SUM(L250:L250)-SUMIF(CE250:CE250, 1, L250:L250)</f>
        <v>532.4</v>
      </c>
    </row>
    <row r="250" spans="1:101" ht="14.25" x14ac:dyDescent="0.2">
      <c r="A250" s="42"/>
      <c r="B250" s="42" t="s">
        <v>423</v>
      </c>
      <c r="C250" s="42" t="s">
        <v>424</v>
      </c>
      <c r="D250" s="43" t="s">
        <v>357</v>
      </c>
      <c r="E250" s="44">
        <v>1.1100000000000001</v>
      </c>
      <c r="F250" s="44">
        <f>ROUND(1.15,7)</f>
        <v>1.1499999999999999</v>
      </c>
      <c r="G250" s="44">
        <f>SmtRes!CX67</f>
        <v>1.2765</v>
      </c>
      <c r="H250" s="46"/>
      <c r="I250" s="45"/>
      <c r="J250" s="46">
        <f>SmtRes!CZ67</f>
        <v>417.08</v>
      </c>
      <c r="K250" s="45"/>
      <c r="L250" s="46">
        <f>SmtRes!DI67</f>
        <v>532.4</v>
      </c>
    </row>
    <row r="251" spans="1:101" ht="15" x14ac:dyDescent="0.2">
      <c r="A251" s="41"/>
      <c r="B251" s="44">
        <v>2</v>
      </c>
      <c r="C251" s="41" t="s">
        <v>527</v>
      </c>
      <c r="D251" s="43"/>
      <c r="E251" s="48"/>
      <c r="F251" s="44"/>
      <c r="G251" s="44"/>
      <c r="H251" s="44"/>
      <c r="I251" s="44"/>
      <c r="J251" s="44"/>
      <c r="K251" s="44"/>
      <c r="L251" s="49">
        <f>SUM(L252:L253)-SUMIF(CE252:CE253, 1, L252:L253)</f>
        <v>11.85</v>
      </c>
    </row>
    <row r="252" spans="1:101" ht="15" hidden="1" x14ac:dyDescent="0.2">
      <c r="A252" s="41"/>
      <c r="B252" s="44"/>
      <c r="C252" s="41" t="s">
        <v>529</v>
      </c>
      <c r="D252" s="43" t="s">
        <v>357</v>
      </c>
      <c r="E252" s="48"/>
      <c r="F252" s="44"/>
      <c r="G252" s="44">
        <f>Source!V44</f>
        <v>0</v>
      </c>
      <c r="H252" s="44"/>
      <c r="I252" s="44"/>
      <c r="J252" s="44"/>
      <c r="K252" s="44"/>
      <c r="L252" s="49">
        <f>SUMIF(CE253:CE253, 1, L253:L253)</f>
        <v>0</v>
      </c>
      <c r="CE252">
        <v>1</v>
      </c>
    </row>
    <row r="253" spans="1:101" ht="42.75" x14ac:dyDescent="0.2">
      <c r="A253" s="42"/>
      <c r="B253" s="42" t="s">
        <v>409</v>
      </c>
      <c r="C253" s="42" t="s">
        <v>411</v>
      </c>
      <c r="D253" s="43" t="s">
        <v>363</v>
      </c>
      <c r="E253" s="44">
        <v>0.26</v>
      </c>
      <c r="F253" s="44">
        <f>ROUND(1.25,7)</f>
        <v>1.25</v>
      </c>
      <c r="G253" s="44">
        <f>SmtRes!CX68</f>
        <v>0.32500000000000001</v>
      </c>
      <c r="H253" s="46"/>
      <c r="I253" s="45"/>
      <c r="J253" s="46">
        <f>SmtRes!CZ68</f>
        <v>36.46</v>
      </c>
      <c r="K253" s="45"/>
      <c r="L253" s="46">
        <f>SmtRes!DG68</f>
        <v>11.85</v>
      </c>
    </row>
    <row r="254" spans="1:101" ht="15" x14ac:dyDescent="0.2">
      <c r="A254" s="41"/>
      <c r="B254" s="44">
        <v>4</v>
      </c>
      <c r="C254" s="41" t="s">
        <v>260</v>
      </c>
      <c r="D254" s="43"/>
      <c r="E254" s="48"/>
      <c r="F254" s="44"/>
      <c r="G254" s="44"/>
      <c r="H254" s="44"/>
      <c r="I254" s="44"/>
      <c r="J254" s="44"/>
      <c r="K254" s="44"/>
      <c r="L254" s="49">
        <f>SUM(L255:L257)-SUMIF(CE255:CE257, 1, L255:L257)</f>
        <v>23.07</v>
      </c>
    </row>
    <row r="255" spans="1:101" ht="14.25" x14ac:dyDescent="0.2">
      <c r="A255" s="42"/>
      <c r="B255" s="42" t="s">
        <v>403</v>
      </c>
      <c r="C255" s="42" t="s">
        <v>405</v>
      </c>
      <c r="D255" s="43" t="s">
        <v>406</v>
      </c>
      <c r="E255" s="44">
        <v>0.2132</v>
      </c>
      <c r="F255" s="44"/>
      <c r="G255" s="44">
        <f>SmtRes!CX69</f>
        <v>0.2132</v>
      </c>
      <c r="H255" s="46"/>
      <c r="I255" s="45"/>
      <c r="J255" s="46">
        <f>SmtRes!CZ69</f>
        <v>7.71</v>
      </c>
      <c r="K255" s="45"/>
      <c r="L255" s="46">
        <f>SmtRes!DF69</f>
        <v>1.64</v>
      </c>
    </row>
    <row r="256" spans="1:101" ht="57" x14ac:dyDescent="0.2">
      <c r="A256" s="42"/>
      <c r="B256" s="42" t="s">
        <v>425</v>
      </c>
      <c r="C256" s="42" t="s">
        <v>427</v>
      </c>
      <c r="D256" s="43" t="s">
        <v>82</v>
      </c>
      <c r="E256" s="44">
        <v>7.0000000000000007E-2</v>
      </c>
      <c r="F256" s="44"/>
      <c r="G256" s="44">
        <f>SmtRes!CX71</f>
        <v>7.0000000000000007E-2</v>
      </c>
      <c r="H256" s="46">
        <f>SmtRes!CZ71</f>
        <v>155.63</v>
      </c>
      <c r="I256" s="45">
        <f>SmtRes!AI71</f>
        <v>0.91</v>
      </c>
      <c r="J256" s="46">
        <f>ROUND(H256*I256, 2)</f>
        <v>141.62</v>
      </c>
      <c r="K256" s="45"/>
      <c r="L256" s="46">
        <f>SmtRes!DF71</f>
        <v>9.91</v>
      </c>
    </row>
    <row r="257" spans="1:82" ht="71.25" x14ac:dyDescent="0.2">
      <c r="A257" s="42"/>
      <c r="B257" s="42" t="s">
        <v>428</v>
      </c>
      <c r="C257" s="42" t="s">
        <v>430</v>
      </c>
      <c r="D257" s="43" t="s">
        <v>160</v>
      </c>
      <c r="E257" s="44">
        <v>0.08</v>
      </c>
      <c r="F257" s="44"/>
      <c r="G257" s="44">
        <f>SmtRes!CX72</f>
        <v>0.08</v>
      </c>
      <c r="H257" s="46">
        <f>SmtRes!CZ72</f>
        <v>120.96</v>
      </c>
      <c r="I257" s="45">
        <f>SmtRes!AI72</f>
        <v>1.19</v>
      </c>
      <c r="J257" s="46">
        <f>ROUND(H257*I257, 2)</f>
        <v>143.94</v>
      </c>
      <c r="K257" s="45"/>
      <c r="L257" s="46">
        <f>SmtRes!DF72</f>
        <v>11.52</v>
      </c>
    </row>
    <row r="258" spans="1:82" ht="14.25" x14ac:dyDescent="0.2">
      <c r="A258" s="42"/>
      <c r="B258" s="42" t="str">
        <f>EtalonRes!I72</f>
        <v>01.7.04.01</v>
      </c>
      <c r="C258" s="50" t="str">
        <f>EtalonRes!K72</f>
        <v>Доводчики дверные</v>
      </c>
      <c r="D258" s="51" t="str">
        <f>EtalonRes!O72</f>
        <v>ШТ</v>
      </c>
      <c r="E258" s="52">
        <f>EtalonRes!X72</f>
        <v>1</v>
      </c>
      <c r="F258" s="52"/>
      <c r="G258" s="52">
        <f>ROUND(EtalonRes!AG72*Source!I44, 7)</f>
        <v>1</v>
      </c>
      <c r="H258" s="53"/>
      <c r="I258" s="54"/>
      <c r="J258" s="53"/>
      <c r="K258" s="54"/>
      <c r="L258" s="53"/>
    </row>
    <row r="259" spans="1:82" ht="15" x14ac:dyDescent="0.2">
      <c r="A259" s="42"/>
      <c r="B259" s="42"/>
      <c r="C259" s="57" t="s">
        <v>530</v>
      </c>
      <c r="D259" s="43"/>
      <c r="E259" s="44"/>
      <c r="F259" s="44"/>
      <c r="G259" s="44"/>
      <c r="H259" s="46"/>
      <c r="I259" s="45"/>
      <c r="J259" s="46"/>
      <c r="K259" s="45"/>
      <c r="L259" s="46">
        <f>L249+L251+L252+L254</f>
        <v>567.32000000000005</v>
      </c>
    </row>
    <row r="260" spans="1:82" ht="42.75" x14ac:dyDescent="0.2">
      <c r="A260" s="40" t="s">
        <v>577</v>
      </c>
      <c r="B260" s="42" t="str">
        <f>Source!F45</f>
        <v>01.7.04.01-1006</v>
      </c>
      <c r="C260" s="42" t="str">
        <f>Source!G45</f>
        <v>Доводчик дверной рычажный для распашных дверей шириной до 1250 мм, масса двери до 120 кг</v>
      </c>
      <c r="D260" s="43" t="str">
        <f>Source!H45</f>
        <v>ШТ</v>
      </c>
      <c r="E260" s="44">
        <f>SmtRes!AT70</f>
        <v>1</v>
      </c>
      <c r="F260" s="44"/>
      <c r="G260" s="44">
        <f>Source!I45</f>
        <v>1</v>
      </c>
      <c r="H260" s="46">
        <f>Source!AL45+Source!AO45+Source!AM45+Source!AN45</f>
        <v>2291.5</v>
      </c>
      <c r="I260" s="45">
        <f>IF(Source!BC45&lt;&gt; 0, Source!BC45, 1)</f>
        <v>1.49</v>
      </c>
      <c r="J260" s="46">
        <f>ROUND(H260*I260, 2)</f>
        <v>3414.34</v>
      </c>
      <c r="K260" s="45"/>
      <c r="L260" s="46">
        <f>Source!P45</f>
        <v>3414.34</v>
      </c>
      <c r="AD260">
        <f>ROUND((Source!AT45/100)*((ROUND(ROUND(Source!AO45,2)*Source!I45, 2)+ROUND(ROUND(Source!AN45,2)*Source!I45, 2))), 2)</f>
        <v>0</v>
      </c>
      <c r="AE260">
        <f>ROUND((Source!AU45/100)*((ROUND(ROUND(Source!AO45,2)*Source!I45, 2)+ROUND(ROUND(Source!AN45,2)*Source!I45, 2))), 2)</f>
        <v>0</v>
      </c>
      <c r="AN260">
        <f>L260</f>
        <v>3414.34</v>
      </c>
      <c r="AW260">
        <f>L260</f>
        <v>3414.34</v>
      </c>
      <c r="AZ260">
        <f>Source!X45</f>
        <v>0</v>
      </c>
      <c r="BA260">
        <f>Source!Y45</f>
        <v>0</v>
      </c>
      <c r="CD260">
        <v>1</v>
      </c>
    </row>
    <row r="261" spans="1:82" ht="14.25" x14ac:dyDescent="0.2">
      <c r="A261" s="42"/>
      <c r="B261" s="42"/>
      <c r="C261" s="42" t="s">
        <v>532</v>
      </c>
      <c r="D261" s="43"/>
      <c r="E261" s="44"/>
      <c r="F261" s="44"/>
      <c r="G261" s="44"/>
      <c r="H261" s="46"/>
      <c r="I261" s="45"/>
      <c r="J261" s="46"/>
      <c r="K261" s="45"/>
      <c r="L261" s="46">
        <f>SUM(AR247:AR264)+SUM(AS247:AS264)+SUM(AT247:AT264)+SUM(AU247:AU264)+SUM(AV247:AV264)</f>
        <v>532.4</v>
      </c>
    </row>
    <row r="262" spans="1:82" ht="28.5" x14ac:dyDescent="0.2">
      <c r="A262" s="42"/>
      <c r="B262" s="42" t="s">
        <v>578</v>
      </c>
      <c r="C262" s="42" t="s">
        <v>575</v>
      </c>
      <c r="D262" s="43" t="s">
        <v>534</v>
      </c>
      <c r="E262" s="44">
        <f>Source!BZ44</f>
        <v>93</v>
      </c>
      <c r="F262" s="44">
        <f>ROUND(0.9,7)</f>
        <v>0.9</v>
      </c>
      <c r="G262" s="44">
        <f>Source!AT44</f>
        <v>83.7</v>
      </c>
      <c r="H262" s="46"/>
      <c r="I262" s="45"/>
      <c r="J262" s="46"/>
      <c r="K262" s="45"/>
      <c r="L262" s="46">
        <f>SUM(AZ247:AZ264)</f>
        <v>445.62</v>
      </c>
    </row>
    <row r="263" spans="1:82" ht="28.5" x14ac:dyDescent="0.2">
      <c r="A263" s="50"/>
      <c r="B263" s="50" t="s">
        <v>579</v>
      </c>
      <c r="C263" s="50" t="s">
        <v>576</v>
      </c>
      <c r="D263" s="51" t="s">
        <v>534</v>
      </c>
      <c r="E263" s="52">
        <f>Source!CA44</f>
        <v>62</v>
      </c>
      <c r="F263" s="52">
        <f>ROUND(0.85,7)</f>
        <v>0.85</v>
      </c>
      <c r="G263" s="52">
        <f>Source!AU44</f>
        <v>52.7</v>
      </c>
      <c r="H263" s="53"/>
      <c r="I263" s="54"/>
      <c r="J263" s="53"/>
      <c r="K263" s="54"/>
      <c r="L263" s="53">
        <f>SUM(BA247:BA264)</f>
        <v>280.57</v>
      </c>
    </row>
    <row r="264" spans="1:82" ht="15" x14ac:dyDescent="0.2">
      <c r="C264" s="99" t="s">
        <v>536</v>
      </c>
      <c r="D264" s="99"/>
      <c r="E264" s="99"/>
      <c r="F264" s="99"/>
      <c r="G264" s="99"/>
      <c r="H264" s="99"/>
      <c r="I264" s="100">
        <f>IF(E247&lt;&gt;0,K264/E247, 0)</f>
        <v>4707.8500000000004</v>
      </c>
      <c r="J264" s="100"/>
      <c r="K264" s="100">
        <f>L249+L251+L254+L262+L263+L252+SUM(L260:L260)</f>
        <v>4707.8500000000004</v>
      </c>
      <c r="L264" s="100"/>
      <c r="AD264">
        <f>ROUND((Source!AT44/100)*((ROUND(SUMIF(SmtRes!AQ67:'SmtRes'!AQ72,"=1",SmtRes!AD67:'SmtRes'!AD72)*Source!I44, 2)+ROUND(SUMIF(SmtRes!AQ67:'SmtRes'!AQ72,"=1",SmtRes!AC67:'SmtRes'!AC72)*Source!I44, 2))), 2)</f>
        <v>349.1</v>
      </c>
      <c r="AE264">
        <f>ROUND((Source!AU44/100)*((ROUND(SUMIF(SmtRes!AQ67:'SmtRes'!AQ72,"=1",SmtRes!AD67:'SmtRes'!AD72)*Source!I44, 2)+ROUND(SUMIF(SmtRes!AQ67:'SmtRes'!AQ72,"=1",SmtRes!AC67:'SmtRes'!AC72)*Source!I44, 2))), 2)</f>
        <v>219.8</v>
      </c>
      <c r="AN264" s="55">
        <f>L249+L251+L254+L262+L263+L252</f>
        <v>1293.51</v>
      </c>
      <c r="AO264" s="55">
        <f>L251</f>
        <v>11.85</v>
      </c>
      <c r="AQ264" t="s">
        <v>537</v>
      </c>
      <c r="AR264" s="55">
        <f>L249</f>
        <v>532.4</v>
      </c>
      <c r="AT264" s="55">
        <f>L252</f>
        <v>0</v>
      </c>
      <c r="AV264" t="s">
        <v>537</v>
      </c>
      <c r="AW264" s="55">
        <f>L254</f>
        <v>23.07</v>
      </c>
      <c r="AZ264">
        <f>Source!X44</f>
        <v>445.62</v>
      </c>
      <c r="BA264">
        <f>Source!Y44</f>
        <v>280.57</v>
      </c>
      <c r="CD264">
        <v>1</v>
      </c>
    </row>
    <row r="265" spans="1:82" ht="42.75" x14ac:dyDescent="0.2">
      <c r="A265" s="40" t="s">
        <v>144</v>
      </c>
      <c r="B265" s="42" t="s">
        <v>580</v>
      </c>
      <c r="C265" s="42" t="str">
        <f>Source!G46</f>
        <v>Оклеивание кромок стыков полиэтиленовой лентой при герметизации стыков</v>
      </c>
      <c r="D265" s="43" t="str">
        <f>Source!H46</f>
        <v>м</v>
      </c>
      <c r="E265" s="44">
        <f>Source!K46</f>
        <v>24.8</v>
      </c>
      <c r="F265" s="44"/>
      <c r="G265" s="44">
        <f>Source!I46</f>
        <v>24.8</v>
      </c>
      <c r="H265" s="46"/>
      <c r="I265" s="45"/>
      <c r="J265" s="46"/>
      <c r="K265" s="45"/>
      <c r="L265" s="46"/>
    </row>
    <row r="266" spans="1:82" ht="15" x14ac:dyDescent="0.2">
      <c r="A266" s="41"/>
      <c r="B266" s="44">
        <v>1</v>
      </c>
      <c r="C266" s="41" t="s">
        <v>526</v>
      </c>
      <c r="D266" s="43" t="s">
        <v>357</v>
      </c>
      <c r="E266" s="48"/>
      <c r="F266" s="44"/>
      <c r="G266" s="44">
        <f>Source!U46</f>
        <v>0.74399999999999999</v>
      </c>
      <c r="H266" s="44"/>
      <c r="I266" s="44"/>
      <c r="J266" s="44"/>
      <c r="K266" s="44"/>
      <c r="L266" s="49">
        <f>SUM(L267:L267)-SUMIF(CE267:CE267, 1, L267:L267)</f>
        <v>323.8</v>
      </c>
    </row>
    <row r="267" spans="1:82" ht="14.25" x14ac:dyDescent="0.2">
      <c r="A267" s="42"/>
      <c r="B267" s="42" t="s">
        <v>431</v>
      </c>
      <c r="C267" s="42" t="s">
        <v>432</v>
      </c>
      <c r="D267" s="43" t="s">
        <v>357</v>
      </c>
      <c r="E267" s="44">
        <v>0.03</v>
      </c>
      <c r="F267" s="44"/>
      <c r="G267" s="44">
        <f>SmtRes!CX73</f>
        <v>0.74399999999999999</v>
      </c>
      <c r="H267" s="46"/>
      <c r="I267" s="45"/>
      <c r="J267" s="46">
        <f>SmtRes!CZ73</f>
        <v>435.21</v>
      </c>
      <c r="K267" s="45"/>
      <c r="L267" s="46">
        <f>SmtRes!DI73</f>
        <v>323.8</v>
      </c>
    </row>
    <row r="268" spans="1:82" ht="14.25" x14ac:dyDescent="0.2">
      <c r="A268" s="42"/>
      <c r="B268" s="42" t="str">
        <f>EtalonRes!I76</f>
        <v>01.7.06.03</v>
      </c>
      <c r="C268" s="50" t="str">
        <f>EtalonRes!K76</f>
        <v>Ленты полиэтиленовые</v>
      </c>
      <c r="D268" s="51" t="str">
        <f>EtalonRes!O76</f>
        <v>т</v>
      </c>
      <c r="E268" s="52">
        <f>EtalonRes!X76</f>
        <v>2.9999999999999997E-4</v>
      </c>
      <c r="F268" s="52"/>
      <c r="G268" s="52">
        <f>ROUND(EtalonRes!AG76*Source!I46, 7)</f>
        <v>7.4400000000000004E-3</v>
      </c>
      <c r="H268" s="53"/>
      <c r="I268" s="54"/>
      <c r="J268" s="53"/>
      <c r="K268" s="54"/>
      <c r="L268" s="53"/>
    </row>
    <row r="269" spans="1:82" ht="15" x14ac:dyDescent="0.2">
      <c r="A269" s="42"/>
      <c r="B269" s="42"/>
      <c r="C269" s="57" t="s">
        <v>530</v>
      </c>
      <c r="D269" s="43"/>
      <c r="E269" s="44"/>
      <c r="F269" s="44"/>
      <c r="G269" s="44"/>
      <c r="H269" s="46"/>
      <c r="I269" s="45"/>
      <c r="J269" s="46"/>
      <c r="K269" s="45"/>
      <c r="L269" s="46">
        <f>L266</f>
        <v>323.8</v>
      </c>
    </row>
    <row r="270" spans="1:82" ht="42.75" x14ac:dyDescent="0.2">
      <c r="A270" s="40" t="s">
        <v>581</v>
      </c>
      <c r="B270" s="42" t="str">
        <f>Source!F47</f>
        <v>01.7.06.03-1014</v>
      </c>
      <c r="C270" s="42" t="str">
        <f>Source!G47</f>
        <v>Полоса с самоклеящимся слоем и антиадгезионной пленкой, ширина 30 мм, высота 60 мм</v>
      </c>
      <c r="D270" s="43" t="str">
        <f>Source!H47</f>
        <v>10 м</v>
      </c>
      <c r="E270" s="44">
        <f>SmtRes!AT74</f>
        <v>0.1</v>
      </c>
      <c r="F270" s="44"/>
      <c r="G270" s="44">
        <f>Source!I47</f>
        <v>2.48</v>
      </c>
      <c r="H270" s="46">
        <f>Source!AL47+Source!AO47+Source!AM47+Source!AN47</f>
        <v>1451.81</v>
      </c>
      <c r="I270" s="45">
        <f>IF(Source!BC47&lt;&gt; 0, Source!BC47, 1)</f>
        <v>1.6</v>
      </c>
      <c r="J270" s="46">
        <f>ROUND(H270*I270, 2)</f>
        <v>2322.9</v>
      </c>
      <c r="K270" s="45"/>
      <c r="L270" s="46">
        <f>Source!P47</f>
        <v>5760.79</v>
      </c>
      <c r="AD270">
        <f>ROUND((Source!AT47/100)*((ROUND(ROUND(Source!AO47,2)*Source!I47, 2)+ROUND(ROUND(Source!AN47,2)*Source!I47, 2))), 2)</f>
        <v>0</v>
      </c>
      <c r="AE270">
        <f>ROUND((Source!AU47/100)*((ROUND(ROUND(Source!AO47,2)*Source!I47, 2)+ROUND(ROUND(Source!AN47,2)*Source!I47, 2))), 2)</f>
        <v>0</v>
      </c>
      <c r="AN270">
        <f>L270</f>
        <v>5760.79</v>
      </c>
      <c r="AW270">
        <f>L270</f>
        <v>5760.79</v>
      </c>
      <c r="AZ270">
        <f>Source!X47</f>
        <v>0</v>
      </c>
      <c r="BA270">
        <f>Source!Y47</f>
        <v>0</v>
      </c>
      <c r="CD270">
        <v>1</v>
      </c>
    </row>
    <row r="271" spans="1:82" ht="14.25" x14ac:dyDescent="0.2">
      <c r="A271" s="42"/>
      <c r="B271" s="42"/>
      <c r="C271" s="42" t="s">
        <v>532</v>
      </c>
      <c r="D271" s="43"/>
      <c r="E271" s="44"/>
      <c r="F271" s="44"/>
      <c r="G271" s="44"/>
      <c r="H271" s="46"/>
      <c r="I271" s="45"/>
      <c r="J271" s="46"/>
      <c r="K271" s="45"/>
      <c r="L271" s="46">
        <f>SUM(AR265:AR274)+SUM(AS265:AS274)+SUM(AT265:AT274)+SUM(AU265:AU274)+SUM(AV265:AV274)</f>
        <v>323.8</v>
      </c>
    </row>
    <row r="272" spans="1:82" ht="14.25" x14ac:dyDescent="0.2">
      <c r="A272" s="42"/>
      <c r="B272" s="42" t="s">
        <v>150</v>
      </c>
      <c r="C272" s="42" t="s">
        <v>582</v>
      </c>
      <c r="D272" s="43" t="s">
        <v>534</v>
      </c>
      <c r="E272" s="44">
        <f>Source!BZ46</f>
        <v>92</v>
      </c>
      <c r="F272" s="44"/>
      <c r="G272" s="44">
        <f>Source!AT46</f>
        <v>92</v>
      </c>
      <c r="H272" s="46"/>
      <c r="I272" s="45"/>
      <c r="J272" s="46"/>
      <c r="K272" s="45"/>
      <c r="L272" s="46">
        <f>SUM(AZ265:AZ274)</f>
        <v>297.89999999999998</v>
      </c>
    </row>
    <row r="273" spans="1:83" ht="14.25" x14ac:dyDescent="0.2">
      <c r="A273" s="50"/>
      <c r="B273" s="50" t="s">
        <v>151</v>
      </c>
      <c r="C273" s="50" t="s">
        <v>583</v>
      </c>
      <c r="D273" s="51" t="s">
        <v>534</v>
      </c>
      <c r="E273" s="52">
        <f>Source!CA46</f>
        <v>52</v>
      </c>
      <c r="F273" s="52"/>
      <c r="G273" s="52">
        <f>Source!AU46</f>
        <v>52</v>
      </c>
      <c r="H273" s="53"/>
      <c r="I273" s="54"/>
      <c r="J273" s="53"/>
      <c r="K273" s="54"/>
      <c r="L273" s="53">
        <f>SUM(BA265:BA274)</f>
        <v>168.38</v>
      </c>
    </row>
    <row r="274" spans="1:83" ht="15" x14ac:dyDescent="0.2">
      <c r="C274" s="99" t="s">
        <v>536</v>
      </c>
      <c r="D274" s="99"/>
      <c r="E274" s="99"/>
      <c r="F274" s="99"/>
      <c r="G274" s="99"/>
      <c r="H274" s="99"/>
      <c r="I274" s="100">
        <f>IF(E265&lt;&gt;0,K274/E265, 0)</f>
        <v>264.14798387096772</v>
      </c>
      <c r="J274" s="100"/>
      <c r="K274" s="100">
        <f>L266+L272+L273+SUM(L270:L270)</f>
        <v>6550.87</v>
      </c>
      <c r="L274" s="100"/>
      <c r="AD274">
        <f>ROUND((Source!AT46/100)*((ROUND(SUMIF(SmtRes!AQ73:'SmtRes'!AQ74,"=1",SmtRes!AD73:'SmtRes'!AD74)*Source!I46, 2)+ROUND(SUMIF(SmtRes!AQ73:'SmtRes'!AQ74,"=1",SmtRes!AC73:'SmtRes'!AC74)*Source!I46, 2))), 2)</f>
        <v>9929.75</v>
      </c>
      <c r="AE274">
        <f>ROUND((Source!AU46/100)*((ROUND(SUMIF(SmtRes!AQ73:'SmtRes'!AQ74,"=1",SmtRes!AD73:'SmtRes'!AD74)*Source!I46, 2)+ROUND(SUMIF(SmtRes!AQ73:'SmtRes'!AQ74,"=1",SmtRes!AC73:'SmtRes'!AC74)*Source!I46, 2))), 2)</f>
        <v>5612.47</v>
      </c>
      <c r="AN274" s="55">
        <f>L266+L272+L273</f>
        <v>790.08</v>
      </c>
      <c r="AO274">
        <f>0</f>
        <v>0</v>
      </c>
      <c r="AQ274" t="s">
        <v>537</v>
      </c>
      <c r="AR274" s="55">
        <f>L266</f>
        <v>323.8</v>
      </c>
      <c r="AT274">
        <f>0</f>
        <v>0</v>
      </c>
      <c r="AV274" t="s">
        <v>537</v>
      </c>
      <c r="AW274">
        <f>0</f>
        <v>0</v>
      </c>
      <c r="AZ274">
        <f>Source!X46</f>
        <v>297.89999999999998</v>
      </c>
      <c r="BA274">
        <f>Source!Y46</f>
        <v>168.38</v>
      </c>
      <c r="CD274">
        <v>1</v>
      </c>
    </row>
    <row r="275" spans="1:83" ht="42.75" x14ac:dyDescent="0.2">
      <c r="A275" s="40" t="s">
        <v>157</v>
      </c>
      <c r="B275" s="42" t="s">
        <v>584</v>
      </c>
      <c r="C275" s="42" t="str">
        <f>Source!G48</f>
        <v>Устройство покрытий из плиток поливинилхлоридных: размером 500х500 мм на клее</v>
      </c>
      <c r="D275" s="43" t="str">
        <f>Source!H48</f>
        <v>100 ШТ</v>
      </c>
      <c r="E275" s="44">
        <f>Source!K48</f>
        <v>0.1</v>
      </c>
      <c r="F275" s="44"/>
      <c r="G275" s="44">
        <f>Source!I48</f>
        <v>0.1</v>
      </c>
      <c r="H275" s="46"/>
      <c r="I275" s="45"/>
      <c r="J275" s="46"/>
      <c r="K275" s="45"/>
      <c r="L275" s="46"/>
    </row>
    <row r="276" spans="1:83" x14ac:dyDescent="0.2">
      <c r="C276" s="47" t="str">
        <f>"Объем: "&amp;Source!I48&amp;"=10/"&amp;"100"</f>
        <v>Объем: 0,1=10/100</v>
      </c>
    </row>
    <row r="277" spans="1:83" ht="15" x14ac:dyDescent="0.2">
      <c r="A277" s="41"/>
      <c r="B277" s="44">
        <v>1</v>
      </c>
      <c r="C277" s="41" t="s">
        <v>526</v>
      </c>
      <c r="D277" s="43" t="s">
        <v>357</v>
      </c>
      <c r="E277" s="48"/>
      <c r="F277" s="44"/>
      <c r="G277" s="44">
        <f>Source!U48</f>
        <v>0.74099999999999999</v>
      </c>
      <c r="H277" s="44"/>
      <c r="I277" s="44"/>
      <c r="J277" s="44"/>
      <c r="K277" s="44"/>
      <c r="L277" s="49">
        <f>SUM(L278:L278)-SUMIF(CE278:CE278, 1, L278:L278)</f>
        <v>279.94</v>
      </c>
    </row>
    <row r="278" spans="1:83" ht="14.25" x14ac:dyDescent="0.2">
      <c r="A278" s="42"/>
      <c r="B278" s="42" t="s">
        <v>433</v>
      </c>
      <c r="C278" s="42" t="s">
        <v>434</v>
      </c>
      <c r="D278" s="43" t="s">
        <v>357</v>
      </c>
      <c r="E278" s="44">
        <v>7.41</v>
      </c>
      <c r="F278" s="44"/>
      <c r="G278" s="44">
        <f>SmtRes!CX75</f>
        <v>0.74099999999999999</v>
      </c>
      <c r="H278" s="46"/>
      <c r="I278" s="45"/>
      <c r="J278" s="46">
        <f>SmtRes!CZ75</f>
        <v>377.79</v>
      </c>
      <c r="K278" s="45"/>
      <c r="L278" s="46">
        <f>SmtRes!DI75</f>
        <v>279.94</v>
      </c>
    </row>
    <row r="279" spans="1:83" ht="15" x14ac:dyDescent="0.2">
      <c r="A279" s="41"/>
      <c r="B279" s="44">
        <v>2</v>
      </c>
      <c r="C279" s="41" t="s">
        <v>527</v>
      </c>
      <c r="D279" s="43"/>
      <c r="E279" s="48"/>
      <c r="F279" s="44"/>
      <c r="G279" s="44"/>
      <c r="H279" s="44"/>
      <c r="I279" s="44"/>
      <c r="J279" s="44"/>
      <c r="K279" s="44"/>
      <c r="L279" s="49">
        <f>SUM(L280:L285)-SUMIF(CE280:CE285, 1, L280:L285)</f>
        <v>24.720000000000006</v>
      </c>
    </row>
    <row r="280" spans="1:83" ht="15" x14ac:dyDescent="0.2">
      <c r="A280" s="41"/>
      <c r="B280" s="44"/>
      <c r="C280" s="41" t="s">
        <v>529</v>
      </c>
      <c r="D280" s="43" t="s">
        <v>357</v>
      </c>
      <c r="E280" s="48"/>
      <c r="F280" s="44"/>
      <c r="G280" s="44">
        <f>Source!V48</f>
        <v>3.9E-2</v>
      </c>
      <c r="H280" s="44"/>
      <c r="I280" s="44"/>
      <c r="J280" s="44"/>
      <c r="K280" s="44"/>
      <c r="L280" s="49">
        <f>SUMIF(CE281:CE285, 1, L281:L285)</f>
        <v>15.57</v>
      </c>
      <c r="CE280">
        <v>1</v>
      </c>
    </row>
    <row r="281" spans="1:83" ht="42.75" x14ac:dyDescent="0.2">
      <c r="A281" s="42"/>
      <c r="B281" s="42" t="s">
        <v>360</v>
      </c>
      <c r="C281" s="42" t="s">
        <v>362</v>
      </c>
      <c r="D281" s="43" t="s">
        <v>363</v>
      </c>
      <c r="E281" s="44">
        <v>0.05</v>
      </c>
      <c r="F281" s="44"/>
      <c r="G281" s="44">
        <f>SmtRes!CX77</f>
        <v>5.0000000000000001E-3</v>
      </c>
      <c r="H281" s="46">
        <f>SmtRes!CZ77</f>
        <v>37.32</v>
      </c>
      <c r="I281" s="45">
        <f>SmtRes!AJ77</f>
        <v>1.63</v>
      </c>
      <c r="J281" s="46">
        <f>ROUND(H281*I281, 2)</f>
        <v>60.83</v>
      </c>
      <c r="K281" s="45"/>
      <c r="L281" s="46">
        <f>SmtRes!DG77</f>
        <v>0.3</v>
      </c>
    </row>
    <row r="282" spans="1:83" ht="28.5" x14ac:dyDescent="0.2">
      <c r="A282" s="42"/>
      <c r="B282" s="42" t="s">
        <v>364</v>
      </c>
      <c r="C282" s="42" t="s">
        <v>528</v>
      </c>
      <c r="D282" s="43" t="s">
        <v>357</v>
      </c>
      <c r="E282" s="44">
        <f>SmtRes!DO77*SmtRes!AT77</f>
        <v>0.05</v>
      </c>
      <c r="F282" s="44"/>
      <c r="G282" s="44">
        <f>ROUND(E282*G275, 7)</f>
        <v>5.0000000000000001E-3</v>
      </c>
      <c r="H282" s="46"/>
      <c r="I282" s="45"/>
      <c r="J282" s="46">
        <f>ROUND(SmtRes!AG77/SmtRes!DO77, 2)</f>
        <v>359.65</v>
      </c>
      <c r="K282" s="45"/>
      <c r="L282" s="46">
        <f>SmtRes!DH77</f>
        <v>1.8</v>
      </c>
      <c r="CE282">
        <v>1</v>
      </c>
    </row>
    <row r="283" spans="1:83" ht="28.5" x14ac:dyDescent="0.2">
      <c r="A283" s="42"/>
      <c r="B283" s="42" t="s">
        <v>382</v>
      </c>
      <c r="C283" s="42" t="s">
        <v>384</v>
      </c>
      <c r="D283" s="43" t="s">
        <v>363</v>
      </c>
      <c r="E283" s="44">
        <v>0.34</v>
      </c>
      <c r="F283" s="44"/>
      <c r="G283" s="44">
        <f>SmtRes!CX78</f>
        <v>3.4000000000000002E-2</v>
      </c>
      <c r="H283" s="46"/>
      <c r="I283" s="45"/>
      <c r="J283" s="46">
        <f>SmtRes!CZ78</f>
        <v>680.75</v>
      </c>
      <c r="K283" s="45"/>
      <c r="L283" s="46">
        <f>SmtRes!DG78</f>
        <v>23.15</v>
      </c>
    </row>
    <row r="284" spans="1:83" ht="28.5" x14ac:dyDescent="0.2">
      <c r="A284" s="42"/>
      <c r="B284" s="42" t="s">
        <v>385</v>
      </c>
      <c r="C284" s="42" t="s">
        <v>544</v>
      </c>
      <c r="D284" s="43" t="s">
        <v>357</v>
      </c>
      <c r="E284" s="44">
        <f>SmtRes!DO78*SmtRes!AT78</f>
        <v>0.34</v>
      </c>
      <c r="F284" s="44"/>
      <c r="G284" s="44">
        <f>ROUND(E284*G275, 7)</f>
        <v>3.4000000000000002E-2</v>
      </c>
      <c r="H284" s="46"/>
      <c r="I284" s="45"/>
      <c r="J284" s="46">
        <f>ROUND(SmtRes!AG78/SmtRes!DO78, 2)</f>
        <v>404.99</v>
      </c>
      <c r="K284" s="45"/>
      <c r="L284" s="46">
        <f>SmtRes!DH78</f>
        <v>13.77</v>
      </c>
      <c r="CE284">
        <v>1</v>
      </c>
    </row>
    <row r="285" spans="1:83" ht="28.5" x14ac:dyDescent="0.2">
      <c r="A285" s="42"/>
      <c r="B285" s="42" t="s">
        <v>435</v>
      </c>
      <c r="C285" s="42" t="s">
        <v>437</v>
      </c>
      <c r="D285" s="43" t="s">
        <v>363</v>
      </c>
      <c r="E285" s="44">
        <v>1.25</v>
      </c>
      <c r="F285" s="44"/>
      <c r="G285" s="44">
        <f>SmtRes!CX79</f>
        <v>0.125</v>
      </c>
      <c r="H285" s="46">
        <f>SmtRes!CZ79</f>
        <v>6.36</v>
      </c>
      <c r="I285" s="45">
        <f>SmtRes!AJ79</f>
        <v>1.6</v>
      </c>
      <c r="J285" s="46">
        <f>ROUND(H285*I285, 2)</f>
        <v>10.18</v>
      </c>
      <c r="K285" s="45"/>
      <c r="L285" s="46">
        <f>SmtRes!DG79</f>
        <v>1.27</v>
      </c>
    </row>
    <row r="286" spans="1:83" ht="28.5" x14ac:dyDescent="0.2">
      <c r="A286" s="42"/>
      <c r="B286" s="42" t="str">
        <f>EtalonRes!I82</f>
        <v>01.6.03.01</v>
      </c>
      <c r="C286" s="42" t="str">
        <f>EtalonRes!K82</f>
        <v>Плитка тактильная поливинилхлоридная</v>
      </c>
      <c r="D286" s="43" t="str">
        <f>EtalonRes!O82</f>
        <v>м2</v>
      </c>
      <c r="E286" s="44">
        <f>EtalonRes!X82</f>
        <v>25.38</v>
      </c>
      <c r="F286" s="44"/>
      <c r="G286" s="44">
        <f>ROUND(EtalonRes!AG82*Source!I48, 7)</f>
        <v>2.5379999999999998</v>
      </c>
      <c r="H286" s="46"/>
      <c r="I286" s="45"/>
      <c r="J286" s="46"/>
      <c r="K286" s="45"/>
      <c r="L286" s="46"/>
    </row>
    <row r="287" spans="1:83" ht="14.25" x14ac:dyDescent="0.2">
      <c r="A287" s="42"/>
      <c r="B287" s="42" t="str">
        <f>EtalonRes!I83</f>
        <v>14.1.02.04</v>
      </c>
      <c r="C287" s="42" t="str">
        <f>EtalonRes!K83</f>
        <v>Состав клеящий</v>
      </c>
      <c r="D287" s="43" t="str">
        <f>EtalonRes!O83</f>
        <v>кг</v>
      </c>
      <c r="E287" s="44">
        <f>EtalonRes!X83</f>
        <v>8</v>
      </c>
      <c r="F287" s="44"/>
      <c r="G287" s="44">
        <f>ROUND(EtalonRes!AG83*Source!I48, 7)</f>
        <v>0.8</v>
      </c>
      <c r="H287" s="46"/>
      <c r="I287" s="45"/>
      <c r="J287" s="46"/>
      <c r="K287" s="45"/>
      <c r="L287" s="46"/>
    </row>
    <row r="288" spans="1:83" ht="14.25" x14ac:dyDescent="0.2">
      <c r="A288" s="42"/>
      <c r="B288" s="42" t="str">
        <f>EtalonRes!I84</f>
        <v>14.4.01.02</v>
      </c>
      <c r="C288" s="50" t="str">
        <f>EtalonRes!K84</f>
        <v>Грунтовки на акриловой основе</v>
      </c>
      <c r="D288" s="51" t="str">
        <f>EtalonRes!O84</f>
        <v>кг</v>
      </c>
      <c r="E288" s="52">
        <f>EtalonRes!X84</f>
        <v>2.5</v>
      </c>
      <c r="F288" s="52"/>
      <c r="G288" s="52">
        <f>ROUND(EtalonRes!AG84*Source!I48, 7)</f>
        <v>0.25</v>
      </c>
      <c r="H288" s="53"/>
      <c r="I288" s="54"/>
      <c r="J288" s="53"/>
      <c r="K288" s="54"/>
      <c r="L288" s="53"/>
    </row>
    <row r="289" spans="1:82" ht="15" x14ac:dyDescent="0.2">
      <c r="A289" s="42"/>
      <c r="B289" s="42"/>
      <c r="C289" s="57" t="s">
        <v>530</v>
      </c>
      <c r="D289" s="43"/>
      <c r="E289" s="44"/>
      <c r="F289" s="44"/>
      <c r="G289" s="44"/>
      <c r="H289" s="46"/>
      <c r="I289" s="45"/>
      <c r="J289" s="46"/>
      <c r="K289" s="45"/>
      <c r="L289" s="46">
        <f>L277+L279+L280</f>
        <v>320.23</v>
      </c>
    </row>
    <row r="290" spans="1:82" ht="28.5" x14ac:dyDescent="0.2">
      <c r="A290" s="40" t="s">
        <v>585</v>
      </c>
      <c r="B290" s="42" t="str">
        <f>Source!F49</f>
        <v>01.6.03.01-1000</v>
      </c>
      <c r="C290" s="42" t="str">
        <f>Source!G49</f>
        <v>Плитки из ПВХ, размеры 500х500 мм, толщина 5 мм</v>
      </c>
      <c r="D290" s="43" t="str">
        <f>Source!H49</f>
        <v>м2</v>
      </c>
      <c r="E290" s="44">
        <f>SmtRes!AT80</f>
        <v>25</v>
      </c>
      <c r="F290" s="44"/>
      <c r="G290" s="44">
        <f>Source!I49</f>
        <v>2.5</v>
      </c>
      <c r="H290" s="46">
        <f>Source!AL49+Source!AO49+Source!AM49+Source!AN49</f>
        <v>1373.39</v>
      </c>
      <c r="I290" s="45">
        <f>IF(Source!BC49&lt;&gt; 0, Source!BC49, 1)</f>
        <v>1.19</v>
      </c>
      <c r="J290" s="46">
        <f>ROUND(H290*I290, 2)</f>
        <v>1634.33</v>
      </c>
      <c r="K290" s="45"/>
      <c r="L290" s="46">
        <f>Source!P49</f>
        <v>4085.83</v>
      </c>
      <c r="AD290">
        <f>ROUND((Source!AT49/100)*((ROUND(ROUND(Source!AO49,2)*Source!I49, 2)+ROUND(ROUND(Source!AN49,2)*Source!I49, 2))), 2)</f>
        <v>0</v>
      </c>
      <c r="AE290">
        <f>ROUND((Source!AU49/100)*((ROUND(ROUND(Source!AO49,2)*Source!I49, 2)+ROUND(ROUND(Source!AN49,2)*Source!I49, 2))), 2)</f>
        <v>0</v>
      </c>
      <c r="AN290">
        <f>L290</f>
        <v>4085.83</v>
      </c>
      <c r="AW290">
        <f>L290</f>
        <v>4085.83</v>
      </c>
      <c r="AZ290">
        <f>Source!X49</f>
        <v>0</v>
      </c>
      <c r="BA290">
        <f>Source!Y49</f>
        <v>0</v>
      </c>
      <c r="CD290">
        <v>1</v>
      </c>
    </row>
    <row r="291" spans="1:82" ht="14.25" x14ac:dyDescent="0.2">
      <c r="A291" s="40" t="s">
        <v>586</v>
      </c>
      <c r="B291" s="42" t="str">
        <f>Source!F50</f>
        <v>14.1.02.04-0102</v>
      </c>
      <c r="C291" s="42" t="str">
        <f>Source!G50</f>
        <v>Клей для укладки ПВХ-покрытий</v>
      </c>
      <c r="D291" s="43" t="str">
        <f>Source!H50</f>
        <v>кг</v>
      </c>
      <c r="E291" s="44">
        <f>SmtRes!AT81</f>
        <v>8</v>
      </c>
      <c r="F291" s="44"/>
      <c r="G291" s="44">
        <f>Source!I50</f>
        <v>0.8</v>
      </c>
      <c r="H291" s="46">
        <f>Source!AL50+Source!AO50+Source!AM50+Source!AN50</f>
        <v>223.54</v>
      </c>
      <c r="I291" s="45">
        <f>IF(Source!BC50&lt;&gt; 0, Source!BC50, 1)</f>
        <v>1.56</v>
      </c>
      <c r="J291" s="46">
        <f>ROUND(H291*I291, 2)</f>
        <v>348.72</v>
      </c>
      <c r="K291" s="45"/>
      <c r="L291" s="46">
        <f>Source!P50</f>
        <v>278.98</v>
      </c>
      <c r="AD291">
        <f>ROUND((Source!AT50/100)*((ROUND(ROUND(Source!AO50,2)*Source!I50, 2)+ROUND(ROUND(Source!AN50,2)*Source!I50, 2))), 2)</f>
        <v>0</v>
      </c>
      <c r="AE291">
        <f>ROUND((Source!AU50/100)*((ROUND(ROUND(Source!AO50,2)*Source!I50, 2)+ROUND(ROUND(Source!AN50,2)*Source!I50, 2))), 2)</f>
        <v>0</v>
      </c>
      <c r="AN291">
        <f>L291</f>
        <v>278.98</v>
      </c>
      <c r="AW291">
        <f>L291</f>
        <v>278.98</v>
      </c>
      <c r="AZ291">
        <f>Source!X50</f>
        <v>0</v>
      </c>
      <c r="BA291">
        <f>Source!Y50</f>
        <v>0</v>
      </c>
      <c r="CD291">
        <v>1</v>
      </c>
    </row>
    <row r="292" spans="1:82" ht="14.25" x14ac:dyDescent="0.2">
      <c r="A292" s="40" t="s">
        <v>587</v>
      </c>
      <c r="B292" s="42" t="str">
        <f>Source!F51</f>
        <v>14.4.01.02-0212</v>
      </c>
      <c r="C292" s="42" t="str">
        <f>Source!G51</f>
        <v>Грунтовка акриловая АК-070</v>
      </c>
      <c r="D292" s="43" t="str">
        <f>Source!H51</f>
        <v>т</v>
      </c>
      <c r="E292" s="44">
        <f>SmtRes!AT82</f>
        <v>2.5000000000000001E-3</v>
      </c>
      <c r="F292" s="44"/>
      <c r="G292" s="44">
        <f>Source!I51</f>
        <v>2.5000000000000001E-4</v>
      </c>
      <c r="H292" s="46">
        <f>Source!AL51+Source!AO51+Source!AM51+Source!AN51</f>
        <v>178871.85</v>
      </c>
      <c r="I292" s="45">
        <f>IF(Source!BC51&lt;&gt; 0, Source!BC51, 1)</f>
        <v>1.37</v>
      </c>
      <c r="J292" s="46">
        <f>ROUND(H292*I292, 2)</f>
        <v>245054.43</v>
      </c>
      <c r="K292" s="45"/>
      <c r="L292" s="46">
        <f>Source!P51</f>
        <v>61.26</v>
      </c>
      <c r="AD292">
        <f>ROUND((Source!AT51/100)*((ROUND(ROUND(Source!AO51,2)*Source!I51, 2)+ROUND(ROUND(Source!AN51,2)*Source!I51, 2))), 2)</f>
        <v>0</v>
      </c>
      <c r="AE292">
        <f>ROUND((Source!AU51/100)*((ROUND(ROUND(Source!AO51,2)*Source!I51, 2)+ROUND(ROUND(Source!AN51,2)*Source!I51, 2))), 2)</f>
        <v>0</v>
      </c>
      <c r="AN292">
        <f>L292</f>
        <v>61.26</v>
      </c>
      <c r="AW292">
        <f>L292</f>
        <v>61.26</v>
      </c>
      <c r="AZ292">
        <f>Source!X51</f>
        <v>0</v>
      </c>
      <c r="BA292">
        <f>Source!Y51</f>
        <v>0</v>
      </c>
      <c r="CD292">
        <v>1</v>
      </c>
    </row>
    <row r="293" spans="1:82" ht="14.25" x14ac:dyDescent="0.2">
      <c r="A293" s="42"/>
      <c r="B293" s="42"/>
      <c r="C293" s="42" t="s">
        <v>532</v>
      </c>
      <c r="D293" s="43"/>
      <c r="E293" s="44"/>
      <c r="F293" s="44"/>
      <c r="G293" s="44"/>
      <c r="H293" s="46"/>
      <c r="I293" s="45"/>
      <c r="J293" s="46"/>
      <c r="K293" s="45"/>
      <c r="L293" s="46">
        <f>SUM(AR275:AR296)+SUM(AS275:AS296)+SUM(AT275:AT296)+SUM(AU275:AU296)+SUM(AV275:AV296)</f>
        <v>295.51</v>
      </c>
    </row>
    <row r="294" spans="1:82" ht="14.25" x14ac:dyDescent="0.2">
      <c r="A294" s="42"/>
      <c r="B294" s="42" t="s">
        <v>64</v>
      </c>
      <c r="C294" s="42" t="s">
        <v>533</v>
      </c>
      <c r="D294" s="43" t="s">
        <v>534</v>
      </c>
      <c r="E294" s="44">
        <f>Source!BZ48</f>
        <v>112</v>
      </c>
      <c r="F294" s="44"/>
      <c r="G294" s="44">
        <f>Source!AT48</f>
        <v>112</v>
      </c>
      <c r="H294" s="46"/>
      <c r="I294" s="45"/>
      <c r="J294" s="46"/>
      <c r="K294" s="45"/>
      <c r="L294" s="46">
        <f>SUM(AZ275:AZ296)</f>
        <v>330.97</v>
      </c>
    </row>
    <row r="295" spans="1:82" ht="14.25" x14ac:dyDescent="0.2">
      <c r="A295" s="50"/>
      <c r="B295" s="50" t="s">
        <v>65</v>
      </c>
      <c r="C295" s="50" t="s">
        <v>535</v>
      </c>
      <c r="D295" s="51" t="s">
        <v>534</v>
      </c>
      <c r="E295" s="52">
        <f>Source!CA48</f>
        <v>65</v>
      </c>
      <c r="F295" s="52"/>
      <c r="G295" s="52">
        <f>Source!AU48</f>
        <v>65</v>
      </c>
      <c r="H295" s="53"/>
      <c r="I295" s="54"/>
      <c r="J295" s="53"/>
      <c r="K295" s="54"/>
      <c r="L295" s="53">
        <f>SUM(BA275:BA296)</f>
        <v>192.08</v>
      </c>
    </row>
    <row r="296" spans="1:82" ht="15" x14ac:dyDescent="0.2">
      <c r="C296" s="99" t="s">
        <v>536</v>
      </c>
      <c r="D296" s="99"/>
      <c r="E296" s="99"/>
      <c r="F296" s="99"/>
      <c r="G296" s="99"/>
      <c r="H296" s="99"/>
      <c r="I296" s="100">
        <f>IF(E275&lt;&gt;0,K296/E275, 0)</f>
        <v>52693.5</v>
      </c>
      <c r="J296" s="100"/>
      <c r="K296" s="100">
        <f>L277+L279+L294+L295+L280+SUM(L290:L292)</f>
        <v>5269.35</v>
      </c>
      <c r="L296" s="100"/>
      <c r="AD296">
        <f>ROUND((Source!AT48/100)*((ROUND(SUMIF(SmtRes!AQ75:'SmtRes'!AQ82,"=1",SmtRes!AD75:'SmtRes'!AD82)*Source!I48, 2)+ROUND(SUMIF(SmtRes!AQ75:'SmtRes'!AQ82,"=1",SmtRes!AC75:'SmtRes'!AC82)*Source!I48, 2))), 2)</f>
        <v>127.95</v>
      </c>
      <c r="AE296">
        <f>ROUND((Source!AU48/100)*((ROUND(SUMIF(SmtRes!AQ75:'SmtRes'!AQ82,"=1",SmtRes!AD75:'SmtRes'!AD82)*Source!I48, 2)+ROUND(SUMIF(SmtRes!AQ75:'SmtRes'!AQ82,"=1",SmtRes!AC75:'SmtRes'!AC82)*Source!I48, 2))), 2)</f>
        <v>74.260000000000005</v>
      </c>
      <c r="AN296" s="55">
        <f>L277+L279+L294+L295+L280</f>
        <v>843.2800000000002</v>
      </c>
      <c r="AO296" s="55">
        <f>L279</f>
        <v>24.720000000000006</v>
      </c>
      <c r="AQ296" t="s">
        <v>537</v>
      </c>
      <c r="AR296" s="55">
        <f>L277</f>
        <v>279.94</v>
      </c>
      <c r="AT296" s="55">
        <f>L280</f>
        <v>15.57</v>
      </c>
      <c r="AV296" t="s">
        <v>537</v>
      </c>
      <c r="AW296">
        <f>0</f>
        <v>0</v>
      </c>
      <c r="AZ296">
        <f>Source!X48</f>
        <v>330.97</v>
      </c>
      <c r="BA296">
        <f>Source!Y48</f>
        <v>192.08</v>
      </c>
      <c r="CD296">
        <v>1</v>
      </c>
    </row>
    <row r="297" spans="1:82" ht="28.5" x14ac:dyDescent="0.2">
      <c r="A297" s="40" t="s">
        <v>174</v>
      </c>
      <c r="B297" s="42" t="s">
        <v>588</v>
      </c>
      <c r="C297" s="42" t="str">
        <f>Source!G52</f>
        <v>Очистка вручную поверхности стен от перхлорвиниловых и масляных красок</v>
      </c>
      <c r="D297" s="43" t="str">
        <f>Source!H52</f>
        <v>100 м2</v>
      </c>
      <c r="E297" s="44">
        <f>Source!K52</f>
        <v>0.3</v>
      </c>
      <c r="F297" s="44"/>
      <c r="G297" s="44">
        <f>Source!I52</f>
        <v>0.3</v>
      </c>
      <c r="H297" s="46"/>
      <c r="I297" s="45"/>
      <c r="J297" s="46"/>
      <c r="K297" s="45"/>
      <c r="L297" s="46"/>
    </row>
    <row r="298" spans="1:82" x14ac:dyDescent="0.2">
      <c r="C298" s="47" t="str">
        <f>"Объем: "&amp;Source!I52&amp;"=30/"&amp;"100"</f>
        <v>Объем: 0,3=30/100</v>
      </c>
    </row>
    <row r="299" spans="1:82" ht="15" x14ac:dyDescent="0.2">
      <c r="A299" s="41"/>
      <c r="B299" s="44">
        <v>1</v>
      </c>
      <c r="C299" s="41" t="s">
        <v>526</v>
      </c>
      <c r="D299" s="43" t="s">
        <v>357</v>
      </c>
      <c r="E299" s="48"/>
      <c r="F299" s="44"/>
      <c r="G299" s="44">
        <f>Source!U52</f>
        <v>7.71</v>
      </c>
      <c r="H299" s="44"/>
      <c r="I299" s="44"/>
      <c r="J299" s="44"/>
      <c r="K299" s="44"/>
      <c r="L299" s="49">
        <f>SUM(L300:L300)-SUMIF(CE300:CE300, 1, L300:L300)</f>
        <v>2539.91</v>
      </c>
    </row>
    <row r="300" spans="1:82" ht="14.25" x14ac:dyDescent="0.2">
      <c r="A300" s="42"/>
      <c r="B300" s="42" t="s">
        <v>373</v>
      </c>
      <c r="C300" s="50" t="s">
        <v>374</v>
      </c>
      <c r="D300" s="51" t="s">
        <v>357</v>
      </c>
      <c r="E300" s="52">
        <v>25.7</v>
      </c>
      <c r="F300" s="52"/>
      <c r="G300" s="52">
        <f>SmtRes!CX83</f>
        <v>7.71</v>
      </c>
      <c r="H300" s="53"/>
      <c r="I300" s="54"/>
      <c r="J300" s="53">
        <f>SmtRes!CZ83</f>
        <v>329.43</v>
      </c>
      <c r="K300" s="54"/>
      <c r="L300" s="53">
        <f>SmtRes!DI83</f>
        <v>2539.91</v>
      </c>
    </row>
    <row r="301" spans="1:82" ht="15" x14ac:dyDescent="0.2">
      <c r="A301" s="42"/>
      <c r="B301" s="42"/>
      <c r="C301" s="57" t="s">
        <v>530</v>
      </c>
      <c r="D301" s="43"/>
      <c r="E301" s="44"/>
      <c r="F301" s="44"/>
      <c r="G301" s="44"/>
      <c r="H301" s="46"/>
      <c r="I301" s="45"/>
      <c r="J301" s="46"/>
      <c r="K301" s="45"/>
      <c r="L301" s="46">
        <f>L299</f>
        <v>2539.91</v>
      </c>
    </row>
    <row r="302" spans="1:82" ht="14.25" x14ac:dyDescent="0.2">
      <c r="A302" s="42"/>
      <c r="B302" s="42"/>
      <c r="C302" s="42" t="s">
        <v>532</v>
      </c>
      <c r="D302" s="43"/>
      <c r="E302" s="44"/>
      <c r="F302" s="44"/>
      <c r="G302" s="44"/>
      <c r="H302" s="46"/>
      <c r="I302" s="45"/>
      <c r="J302" s="46"/>
      <c r="K302" s="45"/>
      <c r="L302" s="46">
        <f>SUM(AR297:AR305)+SUM(AS297:AS305)+SUM(AT297:AT305)+SUM(AU297:AU305)+SUM(AV297:AV305)</f>
        <v>2539.91</v>
      </c>
    </row>
    <row r="303" spans="1:82" ht="14.25" x14ac:dyDescent="0.2">
      <c r="A303" s="42"/>
      <c r="B303" s="42" t="s">
        <v>180</v>
      </c>
      <c r="C303" s="42" t="s">
        <v>589</v>
      </c>
      <c r="D303" s="43" t="s">
        <v>534</v>
      </c>
      <c r="E303" s="44">
        <f>Source!BZ52</f>
        <v>90</v>
      </c>
      <c r="F303" s="44"/>
      <c r="G303" s="44">
        <f>Source!AT52</f>
        <v>90</v>
      </c>
      <c r="H303" s="46"/>
      <c r="I303" s="45"/>
      <c r="J303" s="46"/>
      <c r="K303" s="45"/>
      <c r="L303" s="46">
        <f>SUM(AZ297:AZ305)</f>
        <v>2285.92</v>
      </c>
    </row>
    <row r="304" spans="1:82" ht="14.25" x14ac:dyDescent="0.2">
      <c r="A304" s="50"/>
      <c r="B304" s="50" t="s">
        <v>181</v>
      </c>
      <c r="C304" s="50" t="s">
        <v>590</v>
      </c>
      <c r="D304" s="51" t="s">
        <v>534</v>
      </c>
      <c r="E304" s="52">
        <f>Source!CA52</f>
        <v>46</v>
      </c>
      <c r="F304" s="52"/>
      <c r="G304" s="52">
        <f>Source!AU52</f>
        <v>46</v>
      </c>
      <c r="H304" s="53"/>
      <c r="I304" s="54"/>
      <c r="J304" s="53"/>
      <c r="K304" s="54"/>
      <c r="L304" s="53">
        <f>SUM(BA297:BA305)</f>
        <v>1168.3599999999999</v>
      </c>
    </row>
    <row r="305" spans="1:101" ht="15" x14ac:dyDescent="0.2">
      <c r="C305" s="99" t="s">
        <v>536</v>
      </c>
      <c r="D305" s="99"/>
      <c r="E305" s="99"/>
      <c r="F305" s="99"/>
      <c r="G305" s="99"/>
      <c r="H305" s="99"/>
      <c r="I305" s="100">
        <f>IF(E297&lt;&gt;0,K305/E297, 0)</f>
        <v>19980.633333333331</v>
      </c>
      <c r="J305" s="100"/>
      <c r="K305" s="100">
        <f>L299+L303+L304</f>
        <v>5994.19</v>
      </c>
      <c r="L305" s="100"/>
      <c r="AD305">
        <f>ROUND((Source!AT52/100)*((ROUND(SUMIF(SmtRes!AQ83:'SmtRes'!AQ83,"=1",SmtRes!AD83:'SmtRes'!AD83)*Source!I52, 2)+ROUND(SUMIF(SmtRes!AQ83:'SmtRes'!AQ83,"=1",SmtRes!AC83:'SmtRes'!AC83)*Source!I52, 2))), 2)</f>
        <v>88.95</v>
      </c>
      <c r="AE305">
        <f>ROUND((Source!AU52/100)*((ROUND(SUMIF(SmtRes!AQ83:'SmtRes'!AQ83,"=1",SmtRes!AD83:'SmtRes'!AD83)*Source!I52, 2)+ROUND(SUMIF(SmtRes!AQ83:'SmtRes'!AQ83,"=1",SmtRes!AC83:'SmtRes'!AC83)*Source!I52, 2))), 2)</f>
        <v>45.46</v>
      </c>
      <c r="AN305" s="55">
        <f>L299+L303+L304</f>
        <v>5994.19</v>
      </c>
      <c r="AO305">
        <f>0</f>
        <v>0</v>
      </c>
      <c r="AQ305" t="s">
        <v>537</v>
      </c>
      <c r="AR305" s="55">
        <f>L299</f>
        <v>2539.91</v>
      </c>
      <c r="AT305">
        <f>0</f>
        <v>0</v>
      </c>
      <c r="AV305" t="s">
        <v>537</v>
      </c>
      <c r="AW305">
        <f>0</f>
        <v>0</v>
      </c>
      <c r="AZ305">
        <f>Source!X52</f>
        <v>2285.92</v>
      </c>
      <c r="BA305">
        <f>Source!Y52</f>
        <v>1168.3599999999999</v>
      </c>
      <c r="CD305">
        <v>1</v>
      </c>
    </row>
    <row r="306" spans="1:101" ht="28.5" x14ac:dyDescent="0.2">
      <c r="A306" s="40" t="s">
        <v>182</v>
      </c>
      <c r="B306" s="42" t="s">
        <v>591</v>
      </c>
      <c r="C306" s="42" t="str">
        <f>Source!G53</f>
        <v>Покрытие поверхностей грунтовкой глубокого проникновения: за 1 раз стен</v>
      </c>
      <c r="D306" s="43" t="str">
        <f>Source!H53</f>
        <v>100 м2</v>
      </c>
      <c r="E306" s="44">
        <f>Source!K53</f>
        <v>0.3</v>
      </c>
      <c r="F306" s="44"/>
      <c r="G306" s="44">
        <f>Source!I53</f>
        <v>0.3</v>
      </c>
      <c r="H306" s="46"/>
      <c r="I306" s="45"/>
      <c r="J306" s="46"/>
      <c r="K306" s="45"/>
      <c r="L306" s="46"/>
    </row>
    <row r="307" spans="1:101" ht="51" x14ac:dyDescent="0.2">
      <c r="B307" s="59" t="s">
        <v>474</v>
      </c>
      <c r="C307" s="113" t="s">
        <v>542</v>
      </c>
      <c r="D307" s="113"/>
      <c r="E307" s="113"/>
      <c r="F307" s="113"/>
      <c r="G307" s="113"/>
      <c r="H307" s="113"/>
      <c r="I307" s="113"/>
      <c r="J307" s="113"/>
      <c r="K307" s="113"/>
      <c r="L307" s="113"/>
      <c r="CW307" s="60" t="s">
        <v>542</v>
      </c>
    </row>
    <row r="308" spans="1:101" x14ac:dyDescent="0.2">
      <c r="C308" s="47" t="str">
        <f>"Объем: "&amp;Source!I53&amp;"=30/"&amp;"100"</f>
        <v>Объем: 0,3=30/100</v>
      </c>
    </row>
    <row r="309" spans="1:101" ht="15" x14ac:dyDescent="0.2">
      <c r="A309" s="41"/>
      <c r="B309" s="44">
        <v>1</v>
      </c>
      <c r="C309" s="41" t="s">
        <v>526</v>
      </c>
      <c r="D309" s="43" t="s">
        <v>357</v>
      </c>
      <c r="E309" s="48"/>
      <c r="F309" s="44"/>
      <c r="G309" s="44">
        <f>Source!U53</f>
        <v>1.60425</v>
      </c>
      <c r="H309" s="44"/>
      <c r="I309" s="44"/>
      <c r="J309" s="44"/>
      <c r="K309" s="44"/>
      <c r="L309" s="49">
        <f>SUM(L310:L310)-SUMIF(CE310:CE310, 1, L310:L310)</f>
        <v>649.71</v>
      </c>
    </row>
    <row r="310" spans="1:101" ht="14.25" x14ac:dyDescent="0.2">
      <c r="A310" s="42"/>
      <c r="B310" s="42" t="s">
        <v>418</v>
      </c>
      <c r="C310" s="42" t="s">
        <v>419</v>
      </c>
      <c r="D310" s="43" t="s">
        <v>357</v>
      </c>
      <c r="E310" s="44">
        <v>4.6500000000000004</v>
      </c>
      <c r="F310" s="44">
        <f>ROUND(1.15,7)</f>
        <v>1.1499999999999999</v>
      </c>
      <c r="G310" s="44">
        <f>SmtRes!CX84</f>
        <v>1.60425</v>
      </c>
      <c r="H310" s="46"/>
      <c r="I310" s="45"/>
      <c r="J310" s="46">
        <f>SmtRes!CZ84</f>
        <v>404.99</v>
      </c>
      <c r="K310" s="45"/>
      <c r="L310" s="46">
        <f>SmtRes!DI84</f>
        <v>649.71</v>
      </c>
    </row>
    <row r="311" spans="1:101" ht="15" x14ac:dyDescent="0.2">
      <c r="A311" s="41"/>
      <c r="B311" s="44">
        <v>2</v>
      </c>
      <c r="C311" s="41" t="s">
        <v>527</v>
      </c>
      <c r="D311" s="43"/>
      <c r="E311" s="48"/>
      <c r="F311" s="44"/>
      <c r="G311" s="44"/>
      <c r="H311" s="44"/>
      <c r="I311" s="44"/>
      <c r="J311" s="44"/>
      <c r="K311" s="44"/>
      <c r="L311" s="49">
        <f>SUM(L312:L316)-SUMIF(CE312:CE316, 1, L312:L316)</f>
        <v>2.7799999999999994</v>
      </c>
    </row>
    <row r="312" spans="1:101" ht="15" x14ac:dyDescent="0.2">
      <c r="A312" s="41"/>
      <c r="B312" s="44"/>
      <c r="C312" s="41" t="s">
        <v>529</v>
      </c>
      <c r="D312" s="43" t="s">
        <v>357</v>
      </c>
      <c r="E312" s="48"/>
      <c r="F312" s="44"/>
      <c r="G312" s="44">
        <f>Source!V53</f>
        <v>7.4999999999999997E-3</v>
      </c>
      <c r="H312" s="44"/>
      <c r="I312" s="44"/>
      <c r="J312" s="44"/>
      <c r="K312" s="44"/>
      <c r="L312" s="49">
        <f>SUMIF(CE313:CE316, 1, L313:L316)</f>
        <v>2.87</v>
      </c>
      <c r="CE312">
        <v>1</v>
      </c>
    </row>
    <row r="313" spans="1:101" ht="42.75" x14ac:dyDescent="0.2">
      <c r="A313" s="42"/>
      <c r="B313" s="42" t="s">
        <v>360</v>
      </c>
      <c r="C313" s="42" t="s">
        <v>362</v>
      </c>
      <c r="D313" s="43" t="s">
        <v>363</v>
      </c>
      <c r="E313" s="44">
        <v>0.01</v>
      </c>
      <c r="F313" s="44">
        <f>ROUND(1.25,7)</f>
        <v>1.25</v>
      </c>
      <c r="G313" s="44">
        <f>SmtRes!CX86</f>
        <v>3.7499999999999999E-3</v>
      </c>
      <c r="H313" s="46">
        <f>SmtRes!CZ86</f>
        <v>37.32</v>
      </c>
      <c r="I313" s="45">
        <f>SmtRes!AJ86</f>
        <v>1.63</v>
      </c>
      <c r="J313" s="46">
        <f>ROUND(H313*I313, 2)</f>
        <v>60.83</v>
      </c>
      <c r="K313" s="45"/>
      <c r="L313" s="46">
        <f>SmtRes!DG86</f>
        <v>0.23</v>
      </c>
    </row>
    <row r="314" spans="1:101" ht="28.5" x14ac:dyDescent="0.2">
      <c r="A314" s="42"/>
      <c r="B314" s="42" t="s">
        <v>364</v>
      </c>
      <c r="C314" s="42" t="s">
        <v>528</v>
      </c>
      <c r="D314" s="43" t="s">
        <v>357</v>
      </c>
      <c r="E314" s="44">
        <f>SmtRes!DO86*SmtRes!AT86</f>
        <v>0.01</v>
      </c>
      <c r="F314" s="44">
        <f>ROUND(1.25,7)</f>
        <v>1.25</v>
      </c>
      <c r="G314" s="44">
        <f>ROUND(E314*F314*G306, 7)</f>
        <v>3.7499999999999999E-3</v>
      </c>
      <c r="H314" s="46"/>
      <c r="I314" s="45"/>
      <c r="J314" s="46">
        <f>ROUND(SmtRes!AG86/SmtRes!DO86, 2)</f>
        <v>359.65</v>
      </c>
      <c r="K314" s="45"/>
      <c r="L314" s="46">
        <f>SmtRes!DH86</f>
        <v>1.35</v>
      </c>
      <c r="CE314">
        <v>1</v>
      </c>
    </row>
    <row r="315" spans="1:101" ht="28.5" x14ac:dyDescent="0.2">
      <c r="A315" s="42"/>
      <c r="B315" s="42" t="s">
        <v>382</v>
      </c>
      <c r="C315" s="42" t="s">
        <v>384</v>
      </c>
      <c r="D315" s="43" t="s">
        <v>363</v>
      </c>
      <c r="E315" s="44">
        <v>0.01</v>
      </c>
      <c r="F315" s="44">
        <f>ROUND(1.25,7)</f>
        <v>1.25</v>
      </c>
      <c r="G315" s="44">
        <f>SmtRes!CX87</f>
        <v>3.7499999999999999E-3</v>
      </c>
      <c r="H315" s="46"/>
      <c r="I315" s="45"/>
      <c r="J315" s="46">
        <f>SmtRes!CZ87</f>
        <v>680.75</v>
      </c>
      <c r="K315" s="45"/>
      <c r="L315" s="46">
        <f>SmtRes!DG87</f>
        <v>2.5499999999999998</v>
      </c>
    </row>
    <row r="316" spans="1:101" ht="28.5" x14ac:dyDescent="0.2">
      <c r="A316" s="42"/>
      <c r="B316" s="42" t="s">
        <v>385</v>
      </c>
      <c r="C316" s="42" t="s">
        <v>544</v>
      </c>
      <c r="D316" s="43" t="s">
        <v>357</v>
      </c>
      <c r="E316" s="44">
        <f>SmtRes!DO87*SmtRes!AT87</f>
        <v>0.01</v>
      </c>
      <c r="F316" s="44">
        <f>ROUND(1.25,7)</f>
        <v>1.25</v>
      </c>
      <c r="G316" s="44">
        <f>ROUND(E316*F316*G306, 7)</f>
        <v>3.7499999999999999E-3</v>
      </c>
      <c r="H316" s="46"/>
      <c r="I316" s="45"/>
      <c r="J316" s="46">
        <f>ROUND(SmtRes!AG87/SmtRes!DO87, 2)</f>
        <v>404.99</v>
      </c>
      <c r="K316" s="45"/>
      <c r="L316" s="46">
        <f>SmtRes!DH87</f>
        <v>1.52</v>
      </c>
      <c r="CE316">
        <v>1</v>
      </c>
    </row>
    <row r="317" spans="1:101" ht="15" x14ac:dyDescent="0.2">
      <c r="A317" s="41"/>
      <c r="B317" s="44">
        <v>4</v>
      </c>
      <c r="C317" s="41" t="s">
        <v>260</v>
      </c>
      <c r="D317" s="43"/>
      <c r="E317" s="48"/>
      <c r="F317" s="44"/>
      <c r="G317" s="44"/>
      <c r="H317" s="44"/>
      <c r="I317" s="44"/>
      <c r="J317" s="44"/>
      <c r="K317" s="44"/>
      <c r="L317" s="49">
        <f>SUM(L318:L318)-SUMIF(CE318:CE318, 1, L318:L318)</f>
        <v>2.68</v>
      </c>
    </row>
    <row r="318" spans="1:101" ht="14.25" x14ac:dyDescent="0.2">
      <c r="A318" s="42"/>
      <c r="B318" s="42" t="s">
        <v>420</v>
      </c>
      <c r="C318" s="42" t="s">
        <v>422</v>
      </c>
      <c r="D318" s="43" t="s">
        <v>82</v>
      </c>
      <c r="E318" s="44">
        <v>0.1</v>
      </c>
      <c r="F318" s="44"/>
      <c r="G318" s="44">
        <f>SmtRes!CX88</f>
        <v>0.03</v>
      </c>
      <c r="H318" s="46">
        <f>SmtRes!CZ88</f>
        <v>56.11</v>
      </c>
      <c r="I318" s="45">
        <f>SmtRes!AI88</f>
        <v>1.59</v>
      </c>
      <c r="J318" s="46">
        <f>ROUND(H318*I318, 2)</f>
        <v>89.21</v>
      </c>
      <c r="K318" s="45"/>
      <c r="L318" s="46">
        <f>SmtRes!DF88</f>
        <v>2.68</v>
      </c>
    </row>
    <row r="319" spans="1:101" ht="14.25" x14ac:dyDescent="0.2">
      <c r="A319" s="42"/>
      <c r="B319" s="42" t="str">
        <f>EtalonRes!I91</f>
        <v>14.3.01.03</v>
      </c>
      <c r="C319" s="50" t="str">
        <f>EtalonRes!K91</f>
        <v>Грунтовка</v>
      </c>
      <c r="D319" s="51" t="str">
        <f>EtalonRes!O91</f>
        <v>т</v>
      </c>
      <c r="E319" s="52">
        <f>EtalonRes!X91</f>
        <v>1.03E-2</v>
      </c>
      <c r="F319" s="52"/>
      <c r="G319" s="52">
        <f>ROUND(EtalonRes!AG91*Source!I53, 7)</f>
        <v>3.0899999999999999E-3</v>
      </c>
      <c r="H319" s="53"/>
      <c r="I319" s="54"/>
      <c r="J319" s="53"/>
      <c r="K319" s="54"/>
      <c r="L319" s="53"/>
    </row>
    <row r="320" spans="1:101" ht="15" x14ac:dyDescent="0.2">
      <c r="A320" s="42"/>
      <c r="B320" s="42"/>
      <c r="C320" s="57" t="s">
        <v>530</v>
      </c>
      <c r="D320" s="43"/>
      <c r="E320" s="44"/>
      <c r="F320" s="44"/>
      <c r="G320" s="44"/>
      <c r="H320" s="46"/>
      <c r="I320" s="45"/>
      <c r="J320" s="46"/>
      <c r="K320" s="45"/>
      <c r="L320" s="46">
        <f>L309+L311+L312+L317</f>
        <v>658.04</v>
      </c>
    </row>
    <row r="321" spans="1:101" ht="28.5" x14ac:dyDescent="0.2">
      <c r="A321" s="40" t="s">
        <v>592</v>
      </c>
      <c r="B321" s="42" t="str">
        <f>Source!F54</f>
        <v>14.3.01.03-0001</v>
      </c>
      <c r="C321" s="42" t="str">
        <f>Source!G54</f>
        <v>Состав грунтовочный глубокого проникновения</v>
      </c>
      <c r="D321" s="43" t="str">
        <f>Source!H54</f>
        <v>кг</v>
      </c>
      <c r="E321" s="44">
        <f>SmtRes!AT89</f>
        <v>10.3</v>
      </c>
      <c r="F321" s="44"/>
      <c r="G321" s="44">
        <f>Source!I54</f>
        <v>3.0900000000000003</v>
      </c>
      <c r="H321" s="46">
        <f>Source!AL54+Source!AO54+Source!AM54+Source!AN54</f>
        <v>65.84</v>
      </c>
      <c r="I321" s="45">
        <f>IF(Source!BC54&lt;&gt; 0, Source!BC54, 1)</f>
        <v>1.37</v>
      </c>
      <c r="J321" s="46">
        <f>ROUND(H321*I321, 2)</f>
        <v>90.2</v>
      </c>
      <c r="K321" s="45"/>
      <c r="L321" s="46">
        <f>Source!P54</f>
        <v>278.72000000000003</v>
      </c>
      <c r="AD321">
        <f>ROUND((Source!AT54/100)*((ROUND(ROUND(Source!AO54,2)*Source!I54, 2)+ROUND(ROUND(Source!AN54,2)*Source!I54, 2))), 2)</f>
        <v>0</v>
      </c>
      <c r="AE321">
        <f>ROUND((Source!AU54/100)*((ROUND(ROUND(Source!AO54,2)*Source!I54, 2)+ROUND(ROUND(Source!AN54,2)*Source!I54, 2))), 2)</f>
        <v>0</v>
      </c>
      <c r="AN321">
        <f>L321</f>
        <v>278.72000000000003</v>
      </c>
      <c r="AW321">
        <f>L321</f>
        <v>278.72000000000003</v>
      </c>
      <c r="AZ321">
        <f>Source!X54</f>
        <v>0</v>
      </c>
      <c r="BA321">
        <f>Source!Y54</f>
        <v>0</v>
      </c>
      <c r="CD321">
        <v>1</v>
      </c>
    </row>
    <row r="322" spans="1:101" ht="14.25" x14ac:dyDescent="0.2">
      <c r="A322" s="42"/>
      <c r="B322" s="42"/>
      <c r="C322" s="42" t="s">
        <v>532</v>
      </c>
      <c r="D322" s="43"/>
      <c r="E322" s="44"/>
      <c r="F322" s="44"/>
      <c r="G322" s="44"/>
      <c r="H322" s="46"/>
      <c r="I322" s="45"/>
      <c r="J322" s="46"/>
      <c r="K322" s="45"/>
      <c r="L322" s="46">
        <f>SUM(AR306:AR325)+SUM(AS306:AS325)+SUM(AT306:AT325)+SUM(AU306:AU325)+SUM(AV306:AV325)</f>
        <v>652.58000000000004</v>
      </c>
    </row>
    <row r="323" spans="1:101" ht="28.5" x14ac:dyDescent="0.2">
      <c r="A323" s="42"/>
      <c r="B323" s="42" t="s">
        <v>593</v>
      </c>
      <c r="C323" s="42" t="s">
        <v>594</v>
      </c>
      <c r="D323" s="43" t="s">
        <v>534</v>
      </c>
      <c r="E323" s="44">
        <f>Source!BZ53</f>
        <v>100</v>
      </c>
      <c r="F323" s="44">
        <f>ROUND(0.9,7)</f>
        <v>0.9</v>
      </c>
      <c r="G323" s="44">
        <f>Source!AT53</f>
        <v>90</v>
      </c>
      <c r="H323" s="46"/>
      <c r="I323" s="45"/>
      <c r="J323" s="46"/>
      <c r="K323" s="45"/>
      <c r="L323" s="46">
        <f>SUM(AZ306:AZ325)</f>
        <v>587.32000000000005</v>
      </c>
    </row>
    <row r="324" spans="1:101" ht="28.5" x14ac:dyDescent="0.2">
      <c r="A324" s="50"/>
      <c r="B324" s="50" t="s">
        <v>595</v>
      </c>
      <c r="C324" s="50" t="s">
        <v>596</v>
      </c>
      <c r="D324" s="51" t="s">
        <v>534</v>
      </c>
      <c r="E324" s="52">
        <f>Source!CA53</f>
        <v>49</v>
      </c>
      <c r="F324" s="52">
        <f>ROUND(0.85,7)</f>
        <v>0.85</v>
      </c>
      <c r="G324" s="52">
        <f>Source!AU53</f>
        <v>41.65</v>
      </c>
      <c r="H324" s="53"/>
      <c r="I324" s="54"/>
      <c r="J324" s="53"/>
      <c r="K324" s="54"/>
      <c r="L324" s="53">
        <f>SUM(BA306:BA325)</f>
        <v>271.8</v>
      </c>
    </row>
    <row r="325" spans="1:101" ht="15" x14ac:dyDescent="0.2">
      <c r="C325" s="99" t="s">
        <v>536</v>
      </c>
      <c r="D325" s="99"/>
      <c r="E325" s="99"/>
      <c r="F325" s="99"/>
      <c r="G325" s="99"/>
      <c r="H325" s="99"/>
      <c r="I325" s="100">
        <f>IF(E306&lt;&gt;0,K325/E306, 0)</f>
        <v>5986.2666666666664</v>
      </c>
      <c r="J325" s="100"/>
      <c r="K325" s="100">
        <f>L309+L311+L317+L323+L324+L312+SUM(L321:L321)</f>
        <v>1795.8799999999999</v>
      </c>
      <c r="L325" s="100"/>
      <c r="AD325">
        <f>ROUND((Source!AT53/100)*((ROUND(SUMIF(SmtRes!AQ84:'SmtRes'!AQ89,"=1",SmtRes!AD84:'SmtRes'!AD89)*Source!I53, 2)+ROUND(SUMIF(SmtRes!AQ84:'SmtRes'!AQ89,"=1",SmtRes!AC84:'SmtRes'!AC89)*Source!I53, 2))), 2)</f>
        <v>315.8</v>
      </c>
      <c r="AE325">
        <f>ROUND((Source!AU53/100)*((ROUND(SUMIF(SmtRes!AQ84:'SmtRes'!AQ89,"=1",SmtRes!AD84:'SmtRes'!AD89)*Source!I53, 2)+ROUND(SUMIF(SmtRes!AQ84:'SmtRes'!AQ89,"=1",SmtRes!AC84:'SmtRes'!AC89)*Source!I53, 2))), 2)</f>
        <v>146.15</v>
      </c>
      <c r="AN325" s="55">
        <f>L309+L311+L317+L323+L324+L312</f>
        <v>1517.1599999999999</v>
      </c>
      <c r="AO325" s="55">
        <f>L311</f>
        <v>2.7799999999999994</v>
      </c>
      <c r="AQ325" t="s">
        <v>537</v>
      </c>
      <c r="AR325" s="55">
        <f>L309</f>
        <v>649.71</v>
      </c>
      <c r="AT325" s="55">
        <f>L312</f>
        <v>2.87</v>
      </c>
      <c r="AV325" t="s">
        <v>537</v>
      </c>
      <c r="AW325" s="55">
        <f>L317</f>
        <v>2.68</v>
      </c>
      <c r="AZ325">
        <f>Source!X53</f>
        <v>587.32000000000005</v>
      </c>
      <c r="BA325">
        <f>Source!Y53</f>
        <v>271.8</v>
      </c>
      <c r="CD325">
        <v>1</v>
      </c>
    </row>
    <row r="326" spans="1:101" ht="42.75" x14ac:dyDescent="0.2">
      <c r="A326" s="40" t="s">
        <v>194</v>
      </c>
      <c r="B326" s="42" t="s">
        <v>597</v>
      </c>
      <c r="C326" s="42" t="str">
        <f>Source!G55</f>
        <v>Окраска поливинилацетатными водоэмульсионными составами улучшенная: по штукатурке стен</v>
      </c>
      <c r="D326" s="43" t="str">
        <f>Source!H55</f>
        <v>100 м2</v>
      </c>
      <c r="E326" s="44">
        <f>Source!K55</f>
        <v>0.3</v>
      </c>
      <c r="F326" s="44"/>
      <c r="G326" s="44">
        <f>Source!I55</f>
        <v>0.3</v>
      </c>
      <c r="H326" s="46"/>
      <c r="I326" s="45"/>
      <c r="J326" s="46"/>
      <c r="K326" s="45"/>
      <c r="L326" s="46"/>
    </row>
    <row r="327" spans="1:101" ht="51" x14ac:dyDescent="0.2">
      <c r="B327" s="59" t="s">
        <v>474</v>
      </c>
      <c r="C327" s="113" t="s">
        <v>542</v>
      </c>
      <c r="D327" s="113"/>
      <c r="E327" s="113"/>
      <c r="F327" s="113"/>
      <c r="G327" s="113"/>
      <c r="H327" s="113"/>
      <c r="I327" s="113"/>
      <c r="J327" s="113"/>
      <c r="K327" s="113"/>
      <c r="L327" s="113"/>
      <c r="CW327" s="60" t="s">
        <v>542</v>
      </c>
    </row>
    <row r="328" spans="1:101" x14ac:dyDescent="0.2">
      <c r="C328" s="47" t="str">
        <f>"Объем: "&amp;Source!I55&amp;"=30/"&amp;"100"</f>
        <v>Объем: 0,3=30/100</v>
      </c>
    </row>
    <row r="329" spans="1:101" ht="15" x14ac:dyDescent="0.2">
      <c r="A329" s="41"/>
      <c r="B329" s="44">
        <v>1</v>
      </c>
      <c r="C329" s="41" t="s">
        <v>526</v>
      </c>
      <c r="D329" s="43" t="s">
        <v>357</v>
      </c>
      <c r="E329" s="48"/>
      <c r="F329" s="44"/>
      <c r="G329" s="44">
        <f>Source!U55</f>
        <v>13.455</v>
      </c>
      <c r="H329" s="44"/>
      <c r="I329" s="44"/>
      <c r="J329" s="44"/>
      <c r="K329" s="44"/>
      <c r="L329" s="49">
        <f>SUM(L330:L330)-SUMIF(CE330:CE330, 1, L330:L330)</f>
        <v>5083.16</v>
      </c>
    </row>
    <row r="330" spans="1:101" ht="14.25" x14ac:dyDescent="0.2">
      <c r="A330" s="42"/>
      <c r="B330" s="42" t="s">
        <v>433</v>
      </c>
      <c r="C330" s="42" t="s">
        <v>434</v>
      </c>
      <c r="D330" s="43" t="s">
        <v>357</v>
      </c>
      <c r="E330" s="44">
        <v>39</v>
      </c>
      <c r="F330" s="44">
        <f>ROUND(1.15,7)</f>
        <v>1.1499999999999999</v>
      </c>
      <c r="G330" s="44">
        <f>SmtRes!CX90</f>
        <v>13.455</v>
      </c>
      <c r="H330" s="46"/>
      <c r="I330" s="45"/>
      <c r="J330" s="46">
        <f>SmtRes!CZ90</f>
        <v>377.79</v>
      </c>
      <c r="K330" s="45"/>
      <c r="L330" s="46">
        <f>SmtRes!DI90</f>
        <v>5083.16</v>
      </c>
    </row>
    <row r="331" spans="1:101" ht="15" x14ac:dyDescent="0.2">
      <c r="A331" s="41"/>
      <c r="B331" s="44">
        <v>2</v>
      </c>
      <c r="C331" s="41" t="s">
        <v>527</v>
      </c>
      <c r="D331" s="43"/>
      <c r="E331" s="48"/>
      <c r="F331" s="44"/>
      <c r="G331" s="44"/>
      <c r="H331" s="44"/>
      <c r="I331" s="44"/>
      <c r="J331" s="44"/>
      <c r="K331" s="44"/>
      <c r="L331" s="49">
        <f>SUM(L332:L336)-SUMIF(CE332:CE336, 1, L332:L336)</f>
        <v>38.750000000000007</v>
      </c>
    </row>
    <row r="332" spans="1:101" ht="15" x14ac:dyDescent="0.2">
      <c r="A332" s="41"/>
      <c r="B332" s="44"/>
      <c r="C332" s="41" t="s">
        <v>529</v>
      </c>
      <c r="D332" s="43" t="s">
        <v>357</v>
      </c>
      <c r="E332" s="48"/>
      <c r="F332" s="44"/>
      <c r="G332" s="44">
        <f>Source!V55</f>
        <v>6.3750000000000001E-2</v>
      </c>
      <c r="H332" s="44"/>
      <c r="I332" s="44"/>
      <c r="J332" s="44"/>
      <c r="K332" s="44"/>
      <c r="L332" s="49">
        <f>SUMIF(CE333:CE336, 1, L333:L336)</f>
        <v>25.48</v>
      </c>
      <c r="CE332">
        <v>1</v>
      </c>
    </row>
    <row r="333" spans="1:101" ht="42.75" x14ac:dyDescent="0.2">
      <c r="A333" s="42"/>
      <c r="B333" s="42" t="s">
        <v>360</v>
      </c>
      <c r="C333" s="42" t="s">
        <v>362</v>
      </c>
      <c r="D333" s="43" t="s">
        <v>363</v>
      </c>
      <c r="E333" s="44">
        <v>0.02</v>
      </c>
      <c r="F333" s="44">
        <f>ROUND(1.25,7)</f>
        <v>1.25</v>
      </c>
      <c r="G333" s="44">
        <f>SmtRes!CX92</f>
        <v>7.4999999999999997E-3</v>
      </c>
      <c r="H333" s="46">
        <f>SmtRes!CZ92</f>
        <v>37.32</v>
      </c>
      <c r="I333" s="45">
        <f>SmtRes!AJ92</f>
        <v>1.63</v>
      </c>
      <c r="J333" s="46">
        <f>ROUND(H333*I333, 2)</f>
        <v>60.83</v>
      </c>
      <c r="K333" s="45"/>
      <c r="L333" s="46">
        <f>SmtRes!DG92</f>
        <v>0.46</v>
      </c>
    </row>
    <row r="334" spans="1:101" ht="28.5" x14ac:dyDescent="0.2">
      <c r="A334" s="42"/>
      <c r="B334" s="42" t="s">
        <v>364</v>
      </c>
      <c r="C334" s="42" t="s">
        <v>528</v>
      </c>
      <c r="D334" s="43" t="s">
        <v>357</v>
      </c>
      <c r="E334" s="44">
        <f>SmtRes!DO92*SmtRes!AT92</f>
        <v>0.02</v>
      </c>
      <c r="F334" s="44">
        <f>ROUND(1.25,7)</f>
        <v>1.25</v>
      </c>
      <c r="G334" s="44">
        <f>ROUND(E334*F334*G326, 7)</f>
        <v>7.4999999999999997E-3</v>
      </c>
      <c r="H334" s="46"/>
      <c r="I334" s="45"/>
      <c r="J334" s="46">
        <f>ROUND(SmtRes!AG92/SmtRes!DO92, 2)</f>
        <v>359.65</v>
      </c>
      <c r="K334" s="45"/>
      <c r="L334" s="46">
        <f>SmtRes!DH92</f>
        <v>2.7</v>
      </c>
      <c r="CE334">
        <v>1</v>
      </c>
    </row>
    <row r="335" spans="1:101" ht="28.5" x14ac:dyDescent="0.2">
      <c r="A335" s="42"/>
      <c r="B335" s="42" t="s">
        <v>382</v>
      </c>
      <c r="C335" s="42" t="s">
        <v>384</v>
      </c>
      <c r="D335" s="43" t="s">
        <v>363</v>
      </c>
      <c r="E335" s="44">
        <v>0.15</v>
      </c>
      <c r="F335" s="44">
        <f>ROUND(1.25,7)</f>
        <v>1.25</v>
      </c>
      <c r="G335" s="44">
        <f>SmtRes!CX93</f>
        <v>5.6250000000000001E-2</v>
      </c>
      <c r="H335" s="46"/>
      <c r="I335" s="45"/>
      <c r="J335" s="46">
        <f>SmtRes!CZ93</f>
        <v>680.75</v>
      </c>
      <c r="K335" s="45"/>
      <c r="L335" s="46">
        <f>SmtRes!DG93</f>
        <v>38.29</v>
      </c>
    </row>
    <row r="336" spans="1:101" ht="28.5" x14ac:dyDescent="0.2">
      <c r="A336" s="42"/>
      <c r="B336" s="42" t="s">
        <v>385</v>
      </c>
      <c r="C336" s="42" t="s">
        <v>544</v>
      </c>
      <c r="D336" s="43" t="s">
        <v>357</v>
      </c>
      <c r="E336" s="44">
        <f>SmtRes!DO93*SmtRes!AT93</f>
        <v>0.15</v>
      </c>
      <c r="F336" s="44">
        <f>ROUND(1.25,7)</f>
        <v>1.25</v>
      </c>
      <c r="G336" s="44">
        <f>ROUND(E336*F336*G326, 7)</f>
        <v>5.6250000000000001E-2</v>
      </c>
      <c r="H336" s="46"/>
      <c r="I336" s="45"/>
      <c r="J336" s="46">
        <f>ROUND(SmtRes!AG93/SmtRes!DO93, 2)</f>
        <v>404.99</v>
      </c>
      <c r="K336" s="45"/>
      <c r="L336" s="46">
        <f>SmtRes!DH93</f>
        <v>22.78</v>
      </c>
      <c r="CE336">
        <v>1</v>
      </c>
    </row>
    <row r="337" spans="1:82" ht="15" x14ac:dyDescent="0.2">
      <c r="A337" s="41"/>
      <c r="B337" s="44">
        <v>4</v>
      </c>
      <c r="C337" s="41" t="s">
        <v>260</v>
      </c>
      <c r="D337" s="43"/>
      <c r="E337" s="48"/>
      <c r="F337" s="44"/>
      <c r="G337" s="44"/>
      <c r="H337" s="44"/>
      <c r="I337" s="44"/>
      <c r="J337" s="44"/>
      <c r="K337" s="44"/>
      <c r="L337" s="49">
        <f>SUM(L338:L340)-SUMIF(CE338:CE340, 1, L338:L340)</f>
        <v>829.06</v>
      </c>
    </row>
    <row r="338" spans="1:82" ht="28.5" x14ac:dyDescent="0.2">
      <c r="A338" s="42"/>
      <c r="B338" s="42" t="s">
        <v>438</v>
      </c>
      <c r="C338" s="42" t="s">
        <v>440</v>
      </c>
      <c r="D338" s="43" t="s">
        <v>69</v>
      </c>
      <c r="E338" s="44">
        <v>0.84</v>
      </c>
      <c r="F338" s="44"/>
      <c r="G338" s="44">
        <f>SmtRes!CX94</f>
        <v>0.252</v>
      </c>
      <c r="H338" s="46">
        <f>SmtRes!CZ94</f>
        <v>531.44000000000005</v>
      </c>
      <c r="I338" s="45">
        <f>SmtRes!AI94</f>
        <v>1.4</v>
      </c>
      <c r="J338" s="46">
        <f>ROUND(H338*I338, 2)</f>
        <v>744.02</v>
      </c>
      <c r="K338" s="45"/>
      <c r="L338" s="46">
        <f>SmtRes!DF94</f>
        <v>187.49</v>
      </c>
    </row>
    <row r="339" spans="1:82" ht="14.25" x14ac:dyDescent="0.2">
      <c r="A339" s="42"/>
      <c r="B339" s="42" t="s">
        <v>420</v>
      </c>
      <c r="C339" s="42" t="s">
        <v>422</v>
      </c>
      <c r="D339" s="43" t="s">
        <v>82</v>
      </c>
      <c r="E339" s="44">
        <v>0.31</v>
      </c>
      <c r="F339" s="44"/>
      <c r="G339" s="44">
        <f>SmtRes!CX95</f>
        <v>9.2999999999999999E-2</v>
      </c>
      <c r="H339" s="46">
        <f>SmtRes!CZ95</f>
        <v>56.11</v>
      </c>
      <c r="I339" s="45">
        <f>SmtRes!AI95</f>
        <v>1.59</v>
      </c>
      <c r="J339" s="46">
        <f>ROUND(H339*I339, 2)</f>
        <v>89.21</v>
      </c>
      <c r="K339" s="45"/>
      <c r="L339" s="46">
        <f>SmtRes!DF95</f>
        <v>8.3000000000000007</v>
      </c>
    </row>
    <row r="340" spans="1:82" ht="14.25" x14ac:dyDescent="0.2">
      <c r="A340" s="42"/>
      <c r="B340" s="42" t="s">
        <v>441</v>
      </c>
      <c r="C340" s="42" t="s">
        <v>443</v>
      </c>
      <c r="D340" s="43" t="s">
        <v>29</v>
      </c>
      <c r="E340" s="44">
        <v>5.0999999999999997E-2</v>
      </c>
      <c r="F340" s="44"/>
      <c r="G340" s="44">
        <f>SmtRes!CX97</f>
        <v>1.5299999999999999E-2</v>
      </c>
      <c r="H340" s="46">
        <f>SmtRes!CZ97</f>
        <v>25237.94</v>
      </c>
      <c r="I340" s="45">
        <f>SmtRes!AI97</f>
        <v>1.64</v>
      </c>
      <c r="J340" s="46">
        <f>ROUND(H340*I340, 2)</f>
        <v>41390.22</v>
      </c>
      <c r="K340" s="45"/>
      <c r="L340" s="46">
        <f>SmtRes!DF97</f>
        <v>633.27</v>
      </c>
    </row>
    <row r="341" spans="1:82" ht="14.25" x14ac:dyDescent="0.2">
      <c r="A341" s="42"/>
      <c r="B341" s="42" t="str">
        <f>EtalonRes!I98</f>
        <v>14.3.02.01</v>
      </c>
      <c r="C341" s="50" t="str">
        <f>EtalonRes!K98</f>
        <v>Краска водоэмульсионная</v>
      </c>
      <c r="D341" s="51" t="str">
        <f>EtalonRes!O98</f>
        <v>т</v>
      </c>
      <c r="E341" s="52">
        <f>EtalonRes!X98</f>
        <v>6.3E-2</v>
      </c>
      <c r="F341" s="52"/>
      <c r="G341" s="52">
        <f>ROUND(EtalonRes!AG98*Source!I55, 7)</f>
        <v>1.89E-2</v>
      </c>
      <c r="H341" s="53"/>
      <c r="I341" s="54"/>
      <c r="J341" s="53"/>
      <c r="K341" s="54"/>
      <c r="L341" s="53"/>
    </row>
    <row r="342" spans="1:82" ht="15" x14ac:dyDescent="0.2">
      <c r="A342" s="42"/>
      <c r="B342" s="42"/>
      <c r="C342" s="57" t="s">
        <v>530</v>
      </c>
      <c r="D342" s="43"/>
      <c r="E342" s="44"/>
      <c r="F342" s="44"/>
      <c r="G342" s="44"/>
      <c r="H342" s="46"/>
      <c r="I342" s="45"/>
      <c r="J342" s="46"/>
      <c r="K342" s="45"/>
      <c r="L342" s="46">
        <f>L329+L331+L332+L337</f>
        <v>5976.4499999999989</v>
      </c>
    </row>
    <row r="343" spans="1:82" ht="28.5" x14ac:dyDescent="0.2">
      <c r="A343" s="40" t="s">
        <v>598</v>
      </c>
      <c r="B343" s="42" t="str">
        <f>Source!F56</f>
        <v>14.3.02.01-0362</v>
      </c>
      <c r="C343" s="42" t="str">
        <f>Source!G56</f>
        <v>Краска водно-дисперсионная акрилатная ВД-АК-104</v>
      </c>
      <c r="D343" s="43" t="str">
        <f>Source!H56</f>
        <v>т</v>
      </c>
      <c r="E343" s="44">
        <f>SmtRes!AT96</f>
        <v>6.3E-2</v>
      </c>
      <c r="F343" s="44"/>
      <c r="G343" s="44">
        <f>Source!I56</f>
        <v>1.89E-2</v>
      </c>
      <c r="H343" s="46">
        <f>Source!AL56+Source!AO56+Source!AM56+Source!AN56</f>
        <v>87665.56</v>
      </c>
      <c r="I343" s="45">
        <f>IF(Source!BC56&lt;&gt; 0, Source!BC56, 1)</f>
        <v>1.85</v>
      </c>
      <c r="J343" s="46">
        <f>ROUND(H343*I343, 2)</f>
        <v>162181.29</v>
      </c>
      <c r="K343" s="45"/>
      <c r="L343" s="46">
        <f>Source!P56</f>
        <v>3065.23</v>
      </c>
      <c r="AD343">
        <f>ROUND((Source!AT56/100)*((ROUND(ROUND(Source!AO56,2)*Source!I56, 2)+ROUND(ROUND(Source!AN56,2)*Source!I56, 2))), 2)</f>
        <v>0</v>
      </c>
      <c r="AE343">
        <f>ROUND((Source!AU56/100)*((ROUND(ROUND(Source!AO56,2)*Source!I56, 2)+ROUND(ROUND(Source!AN56,2)*Source!I56, 2))), 2)</f>
        <v>0</v>
      </c>
      <c r="AN343">
        <f>L343</f>
        <v>3065.23</v>
      </c>
      <c r="AW343">
        <f>L343</f>
        <v>3065.23</v>
      </c>
      <c r="AZ343">
        <f>Source!X56</f>
        <v>0</v>
      </c>
      <c r="BA343">
        <f>Source!Y56</f>
        <v>0</v>
      </c>
      <c r="CD343">
        <v>1</v>
      </c>
    </row>
    <row r="344" spans="1:82" ht="14.25" x14ac:dyDescent="0.2">
      <c r="A344" s="42"/>
      <c r="B344" s="42"/>
      <c r="C344" s="42" t="s">
        <v>532</v>
      </c>
      <c r="D344" s="43"/>
      <c r="E344" s="44"/>
      <c r="F344" s="44"/>
      <c r="G344" s="44"/>
      <c r="H344" s="46"/>
      <c r="I344" s="45"/>
      <c r="J344" s="46"/>
      <c r="K344" s="45"/>
      <c r="L344" s="46">
        <f>SUM(AR326:AR347)+SUM(AS326:AS347)+SUM(AT326:AT347)+SUM(AU326:AU347)+SUM(AV326:AV347)</f>
        <v>5108.6399999999994</v>
      </c>
    </row>
    <row r="345" spans="1:82" ht="28.5" x14ac:dyDescent="0.2">
      <c r="A345" s="42"/>
      <c r="B345" s="42" t="s">
        <v>593</v>
      </c>
      <c r="C345" s="42" t="s">
        <v>594</v>
      </c>
      <c r="D345" s="43" t="s">
        <v>534</v>
      </c>
      <c r="E345" s="44">
        <f>Source!BZ55</f>
        <v>100</v>
      </c>
      <c r="F345" s="44">
        <f>ROUND(0.9,7)</f>
        <v>0.9</v>
      </c>
      <c r="G345" s="44">
        <f>Source!AT55</f>
        <v>90</v>
      </c>
      <c r="H345" s="46"/>
      <c r="I345" s="45"/>
      <c r="J345" s="46"/>
      <c r="K345" s="45"/>
      <c r="L345" s="46">
        <f>SUM(AZ326:AZ347)</f>
        <v>4597.78</v>
      </c>
    </row>
    <row r="346" spans="1:82" ht="28.5" x14ac:dyDescent="0.2">
      <c r="A346" s="50"/>
      <c r="B346" s="50" t="s">
        <v>595</v>
      </c>
      <c r="C346" s="50" t="s">
        <v>596</v>
      </c>
      <c r="D346" s="51" t="s">
        <v>534</v>
      </c>
      <c r="E346" s="52">
        <f>Source!CA55</f>
        <v>49</v>
      </c>
      <c r="F346" s="52">
        <f>ROUND(0.85,7)</f>
        <v>0.85</v>
      </c>
      <c r="G346" s="52">
        <f>Source!AU55</f>
        <v>41.65</v>
      </c>
      <c r="H346" s="53"/>
      <c r="I346" s="54"/>
      <c r="J346" s="53"/>
      <c r="K346" s="54"/>
      <c r="L346" s="53">
        <f>SUM(BA326:BA347)</f>
        <v>2127.75</v>
      </c>
    </row>
    <row r="347" spans="1:82" ht="15" x14ac:dyDescent="0.2">
      <c r="C347" s="99" t="s">
        <v>536</v>
      </c>
      <c r="D347" s="99"/>
      <c r="E347" s="99"/>
      <c r="F347" s="99"/>
      <c r="G347" s="99"/>
      <c r="H347" s="99"/>
      <c r="I347" s="100">
        <f>IF(E326&lt;&gt;0,K347/E326, 0)</f>
        <v>52557.366666666669</v>
      </c>
      <c r="J347" s="100"/>
      <c r="K347" s="100">
        <f>L329+L331+L337+L345+L346+L332+SUM(L343:L343)</f>
        <v>15767.21</v>
      </c>
      <c r="L347" s="100"/>
      <c r="AD347">
        <f>ROUND((Source!AT55/100)*((ROUND(SUMIF(SmtRes!AQ90:'SmtRes'!AQ97,"=1",SmtRes!AD90:'SmtRes'!AD97)*Source!I55, 2)+ROUND(SUMIF(SmtRes!AQ90:'SmtRes'!AQ97,"=1",SmtRes!AC90:'SmtRes'!AC97)*Source!I55, 2))), 2)</f>
        <v>308.45999999999998</v>
      </c>
      <c r="AE347">
        <f>ROUND((Source!AU55/100)*((ROUND(SUMIF(SmtRes!AQ90:'SmtRes'!AQ97,"=1",SmtRes!AD90:'SmtRes'!AD97)*Source!I55, 2)+ROUND(SUMIF(SmtRes!AQ90:'SmtRes'!AQ97,"=1",SmtRes!AC90:'SmtRes'!AC97)*Source!I55, 2))), 2)</f>
        <v>142.75</v>
      </c>
      <c r="AN347" s="55">
        <f>L329+L331+L337+L345+L346+L332</f>
        <v>12701.98</v>
      </c>
      <c r="AO347" s="55">
        <f>L331</f>
        <v>38.750000000000007</v>
      </c>
      <c r="AQ347" t="s">
        <v>537</v>
      </c>
      <c r="AR347" s="55">
        <f>L329</f>
        <v>5083.16</v>
      </c>
      <c r="AT347" s="55">
        <f>L332</f>
        <v>25.48</v>
      </c>
      <c r="AV347" t="s">
        <v>537</v>
      </c>
      <c r="AW347" s="55">
        <f>L337</f>
        <v>829.06</v>
      </c>
      <c r="AZ347">
        <f>Source!X55</f>
        <v>4597.78</v>
      </c>
      <c r="BA347">
        <f>Source!Y55</f>
        <v>2127.75</v>
      </c>
      <c r="CD347">
        <v>1</v>
      </c>
    </row>
    <row r="349" spans="1:82" ht="15" x14ac:dyDescent="0.2">
      <c r="A349" s="65"/>
      <c r="B349" s="66"/>
      <c r="C349" s="116" t="s">
        <v>599</v>
      </c>
      <c r="D349" s="116"/>
      <c r="E349" s="116"/>
      <c r="F349" s="116"/>
      <c r="G349" s="116"/>
      <c r="H349" s="116"/>
      <c r="I349" s="67"/>
      <c r="J349" s="65"/>
      <c r="K349" s="68"/>
      <c r="L349" s="67"/>
    </row>
    <row r="351" spans="1:82" ht="15" x14ac:dyDescent="0.2">
      <c r="A351" s="62"/>
      <c r="B351" s="63"/>
      <c r="C351" s="117" t="s">
        <v>600</v>
      </c>
      <c r="D351" s="117"/>
      <c r="E351" s="117"/>
      <c r="F351" s="117"/>
      <c r="G351" s="117"/>
      <c r="H351" s="117"/>
      <c r="I351" s="49"/>
      <c r="J351" s="62"/>
      <c r="K351" s="64"/>
      <c r="L351" s="49">
        <f>L353+L368+L369</f>
        <v>907432.7</v>
      </c>
    </row>
    <row r="352" spans="1:82" ht="14.25" x14ac:dyDescent="0.2">
      <c r="A352" s="58"/>
      <c r="B352" s="61"/>
      <c r="C352" s="114" t="s">
        <v>601</v>
      </c>
      <c r="D352" s="115"/>
      <c r="E352" s="115"/>
      <c r="F352" s="115"/>
      <c r="G352" s="115"/>
      <c r="H352" s="115"/>
      <c r="I352" s="46"/>
      <c r="J352" s="58"/>
      <c r="K352" s="44"/>
      <c r="L352" s="46"/>
    </row>
    <row r="353" spans="1:12" ht="14.25" x14ac:dyDescent="0.2">
      <c r="A353" s="58"/>
      <c r="B353" s="61"/>
      <c r="C353" s="115" t="s">
        <v>602</v>
      </c>
      <c r="D353" s="115"/>
      <c r="E353" s="115"/>
      <c r="F353" s="115"/>
      <c r="G353" s="115"/>
      <c r="H353" s="115"/>
      <c r="I353" s="46"/>
      <c r="J353" s="58"/>
      <c r="K353" s="44"/>
      <c r="L353" s="46">
        <f>L355+L356+L362+L366</f>
        <v>735342.95</v>
      </c>
    </row>
    <row r="354" spans="1:12" ht="14.25" x14ac:dyDescent="0.2">
      <c r="A354" s="58"/>
      <c r="B354" s="61"/>
      <c r="C354" s="114" t="s">
        <v>601</v>
      </c>
      <c r="D354" s="115"/>
      <c r="E354" s="115"/>
      <c r="F354" s="115"/>
      <c r="G354" s="115"/>
      <c r="H354" s="115"/>
      <c r="I354" s="46"/>
      <c r="J354" s="58"/>
      <c r="K354" s="44"/>
      <c r="L354" s="46"/>
    </row>
    <row r="355" spans="1:12" ht="14.25" x14ac:dyDescent="0.2">
      <c r="A355" s="58"/>
      <c r="B355" s="61"/>
      <c r="C355" s="115" t="s">
        <v>603</v>
      </c>
      <c r="D355" s="115"/>
      <c r="E355" s="115"/>
      <c r="F355" s="115"/>
      <c r="G355" s="115"/>
      <c r="H355" s="115"/>
      <c r="I355" s="46"/>
      <c r="J355" s="58"/>
      <c r="K355" s="44"/>
      <c r="L355" s="46">
        <f>SUMIF(CD59:CD347, 1, AR59:AR347)</f>
        <v>111190.41</v>
      </c>
    </row>
    <row r="356" spans="1:12" ht="14.25" hidden="1" x14ac:dyDescent="0.2">
      <c r="A356" s="58"/>
      <c r="B356" s="61"/>
      <c r="C356" s="115" t="s">
        <v>604</v>
      </c>
      <c r="D356" s="115"/>
      <c r="E356" s="115"/>
      <c r="F356" s="115"/>
      <c r="G356" s="115"/>
      <c r="H356" s="115"/>
      <c r="I356" s="46"/>
      <c r="J356" s="58"/>
      <c r="K356" s="44"/>
      <c r="L356" s="46">
        <f>L358+L361+L360</f>
        <v>9624.57</v>
      </c>
    </row>
    <row r="357" spans="1:12" ht="14.25" hidden="1" x14ac:dyDescent="0.2">
      <c r="A357" s="58"/>
      <c r="B357" s="61"/>
      <c r="C357" s="114" t="s">
        <v>605</v>
      </c>
      <c r="D357" s="115"/>
      <c r="E357" s="115"/>
      <c r="F357" s="115"/>
      <c r="G357" s="115"/>
      <c r="H357" s="115"/>
      <c r="I357" s="46"/>
      <c r="J357" s="58"/>
      <c r="K357" s="44"/>
      <c r="L357" s="46"/>
    </row>
    <row r="358" spans="1:12" ht="14.25" x14ac:dyDescent="0.2">
      <c r="A358" s="58"/>
      <c r="B358" s="61"/>
      <c r="C358" s="115" t="s">
        <v>604</v>
      </c>
      <c r="D358" s="115"/>
      <c r="E358" s="115"/>
      <c r="F358" s="115"/>
      <c r="G358" s="115"/>
      <c r="H358" s="115"/>
      <c r="I358" s="46"/>
      <c r="J358" s="58"/>
      <c r="K358" s="44"/>
      <c r="L358" s="46">
        <f>SUMIF(CD59:CD347, 1, AO59:AO347)</f>
        <v>8163.72</v>
      </c>
    </row>
    <row r="359" spans="1:12" ht="14.25" hidden="1" x14ac:dyDescent="0.2">
      <c r="A359" s="58"/>
      <c r="B359" s="61"/>
      <c r="C359" s="114" t="s">
        <v>606</v>
      </c>
      <c r="D359" s="115"/>
      <c r="E359" s="115"/>
      <c r="F359" s="115"/>
      <c r="G359" s="115"/>
      <c r="H359" s="115"/>
      <c r="I359" s="46"/>
      <c r="J359" s="58"/>
      <c r="K359" s="44"/>
      <c r="L359" s="46"/>
    </row>
    <row r="360" spans="1:12" ht="14.25" x14ac:dyDescent="0.2">
      <c r="A360" s="58"/>
      <c r="B360" s="61"/>
      <c r="C360" s="115" t="s">
        <v>615</v>
      </c>
      <c r="D360" s="115"/>
      <c r="E360" s="115"/>
      <c r="F360" s="115"/>
      <c r="G360" s="115"/>
      <c r="H360" s="115"/>
      <c r="I360" s="46"/>
      <c r="J360" s="58"/>
      <c r="K360" s="44"/>
      <c r="L360" s="46">
        <f>SUMIF(CD59:CD347, 1, AT59:AT347)</f>
        <v>1460.8499999999997</v>
      </c>
    </row>
    <row r="361" spans="1:12" ht="14.25" hidden="1" x14ac:dyDescent="0.2">
      <c r="A361" s="58"/>
      <c r="B361" s="61"/>
      <c r="C361" s="115" t="s">
        <v>607</v>
      </c>
      <c r="D361" s="115"/>
      <c r="E361" s="115"/>
      <c r="F361" s="115"/>
      <c r="G361" s="115"/>
      <c r="H361" s="115"/>
      <c r="I361" s="46"/>
      <c r="J361" s="58"/>
      <c r="K361" s="44"/>
      <c r="L361" s="46">
        <f>SUMIF(CD59:CD347, 1, AV59:AV347)</f>
        <v>0</v>
      </c>
    </row>
    <row r="362" spans="1:12" ht="14.25" x14ac:dyDescent="0.2">
      <c r="A362" s="58"/>
      <c r="B362" s="61"/>
      <c r="C362" s="115" t="s">
        <v>608</v>
      </c>
      <c r="D362" s="115"/>
      <c r="E362" s="115"/>
      <c r="F362" s="115"/>
      <c r="G362" s="115"/>
      <c r="H362" s="115"/>
      <c r="I362" s="46"/>
      <c r="J362" s="58"/>
      <c r="K362" s="44"/>
      <c r="L362" s="46">
        <f>L364+L365</f>
        <v>614527.97</v>
      </c>
    </row>
    <row r="363" spans="1:12" ht="14.25" x14ac:dyDescent="0.2">
      <c r="A363" s="58"/>
      <c r="B363" s="61"/>
      <c r="C363" s="114" t="s">
        <v>605</v>
      </c>
      <c r="D363" s="115"/>
      <c r="E363" s="115"/>
      <c r="F363" s="115"/>
      <c r="G363" s="115"/>
      <c r="H363" s="115"/>
      <c r="I363" s="46"/>
      <c r="J363" s="58"/>
      <c r="K363" s="44"/>
      <c r="L363" s="46"/>
    </row>
    <row r="364" spans="1:12" ht="14.25" x14ac:dyDescent="0.2">
      <c r="A364" s="58"/>
      <c r="B364" s="61"/>
      <c r="C364" s="115" t="s">
        <v>609</v>
      </c>
      <c r="D364" s="115"/>
      <c r="E364" s="115"/>
      <c r="F364" s="115"/>
      <c r="G364" s="115"/>
      <c r="H364" s="115"/>
      <c r="I364" s="46"/>
      <c r="J364" s="58"/>
      <c r="K364" s="44"/>
      <c r="L364" s="46">
        <f>SUMIF(CD59:CD347, 1, AW59:AW347)-SUMIF(CD59:CD347, 1, BK59:BK347)</f>
        <v>614527.97</v>
      </c>
    </row>
    <row r="365" spans="1:12" ht="14.25" hidden="1" x14ac:dyDescent="0.2">
      <c r="A365" s="58"/>
      <c r="B365" s="61"/>
      <c r="C365" s="115" t="s">
        <v>610</v>
      </c>
      <c r="D365" s="115"/>
      <c r="E365" s="115"/>
      <c r="F365" s="115"/>
      <c r="G365" s="115"/>
      <c r="H365" s="115"/>
      <c r="I365" s="46"/>
      <c r="J365" s="58"/>
      <c r="K365" s="44"/>
      <c r="L365" s="46">
        <f>SUMIF(CD59:CD347, 1, BC59:BC347)</f>
        <v>0</v>
      </c>
    </row>
    <row r="366" spans="1:12" ht="14.25" hidden="1" x14ac:dyDescent="0.2">
      <c r="A366" s="58"/>
      <c r="B366" s="61"/>
      <c r="C366" s="115" t="s">
        <v>611</v>
      </c>
      <c r="D366" s="115"/>
      <c r="E366" s="115"/>
      <c r="F366" s="115"/>
      <c r="G366" s="115"/>
      <c r="H366" s="115"/>
      <c r="I366" s="46"/>
      <c r="J366" s="58"/>
      <c r="K366" s="44"/>
      <c r="L366" s="46">
        <f>SUMIF(CD59:CD347, 1, BB59:BB347)</f>
        <v>0</v>
      </c>
    </row>
    <row r="367" spans="1:12" ht="14.25" x14ac:dyDescent="0.2">
      <c r="A367" s="58"/>
      <c r="B367" s="61"/>
      <c r="C367" s="115" t="s">
        <v>612</v>
      </c>
      <c r="D367" s="115"/>
      <c r="E367" s="115"/>
      <c r="F367" s="115"/>
      <c r="G367" s="115"/>
      <c r="H367" s="115"/>
      <c r="I367" s="46"/>
      <c r="J367" s="58"/>
      <c r="K367" s="44"/>
      <c r="L367" s="46">
        <f>SUMIF(CD59:CD347, 1, AR59:AR347)+SUMIF(CD59:CD347, 1, AT59:AT347)+SUMIF(CD59:CD347, 1, AV59:AV347)</f>
        <v>112651.26000000001</v>
      </c>
    </row>
    <row r="368" spans="1:12" ht="14.25" x14ac:dyDescent="0.2">
      <c r="A368" s="58"/>
      <c r="B368" s="61"/>
      <c r="C368" s="115" t="s">
        <v>613</v>
      </c>
      <c r="D368" s="115"/>
      <c r="E368" s="115"/>
      <c r="F368" s="115"/>
      <c r="G368" s="115"/>
      <c r="H368" s="115"/>
      <c r="I368" s="46"/>
      <c r="J368" s="58"/>
      <c r="K368" s="44"/>
      <c r="L368" s="46">
        <f>SUMIF(CD59:CD347, 1, AZ59:AZ347)</f>
        <v>109984.47</v>
      </c>
    </row>
    <row r="369" spans="1:12" ht="14.25" x14ac:dyDescent="0.2">
      <c r="A369" s="58"/>
      <c r="B369" s="61"/>
      <c r="C369" s="115" t="s">
        <v>614</v>
      </c>
      <c r="D369" s="115"/>
      <c r="E369" s="115"/>
      <c r="F369" s="115"/>
      <c r="G369" s="115"/>
      <c r="H369" s="115"/>
      <c r="I369" s="46"/>
      <c r="J369" s="58"/>
      <c r="K369" s="44"/>
      <c r="L369" s="46">
        <f>SUMIF(CD59:CD347, 1, BA59:BA347)</f>
        <v>62105.280000000006</v>
      </c>
    </row>
    <row r="370" spans="1:12" hidden="1" x14ac:dyDescent="0.2"/>
    <row r="371" spans="1:12" ht="15" hidden="1" x14ac:dyDescent="0.2">
      <c r="A371" s="62"/>
      <c r="B371" s="63"/>
      <c r="C371" s="117" t="s">
        <v>616</v>
      </c>
      <c r="D371" s="117"/>
      <c r="E371" s="117"/>
      <c r="F371" s="117"/>
      <c r="G371" s="117"/>
      <c r="H371" s="117"/>
      <c r="I371" s="49"/>
      <c r="J371" s="62"/>
      <c r="K371" s="64"/>
      <c r="L371" s="49">
        <f>L373+L388+L389</f>
        <v>0</v>
      </c>
    </row>
    <row r="372" spans="1:12" ht="14.25" hidden="1" x14ac:dyDescent="0.2">
      <c r="A372" s="58"/>
      <c r="B372" s="61"/>
      <c r="C372" s="114" t="s">
        <v>601</v>
      </c>
      <c r="D372" s="115"/>
      <c r="E372" s="115"/>
      <c r="F372" s="115"/>
      <c r="G372" s="115"/>
      <c r="H372" s="115"/>
      <c r="I372" s="46"/>
      <c r="J372" s="58"/>
      <c r="K372" s="44"/>
      <c r="L372" s="46"/>
    </row>
    <row r="373" spans="1:12" ht="14.25" hidden="1" x14ac:dyDescent="0.2">
      <c r="A373" s="58"/>
      <c r="B373" s="61"/>
      <c r="C373" s="115" t="s">
        <v>602</v>
      </c>
      <c r="D373" s="115"/>
      <c r="E373" s="115"/>
      <c r="F373" s="115"/>
      <c r="G373" s="115"/>
      <c r="H373" s="115"/>
      <c r="I373" s="46"/>
      <c r="J373" s="58"/>
      <c r="K373" s="44"/>
      <c r="L373" s="46">
        <f>L375+L376+L382+L386</f>
        <v>0</v>
      </c>
    </row>
    <row r="374" spans="1:12" ht="14.25" hidden="1" x14ac:dyDescent="0.2">
      <c r="A374" s="58"/>
      <c r="B374" s="61"/>
      <c r="C374" s="114" t="s">
        <v>601</v>
      </c>
      <c r="D374" s="115"/>
      <c r="E374" s="115"/>
      <c r="F374" s="115"/>
      <c r="G374" s="115"/>
      <c r="H374" s="115"/>
      <c r="I374" s="46"/>
      <c r="J374" s="58"/>
      <c r="K374" s="44"/>
      <c r="L374" s="46"/>
    </row>
    <row r="375" spans="1:12" ht="14.25" hidden="1" x14ac:dyDescent="0.2">
      <c r="A375" s="58"/>
      <c r="B375" s="61"/>
      <c r="C375" s="115" t="s">
        <v>603</v>
      </c>
      <c r="D375" s="115"/>
      <c r="E375" s="115"/>
      <c r="F375" s="115"/>
      <c r="G375" s="115"/>
      <c r="H375" s="115"/>
      <c r="I375" s="46"/>
      <c r="J375" s="58"/>
      <c r="K375" s="44"/>
      <c r="L375" s="46">
        <f>SUMIF(CD59:CD369, 2, AR59:AR369)</f>
        <v>0</v>
      </c>
    </row>
    <row r="376" spans="1:12" ht="14.25" hidden="1" x14ac:dyDescent="0.2">
      <c r="A376" s="58"/>
      <c r="B376" s="61"/>
      <c r="C376" s="115" t="s">
        <v>604</v>
      </c>
      <c r="D376" s="115"/>
      <c r="E376" s="115"/>
      <c r="F376" s="115"/>
      <c r="G376" s="115"/>
      <c r="H376" s="115"/>
      <c r="I376" s="46"/>
      <c r="J376" s="58"/>
      <c r="K376" s="44"/>
      <c r="L376" s="46">
        <f>L378+L381+L380</f>
        <v>0</v>
      </c>
    </row>
    <row r="377" spans="1:12" ht="14.25" hidden="1" x14ac:dyDescent="0.2">
      <c r="A377" s="58"/>
      <c r="B377" s="61"/>
      <c r="C377" s="114" t="s">
        <v>605</v>
      </c>
      <c r="D377" s="115"/>
      <c r="E377" s="115"/>
      <c r="F377" s="115"/>
      <c r="G377" s="115"/>
      <c r="H377" s="115"/>
      <c r="I377" s="46"/>
      <c r="J377" s="58"/>
      <c r="K377" s="44"/>
      <c r="L377" s="46"/>
    </row>
    <row r="378" spans="1:12" ht="14.25" hidden="1" x14ac:dyDescent="0.2">
      <c r="A378" s="58"/>
      <c r="B378" s="61"/>
      <c r="C378" s="115" t="s">
        <v>604</v>
      </c>
      <c r="D378" s="115"/>
      <c r="E378" s="115"/>
      <c r="F378" s="115"/>
      <c r="G378" s="115"/>
      <c r="H378" s="115"/>
      <c r="I378" s="46"/>
      <c r="J378" s="58"/>
      <c r="K378" s="44"/>
      <c r="L378" s="46">
        <f>SUMIF(CD59:CD369, 2, AO59:AO369)</f>
        <v>0</v>
      </c>
    </row>
    <row r="379" spans="1:12" ht="14.25" hidden="1" x14ac:dyDescent="0.2">
      <c r="A379" s="58"/>
      <c r="B379" s="61"/>
      <c r="C379" s="114" t="s">
        <v>606</v>
      </c>
      <c r="D379" s="115"/>
      <c r="E379" s="115"/>
      <c r="F379" s="115"/>
      <c r="G379" s="115"/>
      <c r="H379" s="115"/>
      <c r="I379" s="46"/>
      <c r="J379" s="58"/>
      <c r="K379" s="44"/>
      <c r="L379" s="46"/>
    </row>
    <row r="380" spans="1:12" ht="14.25" hidden="1" x14ac:dyDescent="0.2">
      <c r="A380" s="58"/>
      <c r="B380" s="61"/>
      <c r="C380" s="115" t="s">
        <v>615</v>
      </c>
      <c r="D380" s="115"/>
      <c r="E380" s="115"/>
      <c r="F380" s="115"/>
      <c r="G380" s="115"/>
      <c r="H380" s="115"/>
      <c r="I380" s="46"/>
      <c r="J380" s="58"/>
      <c r="K380" s="44"/>
      <c r="L380" s="46">
        <f>SUMIF(CD59:CD369, 2, AT59:AT369)</f>
        <v>0</v>
      </c>
    </row>
    <row r="381" spans="1:12" ht="14.25" hidden="1" x14ac:dyDescent="0.2">
      <c r="A381" s="58"/>
      <c r="B381" s="61"/>
      <c r="C381" s="115" t="s">
        <v>607</v>
      </c>
      <c r="D381" s="115"/>
      <c r="E381" s="115"/>
      <c r="F381" s="115"/>
      <c r="G381" s="115"/>
      <c r="H381" s="115"/>
      <c r="I381" s="46"/>
      <c r="J381" s="58"/>
      <c r="K381" s="44"/>
      <c r="L381" s="46">
        <f>SUMIF(CD59:CD369, 2, AV59:AV369)</f>
        <v>0</v>
      </c>
    </row>
    <row r="382" spans="1:12" ht="14.25" hidden="1" x14ac:dyDescent="0.2">
      <c r="A382" s="58"/>
      <c r="B382" s="61"/>
      <c r="C382" s="115" t="s">
        <v>608</v>
      </c>
      <c r="D382" s="115"/>
      <c r="E382" s="115"/>
      <c r="F382" s="115"/>
      <c r="G382" s="115"/>
      <c r="H382" s="115"/>
      <c r="I382" s="46"/>
      <c r="J382" s="58"/>
      <c r="K382" s="44"/>
      <c r="L382" s="46">
        <f>L384+L385</f>
        <v>0</v>
      </c>
    </row>
    <row r="383" spans="1:12" ht="14.25" hidden="1" x14ac:dyDescent="0.2">
      <c r="A383" s="58"/>
      <c r="B383" s="61"/>
      <c r="C383" s="114" t="s">
        <v>605</v>
      </c>
      <c r="D383" s="115"/>
      <c r="E383" s="115"/>
      <c r="F383" s="115"/>
      <c r="G383" s="115"/>
      <c r="H383" s="115"/>
      <c r="I383" s="46"/>
      <c r="J383" s="58"/>
      <c r="K383" s="44"/>
      <c r="L383" s="46"/>
    </row>
    <row r="384" spans="1:12" ht="14.25" hidden="1" x14ac:dyDescent="0.2">
      <c r="A384" s="58"/>
      <c r="B384" s="61"/>
      <c r="C384" s="115" t="s">
        <v>609</v>
      </c>
      <c r="D384" s="115"/>
      <c r="E384" s="115"/>
      <c r="F384" s="115"/>
      <c r="G384" s="115"/>
      <c r="H384" s="115"/>
      <c r="I384" s="46"/>
      <c r="J384" s="58"/>
      <c r="K384" s="44"/>
      <c r="L384" s="46">
        <f>SUMIF(CD59:CD369, 2, AW59:AW369)-SUMIF(CD59:CD369, 2, BK59:BK369)</f>
        <v>0</v>
      </c>
    </row>
    <row r="385" spans="1:12" ht="14.25" hidden="1" x14ac:dyDescent="0.2">
      <c r="A385" s="58"/>
      <c r="B385" s="61"/>
      <c r="C385" s="115" t="s">
        <v>610</v>
      </c>
      <c r="D385" s="115"/>
      <c r="E385" s="115"/>
      <c r="F385" s="115"/>
      <c r="G385" s="115"/>
      <c r="H385" s="115"/>
      <c r="I385" s="46"/>
      <c r="J385" s="58"/>
      <c r="K385" s="44"/>
      <c r="L385" s="46">
        <f>SUMIF(CD59:CD369, 2, BC59:BC369)</f>
        <v>0</v>
      </c>
    </row>
    <row r="386" spans="1:12" ht="14.25" hidden="1" x14ac:dyDescent="0.2">
      <c r="A386" s="58"/>
      <c r="B386" s="61"/>
      <c r="C386" s="115" t="s">
        <v>611</v>
      </c>
      <c r="D386" s="115"/>
      <c r="E386" s="115"/>
      <c r="F386" s="115"/>
      <c r="G386" s="115"/>
      <c r="H386" s="115"/>
      <c r="I386" s="46"/>
      <c r="J386" s="58"/>
      <c r="K386" s="44"/>
      <c r="L386" s="46">
        <f>SUMIF(CD59:CD369, 2, BB59:BB369)</f>
        <v>0</v>
      </c>
    </row>
    <row r="387" spans="1:12" ht="14.25" hidden="1" x14ac:dyDescent="0.2">
      <c r="A387" s="58"/>
      <c r="B387" s="61"/>
      <c r="C387" s="115" t="s">
        <v>612</v>
      </c>
      <c r="D387" s="115"/>
      <c r="E387" s="115"/>
      <c r="F387" s="115"/>
      <c r="G387" s="115"/>
      <c r="H387" s="115"/>
      <c r="I387" s="46"/>
      <c r="J387" s="58"/>
      <c r="K387" s="44"/>
      <c r="L387" s="46">
        <f>SUMIF(CD59:CD369, 2, AR59:AR369)+SUMIF(CD59:CD369, 2, AT59:AT369)+SUMIF(CD59:CD369, 2, AV59:AV369)</f>
        <v>0</v>
      </c>
    </row>
    <row r="388" spans="1:12" ht="14.25" hidden="1" x14ac:dyDescent="0.2">
      <c r="A388" s="58"/>
      <c r="B388" s="61"/>
      <c r="C388" s="115" t="s">
        <v>613</v>
      </c>
      <c r="D388" s="115"/>
      <c r="E388" s="115"/>
      <c r="F388" s="115"/>
      <c r="G388" s="115"/>
      <c r="H388" s="115"/>
      <c r="I388" s="46"/>
      <c r="J388" s="58"/>
      <c r="K388" s="44"/>
      <c r="L388" s="46">
        <f>SUMIF(CD59:CD369, 2, AZ59:AZ369)</f>
        <v>0</v>
      </c>
    </row>
    <row r="389" spans="1:12" ht="14.25" hidden="1" x14ac:dyDescent="0.2">
      <c r="A389" s="58"/>
      <c r="B389" s="61"/>
      <c r="C389" s="115" t="s">
        <v>614</v>
      </c>
      <c r="D389" s="115"/>
      <c r="E389" s="115"/>
      <c r="F389" s="115"/>
      <c r="G389" s="115"/>
      <c r="H389" s="115"/>
      <c r="I389" s="46"/>
      <c r="J389" s="58"/>
      <c r="K389" s="44"/>
      <c r="L389" s="46">
        <f>SUMIF(CD59:CD369, 2, BA59:BA369)</f>
        <v>0</v>
      </c>
    </row>
    <row r="390" spans="1:12" hidden="1" x14ac:dyDescent="0.2"/>
    <row r="391" spans="1:12" ht="15" hidden="1" x14ac:dyDescent="0.2">
      <c r="A391" s="62"/>
      <c r="B391" s="63"/>
      <c r="C391" s="117" t="s">
        <v>617</v>
      </c>
      <c r="D391" s="117"/>
      <c r="E391" s="117"/>
      <c r="F391" s="117"/>
      <c r="G391" s="117"/>
      <c r="H391" s="117"/>
      <c r="I391" s="49"/>
      <c r="J391" s="62"/>
      <c r="K391" s="64"/>
      <c r="L391" s="49">
        <f>L393+L394</f>
        <v>0</v>
      </c>
    </row>
    <row r="392" spans="1:12" ht="14.25" hidden="1" x14ac:dyDescent="0.2">
      <c r="A392" s="58"/>
      <c r="B392" s="61"/>
      <c r="C392" s="114" t="s">
        <v>601</v>
      </c>
      <c r="D392" s="115"/>
      <c r="E392" s="115"/>
      <c r="F392" s="115"/>
      <c r="G392" s="115"/>
      <c r="H392" s="115"/>
      <c r="I392" s="46"/>
      <c r="J392" s="58"/>
      <c r="K392" s="44"/>
      <c r="L392" s="46"/>
    </row>
    <row r="393" spans="1:12" ht="14.25" hidden="1" x14ac:dyDescent="0.2">
      <c r="A393" s="58"/>
      <c r="B393" s="61"/>
      <c r="C393" s="115" t="s">
        <v>618</v>
      </c>
      <c r="D393" s="115"/>
      <c r="E393" s="115"/>
      <c r="F393" s="115"/>
      <c r="G393" s="115"/>
      <c r="H393" s="115"/>
      <c r="I393" s="46"/>
      <c r="J393" s="58"/>
      <c r="K393" s="44"/>
      <c r="L393" s="46">
        <f>SUMIF(CD59:CD389, 3, BK59:BK389)</f>
        <v>0</v>
      </c>
    </row>
    <row r="394" spans="1:12" ht="14.25" hidden="1" x14ac:dyDescent="0.2">
      <c r="A394" s="58"/>
      <c r="B394" s="61"/>
      <c r="C394" s="115" t="s">
        <v>619</v>
      </c>
      <c r="D394" s="115"/>
      <c r="E394" s="115"/>
      <c r="F394" s="115"/>
      <c r="G394" s="115"/>
      <c r="H394" s="115"/>
      <c r="I394" s="46"/>
      <c r="J394" s="58"/>
      <c r="K394" s="44"/>
      <c r="L394" s="46">
        <f>SUMIF(CD59:CD389, 3, BD59:BD389)</f>
        <v>0</v>
      </c>
    </row>
    <row r="395" spans="1:12" hidden="1" x14ac:dyDescent="0.2"/>
    <row r="396" spans="1:12" ht="15" hidden="1" x14ac:dyDescent="0.2">
      <c r="A396" s="62"/>
      <c r="B396" s="63"/>
      <c r="C396" s="117" t="s">
        <v>620</v>
      </c>
      <c r="D396" s="117"/>
      <c r="E396" s="117"/>
      <c r="F396" s="117"/>
      <c r="G396" s="117"/>
      <c r="H396" s="117"/>
      <c r="I396" s="49"/>
      <c r="J396" s="62"/>
      <c r="K396" s="64"/>
      <c r="L396" s="49">
        <f>L404+L419+L420+L398+L399+L400+L401</f>
        <v>0</v>
      </c>
    </row>
    <row r="397" spans="1:12" ht="14.25" hidden="1" x14ac:dyDescent="0.2">
      <c r="A397" s="58"/>
      <c r="B397" s="61"/>
      <c r="C397" s="114" t="s">
        <v>601</v>
      </c>
      <c r="D397" s="115"/>
      <c r="E397" s="115"/>
      <c r="F397" s="115"/>
      <c r="G397" s="115"/>
      <c r="H397" s="115"/>
      <c r="I397" s="46"/>
      <c r="J397" s="58"/>
      <c r="K397" s="44"/>
      <c r="L397" s="46"/>
    </row>
    <row r="398" spans="1:12" ht="14.25" hidden="1" x14ac:dyDescent="0.2">
      <c r="A398" s="58"/>
      <c r="B398" s="61"/>
      <c r="C398" s="115" t="s">
        <v>621</v>
      </c>
      <c r="D398" s="115"/>
      <c r="E398" s="115"/>
      <c r="F398" s="115"/>
      <c r="G398" s="115"/>
      <c r="H398" s="115"/>
      <c r="I398" s="46"/>
      <c r="J398" s="58"/>
      <c r="K398" s="44"/>
      <c r="L398" s="46"/>
    </row>
    <row r="399" spans="1:12" ht="14.25" hidden="1" x14ac:dyDescent="0.2">
      <c r="A399" s="58"/>
      <c r="B399" s="61"/>
      <c r="C399" s="115" t="s">
        <v>621</v>
      </c>
      <c r="D399" s="115"/>
      <c r="E399" s="115"/>
      <c r="F399" s="115"/>
      <c r="G399" s="115"/>
      <c r="H399" s="115"/>
      <c r="I399" s="46"/>
      <c r="J399" s="58"/>
      <c r="K399" s="44"/>
      <c r="L399" s="46">
        <f>SUM(BQ59:BQ394)</f>
        <v>0</v>
      </c>
    </row>
    <row r="400" spans="1:12" ht="14.25" hidden="1" x14ac:dyDescent="0.2">
      <c r="A400" s="58"/>
      <c r="B400" s="61"/>
      <c r="C400" s="115" t="s">
        <v>622</v>
      </c>
      <c r="D400" s="115"/>
      <c r="E400" s="115"/>
      <c r="F400" s="115"/>
      <c r="G400" s="115"/>
      <c r="H400" s="115"/>
      <c r="I400" s="46"/>
      <c r="J400" s="58"/>
      <c r="K400" s="44"/>
      <c r="L400" s="46">
        <f>SUMIF(CD59:CD394, 4, BB59:BB394)+SUMIF(CD59:CD394, 4, BC59:BC394)+SUMIF(CD59:CD394, 4, BD59:BD394)</f>
        <v>0</v>
      </c>
    </row>
    <row r="401" spans="1:12" ht="14.25" hidden="1" x14ac:dyDescent="0.2">
      <c r="A401" s="58"/>
      <c r="B401" s="61"/>
      <c r="C401" s="115" t="s">
        <v>623</v>
      </c>
      <c r="D401" s="115"/>
      <c r="E401" s="115"/>
      <c r="F401" s="115"/>
      <c r="G401" s="115"/>
      <c r="H401" s="115"/>
      <c r="I401" s="46"/>
      <c r="J401" s="58"/>
      <c r="K401" s="44"/>
      <c r="L401" s="46">
        <f>SUM(BO59:BO394)</f>
        <v>0</v>
      </c>
    </row>
    <row r="402" spans="1:12" ht="14.25" hidden="1" x14ac:dyDescent="0.2">
      <c r="A402" s="58"/>
      <c r="B402" s="61"/>
      <c r="C402" s="115" t="s">
        <v>624</v>
      </c>
      <c r="D402" s="115"/>
      <c r="E402" s="115"/>
      <c r="F402" s="115"/>
      <c r="G402" s="115"/>
      <c r="H402" s="115"/>
      <c r="I402" s="46"/>
      <c r="J402" s="58"/>
      <c r="K402" s="44"/>
      <c r="L402" s="46">
        <f>L404+L419+L420</f>
        <v>0</v>
      </c>
    </row>
    <row r="403" spans="1:12" ht="14.25" hidden="1" x14ac:dyDescent="0.2">
      <c r="A403" s="58"/>
      <c r="B403" s="61"/>
      <c r="C403" s="114" t="s">
        <v>601</v>
      </c>
      <c r="D403" s="115"/>
      <c r="E403" s="115"/>
      <c r="F403" s="115"/>
      <c r="G403" s="115"/>
      <c r="H403" s="115"/>
      <c r="I403" s="46"/>
      <c r="J403" s="58"/>
      <c r="K403" s="44"/>
      <c r="L403" s="46"/>
    </row>
    <row r="404" spans="1:12" ht="14.25" hidden="1" x14ac:dyDescent="0.2">
      <c r="A404" s="58"/>
      <c r="B404" s="61"/>
      <c r="C404" s="115" t="s">
        <v>602</v>
      </c>
      <c r="D404" s="115"/>
      <c r="E404" s="115"/>
      <c r="F404" s="115"/>
      <c r="G404" s="115"/>
      <c r="H404" s="115"/>
      <c r="I404" s="46"/>
      <c r="J404" s="58"/>
      <c r="K404" s="44"/>
      <c r="L404" s="46">
        <f>L406+L407+L413+L417</f>
        <v>0</v>
      </c>
    </row>
    <row r="405" spans="1:12" ht="14.25" hidden="1" x14ac:dyDescent="0.2">
      <c r="A405" s="58"/>
      <c r="B405" s="61"/>
      <c r="C405" s="114" t="s">
        <v>601</v>
      </c>
      <c r="D405" s="115"/>
      <c r="E405" s="115"/>
      <c r="F405" s="115"/>
      <c r="G405" s="115"/>
      <c r="H405" s="115"/>
      <c r="I405" s="46"/>
      <c r="J405" s="58"/>
      <c r="K405" s="44"/>
      <c r="L405" s="46"/>
    </row>
    <row r="406" spans="1:12" ht="14.25" hidden="1" x14ac:dyDescent="0.2">
      <c r="A406" s="58"/>
      <c r="B406" s="61"/>
      <c r="C406" s="115" t="s">
        <v>603</v>
      </c>
      <c r="D406" s="115"/>
      <c r="E406" s="115"/>
      <c r="F406" s="115"/>
      <c r="G406" s="115"/>
      <c r="H406" s="115"/>
      <c r="I406" s="46"/>
      <c r="J406" s="58"/>
      <c r="K406" s="44"/>
      <c r="L406" s="46">
        <f>SUMIF(CD59:CD394, 4, AR59:AR394)</f>
        <v>0</v>
      </c>
    </row>
    <row r="407" spans="1:12" ht="14.25" hidden="1" x14ac:dyDescent="0.2">
      <c r="A407" s="58"/>
      <c r="B407" s="61"/>
      <c r="C407" s="115" t="s">
        <v>604</v>
      </c>
      <c r="D407" s="115"/>
      <c r="E407" s="115"/>
      <c r="F407" s="115"/>
      <c r="G407" s="115"/>
      <c r="H407" s="115"/>
      <c r="I407" s="46"/>
      <c r="J407" s="58"/>
      <c r="K407" s="44"/>
      <c r="L407" s="46">
        <f>L409+L412+L411</f>
        <v>0</v>
      </c>
    </row>
    <row r="408" spans="1:12" ht="14.25" hidden="1" x14ac:dyDescent="0.2">
      <c r="A408" s="58"/>
      <c r="B408" s="61"/>
      <c r="C408" s="114" t="s">
        <v>605</v>
      </c>
      <c r="D408" s="115"/>
      <c r="E408" s="115"/>
      <c r="F408" s="115"/>
      <c r="G408" s="115"/>
      <c r="H408" s="115"/>
      <c r="I408" s="46"/>
      <c r="J408" s="58"/>
      <c r="K408" s="44"/>
      <c r="L408" s="46"/>
    </row>
    <row r="409" spans="1:12" ht="14.25" hidden="1" x14ac:dyDescent="0.2">
      <c r="A409" s="58"/>
      <c r="B409" s="61"/>
      <c r="C409" s="115" t="s">
        <v>604</v>
      </c>
      <c r="D409" s="115"/>
      <c r="E409" s="115"/>
      <c r="F409" s="115"/>
      <c r="G409" s="115"/>
      <c r="H409" s="115"/>
      <c r="I409" s="46"/>
      <c r="J409" s="58"/>
      <c r="K409" s="44"/>
      <c r="L409" s="46">
        <f>SUMIF(CD59:CD394, 4, AO59:AO394)</f>
        <v>0</v>
      </c>
    </row>
    <row r="410" spans="1:12" ht="14.25" hidden="1" x14ac:dyDescent="0.2">
      <c r="A410" s="58"/>
      <c r="B410" s="61"/>
      <c r="C410" s="114" t="s">
        <v>606</v>
      </c>
      <c r="D410" s="115"/>
      <c r="E410" s="115"/>
      <c r="F410" s="115"/>
      <c r="G410" s="115"/>
      <c r="H410" s="115"/>
      <c r="I410" s="46"/>
      <c r="J410" s="58"/>
      <c r="K410" s="44"/>
      <c r="L410" s="46"/>
    </row>
    <row r="411" spans="1:12" ht="14.25" hidden="1" x14ac:dyDescent="0.2">
      <c r="A411" s="58"/>
      <c r="B411" s="61"/>
      <c r="C411" s="115" t="s">
        <v>615</v>
      </c>
      <c r="D411" s="115"/>
      <c r="E411" s="115"/>
      <c r="F411" s="115"/>
      <c r="G411" s="115"/>
      <c r="H411" s="115"/>
      <c r="I411" s="46"/>
      <c r="J411" s="58"/>
      <c r="K411" s="44"/>
      <c r="L411" s="46">
        <f>SUMIF(CD59:CD394, 4, AT59:AT394)</f>
        <v>0</v>
      </c>
    </row>
    <row r="412" spans="1:12" ht="14.25" hidden="1" x14ac:dyDescent="0.2">
      <c r="A412" s="58"/>
      <c r="B412" s="61"/>
      <c r="C412" s="115" t="s">
        <v>607</v>
      </c>
      <c r="D412" s="115"/>
      <c r="E412" s="115"/>
      <c r="F412" s="115"/>
      <c r="G412" s="115"/>
      <c r="H412" s="115"/>
      <c r="I412" s="46"/>
      <c r="J412" s="58"/>
      <c r="K412" s="44"/>
      <c r="L412" s="46">
        <f>SUMIF(CD59:CD394, 4, AV59:AV394)</f>
        <v>0</v>
      </c>
    </row>
    <row r="413" spans="1:12" ht="14.25" hidden="1" x14ac:dyDescent="0.2">
      <c r="A413" s="58"/>
      <c r="B413" s="61"/>
      <c r="C413" s="115" t="s">
        <v>608</v>
      </c>
      <c r="D413" s="115"/>
      <c r="E413" s="115"/>
      <c r="F413" s="115"/>
      <c r="G413" s="115"/>
      <c r="H413" s="115"/>
      <c r="I413" s="46"/>
      <c r="J413" s="58"/>
      <c r="K413" s="44"/>
      <c r="L413" s="46">
        <f>L415+L416</f>
        <v>0</v>
      </c>
    </row>
    <row r="414" spans="1:12" ht="14.25" hidden="1" x14ac:dyDescent="0.2">
      <c r="A414" s="58"/>
      <c r="B414" s="61"/>
      <c r="C414" s="114" t="s">
        <v>605</v>
      </c>
      <c r="D414" s="115"/>
      <c r="E414" s="115"/>
      <c r="F414" s="115"/>
      <c r="G414" s="115"/>
      <c r="H414" s="115"/>
      <c r="I414" s="46"/>
      <c r="J414" s="58"/>
      <c r="K414" s="44"/>
      <c r="L414" s="46"/>
    </row>
    <row r="415" spans="1:12" ht="14.25" hidden="1" x14ac:dyDescent="0.2">
      <c r="A415" s="58"/>
      <c r="B415" s="61"/>
      <c r="C415" s="115" t="s">
        <v>609</v>
      </c>
      <c r="D415" s="115"/>
      <c r="E415" s="115"/>
      <c r="F415" s="115"/>
      <c r="G415" s="115"/>
      <c r="H415" s="115"/>
      <c r="I415" s="46"/>
      <c r="J415" s="58"/>
      <c r="K415" s="44"/>
      <c r="L415" s="46">
        <f>SUMIF(CD59:CD394, 4, AW59:AW394)-SUMIF(CD59:CD394, 4, BK59:BK394)</f>
        <v>0</v>
      </c>
    </row>
    <row r="416" spans="1:12" ht="14.25" hidden="1" x14ac:dyDescent="0.2">
      <c r="A416" s="58"/>
      <c r="B416" s="61"/>
      <c r="C416" s="115" t="s">
        <v>610</v>
      </c>
      <c r="D416" s="115"/>
      <c r="E416" s="115"/>
      <c r="F416" s="115"/>
      <c r="G416" s="115"/>
      <c r="H416" s="115"/>
      <c r="I416" s="46"/>
      <c r="J416" s="58"/>
      <c r="K416" s="44"/>
      <c r="L416" s="46">
        <f>SUMIF(CD59:CD394, 4, BC59:BC394)</f>
        <v>0</v>
      </c>
    </row>
    <row r="417" spans="1:12" ht="14.25" hidden="1" x14ac:dyDescent="0.2">
      <c r="A417" s="58"/>
      <c r="B417" s="61"/>
      <c r="C417" s="115" t="s">
        <v>611</v>
      </c>
      <c r="D417" s="115"/>
      <c r="E417" s="115"/>
      <c r="F417" s="115"/>
      <c r="G417" s="115"/>
      <c r="H417" s="115"/>
      <c r="I417" s="46"/>
      <c r="J417" s="58"/>
      <c r="K417" s="44"/>
      <c r="L417" s="46">
        <f>SUMIF(CD59:CD394, 4, BB59:BB394)</f>
        <v>0</v>
      </c>
    </row>
    <row r="418" spans="1:12" ht="14.25" hidden="1" x14ac:dyDescent="0.2">
      <c r="A418" s="58"/>
      <c r="B418" s="61"/>
      <c r="C418" s="115" t="s">
        <v>612</v>
      </c>
      <c r="D418" s="115"/>
      <c r="E418" s="115"/>
      <c r="F418" s="115"/>
      <c r="G418" s="115"/>
      <c r="H418" s="115"/>
      <c r="I418" s="46"/>
      <c r="J418" s="58"/>
      <c r="K418" s="44"/>
      <c r="L418" s="46">
        <f>SUMIF(CD59:CD394, 4, AR59:AR394)+SUMIF(CD59:CD394, 4, AT59:AT394)+SUMIF(CD59:CD394, 4, AV59:AV394)</f>
        <v>0</v>
      </c>
    </row>
    <row r="419" spans="1:12" ht="14.25" hidden="1" x14ac:dyDescent="0.2">
      <c r="A419" s="58"/>
      <c r="B419" s="61"/>
      <c r="C419" s="115" t="s">
        <v>613</v>
      </c>
      <c r="D419" s="115"/>
      <c r="E419" s="115"/>
      <c r="F419" s="115"/>
      <c r="G419" s="115"/>
      <c r="H419" s="115"/>
      <c r="I419" s="46"/>
      <c r="J419" s="58"/>
      <c r="K419" s="44"/>
      <c r="L419" s="46">
        <f>SUMIF(CD59:CD394, 4, AZ59:AZ394)</f>
        <v>0</v>
      </c>
    </row>
    <row r="420" spans="1:12" ht="14.25" hidden="1" x14ac:dyDescent="0.2">
      <c r="A420" s="58"/>
      <c r="B420" s="61"/>
      <c r="C420" s="115" t="s">
        <v>614</v>
      </c>
      <c r="D420" s="115"/>
      <c r="E420" s="115"/>
      <c r="F420" s="115"/>
      <c r="G420" s="115"/>
      <c r="H420" s="115"/>
      <c r="I420" s="46"/>
      <c r="J420" s="58"/>
      <c r="K420" s="44"/>
      <c r="L420" s="46">
        <f>SUMIF(CD59:CD394, 4, BA59:BA394)</f>
        <v>0</v>
      </c>
    </row>
    <row r="422" spans="1:12" ht="15" x14ac:dyDescent="0.2">
      <c r="A422" s="62"/>
      <c r="B422" s="63"/>
      <c r="C422" s="117" t="s">
        <v>625</v>
      </c>
      <c r="D422" s="117"/>
      <c r="E422" s="117"/>
      <c r="F422" s="117"/>
      <c r="G422" s="117"/>
      <c r="H422" s="117"/>
      <c r="I422" s="49"/>
      <c r="J422" s="62"/>
      <c r="K422" s="64"/>
      <c r="L422" s="49">
        <f>L351+L371+L391+L396</f>
        <v>907432.7</v>
      </c>
    </row>
    <row r="423" spans="1:12" ht="14.25" x14ac:dyDescent="0.2">
      <c r="A423" s="58"/>
      <c r="B423" s="61"/>
      <c r="C423" s="114" t="s">
        <v>601</v>
      </c>
      <c r="D423" s="115"/>
      <c r="E423" s="115"/>
      <c r="F423" s="115"/>
      <c r="G423" s="115"/>
      <c r="H423" s="115"/>
      <c r="I423" s="46"/>
      <c r="J423" s="58"/>
      <c r="K423" s="44"/>
      <c r="L423" s="46"/>
    </row>
    <row r="424" spans="1:12" ht="14.25" x14ac:dyDescent="0.2">
      <c r="A424" s="58"/>
      <c r="B424" s="61"/>
      <c r="C424" s="115" t="s">
        <v>602</v>
      </c>
      <c r="D424" s="115"/>
      <c r="E424" s="115"/>
      <c r="F424" s="115"/>
      <c r="G424" s="115"/>
      <c r="H424" s="115"/>
      <c r="I424" s="46"/>
      <c r="J424" s="58"/>
      <c r="K424" s="44"/>
      <c r="L424" s="46">
        <f>L426+L427+L433+L437</f>
        <v>735342.95</v>
      </c>
    </row>
    <row r="425" spans="1:12" ht="14.25" x14ac:dyDescent="0.2">
      <c r="A425" s="58"/>
      <c r="B425" s="61"/>
      <c r="C425" s="114" t="s">
        <v>601</v>
      </c>
      <c r="D425" s="115"/>
      <c r="E425" s="115"/>
      <c r="F425" s="115"/>
      <c r="G425" s="115"/>
      <c r="H425" s="115"/>
      <c r="I425" s="46"/>
      <c r="J425" s="58"/>
      <c r="K425" s="44"/>
      <c r="L425" s="46"/>
    </row>
    <row r="426" spans="1:12" ht="14.25" x14ac:dyDescent="0.2">
      <c r="A426" s="58"/>
      <c r="B426" s="61"/>
      <c r="C426" s="115" t="s">
        <v>603</v>
      </c>
      <c r="D426" s="115"/>
      <c r="E426" s="115"/>
      <c r="F426" s="115"/>
      <c r="G426" s="115"/>
      <c r="H426" s="115"/>
      <c r="I426" s="46"/>
      <c r="J426" s="58"/>
      <c r="K426" s="44"/>
      <c r="L426" s="46">
        <f>SUM(AR59:AR420)</f>
        <v>111190.41</v>
      </c>
    </row>
    <row r="427" spans="1:12" ht="14.25" hidden="1" x14ac:dyDescent="0.2">
      <c r="A427" s="58"/>
      <c r="B427" s="61"/>
      <c r="C427" s="115" t="s">
        <v>604</v>
      </c>
      <c r="D427" s="115"/>
      <c r="E427" s="115"/>
      <c r="F427" s="115"/>
      <c r="G427" s="115"/>
      <c r="H427" s="115"/>
      <c r="I427" s="46"/>
      <c r="J427" s="58"/>
      <c r="K427" s="44"/>
      <c r="L427" s="46">
        <f>L429+L432+L431</f>
        <v>9624.57</v>
      </c>
    </row>
    <row r="428" spans="1:12" ht="14.25" hidden="1" x14ac:dyDescent="0.2">
      <c r="A428" s="58"/>
      <c r="B428" s="61"/>
      <c r="C428" s="114" t="s">
        <v>605</v>
      </c>
      <c r="D428" s="115"/>
      <c r="E428" s="115"/>
      <c r="F428" s="115"/>
      <c r="G428" s="115"/>
      <c r="H428" s="115"/>
      <c r="I428" s="46"/>
      <c r="J428" s="58"/>
      <c r="K428" s="44"/>
      <c r="L428" s="46"/>
    </row>
    <row r="429" spans="1:12" ht="14.25" x14ac:dyDescent="0.2">
      <c r="A429" s="58"/>
      <c r="B429" s="61"/>
      <c r="C429" s="115" t="s">
        <v>604</v>
      </c>
      <c r="D429" s="115"/>
      <c r="E429" s="115"/>
      <c r="F429" s="115"/>
      <c r="G429" s="115"/>
      <c r="H429" s="115"/>
      <c r="I429" s="46"/>
      <c r="J429" s="58"/>
      <c r="K429" s="44"/>
      <c r="L429" s="46">
        <f>SUM(AO59:AO420)</f>
        <v>8163.72</v>
      </c>
    </row>
    <row r="430" spans="1:12" ht="14.25" hidden="1" x14ac:dyDescent="0.2">
      <c r="A430" s="58"/>
      <c r="B430" s="61"/>
      <c r="C430" s="114" t="s">
        <v>606</v>
      </c>
      <c r="D430" s="115"/>
      <c r="E430" s="115"/>
      <c r="F430" s="115"/>
      <c r="G430" s="115"/>
      <c r="H430" s="115"/>
      <c r="I430" s="46"/>
      <c r="J430" s="58"/>
      <c r="K430" s="44"/>
      <c r="L430" s="46"/>
    </row>
    <row r="431" spans="1:12" ht="14.25" x14ac:dyDescent="0.2">
      <c r="A431" s="58"/>
      <c r="B431" s="61"/>
      <c r="C431" s="115" t="s">
        <v>615</v>
      </c>
      <c r="D431" s="115"/>
      <c r="E431" s="115"/>
      <c r="F431" s="115"/>
      <c r="G431" s="115"/>
      <c r="H431" s="115"/>
      <c r="I431" s="46"/>
      <c r="J431" s="58"/>
      <c r="K431" s="44"/>
      <c r="L431" s="46">
        <f>SUM(AT59:AT420)</f>
        <v>1460.8499999999997</v>
      </c>
    </row>
    <row r="432" spans="1:12" ht="14.25" hidden="1" x14ac:dyDescent="0.2">
      <c r="A432" s="58"/>
      <c r="B432" s="61"/>
      <c r="C432" s="115" t="s">
        <v>607</v>
      </c>
      <c r="D432" s="115"/>
      <c r="E432" s="115"/>
      <c r="F432" s="115"/>
      <c r="G432" s="115"/>
      <c r="H432" s="115"/>
      <c r="I432" s="46"/>
      <c r="J432" s="58"/>
      <c r="K432" s="44"/>
      <c r="L432" s="46">
        <f>SUM(AV59:AV420)</f>
        <v>0</v>
      </c>
    </row>
    <row r="433" spans="1:12" ht="14.25" x14ac:dyDescent="0.2">
      <c r="A433" s="58"/>
      <c r="B433" s="61"/>
      <c r="C433" s="115" t="s">
        <v>608</v>
      </c>
      <c r="D433" s="115"/>
      <c r="E433" s="115"/>
      <c r="F433" s="115"/>
      <c r="G433" s="115"/>
      <c r="H433" s="115"/>
      <c r="I433" s="46"/>
      <c r="J433" s="58"/>
      <c r="K433" s="44"/>
      <c r="L433" s="46">
        <f>L435+L436</f>
        <v>614527.97</v>
      </c>
    </row>
    <row r="434" spans="1:12" ht="14.25" x14ac:dyDescent="0.2">
      <c r="A434" s="58"/>
      <c r="B434" s="61"/>
      <c r="C434" s="114" t="s">
        <v>605</v>
      </c>
      <c r="D434" s="115"/>
      <c r="E434" s="115"/>
      <c r="F434" s="115"/>
      <c r="G434" s="115"/>
      <c r="H434" s="115"/>
      <c r="I434" s="46"/>
      <c r="J434" s="58"/>
      <c r="K434" s="44"/>
      <c r="L434" s="46"/>
    </row>
    <row r="435" spans="1:12" ht="14.25" x14ac:dyDescent="0.2">
      <c r="A435" s="58"/>
      <c r="B435" s="61"/>
      <c r="C435" s="115" t="s">
        <v>609</v>
      </c>
      <c r="D435" s="115"/>
      <c r="E435" s="115"/>
      <c r="F435" s="115"/>
      <c r="G435" s="115"/>
      <c r="H435" s="115"/>
      <c r="I435" s="46"/>
      <c r="J435" s="58"/>
      <c r="K435" s="44"/>
      <c r="L435" s="46">
        <f>SUM(AW59:AW420)-SUM(BK59:BK420)</f>
        <v>614527.97</v>
      </c>
    </row>
    <row r="436" spans="1:12" ht="14.25" hidden="1" x14ac:dyDescent="0.2">
      <c r="A436" s="58"/>
      <c r="B436" s="61"/>
      <c r="C436" s="115" t="s">
        <v>610</v>
      </c>
      <c r="D436" s="115"/>
      <c r="E436" s="115"/>
      <c r="F436" s="115"/>
      <c r="G436" s="115"/>
      <c r="H436" s="115"/>
      <c r="I436" s="46"/>
      <c r="J436" s="58"/>
      <c r="K436" s="44"/>
      <c r="L436" s="46">
        <f>SUM(BC59:BC420)</f>
        <v>0</v>
      </c>
    </row>
    <row r="437" spans="1:12" ht="14.25" hidden="1" x14ac:dyDescent="0.2">
      <c r="A437" s="58"/>
      <c r="B437" s="61"/>
      <c r="C437" s="115" t="s">
        <v>611</v>
      </c>
      <c r="D437" s="115"/>
      <c r="E437" s="115"/>
      <c r="F437" s="115"/>
      <c r="G437" s="115"/>
      <c r="H437" s="115"/>
      <c r="I437" s="46"/>
      <c r="J437" s="58"/>
      <c r="K437" s="44"/>
      <c r="L437" s="46">
        <f>SUM(BB59:BB420)</f>
        <v>0</v>
      </c>
    </row>
    <row r="438" spans="1:12" ht="14.25" x14ac:dyDescent="0.2">
      <c r="A438" s="58"/>
      <c r="B438" s="61"/>
      <c r="C438" s="115" t="s">
        <v>626</v>
      </c>
      <c r="D438" s="115"/>
      <c r="E438" s="115"/>
      <c r="F438" s="115"/>
      <c r="G438" s="115"/>
      <c r="H438" s="115"/>
      <c r="I438" s="46"/>
      <c r="J438" s="58"/>
      <c r="K438" s="44"/>
      <c r="L438" s="46">
        <f>SUM(AR59:AR420)+SUM(AT59:AT420)+SUM(AV59:AV420)</f>
        <v>112651.26000000001</v>
      </c>
    </row>
    <row r="439" spans="1:12" ht="14.25" x14ac:dyDescent="0.2">
      <c r="A439" s="58"/>
      <c r="B439" s="61"/>
      <c r="C439" s="115" t="s">
        <v>627</v>
      </c>
      <c r="D439" s="115"/>
      <c r="E439" s="115"/>
      <c r="F439" s="115"/>
      <c r="G439" s="115"/>
      <c r="H439" s="115"/>
      <c r="I439" s="46"/>
      <c r="J439" s="58"/>
      <c r="K439" s="44"/>
      <c r="L439" s="46">
        <f>SUM(AZ59:AZ420)</f>
        <v>109984.47</v>
      </c>
    </row>
    <row r="440" spans="1:12" ht="14.25" x14ac:dyDescent="0.2">
      <c r="A440" s="58"/>
      <c r="B440" s="61"/>
      <c r="C440" s="115" t="s">
        <v>628</v>
      </c>
      <c r="D440" s="115"/>
      <c r="E440" s="115"/>
      <c r="F440" s="115"/>
      <c r="G440" s="115"/>
      <c r="H440" s="115"/>
      <c r="I440" s="46"/>
      <c r="J440" s="58"/>
      <c r="K440" s="44"/>
      <c r="L440" s="46">
        <f>SUM(BA59:BA420)</f>
        <v>62105.280000000006</v>
      </c>
    </row>
    <row r="441" spans="1:12" ht="14.25" hidden="1" x14ac:dyDescent="0.2">
      <c r="A441" s="58"/>
      <c r="B441" s="61"/>
      <c r="C441" s="115" t="s">
        <v>629</v>
      </c>
      <c r="D441" s="115"/>
      <c r="E441" s="115"/>
      <c r="F441" s="115"/>
      <c r="G441" s="115"/>
      <c r="H441" s="115"/>
      <c r="I441" s="46"/>
      <c r="J441" s="58"/>
      <c r="K441" s="44"/>
      <c r="L441" s="46">
        <f>L443+L444</f>
        <v>0</v>
      </c>
    </row>
    <row r="442" spans="1:12" ht="14.25" hidden="1" x14ac:dyDescent="0.2">
      <c r="A442" s="58"/>
      <c r="B442" s="61"/>
      <c r="C442" s="114" t="s">
        <v>601</v>
      </c>
      <c r="D442" s="115"/>
      <c r="E442" s="115"/>
      <c r="F442" s="115"/>
      <c r="G442" s="115"/>
      <c r="H442" s="115"/>
      <c r="I442" s="46"/>
      <c r="J442" s="58"/>
      <c r="K442" s="44"/>
      <c r="L442" s="46"/>
    </row>
    <row r="443" spans="1:12" ht="14.25" hidden="1" x14ac:dyDescent="0.2">
      <c r="A443" s="58"/>
      <c r="B443" s="61"/>
      <c r="C443" s="115" t="s">
        <v>618</v>
      </c>
      <c r="D443" s="115"/>
      <c r="E443" s="115"/>
      <c r="F443" s="115"/>
      <c r="G443" s="115"/>
      <c r="H443" s="115"/>
      <c r="I443" s="46"/>
      <c r="J443" s="58"/>
      <c r="K443" s="44"/>
      <c r="L443" s="46">
        <f>SUM(BK59:BK420)</f>
        <v>0</v>
      </c>
    </row>
    <row r="444" spans="1:12" ht="14.25" hidden="1" x14ac:dyDescent="0.2">
      <c r="A444" s="58"/>
      <c r="B444" s="61"/>
      <c r="C444" s="115" t="s">
        <v>619</v>
      </c>
      <c r="D444" s="115"/>
      <c r="E444" s="115"/>
      <c r="F444" s="115"/>
      <c r="G444" s="115"/>
      <c r="H444" s="115"/>
      <c r="I444" s="46"/>
      <c r="J444" s="58"/>
      <c r="K444" s="44"/>
      <c r="L444" s="46">
        <f>SUM(BD59:BD420)</f>
        <v>0</v>
      </c>
    </row>
    <row r="445" spans="1:12" ht="14.25" hidden="1" x14ac:dyDescent="0.2">
      <c r="A445" s="58"/>
      <c r="B445" s="61"/>
      <c r="C445" s="115" t="s">
        <v>630</v>
      </c>
      <c r="D445" s="115"/>
      <c r="E445" s="115"/>
      <c r="F445" s="115"/>
      <c r="G445" s="115"/>
      <c r="H445" s="115"/>
      <c r="I445" s="46"/>
      <c r="J445" s="58"/>
      <c r="K445" s="44"/>
      <c r="L445" s="46">
        <f>L396</f>
        <v>0</v>
      </c>
    </row>
    <row r="446" spans="1:12" ht="14.25" x14ac:dyDescent="0.2">
      <c r="A446" s="58"/>
      <c r="B446" s="61"/>
      <c r="C446" s="117" t="s">
        <v>631</v>
      </c>
      <c r="D446" s="115"/>
      <c r="E446" s="115"/>
      <c r="F446" s="115"/>
      <c r="G446" s="115"/>
      <c r="H446" s="115"/>
      <c r="I446" s="46"/>
      <c r="J446" s="58"/>
      <c r="K446" s="44"/>
      <c r="L446" s="46"/>
    </row>
    <row r="447" spans="1:12" ht="14.25" hidden="1" x14ac:dyDescent="0.2">
      <c r="A447" s="58"/>
      <c r="B447" s="61"/>
      <c r="C447" s="115" t="s">
        <v>632</v>
      </c>
      <c r="D447" s="115"/>
      <c r="E447" s="115"/>
      <c r="F447" s="115"/>
      <c r="G447" s="115"/>
      <c r="H447" s="115"/>
      <c r="I447" s="46"/>
      <c r="J447" s="58"/>
      <c r="K447" s="44"/>
      <c r="L447" s="46">
        <f>SUM(AX59:AX420)</f>
        <v>0</v>
      </c>
    </row>
    <row r="448" spans="1:12" ht="14.25" hidden="1" x14ac:dyDescent="0.2">
      <c r="A448" s="58"/>
      <c r="B448" s="61"/>
      <c r="C448" s="115" t="s">
        <v>633</v>
      </c>
      <c r="D448" s="115"/>
      <c r="E448" s="115"/>
      <c r="F448" s="115"/>
      <c r="G448" s="115"/>
      <c r="H448" s="115"/>
      <c r="I448" s="46"/>
      <c r="J448" s="58"/>
      <c r="K448" s="44"/>
      <c r="L448" s="46">
        <f>SUM(AY59:AY420)</f>
        <v>0</v>
      </c>
    </row>
    <row r="449" spans="1:12" ht="14.25" x14ac:dyDescent="0.2">
      <c r="A449" s="58"/>
      <c r="B449" s="61"/>
      <c r="C449" s="115" t="s">
        <v>634</v>
      </c>
      <c r="D449" s="115"/>
      <c r="E449" s="115"/>
      <c r="F449" s="119"/>
      <c r="G449" s="48">
        <f>Source!F80</f>
        <v>301.85435999999999</v>
      </c>
      <c r="H449" s="58"/>
      <c r="I449" s="58"/>
      <c r="J449" s="58"/>
      <c r="K449" s="58"/>
      <c r="L449" s="58"/>
    </row>
    <row r="450" spans="1:12" ht="14.25" x14ac:dyDescent="0.2">
      <c r="A450" s="58"/>
      <c r="B450" s="61"/>
      <c r="C450" s="115" t="s">
        <v>635</v>
      </c>
      <c r="D450" s="115"/>
      <c r="E450" s="115"/>
      <c r="F450" s="119"/>
      <c r="G450" s="48">
        <f>Source!F81</f>
        <v>3.6470050000000001</v>
      </c>
      <c r="H450" s="58"/>
      <c r="I450" s="58"/>
      <c r="J450" s="58"/>
      <c r="K450" s="58"/>
      <c r="L450" s="58"/>
    </row>
    <row r="452" spans="1:12" ht="14.25" hidden="1" x14ac:dyDescent="0.2">
      <c r="C452" s="118" t="str">
        <f>Source!H87</f>
        <v>ОТ</v>
      </c>
      <c r="D452" s="118"/>
      <c r="E452" s="118"/>
      <c r="F452" s="118"/>
      <c r="G452" s="118"/>
      <c r="H452" s="118"/>
      <c r="I452" s="118"/>
      <c r="J452" s="118"/>
      <c r="K452" s="118"/>
      <c r="L452" s="56">
        <f>IF(Source!Y87=0, "", Source!Y87)</f>
        <v>111190.41</v>
      </c>
    </row>
    <row r="453" spans="1:12" ht="14.25" hidden="1" x14ac:dyDescent="0.2">
      <c r="C453" s="118" t="str">
        <f>Source!H88</f>
        <v>ЭМ, в т.ч. ОТм</v>
      </c>
      <c r="D453" s="118"/>
      <c r="E453" s="118"/>
      <c r="F453" s="118"/>
      <c r="G453" s="118"/>
      <c r="H453" s="118"/>
      <c r="I453" s="118"/>
      <c r="J453" s="118"/>
      <c r="K453" s="118"/>
      <c r="L453" s="56">
        <f>IF(Source!Y88=0, "", Source!Y88)</f>
        <v>8163.72</v>
      </c>
    </row>
    <row r="454" spans="1:12" ht="14.25" hidden="1" x14ac:dyDescent="0.2">
      <c r="C454" s="118" t="str">
        <f>Source!H89</f>
        <v>Стоимость материальных ресурсов</v>
      </c>
      <c r="D454" s="118"/>
      <c r="E454" s="118"/>
      <c r="F454" s="118"/>
      <c r="G454" s="118"/>
      <c r="H454" s="118"/>
      <c r="I454" s="118"/>
      <c r="J454" s="118"/>
      <c r="K454" s="118"/>
      <c r="L454" s="56">
        <f>IF(Source!Y89=0, "", Source!Y89)</f>
        <v>614527.97</v>
      </c>
    </row>
    <row r="455" spans="1:12" ht="14.25" hidden="1" x14ac:dyDescent="0.2">
      <c r="C455" s="118" t="str">
        <f>Source!H91</f>
        <v>НР</v>
      </c>
      <c r="D455" s="118"/>
      <c r="E455" s="118"/>
      <c r="F455" s="118"/>
      <c r="G455" s="118"/>
      <c r="H455" s="118"/>
      <c r="I455" s="118"/>
      <c r="J455" s="118"/>
      <c r="K455" s="118"/>
      <c r="L455" s="56">
        <f>IF(Source!Y91=0, "", Source!Y91)</f>
        <v>109984.47</v>
      </c>
    </row>
    <row r="456" spans="1:12" ht="14.25" hidden="1" x14ac:dyDescent="0.2">
      <c r="C456" s="118" t="str">
        <f>Source!H92</f>
        <v>СП</v>
      </c>
      <c r="D456" s="118"/>
      <c r="E456" s="118"/>
      <c r="F456" s="118"/>
      <c r="G456" s="118"/>
      <c r="H456" s="118"/>
      <c r="I456" s="118"/>
      <c r="J456" s="118"/>
      <c r="K456" s="118"/>
      <c r="L456" s="56">
        <f>IF(Source!Y92=0, "", Source!Y92)</f>
        <v>62105.279999999999</v>
      </c>
    </row>
    <row r="457" spans="1:12" ht="14.25" x14ac:dyDescent="0.2">
      <c r="C457" s="118" t="str">
        <f>Source!H94</f>
        <v>Всего</v>
      </c>
      <c r="D457" s="118"/>
      <c r="E457" s="118"/>
      <c r="F457" s="118"/>
      <c r="G457" s="118"/>
      <c r="H457" s="118"/>
      <c r="I457" s="118"/>
      <c r="J457" s="118"/>
      <c r="K457" s="118"/>
      <c r="L457" s="56">
        <f>IF(Source!Y94=0, "", Source!Y94)</f>
        <v>907432.7</v>
      </c>
    </row>
    <row r="458" spans="1:12" ht="14.25" x14ac:dyDescent="0.2">
      <c r="C458" s="118" t="str">
        <f>Source!H95</f>
        <v>Непредвиденные затраты 2%</v>
      </c>
      <c r="D458" s="118"/>
      <c r="E458" s="118"/>
      <c r="F458" s="118"/>
      <c r="G458" s="118"/>
      <c r="H458" s="118"/>
      <c r="I458" s="118"/>
      <c r="J458" s="118"/>
      <c r="K458" s="118"/>
      <c r="L458" s="56">
        <f>IF(Source!Y95=0, "", Source!Y95)</f>
        <v>18148.650000000001</v>
      </c>
    </row>
    <row r="459" spans="1:12" ht="14.25" x14ac:dyDescent="0.2">
      <c r="C459" s="118" t="str">
        <f>Source!H96</f>
        <v>Итого с непредвиденными затратами</v>
      </c>
      <c r="D459" s="118"/>
      <c r="E459" s="118"/>
      <c r="F459" s="118"/>
      <c r="G459" s="118"/>
      <c r="H459" s="118"/>
      <c r="I459" s="118"/>
      <c r="J459" s="118"/>
      <c r="K459" s="118"/>
      <c r="L459" s="56">
        <f>IF(Source!Y96=0, "", Source!Y96)</f>
        <v>925581.35</v>
      </c>
    </row>
    <row r="460" spans="1:12" ht="14.25" x14ac:dyDescent="0.2">
      <c r="C460" s="118" t="str">
        <f>Source!H97</f>
        <v>НДС 22%</v>
      </c>
      <c r="D460" s="118"/>
      <c r="E460" s="118"/>
      <c r="F460" s="118"/>
      <c r="G460" s="118"/>
      <c r="H460" s="118"/>
      <c r="I460" s="118"/>
      <c r="J460" s="118"/>
      <c r="K460" s="118"/>
      <c r="L460" s="56">
        <f>IF(Source!Y97=0, "", Source!Y97)</f>
        <v>203627.9</v>
      </c>
    </row>
    <row r="461" spans="1:12" ht="15" x14ac:dyDescent="0.25">
      <c r="C461" s="122" t="str">
        <f>Source!H98</f>
        <v>Итого с НДС</v>
      </c>
      <c r="D461" s="122"/>
      <c r="E461" s="122"/>
      <c r="F461" s="122"/>
      <c r="G461" s="122"/>
      <c r="H461" s="122"/>
      <c r="I461" s="122"/>
      <c r="J461" s="122"/>
      <c r="K461" s="122"/>
      <c r="L461" s="76">
        <f>IF(Source!Y98=0, "", Source!Y98)</f>
        <v>1129209.25</v>
      </c>
    </row>
    <row r="462" spans="1:12" ht="14.25" hidden="1" x14ac:dyDescent="0.2">
      <c r="C462" s="118" t="str">
        <f>Source!H99</f>
        <v>д.б.</v>
      </c>
      <c r="D462" s="118"/>
      <c r="E462" s="118"/>
      <c r="F462" s="118"/>
      <c r="G462" s="118"/>
      <c r="H462" s="118"/>
      <c r="I462" s="118"/>
      <c r="J462" s="118"/>
      <c r="K462" s="118"/>
      <c r="L462" s="69">
        <f>IF(Source!Y99=0, "", Source!Y99)</f>
        <v>1129828.18</v>
      </c>
    </row>
    <row r="463" spans="1:12" ht="14.25" hidden="1" x14ac:dyDescent="0.2">
      <c r="C463" s="118" t="str">
        <f>Source!H100</f>
        <v>р</v>
      </c>
      <c r="D463" s="118"/>
      <c r="E463" s="118"/>
      <c r="F463" s="118"/>
      <c r="G463" s="118"/>
      <c r="H463" s="118"/>
      <c r="I463" s="118"/>
      <c r="J463" s="118"/>
      <c r="K463" s="118"/>
      <c r="L463" s="56">
        <f>IF(Source!Y100=0, "", Source!Y100)</f>
        <v>-618.92999999999995</v>
      </c>
    </row>
    <row r="467" spans="1:12" ht="13.9" customHeight="1" x14ac:dyDescent="0.2">
      <c r="A467" s="77"/>
      <c r="B467" s="78"/>
      <c r="C467" s="79"/>
      <c r="D467" s="80"/>
      <c r="E467" s="80"/>
      <c r="F467" s="120"/>
      <c r="G467" s="120"/>
      <c r="H467" s="81"/>
      <c r="I467" s="82"/>
      <c r="J467" s="82"/>
      <c r="K467" s="83"/>
      <c r="L467" s="83"/>
    </row>
    <row r="468" spans="1:12" ht="13.9" customHeight="1" x14ac:dyDescent="0.2">
      <c r="A468" s="77"/>
      <c r="B468" s="84"/>
      <c r="C468" s="121"/>
      <c r="D468" s="121"/>
      <c r="E468" s="121"/>
      <c r="F468" s="121"/>
      <c r="G468" s="121"/>
      <c r="H468" s="82"/>
      <c r="I468" s="82"/>
      <c r="J468" s="82"/>
      <c r="K468" s="83"/>
      <c r="L468" s="83"/>
    </row>
    <row r="469" spans="1:12" ht="13.9" customHeight="1" x14ac:dyDescent="0.2">
      <c r="A469" s="77"/>
      <c r="B469" s="84"/>
      <c r="C469" s="85"/>
      <c r="D469" s="85"/>
      <c r="E469" s="85"/>
      <c r="F469" s="85"/>
      <c r="G469" s="85"/>
      <c r="H469" s="82"/>
      <c r="I469" s="82"/>
      <c r="J469" s="82"/>
      <c r="K469" s="83"/>
      <c r="L469" s="83"/>
    </row>
    <row r="470" spans="1:12" ht="13.9" customHeight="1" x14ac:dyDescent="0.2">
      <c r="A470" s="77"/>
      <c r="B470" s="78"/>
      <c r="C470" s="79"/>
      <c r="D470" s="80"/>
      <c r="E470" s="80"/>
      <c r="F470" s="120"/>
      <c r="G470" s="120"/>
      <c r="H470" s="81"/>
      <c r="I470" s="82"/>
      <c r="J470" s="82"/>
      <c r="K470" s="83"/>
      <c r="L470" s="83"/>
    </row>
    <row r="471" spans="1:12" ht="13.9" customHeight="1" x14ac:dyDescent="0.2">
      <c r="A471" s="85"/>
      <c r="B471" s="85"/>
      <c r="C471" s="121"/>
      <c r="D471" s="121"/>
      <c r="E471" s="121"/>
      <c r="F471" s="121"/>
      <c r="G471" s="121"/>
      <c r="H471" s="82"/>
      <c r="I471" s="82"/>
      <c r="J471" s="82"/>
      <c r="K471" s="83"/>
      <c r="L471" s="83"/>
    </row>
  </sheetData>
  <mergeCells count="205">
    <mergeCell ref="F467:G467"/>
    <mergeCell ref="C468:G468"/>
    <mergeCell ref="F470:G470"/>
    <mergeCell ref="C471:G471"/>
    <mergeCell ref="C459:K459"/>
    <mergeCell ref="C460:K460"/>
    <mergeCell ref="C461:K461"/>
    <mergeCell ref="C462:K462"/>
    <mergeCell ref="C463:K463"/>
    <mergeCell ref="C453:K453"/>
    <mergeCell ref="C454:K454"/>
    <mergeCell ref="C455:K455"/>
    <mergeCell ref="C456:K456"/>
    <mergeCell ref="C457:K457"/>
    <mergeCell ref="C458:K458"/>
    <mergeCell ref="C446:H446"/>
    <mergeCell ref="C447:H447"/>
    <mergeCell ref="C448:H448"/>
    <mergeCell ref="C449:F449"/>
    <mergeCell ref="C450:F450"/>
    <mergeCell ref="C452:K452"/>
    <mergeCell ref="C440:H440"/>
    <mergeCell ref="C441:H441"/>
    <mergeCell ref="C442:H442"/>
    <mergeCell ref="C443:H443"/>
    <mergeCell ref="C444:H444"/>
    <mergeCell ref="C445:H445"/>
    <mergeCell ref="C434:H434"/>
    <mergeCell ref="C435:H435"/>
    <mergeCell ref="C436:H436"/>
    <mergeCell ref="C437:H437"/>
    <mergeCell ref="C438:H438"/>
    <mergeCell ref="C439:H439"/>
    <mergeCell ref="C428:H428"/>
    <mergeCell ref="C429:H429"/>
    <mergeCell ref="C430:H430"/>
    <mergeCell ref="C431:H431"/>
    <mergeCell ref="C432:H432"/>
    <mergeCell ref="C433:H433"/>
    <mergeCell ref="C422:H422"/>
    <mergeCell ref="C423:H423"/>
    <mergeCell ref="C424:H424"/>
    <mergeCell ref="C425:H425"/>
    <mergeCell ref="C426:H426"/>
    <mergeCell ref="C427:H427"/>
    <mergeCell ref="C415:H415"/>
    <mergeCell ref="C416:H416"/>
    <mergeCell ref="C417:H417"/>
    <mergeCell ref="C418:H418"/>
    <mergeCell ref="C419:H419"/>
    <mergeCell ref="C420:H420"/>
    <mergeCell ref="C409:H409"/>
    <mergeCell ref="C410:H410"/>
    <mergeCell ref="C411:H411"/>
    <mergeCell ref="C412:H412"/>
    <mergeCell ref="C413:H413"/>
    <mergeCell ref="C414:H414"/>
    <mergeCell ref="C403:H403"/>
    <mergeCell ref="C404:H404"/>
    <mergeCell ref="C405:H405"/>
    <mergeCell ref="C406:H406"/>
    <mergeCell ref="C407:H407"/>
    <mergeCell ref="C408:H408"/>
    <mergeCell ref="C397:H397"/>
    <mergeCell ref="C398:H398"/>
    <mergeCell ref="C399:H399"/>
    <mergeCell ref="C400:H400"/>
    <mergeCell ref="C401:H401"/>
    <mergeCell ref="C402:H402"/>
    <mergeCell ref="C389:H389"/>
    <mergeCell ref="C391:H391"/>
    <mergeCell ref="C392:H392"/>
    <mergeCell ref="C393:H393"/>
    <mergeCell ref="C394:H394"/>
    <mergeCell ref="C396:H396"/>
    <mergeCell ref="C383:H383"/>
    <mergeCell ref="C384:H384"/>
    <mergeCell ref="C385:H385"/>
    <mergeCell ref="C386:H386"/>
    <mergeCell ref="C387:H387"/>
    <mergeCell ref="C388:H388"/>
    <mergeCell ref="C377:H377"/>
    <mergeCell ref="C378:H378"/>
    <mergeCell ref="C379:H379"/>
    <mergeCell ref="C380:H380"/>
    <mergeCell ref="C381:H381"/>
    <mergeCell ref="C382:H382"/>
    <mergeCell ref="C371:H371"/>
    <mergeCell ref="C372:H372"/>
    <mergeCell ref="C373:H373"/>
    <mergeCell ref="C374:H374"/>
    <mergeCell ref="C375:H375"/>
    <mergeCell ref="C376:H376"/>
    <mergeCell ref="C364:H364"/>
    <mergeCell ref="C365:H365"/>
    <mergeCell ref="C366:H366"/>
    <mergeCell ref="C367:H367"/>
    <mergeCell ref="C368:H368"/>
    <mergeCell ref="C369:H369"/>
    <mergeCell ref="C358:H358"/>
    <mergeCell ref="C359:H359"/>
    <mergeCell ref="C360:H360"/>
    <mergeCell ref="C361:H361"/>
    <mergeCell ref="C362:H362"/>
    <mergeCell ref="C363:H363"/>
    <mergeCell ref="C352:H352"/>
    <mergeCell ref="C353:H353"/>
    <mergeCell ref="C354:H354"/>
    <mergeCell ref="C355:H355"/>
    <mergeCell ref="C356:H356"/>
    <mergeCell ref="C357:H357"/>
    <mergeCell ref="C327:L327"/>
    <mergeCell ref="C347:H347"/>
    <mergeCell ref="I347:J347"/>
    <mergeCell ref="K347:L347"/>
    <mergeCell ref="C349:H349"/>
    <mergeCell ref="C351:H351"/>
    <mergeCell ref="C305:H305"/>
    <mergeCell ref="I305:J305"/>
    <mergeCell ref="K305:L305"/>
    <mergeCell ref="C307:L307"/>
    <mergeCell ref="C325:H325"/>
    <mergeCell ref="I325:J325"/>
    <mergeCell ref="K325:L325"/>
    <mergeCell ref="C274:H274"/>
    <mergeCell ref="I274:J274"/>
    <mergeCell ref="K274:L274"/>
    <mergeCell ref="C296:H296"/>
    <mergeCell ref="I296:J296"/>
    <mergeCell ref="K296:L296"/>
    <mergeCell ref="C231:L231"/>
    <mergeCell ref="C246:H246"/>
    <mergeCell ref="I246:J246"/>
    <mergeCell ref="K246:L246"/>
    <mergeCell ref="C248:L248"/>
    <mergeCell ref="C264:H264"/>
    <mergeCell ref="I264:J264"/>
    <mergeCell ref="K264:L264"/>
    <mergeCell ref="C187:L187"/>
    <mergeCell ref="C208:H208"/>
    <mergeCell ref="I208:J208"/>
    <mergeCell ref="K208:L208"/>
    <mergeCell ref="C210:L210"/>
    <mergeCell ref="C229:H229"/>
    <mergeCell ref="I229:J229"/>
    <mergeCell ref="K229:L229"/>
    <mergeCell ref="C140:L140"/>
    <mergeCell ref="C163:H163"/>
    <mergeCell ref="I163:J163"/>
    <mergeCell ref="K163:L163"/>
    <mergeCell ref="C165:L165"/>
    <mergeCell ref="C185:H185"/>
    <mergeCell ref="I185:J185"/>
    <mergeCell ref="K185:L185"/>
    <mergeCell ref="C86:L86"/>
    <mergeCell ref="C106:H106"/>
    <mergeCell ref="I106:J106"/>
    <mergeCell ref="K106:L106"/>
    <mergeCell ref="C108:L108"/>
    <mergeCell ref="C138:H138"/>
    <mergeCell ref="I138:J138"/>
    <mergeCell ref="K138:L138"/>
    <mergeCell ref="C72:H72"/>
    <mergeCell ref="I72:J72"/>
    <mergeCell ref="K72:L72"/>
    <mergeCell ref="C84:H84"/>
    <mergeCell ref="I84:J84"/>
    <mergeCell ref="K84:L84"/>
    <mergeCell ref="A53:A57"/>
    <mergeCell ref="B53:B57"/>
    <mergeCell ref="C53:C57"/>
    <mergeCell ref="D53:D57"/>
    <mergeCell ref="E53:G56"/>
    <mergeCell ref="H53:L56"/>
    <mergeCell ref="C41:L41"/>
    <mergeCell ref="C45:D45"/>
    <mergeCell ref="C48:D48"/>
    <mergeCell ref="C49:D49"/>
    <mergeCell ref="C50:D50"/>
    <mergeCell ref="C51:D51"/>
    <mergeCell ref="A29:L29"/>
    <mergeCell ref="A30:L30"/>
    <mergeCell ref="A32:L32"/>
    <mergeCell ref="A34:L34"/>
    <mergeCell ref="A35:L35"/>
    <mergeCell ref="C40:L40"/>
    <mergeCell ref="A23:E23"/>
    <mergeCell ref="F23:L23"/>
    <mergeCell ref="A26:L26"/>
    <mergeCell ref="A27:L27"/>
    <mergeCell ref="A15:E15"/>
    <mergeCell ref="F15:L15"/>
    <mergeCell ref="A17:E17"/>
    <mergeCell ref="F17:L17"/>
    <mergeCell ref="A19:E19"/>
    <mergeCell ref="F19:L19"/>
    <mergeCell ref="A9:E9"/>
    <mergeCell ref="F9:L9"/>
    <mergeCell ref="A11:E11"/>
    <mergeCell ref="F11:L11"/>
    <mergeCell ref="A13:E13"/>
    <mergeCell ref="F13:L13"/>
    <mergeCell ref="I1:L1"/>
    <mergeCell ref="A21:E21"/>
    <mergeCell ref="F21:L21"/>
  </mergeCells>
  <pageMargins left="0.4" right="0.2" top="0.2" bottom="0.4" header="0.2" footer="0.2"/>
  <pageSetup paperSize="9" scale="69" fitToHeight="0" orientation="landscape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75"/>
  <sheetViews>
    <sheetView topLeftCell="A31" workbookViewId="0">
      <selection activeCell="G52" sqref="G52:I56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26294</v>
      </c>
      <c r="M1">
        <v>10</v>
      </c>
      <c r="N1">
        <v>12</v>
      </c>
      <c r="O1">
        <v>1</v>
      </c>
      <c r="P1">
        <v>0</v>
      </c>
      <c r="Q1">
        <v>2</v>
      </c>
    </row>
    <row r="12" spans="1:133" x14ac:dyDescent="0.2">
      <c r="A12" s="1">
        <v>1</v>
      </c>
      <c r="B12" s="1">
        <v>169</v>
      </c>
      <c r="C12" s="1">
        <v>0</v>
      </c>
      <c r="D12" s="1">
        <f>ROW(A102)</f>
        <v>102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12</v>
      </c>
      <c r="CR12" s="1" t="s">
        <v>13</v>
      </c>
      <c r="CS12" s="1">
        <v>46073</v>
      </c>
      <c r="CT12" s="1">
        <v>540</v>
      </c>
      <c r="CU12" s="1">
        <v>17</v>
      </c>
      <c r="CV12" s="1" t="s">
        <v>479</v>
      </c>
      <c r="CW12" s="1"/>
      <c r="CX12" s="1"/>
      <c r="CY12" s="1">
        <v>0</v>
      </c>
      <c r="CZ12" s="1" t="s">
        <v>14</v>
      </c>
      <c r="DA12" s="1" t="s">
        <v>14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55" x14ac:dyDescent="0.2">
      <c r="A18" s="3">
        <v>52</v>
      </c>
      <c r="B18" s="3">
        <f t="shared" ref="B18:G18" si="0">B102</f>
        <v>169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Новый объект</v>
      </c>
      <c r="G18" s="3" t="str">
        <f t="shared" si="0"/>
        <v>Ремонт входной группы ОПС 428017 Чебоксары</v>
      </c>
      <c r="H18" s="3"/>
      <c r="I18" s="3"/>
      <c r="J18" s="3"/>
      <c r="K18" s="3"/>
      <c r="L18" s="3"/>
      <c r="M18" s="3"/>
      <c r="N18" s="3"/>
      <c r="O18" s="3">
        <f t="shared" ref="O18:AT18" si="1">O102</f>
        <v>735342.95</v>
      </c>
      <c r="P18" s="3">
        <f t="shared" si="1"/>
        <v>614527.97</v>
      </c>
      <c r="Q18" s="3">
        <f t="shared" si="1"/>
        <v>8163.72</v>
      </c>
      <c r="R18" s="3">
        <f t="shared" si="1"/>
        <v>1460.85</v>
      </c>
      <c r="S18" s="3">
        <f t="shared" si="1"/>
        <v>111190.41</v>
      </c>
      <c r="T18" s="3">
        <f t="shared" si="1"/>
        <v>0</v>
      </c>
      <c r="U18" s="3">
        <f t="shared" si="1"/>
        <v>301.85435999999999</v>
      </c>
      <c r="V18" s="3">
        <f t="shared" si="1"/>
        <v>3.6470050000000005</v>
      </c>
      <c r="W18" s="3">
        <f t="shared" si="1"/>
        <v>0</v>
      </c>
      <c r="X18" s="3">
        <f t="shared" si="1"/>
        <v>109984.47</v>
      </c>
      <c r="Y18" s="3">
        <f t="shared" si="1"/>
        <v>62105.279999999999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907432.7</v>
      </c>
      <c r="AS18" s="3">
        <f t="shared" si="1"/>
        <v>907432.7</v>
      </c>
      <c r="AT18" s="3">
        <f t="shared" si="1"/>
        <v>0</v>
      </c>
      <c r="AU18" s="3">
        <f t="shared" ref="AU18:BZ18" si="2">AU102</f>
        <v>0</v>
      </c>
      <c r="AV18" s="3">
        <f t="shared" si="2"/>
        <v>614527.97</v>
      </c>
      <c r="AW18" s="3">
        <f t="shared" si="2"/>
        <v>614527.97</v>
      </c>
      <c r="AX18" s="3">
        <f t="shared" si="2"/>
        <v>0</v>
      </c>
      <c r="AY18" s="3">
        <f t="shared" si="2"/>
        <v>614527.97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CA102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DG102</f>
        <v>0</v>
      </c>
      <c r="DH18" s="4">
        <f t="shared" si="4"/>
        <v>0</v>
      </c>
      <c r="DI18" s="4">
        <f t="shared" si="4"/>
        <v>0</v>
      </c>
      <c r="DJ18" s="4">
        <f t="shared" si="4"/>
        <v>0</v>
      </c>
      <c r="DK18" s="4">
        <f t="shared" si="4"/>
        <v>0</v>
      </c>
      <c r="DL18" s="4">
        <f t="shared" si="4"/>
        <v>0</v>
      </c>
      <c r="DM18" s="4">
        <f t="shared" si="4"/>
        <v>0</v>
      </c>
      <c r="DN18" s="4">
        <f t="shared" si="4"/>
        <v>0</v>
      </c>
      <c r="DO18" s="4">
        <f t="shared" si="4"/>
        <v>0</v>
      </c>
      <c r="DP18" s="4">
        <f t="shared" si="4"/>
        <v>0</v>
      </c>
      <c r="DQ18" s="4">
        <f t="shared" si="4"/>
        <v>0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>
        <f t="shared" si="4"/>
        <v>0</v>
      </c>
      <c r="EK18" s="4">
        <f t="shared" si="4"/>
        <v>0</v>
      </c>
      <c r="EL18" s="4">
        <f t="shared" si="4"/>
        <v>0</v>
      </c>
      <c r="EM18" s="4">
        <f t="shared" ref="EM18:FR18" si="5">EM102</f>
        <v>0</v>
      </c>
      <c r="EN18" s="4">
        <f t="shared" si="5"/>
        <v>0</v>
      </c>
      <c r="EO18" s="4">
        <f t="shared" si="5"/>
        <v>0</v>
      </c>
      <c r="EP18" s="4">
        <f t="shared" si="5"/>
        <v>0</v>
      </c>
      <c r="EQ18" s="4">
        <f t="shared" si="5"/>
        <v>0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FS102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">
      <c r="A20" s="1">
        <v>3</v>
      </c>
      <c r="B20" s="1">
        <v>1</v>
      </c>
      <c r="C20" s="1"/>
      <c r="D20" s="1">
        <f>ROW(A58)</f>
        <v>58</v>
      </c>
      <c r="E20" s="1"/>
      <c r="F20" s="1" t="s">
        <v>15</v>
      </c>
      <c r="G20" s="1" t="s">
        <v>15</v>
      </c>
      <c r="H20" s="1" t="s">
        <v>3</v>
      </c>
      <c r="I20" s="1">
        <v>0</v>
      </c>
      <c r="J20" s="1" t="s">
        <v>3</v>
      </c>
      <c r="K20" s="1">
        <v>0</v>
      </c>
      <c r="L20" s="1" t="s">
        <v>15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55" x14ac:dyDescent="0.2">
      <c r="A22" s="3">
        <v>52</v>
      </c>
      <c r="B22" s="3">
        <f t="shared" ref="B22:G22" si="7">B58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Новая локальная смета</v>
      </c>
      <c r="G22" s="3" t="str">
        <f t="shared" si="7"/>
        <v>Новая локальная смета</v>
      </c>
      <c r="H22" s="3"/>
      <c r="I22" s="3"/>
      <c r="J22" s="3"/>
      <c r="K22" s="3"/>
      <c r="L22" s="3"/>
      <c r="M22" s="3"/>
      <c r="N22" s="3"/>
      <c r="O22" s="3">
        <f t="shared" ref="O22:AT22" si="8">O58</f>
        <v>735342.95</v>
      </c>
      <c r="P22" s="3">
        <f t="shared" si="8"/>
        <v>614527.97</v>
      </c>
      <c r="Q22" s="3">
        <f t="shared" si="8"/>
        <v>8163.72</v>
      </c>
      <c r="R22" s="3">
        <f t="shared" si="8"/>
        <v>1460.85</v>
      </c>
      <c r="S22" s="3">
        <f t="shared" si="8"/>
        <v>111190.41</v>
      </c>
      <c r="T22" s="3">
        <f t="shared" si="8"/>
        <v>0</v>
      </c>
      <c r="U22" s="3">
        <f t="shared" si="8"/>
        <v>301.85435999999999</v>
      </c>
      <c r="V22" s="3">
        <f t="shared" si="8"/>
        <v>3.6470050000000005</v>
      </c>
      <c r="W22" s="3">
        <f t="shared" si="8"/>
        <v>0</v>
      </c>
      <c r="X22" s="3">
        <f t="shared" si="8"/>
        <v>109984.47</v>
      </c>
      <c r="Y22" s="3">
        <f t="shared" si="8"/>
        <v>62105.279999999999</v>
      </c>
      <c r="Z22" s="3">
        <f t="shared" si="8"/>
        <v>0</v>
      </c>
      <c r="AA22" s="3">
        <f t="shared" si="8"/>
        <v>0</v>
      </c>
      <c r="AB22" s="3">
        <f t="shared" si="8"/>
        <v>735342.95</v>
      </c>
      <c r="AC22" s="3">
        <f t="shared" si="8"/>
        <v>614527.97</v>
      </c>
      <c r="AD22" s="3">
        <f t="shared" si="8"/>
        <v>8163.72</v>
      </c>
      <c r="AE22" s="3">
        <f t="shared" si="8"/>
        <v>1460.85</v>
      </c>
      <c r="AF22" s="3">
        <f t="shared" si="8"/>
        <v>111190.41</v>
      </c>
      <c r="AG22" s="3">
        <f t="shared" si="8"/>
        <v>0</v>
      </c>
      <c r="AH22" s="3">
        <f t="shared" si="8"/>
        <v>301.85435999999999</v>
      </c>
      <c r="AI22" s="3">
        <f t="shared" si="8"/>
        <v>3.6470050000000005</v>
      </c>
      <c r="AJ22" s="3">
        <f t="shared" si="8"/>
        <v>0</v>
      </c>
      <c r="AK22" s="3">
        <f t="shared" si="8"/>
        <v>109984.47</v>
      </c>
      <c r="AL22" s="3">
        <f t="shared" si="8"/>
        <v>62105.279999999999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907432.7</v>
      </c>
      <c r="AS22" s="3">
        <f t="shared" si="8"/>
        <v>907432.7</v>
      </c>
      <c r="AT22" s="3">
        <f t="shared" si="8"/>
        <v>0</v>
      </c>
      <c r="AU22" s="3">
        <f t="shared" ref="AU22:BZ22" si="9">AU58</f>
        <v>0</v>
      </c>
      <c r="AV22" s="3">
        <f t="shared" si="9"/>
        <v>614527.97</v>
      </c>
      <c r="AW22" s="3">
        <f t="shared" si="9"/>
        <v>614527.97</v>
      </c>
      <c r="AX22" s="3">
        <f t="shared" si="9"/>
        <v>0</v>
      </c>
      <c r="AY22" s="3">
        <f t="shared" si="9"/>
        <v>614527.97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CA58</f>
        <v>907432.7</v>
      </c>
      <c r="CB22" s="3">
        <f t="shared" si="10"/>
        <v>907432.7</v>
      </c>
      <c r="CC22" s="3">
        <f t="shared" si="10"/>
        <v>0</v>
      </c>
      <c r="CD22" s="3">
        <f t="shared" si="10"/>
        <v>0</v>
      </c>
      <c r="CE22" s="3">
        <f t="shared" si="10"/>
        <v>614527.97</v>
      </c>
      <c r="CF22" s="3">
        <f t="shared" si="10"/>
        <v>614527.97</v>
      </c>
      <c r="CG22" s="3">
        <f t="shared" si="10"/>
        <v>0</v>
      </c>
      <c r="CH22" s="3">
        <f t="shared" si="10"/>
        <v>614527.97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DG58</f>
        <v>0</v>
      </c>
      <c r="DH22" s="4">
        <f t="shared" si="11"/>
        <v>0</v>
      </c>
      <c r="DI22" s="4">
        <f t="shared" si="11"/>
        <v>0</v>
      </c>
      <c r="DJ22" s="4">
        <f t="shared" si="11"/>
        <v>0</v>
      </c>
      <c r="DK22" s="4">
        <f t="shared" si="11"/>
        <v>0</v>
      </c>
      <c r="DL22" s="4">
        <f t="shared" si="11"/>
        <v>0</v>
      </c>
      <c r="DM22" s="4">
        <f t="shared" si="11"/>
        <v>0</v>
      </c>
      <c r="DN22" s="4">
        <f t="shared" si="11"/>
        <v>0</v>
      </c>
      <c r="DO22" s="4">
        <f t="shared" si="11"/>
        <v>0</v>
      </c>
      <c r="DP22" s="4">
        <f t="shared" si="11"/>
        <v>0</v>
      </c>
      <c r="DQ22" s="4">
        <f t="shared" si="11"/>
        <v>0</v>
      </c>
      <c r="DR22" s="4">
        <f t="shared" si="11"/>
        <v>0</v>
      </c>
      <c r="DS22" s="4">
        <f t="shared" si="11"/>
        <v>0</v>
      </c>
      <c r="DT22" s="4">
        <f t="shared" si="11"/>
        <v>0</v>
      </c>
      <c r="DU22" s="4">
        <f t="shared" si="11"/>
        <v>0</v>
      </c>
      <c r="DV22" s="4">
        <f t="shared" si="11"/>
        <v>0</v>
      </c>
      <c r="DW22" s="4">
        <f t="shared" si="11"/>
        <v>0</v>
      </c>
      <c r="DX22" s="4">
        <f t="shared" si="11"/>
        <v>0</v>
      </c>
      <c r="DY22" s="4">
        <f t="shared" si="11"/>
        <v>0</v>
      </c>
      <c r="DZ22" s="4">
        <f t="shared" si="11"/>
        <v>0</v>
      </c>
      <c r="EA22" s="4">
        <f t="shared" si="11"/>
        <v>0</v>
      </c>
      <c r="EB22" s="4">
        <f t="shared" si="11"/>
        <v>0</v>
      </c>
      <c r="EC22" s="4">
        <f t="shared" si="11"/>
        <v>0</v>
      </c>
      <c r="ED22" s="4">
        <f t="shared" si="11"/>
        <v>0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>
        <f t="shared" si="11"/>
        <v>0</v>
      </c>
      <c r="EK22" s="4">
        <f t="shared" si="11"/>
        <v>0</v>
      </c>
      <c r="EL22" s="4">
        <f t="shared" si="11"/>
        <v>0</v>
      </c>
      <c r="EM22" s="4">
        <f t="shared" ref="EM22:FR22" si="12">EM58</f>
        <v>0</v>
      </c>
      <c r="EN22" s="4">
        <f t="shared" si="12"/>
        <v>0</v>
      </c>
      <c r="EO22" s="4">
        <f t="shared" si="12"/>
        <v>0</v>
      </c>
      <c r="EP22" s="4">
        <f t="shared" si="12"/>
        <v>0</v>
      </c>
      <c r="EQ22" s="4">
        <f t="shared" si="12"/>
        <v>0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FS58</f>
        <v>0</v>
      </c>
      <c r="FT22" s="4">
        <f t="shared" si="13"/>
        <v>0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ht="13.15" customHeight="1" x14ac:dyDescent="0.2">
      <c r="A24" s="2">
        <v>17</v>
      </c>
      <c r="B24" s="2">
        <v>1</v>
      </c>
      <c r="C24" s="2">
        <f>ROW(SmtRes!A4)</f>
        <v>4</v>
      </c>
      <c r="D24" s="2">
        <f>ROW(EtalonRes!A4)</f>
        <v>4</v>
      </c>
      <c r="E24" s="2" t="s">
        <v>16</v>
      </c>
      <c r="F24" s="2" t="s">
        <v>17</v>
      </c>
      <c r="G24" s="86" t="s">
        <v>18</v>
      </c>
      <c r="H24" s="86" t="s">
        <v>19</v>
      </c>
      <c r="I24" s="86">
        <f>ROUND((27+2*1.5)/100,7)</f>
        <v>0.3</v>
      </c>
      <c r="J24" s="2">
        <v>0</v>
      </c>
      <c r="K24" s="2">
        <f>ROUND((27+2*1.5)/100,7)</f>
        <v>0.3</v>
      </c>
      <c r="L24" s="2"/>
      <c r="M24" s="2"/>
      <c r="N24" s="2"/>
      <c r="O24" s="2">
        <f t="shared" ref="O24:O56" si="14">ROUND(CP24,2)</f>
        <v>8452.64</v>
      </c>
      <c r="P24" s="2">
        <f>SUMIF(SmtRes!AQ1:'SmtRes'!AQ4,"=1",SmtRes!DF1:'SmtRes'!DF4)</f>
        <v>0</v>
      </c>
      <c r="Q24" s="2">
        <f>SUMIF(SmtRes!AQ1:'SmtRes'!AQ4,"=1",SmtRes!DG1:'SmtRes'!DG4)</f>
        <v>14.42</v>
      </c>
      <c r="R24" s="2">
        <f>SUMIF(SmtRes!AQ1:'SmtRes'!AQ4,"=1",SmtRes!DH1:'SmtRes'!DH4)</f>
        <v>85.24</v>
      </c>
      <c r="S24" s="2">
        <f>SUMIF(SmtRes!AQ1:'SmtRes'!AQ4,"=1",SmtRes!DI1:'SmtRes'!DI4)</f>
        <v>8352.98</v>
      </c>
      <c r="T24" s="2">
        <f t="shared" ref="T24:T56" si="15">ROUND(CU24*I24,2)</f>
        <v>0</v>
      </c>
      <c r="U24" s="2">
        <f>SUMIF(SmtRes!AQ1:'SmtRes'!AQ4,"=1",SmtRes!CV1:'SmtRes'!CV4)</f>
        <v>23.622</v>
      </c>
      <c r="V24" s="2">
        <f>SUMIF(SmtRes!AQ1:'SmtRes'!AQ4,"=1",SmtRes!CW1:'SmtRes'!CW4)</f>
        <v>0.23699999999999999</v>
      </c>
      <c r="W24" s="2">
        <f t="shared" ref="W24:W56" si="16">ROUND(CX24*I24,2)</f>
        <v>0</v>
      </c>
      <c r="X24" s="2">
        <f t="shared" ref="X24:X56" si="17">ROUND(CY24,2)</f>
        <v>7510.02</v>
      </c>
      <c r="Y24" s="2">
        <f t="shared" ref="Y24:Y56" si="18">ROUND(CZ24,2)</f>
        <v>4134.7299999999996</v>
      </c>
      <c r="Z24" s="2"/>
      <c r="AA24" s="2">
        <v>55858619</v>
      </c>
      <c r="AB24" s="2">
        <f t="shared" ref="AB24:AB56" si="19">ROUND((AC24+AD24+AF24),6)</f>
        <v>27872.734199999999</v>
      </c>
      <c r="AC24" s="2">
        <f>ROUND((0),6)</f>
        <v>0</v>
      </c>
      <c r="AD24" s="2">
        <f>ROUND((((SUM(SmtRes!BR1:'SmtRes'!BR4))-(SUM(SmtRes!BS1:'SmtRes'!BS4)))+AE24),6)</f>
        <v>29.482800000000001</v>
      </c>
      <c r="AE24" s="2">
        <f>ROUND((SUM(SmtRes!BS1:'SmtRes'!BS4)),6)</f>
        <v>284.12349999999998</v>
      </c>
      <c r="AF24" s="2">
        <f>ROUND((SUM(SmtRes!BT1:'SmtRes'!BT4)),6)</f>
        <v>27843.251400000001</v>
      </c>
      <c r="AG24" s="2">
        <f t="shared" ref="AG24:AG56" si="20">ROUND((AP24),6)</f>
        <v>0</v>
      </c>
      <c r="AH24" s="2">
        <f>(SUM(SmtRes!BU1:'SmtRes'!BU4))</f>
        <v>78.739999999999995</v>
      </c>
      <c r="AI24" s="2">
        <f>(SUM(SmtRes!BV1:'SmtRes'!BV4))</f>
        <v>0.79</v>
      </c>
      <c r="AJ24" s="2">
        <f t="shared" ref="AJ24:AJ56" si="21">(AS24)</f>
        <v>0</v>
      </c>
      <c r="AK24" s="2">
        <v>28156.857700000004</v>
      </c>
      <c r="AL24" s="2">
        <v>0</v>
      </c>
      <c r="AM24" s="2">
        <v>29.482800000000001</v>
      </c>
      <c r="AN24" s="2">
        <v>284.12349999999998</v>
      </c>
      <c r="AO24" s="2">
        <v>27843.251400000001</v>
      </c>
      <c r="AP24" s="2">
        <v>0</v>
      </c>
      <c r="AQ24" s="2">
        <v>78.739999999999995</v>
      </c>
      <c r="AR24" s="2">
        <v>0.79</v>
      </c>
      <c r="AS24" s="2">
        <v>0</v>
      </c>
      <c r="AT24" s="2">
        <v>89</v>
      </c>
      <c r="AU24" s="2">
        <v>49</v>
      </c>
      <c r="AV24" s="2">
        <v>1</v>
      </c>
      <c r="AW24" s="2">
        <v>1</v>
      </c>
      <c r="AX24" s="2"/>
      <c r="AY24" s="2"/>
      <c r="AZ24" s="2">
        <v>1</v>
      </c>
      <c r="BA24" s="2">
        <v>1</v>
      </c>
      <c r="BB24" s="2">
        <v>1</v>
      </c>
      <c r="BC24" s="2">
        <v>1</v>
      </c>
      <c r="BD24" s="2" t="s">
        <v>3</v>
      </c>
      <c r="BE24" s="2" t="s">
        <v>3</v>
      </c>
      <c r="BF24" s="2" t="s">
        <v>3</v>
      </c>
      <c r="BG24" s="2" t="s">
        <v>3</v>
      </c>
      <c r="BH24" s="2">
        <v>0</v>
      </c>
      <c r="BI24" s="2">
        <v>1</v>
      </c>
      <c r="BJ24" s="2" t="s">
        <v>20</v>
      </c>
      <c r="BK24" s="2"/>
      <c r="BL24" s="2"/>
      <c r="BM24" s="2">
        <v>57001</v>
      </c>
      <c r="BN24" s="2">
        <v>0</v>
      </c>
      <c r="BO24" s="2" t="s">
        <v>3</v>
      </c>
      <c r="BP24" s="2">
        <v>0</v>
      </c>
      <c r="BQ24" s="2">
        <v>6</v>
      </c>
      <c r="BR24" s="2">
        <v>0</v>
      </c>
      <c r="BS24" s="2">
        <v>1</v>
      </c>
      <c r="BT24" s="2">
        <v>1</v>
      </c>
      <c r="BU24" s="2">
        <v>1</v>
      </c>
      <c r="BV24" s="2">
        <v>1</v>
      </c>
      <c r="BW24" s="2">
        <v>1</v>
      </c>
      <c r="BX24" s="2">
        <v>1</v>
      </c>
      <c r="BY24" s="2" t="s">
        <v>3</v>
      </c>
      <c r="BZ24" s="2">
        <v>89</v>
      </c>
      <c r="CA24" s="2">
        <v>49</v>
      </c>
      <c r="CB24" s="2" t="s">
        <v>3</v>
      </c>
      <c r="CC24" s="2"/>
      <c r="CD24" s="2"/>
      <c r="CE24" s="2">
        <v>0</v>
      </c>
      <c r="CF24" s="2">
        <v>0</v>
      </c>
      <c r="CG24" s="2">
        <v>0</v>
      </c>
      <c r="CH24" s="2"/>
      <c r="CI24" s="2"/>
      <c r="CJ24" s="2"/>
      <c r="CK24" s="2"/>
      <c r="CL24" s="2"/>
      <c r="CM24" s="2">
        <v>0</v>
      </c>
      <c r="CN24" s="2" t="s">
        <v>3</v>
      </c>
      <c r="CO24" s="2">
        <v>0</v>
      </c>
      <c r="CP24" s="2">
        <f t="shared" ref="CP24:CP56" si="22">(P24+Q24+S24+R24)</f>
        <v>8452.64</v>
      </c>
      <c r="CQ24" s="2">
        <f>SUMIF(SmtRes!AQ1:'SmtRes'!AQ4,"=1",SmtRes!AA1:'SmtRes'!AA4)</f>
        <v>0</v>
      </c>
      <c r="CR24" s="2">
        <f>SUMIF(SmtRes!AQ1:'SmtRes'!AQ4,"=1",SmtRes!AB1:'SmtRes'!AB4)</f>
        <v>60.83</v>
      </c>
      <c r="CS24" s="2">
        <f>SUMIF(SmtRes!AQ1:'SmtRes'!AQ4,"=1",SmtRes!AC1:'SmtRes'!AC4)</f>
        <v>359.65</v>
      </c>
      <c r="CT24" s="2">
        <f>SUMIF(SmtRes!AQ1:'SmtRes'!AQ4,"=1",SmtRes!AD1:'SmtRes'!AD4)</f>
        <v>353.61</v>
      </c>
      <c r="CU24" s="2">
        <f t="shared" ref="CU24:CU56" si="23">AG24</f>
        <v>0</v>
      </c>
      <c r="CV24" s="2">
        <f>SUMIF(SmtRes!AQ1:'SmtRes'!AQ4,"=1",SmtRes!BU1:'SmtRes'!BU4)</f>
        <v>78.739999999999995</v>
      </c>
      <c r="CW24" s="2">
        <f>SUMIF(SmtRes!AQ1:'SmtRes'!AQ4,"=1",SmtRes!BV1:'SmtRes'!BV4)</f>
        <v>0.79</v>
      </c>
      <c r="CX24" s="2">
        <f t="shared" ref="CX24:CX56" si="24">AJ24</f>
        <v>0</v>
      </c>
      <c r="CY24" s="2">
        <f t="shared" ref="CY24:CY56" si="25">(((S24+R24)*AT24)/100)</f>
        <v>7510.0157999999992</v>
      </c>
      <c r="CZ24" s="2">
        <f t="shared" ref="CZ24:CZ56" si="26">(((S24+R24)*AU24)/100)</f>
        <v>4134.7277999999997</v>
      </c>
      <c r="DA24" s="2"/>
      <c r="DB24" s="2"/>
      <c r="DC24" s="2" t="s">
        <v>3</v>
      </c>
      <c r="DD24" s="2" t="s">
        <v>3</v>
      </c>
      <c r="DE24" s="2" t="s">
        <v>3</v>
      </c>
      <c r="DF24" s="2" t="s">
        <v>3</v>
      </c>
      <c r="DG24" s="2" t="s">
        <v>3</v>
      </c>
      <c r="DH24" s="2" t="s">
        <v>3</v>
      </c>
      <c r="DI24" s="2" t="s">
        <v>3</v>
      </c>
      <c r="DJ24" s="2" t="s">
        <v>3</v>
      </c>
      <c r="DK24" s="2" t="s">
        <v>3</v>
      </c>
      <c r="DL24" s="2" t="s">
        <v>3</v>
      </c>
      <c r="DM24" s="2" t="s">
        <v>3</v>
      </c>
      <c r="DN24" s="2">
        <v>0</v>
      </c>
      <c r="DO24" s="2">
        <v>0</v>
      </c>
      <c r="DP24" s="2">
        <v>1</v>
      </c>
      <c r="DQ24" s="2">
        <v>1</v>
      </c>
      <c r="DR24" s="2"/>
      <c r="DS24" s="2"/>
      <c r="DT24" s="2"/>
      <c r="DU24" s="2">
        <v>1005</v>
      </c>
      <c r="DV24" s="2" t="s">
        <v>19</v>
      </c>
      <c r="DW24" s="2" t="s">
        <v>19</v>
      </c>
      <c r="DX24" s="2">
        <v>100</v>
      </c>
      <c r="DY24" s="2"/>
      <c r="DZ24" s="2" t="s">
        <v>3</v>
      </c>
      <c r="EA24" s="2" t="s">
        <v>3</v>
      </c>
      <c r="EB24" s="2" t="s">
        <v>3</v>
      </c>
      <c r="EC24" s="2" t="s">
        <v>3</v>
      </c>
      <c r="ED24" s="2"/>
      <c r="EE24" s="2">
        <v>54459003</v>
      </c>
      <c r="EF24" s="2">
        <v>6</v>
      </c>
      <c r="EG24" s="2" t="s">
        <v>21</v>
      </c>
      <c r="EH24" s="2">
        <v>11</v>
      </c>
      <c r="EI24" s="2" t="s">
        <v>22</v>
      </c>
      <c r="EJ24" s="2">
        <v>1</v>
      </c>
      <c r="EK24" s="2">
        <v>57001</v>
      </c>
      <c r="EL24" s="2" t="s">
        <v>22</v>
      </c>
      <c r="EM24" s="2" t="s">
        <v>23</v>
      </c>
      <c r="EN24" s="2"/>
      <c r="EO24" s="2" t="s">
        <v>3</v>
      </c>
      <c r="EP24" s="2"/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78.739999999999995</v>
      </c>
      <c r="EX24" s="2">
        <v>0.79</v>
      </c>
      <c r="EY24" s="2">
        <v>0</v>
      </c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>
        <v>0</v>
      </c>
      <c r="FR24" s="2">
        <v>0</v>
      </c>
      <c r="FS24" s="2">
        <v>0</v>
      </c>
      <c r="FT24" s="2"/>
      <c r="FU24" s="2"/>
      <c r="FV24" s="2"/>
      <c r="FW24" s="2"/>
      <c r="FX24" s="2">
        <v>89</v>
      </c>
      <c r="FY24" s="2">
        <v>49</v>
      </c>
      <c r="FZ24" s="2"/>
      <c r="GA24" s="2" t="s">
        <v>3</v>
      </c>
      <c r="GB24" s="2"/>
      <c r="GC24" s="2"/>
      <c r="GD24" s="2">
        <v>1</v>
      </c>
      <c r="GE24" s="2"/>
      <c r="GF24" s="2">
        <v>955639704</v>
      </c>
      <c r="GG24" s="2">
        <v>2</v>
      </c>
      <c r="GH24" s="2">
        <v>1</v>
      </c>
      <c r="GI24" s="2">
        <v>-2</v>
      </c>
      <c r="GJ24" s="2">
        <v>0</v>
      </c>
      <c r="GK24" s="2">
        <v>0</v>
      </c>
      <c r="GL24" s="2">
        <f t="shared" ref="GL24:GL56" si="27">ROUND(IF(AND(BH24=3,BI24=3,FS24&lt;&gt;0),P24,0),2)</f>
        <v>0</v>
      </c>
      <c r="GM24" s="2">
        <f t="shared" ref="GM24:GM56" si="28">ROUND(O24+X24+Y24,2)+GX24</f>
        <v>20097.39</v>
      </c>
      <c r="GN24" s="2">
        <f t="shared" ref="GN24:GN56" si="29">IF(OR(BI24=0,BI24=1),GM24-GX24,0)</f>
        <v>20097.39</v>
      </c>
      <c r="GO24" s="2">
        <f t="shared" ref="GO24:GO56" si="30">IF(BI24=2,GM24-GX24,0)</f>
        <v>0</v>
      </c>
      <c r="GP24" s="2">
        <f t="shared" ref="GP24:GP56" si="31">IF(BI24=4,GM24-GX24,0)</f>
        <v>0</v>
      </c>
      <c r="GQ24" s="2"/>
      <c r="GR24" s="2">
        <v>0</v>
      </c>
      <c r="GS24" s="2">
        <v>0</v>
      </c>
      <c r="GT24" s="2">
        <v>0</v>
      </c>
      <c r="GU24" s="2" t="s">
        <v>3</v>
      </c>
      <c r="GV24" s="2">
        <f t="shared" ref="GV24:GV56" si="32">ROUND((GT24),6)</f>
        <v>0</v>
      </c>
      <c r="GW24" s="2">
        <v>1</v>
      </c>
      <c r="GX24" s="2">
        <f t="shared" ref="GX24:GX56" si="33">ROUND(HC24*I24,2)</f>
        <v>0</v>
      </c>
      <c r="GY24" s="2"/>
      <c r="GZ24" s="2"/>
      <c r="HA24" s="2">
        <v>0</v>
      </c>
      <c r="HB24" s="2">
        <v>0</v>
      </c>
      <c r="HC24" s="2">
        <f t="shared" ref="HC24:HC56" si="34">GV24*GW24</f>
        <v>0</v>
      </c>
      <c r="HD24" s="2"/>
      <c r="HE24" s="2" t="s">
        <v>3</v>
      </c>
      <c r="HF24" s="2" t="s">
        <v>3</v>
      </c>
      <c r="HG24" s="2"/>
      <c r="HH24" s="2"/>
      <c r="HI24" s="2"/>
      <c r="HJ24" s="2"/>
      <c r="HK24" s="2"/>
      <c r="HL24" s="2"/>
      <c r="HM24" s="2" t="s">
        <v>3</v>
      </c>
      <c r="HN24" s="2" t="s">
        <v>24</v>
      </c>
      <c r="HO24" s="2" t="s">
        <v>25</v>
      </c>
      <c r="HP24" s="2" t="s">
        <v>22</v>
      </c>
      <c r="HQ24" s="2" t="s">
        <v>22</v>
      </c>
      <c r="HR24" s="2"/>
      <c r="HS24" s="2">
        <v>0</v>
      </c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>
        <v>0</v>
      </c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1:255" ht="13.15" customHeight="1" x14ac:dyDescent="0.2">
      <c r="A25" s="2">
        <v>18</v>
      </c>
      <c r="B25" s="2">
        <v>1</v>
      </c>
      <c r="C25" s="2">
        <v>4</v>
      </c>
      <c r="D25" s="2"/>
      <c r="E25" s="2" t="s">
        <v>26</v>
      </c>
      <c r="F25" s="2" t="s">
        <v>27</v>
      </c>
      <c r="G25" s="86" t="s">
        <v>28</v>
      </c>
      <c r="H25" s="86" t="s">
        <v>29</v>
      </c>
      <c r="I25" s="86">
        <f>I24*J25</f>
        <v>1.2900000000000003</v>
      </c>
      <c r="J25" s="2">
        <v>4.3000000000000007</v>
      </c>
      <c r="K25" s="2">
        <v>4.3</v>
      </c>
      <c r="L25" s="2"/>
      <c r="M25" s="2"/>
      <c r="N25" s="2"/>
      <c r="O25" s="2">
        <f t="shared" si="14"/>
        <v>0</v>
      </c>
      <c r="P25" s="2">
        <f>ROUND(CQ25*I25,2)</f>
        <v>0</v>
      </c>
      <c r="Q25" s="2">
        <f>ROUND(CR25*I25,2)</f>
        <v>0</v>
      </c>
      <c r="R25" s="2">
        <f>ROUND(CS25*I25,2)</f>
        <v>0</v>
      </c>
      <c r="S25" s="2">
        <f>ROUND(CT25*I25,2)</f>
        <v>0</v>
      </c>
      <c r="T25" s="2">
        <f t="shared" si="15"/>
        <v>0</v>
      </c>
      <c r="U25" s="2">
        <f>ROUND(CV25*I25,7)</f>
        <v>0</v>
      </c>
      <c r="V25" s="2">
        <f>ROUND(CW25*I25,7)</f>
        <v>0</v>
      </c>
      <c r="W25" s="2">
        <f t="shared" si="16"/>
        <v>0</v>
      </c>
      <c r="X25" s="2">
        <f t="shared" si="17"/>
        <v>0</v>
      </c>
      <c r="Y25" s="2">
        <f t="shared" si="18"/>
        <v>0</v>
      </c>
      <c r="Z25" s="2"/>
      <c r="AA25" s="2">
        <v>55858619</v>
      </c>
      <c r="AB25" s="2">
        <f t="shared" si="19"/>
        <v>0</v>
      </c>
      <c r="AC25" s="2">
        <f>ROUND((ES25),6)</f>
        <v>0</v>
      </c>
      <c r="AD25" s="2">
        <f>ROUND((((ET25)-(EU25))+AE25),6)</f>
        <v>0</v>
      </c>
      <c r="AE25" s="2">
        <f>ROUND((EU25),6)</f>
        <v>0</v>
      </c>
      <c r="AF25" s="2">
        <f>ROUND((EV25),6)</f>
        <v>0</v>
      </c>
      <c r="AG25" s="2">
        <f t="shared" si="20"/>
        <v>0</v>
      </c>
      <c r="AH25" s="2">
        <f>(EW25)</f>
        <v>0</v>
      </c>
      <c r="AI25" s="2">
        <f>(EX25)</f>
        <v>0</v>
      </c>
      <c r="AJ25" s="2">
        <f t="shared" si="21"/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89</v>
      </c>
      <c r="AU25" s="2">
        <v>49</v>
      </c>
      <c r="AV25" s="2">
        <v>1</v>
      </c>
      <c r="AW25" s="2">
        <v>1</v>
      </c>
      <c r="AX25" s="2"/>
      <c r="AY25" s="2"/>
      <c r="AZ25" s="2">
        <v>1</v>
      </c>
      <c r="BA25" s="2">
        <v>1</v>
      </c>
      <c r="BB25" s="2">
        <v>1</v>
      </c>
      <c r="BC25" s="2">
        <v>1</v>
      </c>
      <c r="BD25" s="2" t="s">
        <v>3</v>
      </c>
      <c r="BE25" s="2" t="s">
        <v>3</v>
      </c>
      <c r="BF25" s="2" t="s">
        <v>3</v>
      </c>
      <c r="BG25" s="2" t="s">
        <v>3</v>
      </c>
      <c r="BH25" s="2">
        <v>3</v>
      </c>
      <c r="BI25" s="2">
        <v>1</v>
      </c>
      <c r="BJ25" s="2" t="s">
        <v>3</v>
      </c>
      <c r="BK25" s="2"/>
      <c r="BL25" s="2"/>
      <c r="BM25" s="2">
        <v>57001</v>
      </c>
      <c r="BN25" s="2">
        <v>0</v>
      </c>
      <c r="BO25" s="2" t="s">
        <v>3</v>
      </c>
      <c r="BP25" s="2">
        <v>0</v>
      </c>
      <c r="BQ25" s="2">
        <v>6</v>
      </c>
      <c r="BR25" s="2">
        <v>0</v>
      </c>
      <c r="BS25" s="2">
        <v>1</v>
      </c>
      <c r="BT25" s="2">
        <v>1</v>
      </c>
      <c r="BU25" s="2">
        <v>1</v>
      </c>
      <c r="BV25" s="2">
        <v>1</v>
      </c>
      <c r="BW25" s="2">
        <v>1</v>
      </c>
      <c r="BX25" s="2">
        <v>1</v>
      </c>
      <c r="BY25" s="2" t="s">
        <v>3</v>
      </c>
      <c r="BZ25" s="2">
        <v>89</v>
      </c>
      <c r="CA25" s="2">
        <v>49</v>
      </c>
      <c r="CB25" s="2" t="s">
        <v>3</v>
      </c>
      <c r="CC25" s="2"/>
      <c r="CD25" s="2"/>
      <c r="CE25" s="2">
        <v>0</v>
      </c>
      <c r="CF25" s="2">
        <v>0</v>
      </c>
      <c r="CG25" s="2">
        <v>0</v>
      </c>
      <c r="CH25" s="2"/>
      <c r="CI25" s="2"/>
      <c r="CJ25" s="2"/>
      <c r="CK25" s="2"/>
      <c r="CL25" s="2"/>
      <c r="CM25" s="2">
        <v>0</v>
      </c>
      <c r="CN25" s="2" t="s">
        <v>3</v>
      </c>
      <c r="CO25" s="2">
        <v>0</v>
      </c>
      <c r="CP25" s="2">
        <f t="shared" si="22"/>
        <v>0</v>
      </c>
      <c r="CQ25" s="2">
        <f>ROUND(AL25*BC25,2)</f>
        <v>0</v>
      </c>
      <c r="CR25" s="2">
        <f>ROUND(AM25*BB25,2)</f>
        <v>0</v>
      </c>
      <c r="CS25" s="2">
        <f>ROUND(AN25*BS25,2)</f>
        <v>0</v>
      </c>
      <c r="CT25" s="2">
        <f>ROUND(AO25*BA25,2)</f>
        <v>0</v>
      </c>
      <c r="CU25" s="2">
        <f t="shared" si="23"/>
        <v>0</v>
      </c>
      <c r="CV25" s="2">
        <f>AH25</f>
        <v>0</v>
      </c>
      <c r="CW25" s="2">
        <f>AI25</f>
        <v>0</v>
      </c>
      <c r="CX25" s="2">
        <f t="shared" si="24"/>
        <v>0</v>
      </c>
      <c r="CY25" s="2">
        <f t="shared" si="25"/>
        <v>0</v>
      </c>
      <c r="CZ25" s="2">
        <f t="shared" si="26"/>
        <v>0</v>
      </c>
      <c r="DA25" s="2"/>
      <c r="DB25" s="2"/>
      <c r="DC25" s="2" t="s">
        <v>3</v>
      </c>
      <c r="DD25" s="2" t="s">
        <v>3</v>
      </c>
      <c r="DE25" s="2" t="s">
        <v>3</v>
      </c>
      <c r="DF25" s="2" t="s">
        <v>3</v>
      </c>
      <c r="DG25" s="2" t="s">
        <v>3</v>
      </c>
      <c r="DH25" s="2" t="s">
        <v>3</v>
      </c>
      <c r="DI25" s="2" t="s">
        <v>3</v>
      </c>
      <c r="DJ25" s="2" t="s">
        <v>3</v>
      </c>
      <c r="DK25" s="2" t="s">
        <v>3</v>
      </c>
      <c r="DL25" s="2" t="s">
        <v>3</v>
      </c>
      <c r="DM25" s="2" t="s">
        <v>3</v>
      </c>
      <c r="DN25" s="2">
        <v>0</v>
      </c>
      <c r="DO25" s="2">
        <v>0</v>
      </c>
      <c r="DP25" s="2">
        <v>1</v>
      </c>
      <c r="DQ25" s="2">
        <v>1</v>
      </c>
      <c r="DR25" s="2"/>
      <c r="DS25" s="2"/>
      <c r="DT25" s="2"/>
      <c r="DU25" s="2">
        <v>1009</v>
      </c>
      <c r="DV25" s="2" t="s">
        <v>29</v>
      </c>
      <c r="DW25" s="2" t="s">
        <v>29</v>
      </c>
      <c r="DX25" s="2">
        <v>1000</v>
      </c>
      <c r="DY25" s="2"/>
      <c r="DZ25" s="2" t="s">
        <v>3</v>
      </c>
      <c r="EA25" s="2" t="s">
        <v>3</v>
      </c>
      <c r="EB25" s="2" t="s">
        <v>3</v>
      </c>
      <c r="EC25" s="2" t="s">
        <v>3</v>
      </c>
      <c r="ED25" s="2"/>
      <c r="EE25" s="2">
        <v>54459003</v>
      </c>
      <c r="EF25" s="2">
        <v>6</v>
      </c>
      <c r="EG25" s="2" t="s">
        <v>21</v>
      </c>
      <c r="EH25" s="2">
        <v>11</v>
      </c>
      <c r="EI25" s="2" t="s">
        <v>22</v>
      </c>
      <c r="EJ25" s="2">
        <v>1</v>
      </c>
      <c r="EK25" s="2">
        <v>57001</v>
      </c>
      <c r="EL25" s="2" t="s">
        <v>22</v>
      </c>
      <c r="EM25" s="2" t="s">
        <v>23</v>
      </c>
      <c r="EN25" s="2"/>
      <c r="EO25" s="2" t="s">
        <v>3</v>
      </c>
      <c r="EP25" s="2"/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>
        <v>0</v>
      </c>
      <c r="FR25" s="2">
        <v>0</v>
      </c>
      <c r="FS25" s="2">
        <v>0</v>
      </c>
      <c r="FT25" s="2"/>
      <c r="FU25" s="2"/>
      <c r="FV25" s="2"/>
      <c r="FW25" s="2"/>
      <c r="FX25" s="2">
        <v>89</v>
      </c>
      <c r="FY25" s="2">
        <v>49</v>
      </c>
      <c r="FZ25" s="2"/>
      <c r="GA25" s="2" t="s">
        <v>3</v>
      </c>
      <c r="GB25" s="2"/>
      <c r="GC25" s="2"/>
      <c r="GD25" s="2">
        <v>1</v>
      </c>
      <c r="GE25" s="2"/>
      <c r="GF25" s="2">
        <v>2102561428</v>
      </c>
      <c r="GG25" s="2">
        <v>2</v>
      </c>
      <c r="GH25" s="2">
        <v>1</v>
      </c>
      <c r="GI25" s="2">
        <v>-2</v>
      </c>
      <c r="GJ25" s="2">
        <v>0</v>
      </c>
      <c r="GK25" s="2">
        <v>0</v>
      </c>
      <c r="GL25" s="2">
        <f t="shared" si="27"/>
        <v>0</v>
      </c>
      <c r="GM25" s="2">
        <f t="shared" si="28"/>
        <v>0</v>
      </c>
      <c r="GN25" s="2">
        <f t="shared" si="29"/>
        <v>0</v>
      </c>
      <c r="GO25" s="2">
        <f t="shared" si="30"/>
        <v>0</v>
      </c>
      <c r="GP25" s="2">
        <f t="shared" si="31"/>
        <v>0</v>
      </c>
      <c r="GQ25" s="2"/>
      <c r="GR25" s="2">
        <v>0</v>
      </c>
      <c r="GS25" s="2">
        <v>0</v>
      </c>
      <c r="GT25" s="2">
        <v>0</v>
      </c>
      <c r="GU25" s="2" t="s">
        <v>3</v>
      </c>
      <c r="GV25" s="2">
        <f t="shared" si="32"/>
        <v>0</v>
      </c>
      <c r="GW25" s="2">
        <v>1</v>
      </c>
      <c r="GX25" s="2">
        <f t="shared" si="33"/>
        <v>0</v>
      </c>
      <c r="GY25" s="2"/>
      <c r="GZ25" s="2"/>
      <c r="HA25" s="2">
        <v>0</v>
      </c>
      <c r="HB25" s="2">
        <v>0</v>
      </c>
      <c r="HC25" s="2">
        <f t="shared" si="34"/>
        <v>0</v>
      </c>
      <c r="HD25" s="2"/>
      <c r="HE25" s="2" t="s">
        <v>3</v>
      </c>
      <c r="HF25" s="2" t="s">
        <v>3</v>
      </c>
      <c r="HG25" s="2"/>
      <c r="HH25" s="2"/>
      <c r="HI25" s="2"/>
      <c r="HJ25" s="2"/>
      <c r="HK25" s="2"/>
      <c r="HL25" s="2"/>
      <c r="HM25" s="2" t="s">
        <v>3</v>
      </c>
      <c r="HN25" s="2" t="s">
        <v>24</v>
      </c>
      <c r="HO25" s="2" t="s">
        <v>25</v>
      </c>
      <c r="HP25" s="2" t="s">
        <v>22</v>
      </c>
      <c r="HQ25" s="2" t="s">
        <v>22</v>
      </c>
      <c r="HR25" s="2"/>
      <c r="HS25" s="2">
        <v>0</v>
      </c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>
        <v>0</v>
      </c>
      <c r="IL25" s="2"/>
      <c r="IM25" s="2"/>
      <c r="IN25" s="2"/>
      <c r="IO25" s="2"/>
      <c r="IP25" s="2"/>
      <c r="IQ25" s="2"/>
      <c r="IR25" s="2"/>
      <c r="IS25" s="2"/>
      <c r="IT25" s="2"/>
      <c r="IU25" s="2"/>
    </row>
    <row r="26" spans="1:255" ht="13.15" customHeight="1" x14ac:dyDescent="0.2">
      <c r="A26" s="2">
        <v>17</v>
      </c>
      <c r="B26" s="2">
        <v>1</v>
      </c>
      <c r="C26" s="2">
        <f>ROW(SmtRes!A7)</f>
        <v>7</v>
      </c>
      <c r="D26" s="2">
        <f>ROW(EtalonRes!A7)</f>
        <v>7</v>
      </c>
      <c r="E26" s="2" t="s">
        <v>30</v>
      </c>
      <c r="F26" s="2" t="s">
        <v>31</v>
      </c>
      <c r="G26" s="86" t="s">
        <v>32</v>
      </c>
      <c r="H26" s="86" t="s">
        <v>33</v>
      </c>
      <c r="I26" s="86">
        <v>1.45</v>
      </c>
      <c r="J26" s="2">
        <v>0</v>
      </c>
      <c r="K26" s="2">
        <v>1.45</v>
      </c>
      <c r="L26" s="2"/>
      <c r="M26" s="2"/>
      <c r="N26" s="2"/>
      <c r="O26" s="2">
        <f t="shared" si="14"/>
        <v>32130.66</v>
      </c>
      <c r="P26" s="2">
        <f>SUMIF(SmtRes!AQ5:'SmtRes'!AQ7,"=1",SmtRes!DF5:'SmtRes'!DF7)</f>
        <v>0</v>
      </c>
      <c r="Q26" s="2">
        <f>SUMIF(SmtRes!AQ5:'SmtRes'!AQ7,"=1",SmtRes!DG5:'SmtRes'!DG7)</f>
        <v>6269.85</v>
      </c>
      <c r="R26" s="2">
        <f>SUMIF(SmtRes!AQ5:'SmtRes'!AQ7,"=1",SmtRes!DH5:'SmtRes'!DH7)</f>
        <v>0</v>
      </c>
      <c r="S26" s="2">
        <f>SUMIF(SmtRes!AQ5:'SmtRes'!AQ7,"=1",SmtRes!DI5:'SmtRes'!DI7)</f>
        <v>25860.81</v>
      </c>
      <c r="T26" s="2">
        <f t="shared" si="15"/>
        <v>0</v>
      </c>
      <c r="U26" s="2">
        <f>SUMIF(SmtRes!AQ5:'SmtRes'!AQ7,"=1",SmtRes!CV5:'SmtRes'!CV7)</f>
        <v>71.905500000000004</v>
      </c>
      <c r="V26" s="2">
        <f>SUMIF(SmtRes!AQ5:'SmtRes'!AQ7,"=1",SmtRes!CW5:'SmtRes'!CW7)</f>
        <v>0</v>
      </c>
      <c r="W26" s="2">
        <f t="shared" si="16"/>
        <v>0</v>
      </c>
      <c r="X26" s="2">
        <f t="shared" si="17"/>
        <v>23533.34</v>
      </c>
      <c r="Y26" s="2">
        <f t="shared" si="18"/>
        <v>13447.62</v>
      </c>
      <c r="Z26" s="2"/>
      <c r="AA26" s="2">
        <v>55858619</v>
      </c>
      <c r="AB26" s="2">
        <f t="shared" si="19"/>
        <v>20596.565500000001</v>
      </c>
      <c r="AC26" s="2">
        <f>ROUND((0),6)</f>
        <v>0</v>
      </c>
      <c r="AD26" s="2">
        <f>ROUND((((SUM(SmtRes!BR5:'SmtRes'!BR7))-(0))+AE26),6)</f>
        <v>2761.5219999999999</v>
      </c>
      <c r="AE26" s="2">
        <f>ROUND((0),6)</f>
        <v>0</v>
      </c>
      <c r="AF26" s="2">
        <f>ROUND((SUM(SmtRes!BT5:'SmtRes'!BT7)),6)</f>
        <v>17835.0435</v>
      </c>
      <c r="AG26" s="2">
        <f t="shared" si="20"/>
        <v>0</v>
      </c>
      <c r="AH26" s="2">
        <f>(SUM(SmtRes!BU5:'SmtRes'!BU7))</f>
        <v>49.59</v>
      </c>
      <c r="AI26" s="2">
        <f>(0)</f>
        <v>0</v>
      </c>
      <c r="AJ26" s="2">
        <f t="shared" si="21"/>
        <v>0</v>
      </c>
      <c r="AK26" s="2">
        <v>20596.565500000001</v>
      </c>
      <c r="AL26" s="2">
        <v>0</v>
      </c>
      <c r="AM26" s="2">
        <v>2761.5219999999999</v>
      </c>
      <c r="AN26" s="2">
        <v>0</v>
      </c>
      <c r="AO26" s="2">
        <v>17835.0435</v>
      </c>
      <c r="AP26" s="2">
        <v>0</v>
      </c>
      <c r="AQ26" s="2">
        <v>49.59</v>
      </c>
      <c r="AR26" s="2">
        <v>0</v>
      </c>
      <c r="AS26" s="2">
        <v>0</v>
      </c>
      <c r="AT26" s="2">
        <v>91</v>
      </c>
      <c r="AU26" s="2">
        <v>52</v>
      </c>
      <c r="AV26" s="2">
        <v>1</v>
      </c>
      <c r="AW26" s="2">
        <v>1</v>
      </c>
      <c r="AX26" s="2"/>
      <c r="AY26" s="2"/>
      <c r="AZ26" s="2">
        <v>1</v>
      </c>
      <c r="BA26" s="2">
        <v>1</v>
      </c>
      <c r="BB26" s="2">
        <v>1</v>
      </c>
      <c r="BC26" s="2">
        <v>1</v>
      </c>
      <c r="BD26" s="2" t="s">
        <v>3</v>
      </c>
      <c r="BE26" s="2" t="s">
        <v>3</v>
      </c>
      <c r="BF26" s="2" t="s">
        <v>3</v>
      </c>
      <c r="BG26" s="2" t="s">
        <v>3</v>
      </c>
      <c r="BH26" s="2">
        <v>0</v>
      </c>
      <c r="BI26" s="2">
        <v>1</v>
      </c>
      <c r="BJ26" s="2" t="s">
        <v>34</v>
      </c>
      <c r="BK26" s="2"/>
      <c r="BL26" s="2"/>
      <c r="BM26" s="2">
        <v>46003</v>
      </c>
      <c r="BN26" s="2">
        <v>0</v>
      </c>
      <c r="BO26" s="2" t="s">
        <v>3</v>
      </c>
      <c r="BP26" s="2">
        <v>0</v>
      </c>
      <c r="BQ26" s="2">
        <v>2</v>
      </c>
      <c r="BR26" s="2">
        <v>0</v>
      </c>
      <c r="BS26" s="2">
        <v>1</v>
      </c>
      <c r="BT26" s="2">
        <v>1</v>
      </c>
      <c r="BU26" s="2">
        <v>1</v>
      </c>
      <c r="BV26" s="2">
        <v>1</v>
      </c>
      <c r="BW26" s="2">
        <v>1</v>
      </c>
      <c r="BX26" s="2">
        <v>1</v>
      </c>
      <c r="BY26" s="2" t="s">
        <v>3</v>
      </c>
      <c r="BZ26" s="2">
        <v>91</v>
      </c>
      <c r="CA26" s="2">
        <v>52</v>
      </c>
      <c r="CB26" s="2" t="s">
        <v>3</v>
      </c>
      <c r="CC26" s="2"/>
      <c r="CD26" s="2"/>
      <c r="CE26" s="2">
        <v>0</v>
      </c>
      <c r="CF26" s="2">
        <v>0</v>
      </c>
      <c r="CG26" s="2">
        <v>0</v>
      </c>
      <c r="CH26" s="2"/>
      <c r="CI26" s="2"/>
      <c r="CJ26" s="2"/>
      <c r="CK26" s="2"/>
      <c r="CL26" s="2"/>
      <c r="CM26" s="2">
        <v>0</v>
      </c>
      <c r="CN26" s="2" t="s">
        <v>3</v>
      </c>
      <c r="CO26" s="2">
        <v>0</v>
      </c>
      <c r="CP26" s="2">
        <f t="shared" si="22"/>
        <v>32130.660000000003</v>
      </c>
      <c r="CQ26" s="2">
        <f>SUMIF(SmtRes!AQ5:'SmtRes'!AQ7,"=1",SmtRes!AA5:'SmtRes'!AA7)</f>
        <v>0</v>
      </c>
      <c r="CR26" s="2">
        <f>SUMIF(SmtRes!AQ5:'SmtRes'!AQ7,"=1",SmtRes!AB5:'SmtRes'!AB7)</f>
        <v>184.29</v>
      </c>
      <c r="CS26" s="2">
        <f>SUMIF(SmtRes!AQ5:'SmtRes'!AQ7,"=1",SmtRes!AC5:'SmtRes'!AC7)</f>
        <v>0</v>
      </c>
      <c r="CT26" s="2">
        <f>SUMIF(SmtRes!AQ5:'SmtRes'!AQ7,"=1",SmtRes!AD5:'SmtRes'!AD7)</f>
        <v>359.65</v>
      </c>
      <c r="CU26" s="2">
        <f t="shared" si="23"/>
        <v>0</v>
      </c>
      <c r="CV26" s="2">
        <f>SUMIF(SmtRes!AQ5:'SmtRes'!AQ7,"=1",SmtRes!BU5:'SmtRes'!BU7)</f>
        <v>49.59</v>
      </c>
      <c r="CW26" s="2">
        <f>SUMIF(SmtRes!AQ5:'SmtRes'!AQ7,"=1",SmtRes!BV5:'SmtRes'!BV7)</f>
        <v>0</v>
      </c>
      <c r="CX26" s="2">
        <f t="shared" si="24"/>
        <v>0</v>
      </c>
      <c r="CY26" s="2">
        <f t="shared" si="25"/>
        <v>23533.337100000001</v>
      </c>
      <c r="CZ26" s="2">
        <f t="shared" si="26"/>
        <v>13447.621200000001</v>
      </c>
      <c r="DA26" s="2"/>
      <c r="DB26" s="2"/>
      <c r="DC26" s="2" t="s">
        <v>3</v>
      </c>
      <c r="DD26" s="2" t="s">
        <v>3</v>
      </c>
      <c r="DE26" s="2" t="s">
        <v>3</v>
      </c>
      <c r="DF26" s="2" t="s">
        <v>3</v>
      </c>
      <c r="DG26" s="2" t="s">
        <v>3</v>
      </c>
      <c r="DH26" s="2" t="s">
        <v>3</v>
      </c>
      <c r="DI26" s="2" t="s">
        <v>3</v>
      </c>
      <c r="DJ26" s="2" t="s">
        <v>3</v>
      </c>
      <c r="DK26" s="2" t="s">
        <v>3</v>
      </c>
      <c r="DL26" s="2" t="s">
        <v>3</v>
      </c>
      <c r="DM26" s="2" t="s">
        <v>3</v>
      </c>
      <c r="DN26" s="2">
        <v>0</v>
      </c>
      <c r="DO26" s="2">
        <v>0</v>
      </c>
      <c r="DP26" s="2">
        <v>1</v>
      </c>
      <c r="DQ26" s="2">
        <v>1</v>
      </c>
      <c r="DR26" s="2"/>
      <c r="DS26" s="2"/>
      <c r="DT26" s="2"/>
      <c r="DU26" s="2">
        <v>1007</v>
      </c>
      <c r="DV26" s="2" t="s">
        <v>33</v>
      </c>
      <c r="DW26" s="2" t="s">
        <v>33</v>
      </c>
      <c r="DX26" s="2">
        <v>1</v>
      </c>
      <c r="DY26" s="2"/>
      <c r="DZ26" s="2" t="s">
        <v>3</v>
      </c>
      <c r="EA26" s="2" t="s">
        <v>3</v>
      </c>
      <c r="EB26" s="2" t="s">
        <v>3</v>
      </c>
      <c r="EC26" s="2" t="s">
        <v>3</v>
      </c>
      <c r="ED26" s="2"/>
      <c r="EE26" s="2">
        <v>54459166</v>
      </c>
      <c r="EF26" s="2">
        <v>2</v>
      </c>
      <c r="EG26" s="2" t="s">
        <v>35</v>
      </c>
      <c r="EH26" s="2">
        <v>40</v>
      </c>
      <c r="EI26" s="2" t="s">
        <v>36</v>
      </c>
      <c r="EJ26" s="2">
        <v>1</v>
      </c>
      <c r="EK26" s="2">
        <v>46003</v>
      </c>
      <c r="EL26" s="2" t="s">
        <v>37</v>
      </c>
      <c r="EM26" s="2" t="s">
        <v>38</v>
      </c>
      <c r="EN26" s="2"/>
      <c r="EO26" s="2" t="s">
        <v>3</v>
      </c>
      <c r="EP26" s="2"/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49.59</v>
      </c>
      <c r="EX26" s="2">
        <v>0</v>
      </c>
      <c r="EY26" s="2">
        <v>0</v>
      </c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>
        <v>0</v>
      </c>
      <c r="FR26" s="2">
        <v>0</v>
      </c>
      <c r="FS26" s="2">
        <v>0</v>
      </c>
      <c r="FT26" s="2"/>
      <c r="FU26" s="2"/>
      <c r="FV26" s="2"/>
      <c r="FW26" s="2"/>
      <c r="FX26" s="2">
        <v>91</v>
      </c>
      <c r="FY26" s="2">
        <v>52</v>
      </c>
      <c r="FZ26" s="2"/>
      <c r="GA26" s="2" t="s">
        <v>3</v>
      </c>
      <c r="GB26" s="2"/>
      <c r="GC26" s="2"/>
      <c r="GD26" s="2">
        <v>1</v>
      </c>
      <c r="GE26" s="2"/>
      <c r="GF26" s="2">
        <v>377781282</v>
      </c>
      <c r="GG26" s="2">
        <v>2</v>
      </c>
      <c r="GH26" s="2">
        <v>1</v>
      </c>
      <c r="GI26" s="2">
        <v>-2</v>
      </c>
      <c r="GJ26" s="2">
        <v>0</v>
      </c>
      <c r="GK26" s="2">
        <v>0</v>
      </c>
      <c r="GL26" s="2">
        <f t="shared" si="27"/>
        <v>0</v>
      </c>
      <c r="GM26" s="2">
        <f t="shared" si="28"/>
        <v>69111.62</v>
      </c>
      <c r="GN26" s="2">
        <f t="shared" si="29"/>
        <v>69111.62</v>
      </c>
      <c r="GO26" s="2">
        <f t="shared" si="30"/>
        <v>0</v>
      </c>
      <c r="GP26" s="2">
        <f t="shared" si="31"/>
        <v>0</v>
      </c>
      <c r="GQ26" s="2"/>
      <c r="GR26" s="2">
        <v>0</v>
      </c>
      <c r="GS26" s="2">
        <v>3</v>
      </c>
      <c r="GT26" s="2">
        <v>0</v>
      </c>
      <c r="GU26" s="2" t="s">
        <v>3</v>
      </c>
      <c r="GV26" s="2">
        <f t="shared" si="32"/>
        <v>0</v>
      </c>
      <c r="GW26" s="2">
        <v>1</v>
      </c>
      <c r="GX26" s="2">
        <f t="shared" si="33"/>
        <v>0</v>
      </c>
      <c r="GY26" s="2"/>
      <c r="GZ26" s="2"/>
      <c r="HA26" s="2">
        <v>0</v>
      </c>
      <c r="HB26" s="2">
        <v>0</v>
      </c>
      <c r="HC26" s="2">
        <f t="shared" si="34"/>
        <v>0</v>
      </c>
      <c r="HD26" s="2"/>
      <c r="HE26" s="2" t="s">
        <v>3</v>
      </c>
      <c r="HF26" s="2" t="s">
        <v>3</v>
      </c>
      <c r="HG26" s="2"/>
      <c r="HH26" s="2"/>
      <c r="HI26" s="2"/>
      <c r="HJ26" s="2"/>
      <c r="HK26" s="2"/>
      <c r="HL26" s="2"/>
      <c r="HM26" s="2" t="s">
        <v>3</v>
      </c>
      <c r="HN26" s="2" t="s">
        <v>39</v>
      </c>
      <c r="HO26" s="2" t="s">
        <v>40</v>
      </c>
      <c r="HP26" s="2" t="s">
        <v>37</v>
      </c>
      <c r="HQ26" s="2" t="s">
        <v>37</v>
      </c>
      <c r="HR26" s="2"/>
      <c r="HS26" s="2">
        <v>0</v>
      </c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>
        <v>0</v>
      </c>
      <c r="IL26" s="2"/>
      <c r="IM26" s="2"/>
      <c r="IN26" s="2"/>
      <c r="IO26" s="2"/>
      <c r="IP26" s="2"/>
      <c r="IQ26" s="2"/>
      <c r="IR26" s="2"/>
      <c r="IS26" s="2"/>
      <c r="IT26" s="2"/>
      <c r="IU26" s="2"/>
    </row>
    <row r="27" spans="1:255" ht="13.15" customHeight="1" x14ac:dyDescent="0.2">
      <c r="A27" s="2">
        <v>17</v>
      </c>
      <c r="B27" s="2">
        <v>1</v>
      </c>
      <c r="C27" s="2">
        <f>ROW(SmtRes!A15)</f>
        <v>15</v>
      </c>
      <c r="D27" s="2">
        <f>ROW(EtalonRes!A15)</f>
        <v>15</v>
      </c>
      <c r="E27" s="2" t="s">
        <v>41</v>
      </c>
      <c r="F27" s="2" t="s">
        <v>42</v>
      </c>
      <c r="G27" s="86" t="s">
        <v>43</v>
      </c>
      <c r="H27" s="86" t="s">
        <v>44</v>
      </c>
      <c r="I27" s="86">
        <f>ROUND(1.45/100,7)</f>
        <v>1.4500000000000001E-2</v>
      </c>
      <c r="J27" s="2">
        <v>0</v>
      </c>
      <c r="K27" s="2">
        <f>ROUND(1.45/100,7)</f>
        <v>1.4500000000000001E-2</v>
      </c>
      <c r="L27" s="2"/>
      <c r="M27" s="2"/>
      <c r="N27" s="2"/>
      <c r="O27" s="2">
        <f t="shared" si="14"/>
        <v>1336.75</v>
      </c>
      <c r="P27" s="2">
        <f>SUMIF(SmtRes!AQ8:'SmtRes'!AQ15,"=1",SmtRes!DF8:'SmtRes'!DF15)</f>
        <v>55.63</v>
      </c>
      <c r="Q27" s="2">
        <f>SUMIF(SmtRes!AQ8:'SmtRes'!AQ15,"=1",SmtRes!DG8:'SmtRes'!DG15)</f>
        <v>361.17000000000007</v>
      </c>
      <c r="R27" s="2">
        <f>SUMIF(SmtRes!AQ8:'SmtRes'!AQ15,"=1",SmtRes!DH8:'SmtRes'!DH15)</f>
        <v>178.35999999999999</v>
      </c>
      <c r="S27" s="2">
        <f>SUMIF(SmtRes!AQ8:'SmtRes'!AQ15,"=1",SmtRes!DI8:'SmtRes'!DI15)</f>
        <v>741.59</v>
      </c>
      <c r="T27" s="2">
        <f t="shared" si="15"/>
        <v>0</v>
      </c>
      <c r="U27" s="2">
        <f>SUMIF(SmtRes!AQ8:'SmtRes'!AQ15,"=1",SmtRes!CV8:'SmtRes'!CV15)</f>
        <v>2.251125</v>
      </c>
      <c r="V27" s="2">
        <f>SUMIF(SmtRes!AQ8:'SmtRes'!AQ15,"=1",SmtRes!CW8:'SmtRes'!CW15)</f>
        <v>0.32842499999999997</v>
      </c>
      <c r="W27" s="2">
        <f t="shared" si="16"/>
        <v>0</v>
      </c>
      <c r="X27" s="2">
        <f t="shared" si="17"/>
        <v>844.51</v>
      </c>
      <c r="Y27" s="2">
        <f t="shared" si="18"/>
        <v>453.54</v>
      </c>
      <c r="Z27" s="2"/>
      <c r="AA27" s="2">
        <v>55858619</v>
      </c>
      <c r="AB27" s="2">
        <f t="shared" si="19"/>
        <v>79284.415250000005</v>
      </c>
      <c r="AC27" s="2">
        <f>ROUND((SUM(SmtRes!BQ8:'SmtRes'!BQ15)),6)</f>
        <v>3269.9924999999998</v>
      </c>
      <c r="AD27" s="2">
        <f>ROUND((((SUM(SmtRes!BR8:'SmtRes'!BR15))-(SUM(SmtRes!BS8:'SmtRes'!BS15)))+AE27),6)</f>
        <v>24870.415249999998</v>
      </c>
      <c r="AE27" s="2">
        <f>ROUND((SUM(SmtRes!BS8:'SmtRes'!BS15)),6)</f>
        <v>12300.9735</v>
      </c>
      <c r="AF27" s="2">
        <f>ROUND((SUM(SmtRes!BT8:'SmtRes'!BT15)),6)</f>
        <v>51144.0075</v>
      </c>
      <c r="AG27" s="2">
        <f t="shared" si="20"/>
        <v>0</v>
      </c>
      <c r="AH27" s="2">
        <f>(SUM(SmtRes!BU8:'SmtRes'!BU15))</f>
        <v>155.25</v>
      </c>
      <c r="AI27" s="2">
        <f>(SUM(SmtRes!BV8:'SmtRes'!BV15))</f>
        <v>22.65</v>
      </c>
      <c r="AJ27" s="2">
        <f t="shared" si="21"/>
        <v>0</v>
      </c>
      <c r="AK27" s="2">
        <v>77480.1535</v>
      </c>
      <c r="AL27" s="2">
        <v>3269.9924999999998</v>
      </c>
      <c r="AM27" s="2">
        <v>19896.332199999997</v>
      </c>
      <c r="AN27" s="2">
        <v>9840.7788</v>
      </c>
      <c r="AO27" s="2">
        <v>44473.05</v>
      </c>
      <c r="AP27" s="2">
        <v>0</v>
      </c>
      <c r="AQ27" s="2">
        <v>135</v>
      </c>
      <c r="AR27" s="2">
        <v>18.12</v>
      </c>
      <c r="AS27" s="2">
        <v>0</v>
      </c>
      <c r="AT27" s="2">
        <v>91.8</v>
      </c>
      <c r="AU27" s="2">
        <v>49.3</v>
      </c>
      <c r="AV27" s="2">
        <v>1</v>
      </c>
      <c r="AW27" s="2">
        <v>1</v>
      </c>
      <c r="AX27" s="2"/>
      <c r="AY27" s="2"/>
      <c r="AZ27" s="2">
        <v>1</v>
      </c>
      <c r="BA27" s="2">
        <v>1</v>
      </c>
      <c r="BB27" s="2">
        <v>1</v>
      </c>
      <c r="BC27" s="2">
        <v>1</v>
      </c>
      <c r="BD27" s="2" t="s">
        <v>3</v>
      </c>
      <c r="BE27" s="2" t="s">
        <v>3</v>
      </c>
      <c r="BF27" s="2" t="s">
        <v>3</v>
      </c>
      <c r="BG27" s="2" t="s">
        <v>3</v>
      </c>
      <c r="BH27" s="2">
        <v>0</v>
      </c>
      <c r="BI27" s="2">
        <v>1</v>
      </c>
      <c r="BJ27" s="2" t="s">
        <v>45</v>
      </c>
      <c r="BK27" s="2"/>
      <c r="BL27" s="2"/>
      <c r="BM27" s="2">
        <v>6001</v>
      </c>
      <c r="BN27" s="2">
        <v>0</v>
      </c>
      <c r="BO27" s="2" t="s">
        <v>3</v>
      </c>
      <c r="BP27" s="2">
        <v>0</v>
      </c>
      <c r="BQ27" s="2">
        <v>2</v>
      </c>
      <c r="BR27" s="2">
        <v>0</v>
      </c>
      <c r="BS27" s="2">
        <v>1</v>
      </c>
      <c r="BT27" s="2">
        <v>1</v>
      </c>
      <c r="BU27" s="2">
        <v>1</v>
      </c>
      <c r="BV27" s="2">
        <v>1</v>
      </c>
      <c r="BW27" s="2">
        <v>1</v>
      </c>
      <c r="BX27" s="2">
        <v>1</v>
      </c>
      <c r="BY27" s="2" t="s">
        <v>3</v>
      </c>
      <c r="BZ27" s="2">
        <v>102</v>
      </c>
      <c r="CA27" s="2">
        <v>58</v>
      </c>
      <c r="CB27" s="2" t="s">
        <v>3</v>
      </c>
      <c r="CC27" s="2"/>
      <c r="CD27" s="2"/>
      <c r="CE27" s="2">
        <v>0</v>
      </c>
      <c r="CF27" s="2">
        <v>0</v>
      </c>
      <c r="CG27" s="2">
        <v>0</v>
      </c>
      <c r="CH27" s="2"/>
      <c r="CI27" s="2"/>
      <c r="CJ27" s="2"/>
      <c r="CK27" s="2"/>
      <c r="CL27" s="2"/>
      <c r="CM27" s="2">
        <v>0</v>
      </c>
      <c r="CN27" s="7" t="s">
        <v>481</v>
      </c>
      <c r="CO27" s="2">
        <v>0</v>
      </c>
      <c r="CP27" s="2">
        <f t="shared" si="22"/>
        <v>1336.75</v>
      </c>
      <c r="CQ27" s="2">
        <f>SUMIF(SmtRes!AQ8:'SmtRes'!AQ15,"=1",SmtRes!AA8:'SmtRes'!AA15)</f>
        <v>44.78</v>
      </c>
      <c r="CR27" s="2">
        <f>SUMIF(SmtRes!AQ8:'SmtRes'!AQ15,"=1",SmtRes!AB8:'SmtRes'!AB15)</f>
        <v>1792.41</v>
      </c>
      <c r="CS27" s="2">
        <f>SUMIF(SmtRes!AQ8:'SmtRes'!AQ15,"=1",SmtRes!AC8:'SmtRes'!AC15)</f>
        <v>949</v>
      </c>
      <c r="CT27" s="2">
        <f>SUMIF(SmtRes!AQ8:'SmtRes'!AQ15,"=1",SmtRes!AD8:'SmtRes'!AD15)</f>
        <v>329.43</v>
      </c>
      <c r="CU27" s="2">
        <f t="shared" si="23"/>
        <v>0</v>
      </c>
      <c r="CV27" s="2">
        <f>SUMIF(SmtRes!AQ8:'SmtRes'!AQ15,"=1",SmtRes!BU8:'SmtRes'!BU15)</f>
        <v>155.25</v>
      </c>
      <c r="CW27" s="2">
        <f>SUMIF(SmtRes!AQ8:'SmtRes'!AQ15,"=1",SmtRes!BV8:'SmtRes'!BV15)</f>
        <v>22.65</v>
      </c>
      <c r="CX27" s="2">
        <f t="shared" si="24"/>
        <v>0</v>
      </c>
      <c r="CY27" s="2">
        <f t="shared" si="25"/>
        <v>844.51409999999998</v>
      </c>
      <c r="CZ27" s="2">
        <f t="shared" si="26"/>
        <v>453.53534999999994</v>
      </c>
      <c r="DA27" s="2"/>
      <c r="DB27" s="2">
        <v>1</v>
      </c>
      <c r="DC27" s="2" t="s">
        <v>3</v>
      </c>
      <c r="DD27" s="2" t="s">
        <v>3</v>
      </c>
      <c r="DE27" s="2" t="s">
        <v>46</v>
      </c>
      <c r="DF27" s="2" t="s">
        <v>46</v>
      </c>
      <c r="DG27" s="2" t="s">
        <v>47</v>
      </c>
      <c r="DH27" s="2" t="s">
        <v>3</v>
      </c>
      <c r="DI27" s="2" t="s">
        <v>47</v>
      </c>
      <c r="DJ27" s="2" t="s">
        <v>46</v>
      </c>
      <c r="DK27" s="2" t="s">
        <v>3</v>
      </c>
      <c r="DL27" s="2" t="s">
        <v>48</v>
      </c>
      <c r="DM27" s="2" t="s">
        <v>49</v>
      </c>
      <c r="DN27" s="2">
        <v>0</v>
      </c>
      <c r="DO27" s="2">
        <v>0</v>
      </c>
      <c r="DP27" s="2">
        <v>1</v>
      </c>
      <c r="DQ27" s="2">
        <v>1</v>
      </c>
      <c r="DR27" s="2"/>
      <c r="DS27" s="2"/>
      <c r="DT27" s="2"/>
      <c r="DU27" s="2">
        <v>1007</v>
      </c>
      <c r="DV27" s="2" t="s">
        <v>44</v>
      </c>
      <c r="DW27" s="2" t="s">
        <v>44</v>
      </c>
      <c r="DX27" s="2">
        <v>100</v>
      </c>
      <c r="DY27" s="2"/>
      <c r="DZ27" s="2" t="s">
        <v>3</v>
      </c>
      <c r="EA27" s="2" t="s">
        <v>3</v>
      </c>
      <c r="EB27" s="2" t="s">
        <v>3</v>
      </c>
      <c r="EC27" s="2" t="s">
        <v>3</v>
      </c>
      <c r="ED27" s="2"/>
      <c r="EE27" s="2">
        <v>54458912</v>
      </c>
      <c r="EF27" s="2">
        <v>2</v>
      </c>
      <c r="EG27" s="2" t="s">
        <v>35</v>
      </c>
      <c r="EH27" s="2">
        <v>6</v>
      </c>
      <c r="EI27" s="2" t="s">
        <v>50</v>
      </c>
      <c r="EJ27" s="2">
        <v>1</v>
      </c>
      <c r="EK27" s="2">
        <v>6001</v>
      </c>
      <c r="EL27" s="2" t="s">
        <v>50</v>
      </c>
      <c r="EM27" s="2" t="s">
        <v>51</v>
      </c>
      <c r="EN27" s="2"/>
      <c r="EO27" s="2" t="s">
        <v>52</v>
      </c>
      <c r="EP27" s="2"/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135</v>
      </c>
      <c r="EX27" s="2">
        <v>18.12</v>
      </c>
      <c r="EY27" s="2">
        <v>0</v>
      </c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>
        <v>0</v>
      </c>
      <c r="FR27" s="2">
        <v>0</v>
      </c>
      <c r="FS27" s="2">
        <v>0</v>
      </c>
      <c r="FT27" s="2"/>
      <c r="FU27" s="2"/>
      <c r="FV27" s="2"/>
      <c r="FW27" s="2"/>
      <c r="FX27" s="2">
        <v>91.8</v>
      </c>
      <c r="FY27" s="2">
        <v>49.3</v>
      </c>
      <c r="FZ27" s="2"/>
      <c r="GA27" s="2" t="s">
        <v>3</v>
      </c>
      <c r="GB27" s="2"/>
      <c r="GC27" s="2"/>
      <c r="GD27" s="2">
        <v>1</v>
      </c>
      <c r="GE27" s="2"/>
      <c r="GF27" s="2">
        <v>-484136034</v>
      </c>
      <c r="GG27" s="2">
        <v>2</v>
      </c>
      <c r="GH27" s="2">
        <v>1</v>
      </c>
      <c r="GI27" s="2">
        <v>-2</v>
      </c>
      <c r="GJ27" s="2">
        <v>0</v>
      </c>
      <c r="GK27" s="2">
        <v>0</v>
      </c>
      <c r="GL27" s="2">
        <f t="shared" si="27"/>
        <v>0</v>
      </c>
      <c r="GM27" s="2">
        <f t="shared" si="28"/>
        <v>2634.8</v>
      </c>
      <c r="GN27" s="2">
        <f t="shared" si="29"/>
        <v>2634.8</v>
      </c>
      <c r="GO27" s="2">
        <f t="shared" si="30"/>
        <v>0</v>
      </c>
      <c r="GP27" s="2">
        <f t="shared" si="31"/>
        <v>0</v>
      </c>
      <c r="GQ27" s="2"/>
      <c r="GR27" s="2">
        <v>0</v>
      </c>
      <c r="GS27" s="2">
        <v>0</v>
      </c>
      <c r="GT27" s="2">
        <v>0</v>
      </c>
      <c r="GU27" s="2" t="s">
        <v>3</v>
      </c>
      <c r="GV27" s="2">
        <f t="shared" si="32"/>
        <v>0</v>
      </c>
      <c r="GW27" s="2">
        <v>1</v>
      </c>
      <c r="GX27" s="2">
        <f t="shared" si="33"/>
        <v>0</v>
      </c>
      <c r="GY27" s="2"/>
      <c r="GZ27" s="2"/>
      <c r="HA27" s="2">
        <v>0</v>
      </c>
      <c r="HB27" s="2">
        <v>0</v>
      </c>
      <c r="HC27" s="2">
        <f t="shared" si="34"/>
        <v>0</v>
      </c>
      <c r="HD27" s="2"/>
      <c r="HE27" s="2" t="s">
        <v>3</v>
      </c>
      <c r="HF27" s="2" t="s">
        <v>3</v>
      </c>
      <c r="HG27" s="2"/>
      <c r="HH27" s="2"/>
      <c r="HI27" s="2"/>
      <c r="HJ27" s="2"/>
      <c r="HK27" s="2"/>
      <c r="HL27" s="2"/>
      <c r="HM27" s="2" t="s">
        <v>3</v>
      </c>
      <c r="HN27" s="2" t="s">
        <v>53</v>
      </c>
      <c r="HO27" s="2" t="s">
        <v>54</v>
      </c>
      <c r="HP27" s="2" t="s">
        <v>50</v>
      </c>
      <c r="HQ27" s="2" t="s">
        <v>50</v>
      </c>
      <c r="HR27" s="2"/>
      <c r="HS27" s="2">
        <v>0</v>
      </c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>
        <v>0</v>
      </c>
      <c r="IL27" s="2"/>
      <c r="IM27" s="2"/>
      <c r="IN27" s="2"/>
      <c r="IO27" s="2"/>
      <c r="IP27" s="2"/>
      <c r="IQ27" s="2"/>
      <c r="IR27" s="2"/>
      <c r="IS27" s="2"/>
      <c r="IT27" s="2"/>
      <c r="IU27" s="2"/>
    </row>
    <row r="28" spans="1:255" ht="13.15" customHeight="1" x14ac:dyDescent="0.2">
      <c r="A28" s="2">
        <v>18</v>
      </c>
      <c r="B28" s="2">
        <v>1</v>
      </c>
      <c r="C28" s="2">
        <v>15</v>
      </c>
      <c r="D28" s="2"/>
      <c r="E28" s="2" t="s">
        <v>55</v>
      </c>
      <c r="F28" s="2" t="s">
        <v>56</v>
      </c>
      <c r="G28" s="86" t="s">
        <v>57</v>
      </c>
      <c r="H28" s="86" t="s">
        <v>33</v>
      </c>
      <c r="I28" s="86">
        <f>I27*J28</f>
        <v>1.4790000000000001</v>
      </c>
      <c r="J28" s="2">
        <v>102</v>
      </c>
      <c r="K28" s="2">
        <v>102</v>
      </c>
      <c r="L28" s="2"/>
      <c r="M28" s="2"/>
      <c r="N28" s="2"/>
      <c r="O28" s="2">
        <f t="shared" si="14"/>
        <v>9469.27</v>
      </c>
      <c r="P28" s="2">
        <f>ROUND(CQ28*I28,2)</f>
        <v>9469.27</v>
      </c>
      <c r="Q28" s="2">
        <f>ROUND(CR28*I28,2)</f>
        <v>0</v>
      </c>
      <c r="R28" s="2">
        <f>ROUND(CS28*I28,2)</f>
        <v>0</v>
      </c>
      <c r="S28" s="2">
        <f>ROUND(CT28*I28,2)</f>
        <v>0</v>
      </c>
      <c r="T28" s="2">
        <f t="shared" si="15"/>
        <v>0</v>
      </c>
      <c r="U28" s="2">
        <f>ROUND(CV28*I28,7)</f>
        <v>0</v>
      </c>
      <c r="V28" s="2">
        <f>ROUND(CW28*I28,7)</f>
        <v>0</v>
      </c>
      <c r="W28" s="2">
        <f t="shared" si="16"/>
        <v>0</v>
      </c>
      <c r="X28" s="2">
        <f t="shared" si="17"/>
        <v>0</v>
      </c>
      <c r="Y28" s="2">
        <f t="shared" si="18"/>
        <v>0</v>
      </c>
      <c r="Z28" s="2"/>
      <c r="AA28" s="2">
        <v>55858619</v>
      </c>
      <c r="AB28" s="2">
        <f t="shared" si="19"/>
        <v>6402.48</v>
      </c>
      <c r="AC28" s="2">
        <f>ROUND((ES28),6)</f>
        <v>6402.48</v>
      </c>
      <c r="AD28" s="2">
        <f>ROUND((((ET28)-(EU28))+AE28),6)</f>
        <v>0</v>
      </c>
      <c r="AE28" s="2">
        <f>ROUND((EU28),6)</f>
        <v>0</v>
      </c>
      <c r="AF28" s="2">
        <f>ROUND((EV28),6)</f>
        <v>0</v>
      </c>
      <c r="AG28" s="2">
        <f t="shared" si="20"/>
        <v>0</v>
      </c>
      <c r="AH28" s="2">
        <f>(EW28)</f>
        <v>0</v>
      </c>
      <c r="AI28" s="2">
        <f>(EX28)</f>
        <v>0</v>
      </c>
      <c r="AJ28" s="2">
        <f t="shared" si="21"/>
        <v>0</v>
      </c>
      <c r="AK28" s="2">
        <v>6402.48</v>
      </c>
      <c r="AL28" s="2">
        <v>6402.48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102</v>
      </c>
      <c r="AU28" s="2">
        <v>58</v>
      </c>
      <c r="AV28" s="2">
        <v>1</v>
      </c>
      <c r="AW28" s="2">
        <v>1</v>
      </c>
      <c r="AX28" s="2"/>
      <c r="AY28" s="2"/>
      <c r="AZ28" s="2">
        <v>1</v>
      </c>
      <c r="BA28" s="2">
        <v>1</v>
      </c>
      <c r="BB28" s="2">
        <v>1</v>
      </c>
      <c r="BC28" s="2">
        <v>1</v>
      </c>
      <c r="BD28" s="2" t="s">
        <v>3</v>
      </c>
      <c r="BE28" s="2" t="s">
        <v>3</v>
      </c>
      <c r="BF28" s="2" t="s">
        <v>3</v>
      </c>
      <c r="BG28" s="2" t="s">
        <v>3</v>
      </c>
      <c r="BH28" s="2">
        <v>3</v>
      </c>
      <c r="BI28" s="2">
        <v>1</v>
      </c>
      <c r="BJ28" s="2" t="s">
        <v>58</v>
      </c>
      <c r="BK28" s="2"/>
      <c r="BL28" s="2"/>
      <c r="BM28" s="2">
        <v>6001</v>
      </c>
      <c r="BN28" s="2">
        <v>0</v>
      </c>
      <c r="BO28" s="2" t="s">
        <v>3</v>
      </c>
      <c r="BP28" s="2">
        <v>0</v>
      </c>
      <c r="BQ28" s="2">
        <v>2</v>
      </c>
      <c r="BR28" s="2">
        <v>0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 t="s">
        <v>3</v>
      </c>
      <c r="BZ28" s="2">
        <v>102</v>
      </c>
      <c r="CA28" s="2">
        <v>58</v>
      </c>
      <c r="CB28" s="2" t="s">
        <v>3</v>
      </c>
      <c r="CC28" s="2"/>
      <c r="CD28" s="2"/>
      <c r="CE28" s="2">
        <v>0</v>
      </c>
      <c r="CF28" s="2">
        <v>0</v>
      </c>
      <c r="CG28" s="2">
        <v>0</v>
      </c>
      <c r="CH28" s="2"/>
      <c r="CI28" s="2"/>
      <c r="CJ28" s="2"/>
      <c r="CK28" s="2"/>
      <c r="CL28" s="2"/>
      <c r="CM28" s="2">
        <v>0</v>
      </c>
      <c r="CN28" s="2" t="s">
        <v>3</v>
      </c>
      <c r="CO28" s="2">
        <v>0</v>
      </c>
      <c r="CP28" s="2">
        <f t="shared" si="22"/>
        <v>9469.27</v>
      </c>
      <c r="CQ28" s="2">
        <f>ROUND(AL28*BC28,2)</f>
        <v>6402.48</v>
      </c>
      <c r="CR28" s="2">
        <f>ROUND(AM28*BB28,2)</f>
        <v>0</v>
      </c>
      <c r="CS28" s="2">
        <f>ROUND(AN28*BS28,2)</f>
        <v>0</v>
      </c>
      <c r="CT28" s="2">
        <f>ROUND(AO28*BA28,2)</f>
        <v>0</v>
      </c>
      <c r="CU28" s="2">
        <f t="shared" si="23"/>
        <v>0</v>
      </c>
      <c r="CV28" s="2">
        <f>AH28</f>
        <v>0</v>
      </c>
      <c r="CW28" s="2">
        <f>AI28</f>
        <v>0</v>
      </c>
      <c r="CX28" s="2">
        <f t="shared" si="24"/>
        <v>0</v>
      </c>
      <c r="CY28" s="2">
        <f t="shared" si="25"/>
        <v>0</v>
      </c>
      <c r="CZ28" s="2">
        <f t="shared" si="26"/>
        <v>0</v>
      </c>
      <c r="DA28" s="2"/>
      <c r="DB28" s="2"/>
      <c r="DC28" s="2" t="s">
        <v>3</v>
      </c>
      <c r="DD28" s="2" t="s">
        <v>3</v>
      </c>
      <c r="DE28" s="2" t="s">
        <v>3</v>
      </c>
      <c r="DF28" s="2" t="s">
        <v>3</v>
      </c>
      <c r="DG28" s="2" t="s">
        <v>3</v>
      </c>
      <c r="DH28" s="2" t="s">
        <v>3</v>
      </c>
      <c r="DI28" s="2" t="s">
        <v>3</v>
      </c>
      <c r="DJ28" s="2" t="s">
        <v>3</v>
      </c>
      <c r="DK28" s="2" t="s">
        <v>3</v>
      </c>
      <c r="DL28" s="2" t="s">
        <v>3</v>
      </c>
      <c r="DM28" s="2" t="s">
        <v>3</v>
      </c>
      <c r="DN28" s="2">
        <v>0</v>
      </c>
      <c r="DO28" s="2">
        <v>0</v>
      </c>
      <c r="DP28" s="2">
        <v>1</v>
      </c>
      <c r="DQ28" s="2">
        <v>1</v>
      </c>
      <c r="DR28" s="2"/>
      <c r="DS28" s="2"/>
      <c r="DT28" s="2"/>
      <c r="DU28" s="2">
        <v>1007</v>
      </c>
      <c r="DV28" s="2" t="s">
        <v>33</v>
      </c>
      <c r="DW28" s="2" t="s">
        <v>33</v>
      </c>
      <c r="DX28" s="2">
        <v>1</v>
      </c>
      <c r="DY28" s="2"/>
      <c r="DZ28" s="2" t="s">
        <v>3</v>
      </c>
      <c r="EA28" s="2" t="s">
        <v>3</v>
      </c>
      <c r="EB28" s="2" t="s">
        <v>3</v>
      </c>
      <c r="EC28" s="2" t="s">
        <v>3</v>
      </c>
      <c r="ED28" s="2"/>
      <c r="EE28" s="2">
        <v>54458912</v>
      </c>
      <c r="EF28" s="2">
        <v>2</v>
      </c>
      <c r="EG28" s="2" t="s">
        <v>35</v>
      </c>
      <c r="EH28" s="2">
        <v>6</v>
      </c>
      <c r="EI28" s="2" t="s">
        <v>50</v>
      </c>
      <c r="EJ28" s="2">
        <v>1</v>
      </c>
      <c r="EK28" s="2">
        <v>6001</v>
      </c>
      <c r="EL28" s="2" t="s">
        <v>50</v>
      </c>
      <c r="EM28" s="2" t="s">
        <v>51</v>
      </c>
      <c r="EN28" s="2"/>
      <c r="EO28" s="2" t="s">
        <v>3</v>
      </c>
      <c r="EP28" s="2"/>
      <c r="EQ28" s="2">
        <v>0</v>
      </c>
      <c r="ER28" s="2">
        <v>6402.48</v>
      </c>
      <c r="ES28" s="2">
        <v>6402.48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>
        <v>0</v>
      </c>
      <c r="FR28" s="2">
        <v>0</v>
      </c>
      <c r="FS28" s="2">
        <v>0</v>
      </c>
      <c r="FT28" s="2"/>
      <c r="FU28" s="2"/>
      <c r="FV28" s="2"/>
      <c r="FW28" s="2"/>
      <c r="FX28" s="2">
        <v>102</v>
      </c>
      <c r="FY28" s="2">
        <v>58</v>
      </c>
      <c r="FZ28" s="2"/>
      <c r="GA28" s="2" t="s">
        <v>3</v>
      </c>
      <c r="GB28" s="2"/>
      <c r="GC28" s="2"/>
      <c r="GD28" s="2">
        <v>1</v>
      </c>
      <c r="GE28" s="2">
        <v>4806.25</v>
      </c>
      <c r="GF28" s="2">
        <v>-438990866</v>
      </c>
      <c r="GG28" s="2">
        <v>2</v>
      </c>
      <c r="GH28" s="2">
        <v>1</v>
      </c>
      <c r="GI28" s="2">
        <v>-2</v>
      </c>
      <c r="GJ28" s="2">
        <v>0</v>
      </c>
      <c r="GK28" s="2">
        <v>0</v>
      </c>
      <c r="GL28" s="2">
        <f t="shared" si="27"/>
        <v>0</v>
      </c>
      <c r="GM28" s="2">
        <f t="shared" si="28"/>
        <v>9469.27</v>
      </c>
      <c r="GN28" s="2">
        <f t="shared" si="29"/>
        <v>9469.27</v>
      </c>
      <c r="GO28" s="2">
        <f t="shared" si="30"/>
        <v>0</v>
      </c>
      <c r="GP28" s="2">
        <f t="shared" si="31"/>
        <v>0</v>
      </c>
      <c r="GQ28" s="2"/>
      <c r="GR28" s="2">
        <v>3</v>
      </c>
      <c r="GS28" s="2">
        <v>0</v>
      </c>
      <c r="GT28" s="2">
        <v>0</v>
      </c>
      <c r="GU28" s="2" t="s">
        <v>3</v>
      </c>
      <c r="GV28" s="2">
        <f t="shared" si="32"/>
        <v>0</v>
      </c>
      <c r="GW28" s="2">
        <v>1</v>
      </c>
      <c r="GX28" s="2">
        <f t="shared" si="33"/>
        <v>0</v>
      </c>
      <c r="GY28" s="2"/>
      <c r="GZ28" s="2"/>
      <c r="HA28" s="2">
        <v>0</v>
      </c>
      <c r="HB28" s="2">
        <v>0</v>
      </c>
      <c r="HC28" s="2">
        <f t="shared" si="34"/>
        <v>0</v>
      </c>
      <c r="HD28" s="2"/>
      <c r="HE28" s="2" t="s">
        <v>3</v>
      </c>
      <c r="HF28" s="2" t="s">
        <v>3</v>
      </c>
      <c r="HG28" s="2"/>
      <c r="HH28" s="2"/>
      <c r="HI28" s="2"/>
      <c r="HJ28" s="2"/>
      <c r="HK28" s="2"/>
      <c r="HL28" s="2"/>
      <c r="HM28" s="2" t="s">
        <v>3</v>
      </c>
      <c r="HN28" s="2" t="s">
        <v>53</v>
      </c>
      <c r="HO28" s="2" t="s">
        <v>54</v>
      </c>
      <c r="HP28" s="2" t="s">
        <v>50</v>
      </c>
      <c r="HQ28" s="2" t="s">
        <v>50</v>
      </c>
      <c r="HR28" s="2"/>
      <c r="HS28" s="2">
        <v>0</v>
      </c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>
        <v>0</v>
      </c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ht="13.15" customHeight="1" x14ac:dyDescent="0.2">
      <c r="A29" s="2">
        <v>17</v>
      </c>
      <c r="B29" s="2">
        <v>1</v>
      </c>
      <c r="C29" s="2">
        <f>ROW(SmtRes!A28)</f>
        <v>28</v>
      </c>
      <c r="D29" s="2">
        <f>ROW(EtalonRes!A28)</f>
        <v>28</v>
      </c>
      <c r="E29" s="2" t="s">
        <v>59</v>
      </c>
      <c r="F29" s="2" t="s">
        <v>60</v>
      </c>
      <c r="G29" s="86" t="s">
        <v>61</v>
      </c>
      <c r="H29" s="86" t="s">
        <v>19</v>
      </c>
      <c r="I29" s="86">
        <f>ROUND(40/100,7)</f>
        <v>0.4</v>
      </c>
      <c r="J29" s="2">
        <v>0</v>
      </c>
      <c r="K29" s="2">
        <f>ROUND(40/100,7)</f>
        <v>0.4</v>
      </c>
      <c r="L29" s="2"/>
      <c r="M29" s="2"/>
      <c r="N29" s="2"/>
      <c r="O29" s="2">
        <f t="shared" si="14"/>
        <v>53384.43</v>
      </c>
      <c r="P29" s="2">
        <f>SUMIF(SmtRes!AQ16:'SmtRes'!AQ28,"=1",SmtRes!DF16:'SmtRes'!DF28)</f>
        <v>400.40999999999997</v>
      </c>
      <c r="Q29" s="2">
        <f>SUMIF(SmtRes!AQ16:'SmtRes'!AQ28,"=1",SmtRes!DG16:'SmtRes'!DG28)</f>
        <v>19.23</v>
      </c>
      <c r="R29" s="2">
        <f>SUMIF(SmtRes!AQ16:'SmtRes'!AQ28,"=1",SmtRes!DH16:'SmtRes'!DH28)</f>
        <v>314.08</v>
      </c>
      <c r="S29" s="2">
        <f>SUMIF(SmtRes!AQ16:'SmtRes'!AQ28,"=1",SmtRes!DI16:'SmtRes'!DI28)</f>
        <v>52650.71</v>
      </c>
      <c r="T29" s="2">
        <f t="shared" si="15"/>
        <v>0</v>
      </c>
      <c r="U29" s="2">
        <f>SUMIF(SmtRes!AQ16:'SmtRes'!AQ28,"=1",SmtRes!CV16:'SmtRes'!CV28)</f>
        <v>142.79320000000001</v>
      </c>
      <c r="V29" s="2">
        <f>SUMIF(SmtRes!AQ16:'SmtRes'!AQ28,"=1",SmtRes!CW16:'SmtRes'!CW28)</f>
        <v>0.86499999999999999</v>
      </c>
      <c r="W29" s="2">
        <f t="shared" si="16"/>
        <v>0</v>
      </c>
      <c r="X29" s="2">
        <f t="shared" si="17"/>
        <v>53388.51</v>
      </c>
      <c r="Y29" s="2">
        <f t="shared" si="18"/>
        <v>29263.05</v>
      </c>
      <c r="Z29" s="2"/>
      <c r="AA29" s="2">
        <v>55858619</v>
      </c>
      <c r="AB29" s="2">
        <f t="shared" si="19"/>
        <v>132175.32126</v>
      </c>
      <c r="AC29" s="2">
        <f>ROUND((SUM(SmtRes!BQ16:'SmtRes'!BQ28)),6)</f>
        <v>507.36687499999999</v>
      </c>
      <c r="AD29" s="2">
        <f>ROUND((((SUM(SmtRes!BR16:'SmtRes'!BR28))-(SUM(SmtRes!BS16:'SmtRes'!BS28)))+AE29),6)</f>
        <v>41.182625000000002</v>
      </c>
      <c r="AE29" s="2">
        <f>ROUND((SUM(SmtRes!BS16:'SmtRes'!BS28)),6)</f>
        <v>785.22337500000003</v>
      </c>
      <c r="AF29" s="2">
        <f>ROUND((SUM(SmtRes!BT16:'SmtRes'!BT28)),6)</f>
        <v>131626.77176</v>
      </c>
      <c r="AG29" s="2">
        <f t="shared" si="20"/>
        <v>0</v>
      </c>
      <c r="AH29" s="2">
        <f>(SUM(SmtRes!BU16:'SmtRes'!BU28))</f>
        <v>356.983</v>
      </c>
      <c r="AI29" s="2">
        <f>(SUM(SmtRes!BV16:'SmtRes'!BV28))</f>
        <v>2.1625000000000001</v>
      </c>
      <c r="AJ29" s="2">
        <f t="shared" si="21"/>
        <v>0</v>
      </c>
      <c r="AK29" s="2">
        <v>115626.55407500001</v>
      </c>
      <c r="AL29" s="2">
        <v>507.36687500000005</v>
      </c>
      <c r="AM29" s="2">
        <v>32.946100000000001</v>
      </c>
      <c r="AN29" s="2">
        <v>628.17869999999994</v>
      </c>
      <c r="AO29" s="2">
        <v>114458.06240000001</v>
      </c>
      <c r="AP29" s="2">
        <v>0</v>
      </c>
      <c r="AQ29" s="2">
        <v>310.42</v>
      </c>
      <c r="AR29" s="2">
        <v>1.73</v>
      </c>
      <c r="AS29" s="2">
        <v>0</v>
      </c>
      <c r="AT29" s="2">
        <v>100.8</v>
      </c>
      <c r="AU29" s="2">
        <v>55.25</v>
      </c>
      <c r="AV29" s="2">
        <v>1</v>
      </c>
      <c r="AW29" s="2">
        <v>1</v>
      </c>
      <c r="AX29" s="2"/>
      <c r="AY29" s="2"/>
      <c r="AZ29" s="2">
        <v>1</v>
      </c>
      <c r="BA29" s="2">
        <v>1</v>
      </c>
      <c r="BB29" s="2">
        <v>1</v>
      </c>
      <c r="BC29" s="2">
        <v>1</v>
      </c>
      <c r="BD29" s="2" t="s">
        <v>3</v>
      </c>
      <c r="BE29" s="2" t="s">
        <v>3</v>
      </c>
      <c r="BF29" s="2" t="s">
        <v>3</v>
      </c>
      <c r="BG29" s="2" t="s">
        <v>3</v>
      </c>
      <c r="BH29" s="2">
        <v>0</v>
      </c>
      <c r="BI29" s="2">
        <v>1</v>
      </c>
      <c r="BJ29" s="2" t="s">
        <v>62</v>
      </c>
      <c r="BK29" s="2"/>
      <c r="BL29" s="2"/>
      <c r="BM29" s="2">
        <v>11001</v>
      </c>
      <c r="BN29" s="2">
        <v>0</v>
      </c>
      <c r="BO29" s="2" t="s">
        <v>3</v>
      </c>
      <c r="BP29" s="2">
        <v>0</v>
      </c>
      <c r="BQ29" s="2">
        <v>2</v>
      </c>
      <c r="BR29" s="2">
        <v>0</v>
      </c>
      <c r="BS29" s="2">
        <v>1</v>
      </c>
      <c r="BT29" s="2">
        <v>1</v>
      </c>
      <c r="BU29" s="2">
        <v>1</v>
      </c>
      <c r="BV29" s="2">
        <v>1</v>
      </c>
      <c r="BW29" s="2">
        <v>1</v>
      </c>
      <c r="BX29" s="2">
        <v>1</v>
      </c>
      <c r="BY29" s="2" t="s">
        <v>3</v>
      </c>
      <c r="BZ29" s="2">
        <v>112</v>
      </c>
      <c r="CA29" s="2">
        <v>65</v>
      </c>
      <c r="CB29" s="2" t="s">
        <v>3</v>
      </c>
      <c r="CC29" s="2"/>
      <c r="CD29" s="2"/>
      <c r="CE29" s="2">
        <v>0</v>
      </c>
      <c r="CF29" s="2">
        <v>0</v>
      </c>
      <c r="CG29" s="2">
        <v>0</v>
      </c>
      <c r="CH29" s="2"/>
      <c r="CI29" s="2"/>
      <c r="CJ29" s="2"/>
      <c r="CK29" s="2"/>
      <c r="CL29" s="2"/>
      <c r="CM29" s="2">
        <v>0</v>
      </c>
      <c r="CN29" s="7" t="s">
        <v>481</v>
      </c>
      <c r="CO29" s="2">
        <v>0</v>
      </c>
      <c r="CP29" s="2">
        <f t="shared" si="22"/>
        <v>53384.43</v>
      </c>
      <c r="CQ29" s="2">
        <f>SUMIF(SmtRes!AQ16:'SmtRes'!AQ28,"=1",SmtRes!AA16:'SmtRes'!AA28)</f>
        <v>76015.950000000012</v>
      </c>
      <c r="CR29" s="2">
        <f>SUMIF(SmtRes!AQ16:'SmtRes'!AQ28,"=1",SmtRes!AB16:'SmtRes'!AB28)</f>
        <v>2792.3799999999997</v>
      </c>
      <c r="CS29" s="2">
        <f>SUMIF(SmtRes!AQ16:'SmtRes'!AQ28,"=1",SmtRes!AC16:'SmtRes'!AC28)</f>
        <v>1852.66</v>
      </c>
      <c r="CT29" s="2">
        <f>SUMIF(SmtRes!AQ16:'SmtRes'!AQ28,"=1",SmtRes!AD16:'SmtRes'!AD28)</f>
        <v>368.72</v>
      </c>
      <c r="CU29" s="2">
        <f t="shared" si="23"/>
        <v>0</v>
      </c>
      <c r="CV29" s="2">
        <f>SUMIF(SmtRes!AQ16:'SmtRes'!AQ28,"=1",SmtRes!BU16:'SmtRes'!BU28)</f>
        <v>356.983</v>
      </c>
      <c r="CW29" s="2">
        <f>SUMIF(SmtRes!AQ16:'SmtRes'!AQ28,"=1",SmtRes!BV16:'SmtRes'!BV28)</f>
        <v>2.1625000000000001</v>
      </c>
      <c r="CX29" s="2">
        <f t="shared" si="24"/>
        <v>0</v>
      </c>
      <c r="CY29" s="2">
        <f t="shared" si="25"/>
        <v>53388.508320000001</v>
      </c>
      <c r="CZ29" s="2">
        <f t="shared" si="26"/>
        <v>29263.046474999999</v>
      </c>
      <c r="DA29" s="2"/>
      <c r="DB29" s="2">
        <v>2</v>
      </c>
      <c r="DC29" s="2" t="s">
        <v>3</v>
      </c>
      <c r="DD29" s="2" t="s">
        <v>3</v>
      </c>
      <c r="DE29" s="2" t="s">
        <v>46</v>
      </c>
      <c r="DF29" s="2" t="s">
        <v>46</v>
      </c>
      <c r="DG29" s="2" t="s">
        <v>47</v>
      </c>
      <c r="DH29" s="2" t="s">
        <v>3</v>
      </c>
      <c r="DI29" s="2" t="s">
        <v>47</v>
      </c>
      <c r="DJ29" s="2" t="s">
        <v>46</v>
      </c>
      <c r="DK29" s="2" t="s">
        <v>3</v>
      </c>
      <c r="DL29" s="2" t="s">
        <v>48</v>
      </c>
      <c r="DM29" s="2" t="s">
        <v>49</v>
      </c>
      <c r="DN29" s="2">
        <v>0</v>
      </c>
      <c r="DO29" s="2">
        <v>0</v>
      </c>
      <c r="DP29" s="2">
        <v>1</v>
      </c>
      <c r="DQ29" s="2">
        <v>1</v>
      </c>
      <c r="DR29" s="2"/>
      <c r="DS29" s="2"/>
      <c r="DT29" s="2"/>
      <c r="DU29" s="2">
        <v>1005</v>
      </c>
      <c r="DV29" s="2" t="s">
        <v>19</v>
      </c>
      <c r="DW29" s="2" t="s">
        <v>19</v>
      </c>
      <c r="DX29" s="2">
        <v>100</v>
      </c>
      <c r="DY29" s="2"/>
      <c r="DZ29" s="2" t="s">
        <v>3</v>
      </c>
      <c r="EA29" s="2" t="s">
        <v>3</v>
      </c>
      <c r="EB29" s="2" t="s">
        <v>3</v>
      </c>
      <c r="EC29" s="2" t="s">
        <v>3</v>
      </c>
      <c r="ED29" s="2"/>
      <c r="EE29" s="2">
        <v>54458926</v>
      </c>
      <c r="EF29" s="2">
        <v>2</v>
      </c>
      <c r="EG29" s="2" t="s">
        <v>35</v>
      </c>
      <c r="EH29" s="2">
        <v>11</v>
      </c>
      <c r="EI29" s="2" t="s">
        <v>22</v>
      </c>
      <c r="EJ29" s="2">
        <v>1</v>
      </c>
      <c r="EK29" s="2">
        <v>11001</v>
      </c>
      <c r="EL29" s="2" t="s">
        <v>22</v>
      </c>
      <c r="EM29" s="2" t="s">
        <v>63</v>
      </c>
      <c r="EN29" s="2"/>
      <c r="EO29" s="2" t="s">
        <v>52</v>
      </c>
      <c r="EP29" s="2"/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310.42</v>
      </c>
      <c r="EX29" s="2">
        <v>1.73</v>
      </c>
      <c r="EY29" s="2">
        <v>0</v>
      </c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>
        <v>0</v>
      </c>
      <c r="FR29" s="2">
        <v>0</v>
      </c>
      <c r="FS29" s="2">
        <v>0</v>
      </c>
      <c r="FT29" s="2"/>
      <c r="FU29" s="2"/>
      <c r="FV29" s="2"/>
      <c r="FW29" s="2"/>
      <c r="FX29" s="2">
        <v>100.8</v>
      </c>
      <c r="FY29" s="2">
        <v>55.25</v>
      </c>
      <c r="FZ29" s="2"/>
      <c r="GA29" s="2" t="s">
        <v>3</v>
      </c>
      <c r="GB29" s="2"/>
      <c r="GC29" s="2"/>
      <c r="GD29" s="2">
        <v>1</v>
      </c>
      <c r="GE29" s="2"/>
      <c r="GF29" s="2">
        <v>1474647041</v>
      </c>
      <c r="GG29" s="2">
        <v>2</v>
      </c>
      <c r="GH29" s="2">
        <v>1</v>
      </c>
      <c r="GI29" s="2">
        <v>-2</v>
      </c>
      <c r="GJ29" s="2">
        <v>0</v>
      </c>
      <c r="GK29" s="2">
        <v>0</v>
      </c>
      <c r="GL29" s="2">
        <f t="shared" si="27"/>
        <v>0</v>
      </c>
      <c r="GM29" s="2">
        <f t="shared" si="28"/>
        <v>136035.99</v>
      </c>
      <c r="GN29" s="2">
        <f t="shared" si="29"/>
        <v>136035.99</v>
      </c>
      <c r="GO29" s="2">
        <f t="shared" si="30"/>
        <v>0</v>
      </c>
      <c r="GP29" s="2">
        <f t="shared" si="31"/>
        <v>0</v>
      </c>
      <c r="GQ29" s="2"/>
      <c r="GR29" s="2">
        <v>0</v>
      </c>
      <c r="GS29" s="2">
        <v>0</v>
      </c>
      <c r="GT29" s="2">
        <v>0</v>
      </c>
      <c r="GU29" s="2" t="s">
        <v>3</v>
      </c>
      <c r="GV29" s="2">
        <f t="shared" si="32"/>
        <v>0</v>
      </c>
      <c r="GW29" s="2">
        <v>1</v>
      </c>
      <c r="GX29" s="2">
        <f t="shared" si="33"/>
        <v>0</v>
      </c>
      <c r="GY29" s="2"/>
      <c r="GZ29" s="2"/>
      <c r="HA29" s="2">
        <v>0</v>
      </c>
      <c r="HB29" s="2">
        <v>0</v>
      </c>
      <c r="HC29" s="2">
        <f t="shared" si="34"/>
        <v>0</v>
      </c>
      <c r="HD29" s="2"/>
      <c r="HE29" s="2" t="s">
        <v>3</v>
      </c>
      <c r="HF29" s="2" t="s">
        <v>3</v>
      </c>
      <c r="HG29" s="2"/>
      <c r="HH29" s="2"/>
      <c r="HI29" s="2"/>
      <c r="HJ29" s="2"/>
      <c r="HK29" s="2"/>
      <c r="HL29" s="2"/>
      <c r="HM29" s="2" t="s">
        <v>3</v>
      </c>
      <c r="HN29" s="2" t="s">
        <v>64</v>
      </c>
      <c r="HO29" s="2" t="s">
        <v>65</v>
      </c>
      <c r="HP29" s="2" t="s">
        <v>22</v>
      </c>
      <c r="HQ29" s="2" t="s">
        <v>22</v>
      </c>
      <c r="HR29" s="2"/>
      <c r="HS29" s="2">
        <v>0</v>
      </c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>
        <v>0</v>
      </c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5" ht="13.15" customHeight="1" x14ac:dyDescent="0.2">
      <c r="A30" s="2">
        <v>18</v>
      </c>
      <c r="B30" s="2">
        <v>1</v>
      </c>
      <c r="C30" s="2">
        <v>25</v>
      </c>
      <c r="D30" s="2"/>
      <c r="E30" s="2" t="s">
        <v>66</v>
      </c>
      <c r="F30" s="2" t="s">
        <v>67</v>
      </c>
      <c r="G30" s="86" t="s">
        <v>68</v>
      </c>
      <c r="H30" s="86" t="s">
        <v>69</v>
      </c>
      <c r="I30" s="86">
        <f>I29*J30</f>
        <v>40.799999999999997</v>
      </c>
      <c r="J30" s="2">
        <v>101.99999999999999</v>
      </c>
      <c r="K30" s="2">
        <v>102</v>
      </c>
      <c r="L30" s="2"/>
      <c r="M30" s="2"/>
      <c r="N30" s="2"/>
      <c r="O30" s="2">
        <f t="shared" si="14"/>
        <v>44230.87</v>
      </c>
      <c r="P30" s="2">
        <f>ROUND(CQ30*I30,2)</f>
        <v>44230.87</v>
      </c>
      <c r="Q30" s="2">
        <f>ROUND(CR30*I30,2)</f>
        <v>0</v>
      </c>
      <c r="R30" s="2">
        <f>ROUND(CS30*I30,2)</f>
        <v>0</v>
      </c>
      <c r="S30" s="2">
        <f>ROUND(CT30*I30,2)</f>
        <v>0</v>
      </c>
      <c r="T30" s="2">
        <f t="shared" si="15"/>
        <v>0</v>
      </c>
      <c r="U30" s="2">
        <f>ROUND(CV30*I30,7)</f>
        <v>0</v>
      </c>
      <c r="V30" s="2">
        <f>ROUND(CW30*I30,7)</f>
        <v>0</v>
      </c>
      <c r="W30" s="2">
        <f t="shared" si="16"/>
        <v>0</v>
      </c>
      <c r="X30" s="2">
        <f t="shared" si="17"/>
        <v>0</v>
      </c>
      <c r="Y30" s="2">
        <f t="shared" si="18"/>
        <v>0</v>
      </c>
      <c r="Z30" s="2"/>
      <c r="AA30" s="2">
        <v>55858619</v>
      </c>
      <c r="AB30" s="2">
        <f t="shared" si="19"/>
        <v>1084.0899999999999</v>
      </c>
      <c r="AC30" s="2">
        <f>ROUND((ES30),6)</f>
        <v>1084.0899999999999</v>
      </c>
      <c r="AD30" s="2">
        <f>ROUND((((ET30)-(EU30))+AE30),6)</f>
        <v>0</v>
      </c>
      <c r="AE30" s="2">
        <f t="shared" ref="AE30:AF33" si="35">ROUND((EU30),6)</f>
        <v>0</v>
      </c>
      <c r="AF30" s="2">
        <f t="shared" si="35"/>
        <v>0</v>
      </c>
      <c r="AG30" s="2">
        <f t="shared" si="20"/>
        <v>0</v>
      </c>
      <c r="AH30" s="2">
        <f t="shared" ref="AH30:AI33" si="36">(EW30)</f>
        <v>0</v>
      </c>
      <c r="AI30" s="2">
        <f t="shared" si="36"/>
        <v>0</v>
      </c>
      <c r="AJ30" s="2">
        <f t="shared" si="21"/>
        <v>0</v>
      </c>
      <c r="AK30" s="2">
        <v>1084.0899999999999</v>
      </c>
      <c r="AL30" s="2">
        <v>1084.0899999999999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112</v>
      </c>
      <c r="AU30" s="2">
        <v>65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3</v>
      </c>
      <c r="BE30" s="2" t="s">
        <v>3</v>
      </c>
      <c r="BF30" s="2" t="s">
        <v>3</v>
      </c>
      <c r="BG30" s="2" t="s">
        <v>3</v>
      </c>
      <c r="BH30" s="2">
        <v>3</v>
      </c>
      <c r="BI30" s="2">
        <v>1</v>
      </c>
      <c r="BJ30" s="2" t="s">
        <v>70</v>
      </c>
      <c r="BK30" s="2"/>
      <c r="BL30" s="2"/>
      <c r="BM30" s="2">
        <v>11001</v>
      </c>
      <c r="BN30" s="2">
        <v>0</v>
      </c>
      <c r="BO30" s="2" t="s">
        <v>3</v>
      </c>
      <c r="BP30" s="2">
        <v>0</v>
      </c>
      <c r="BQ30" s="2">
        <v>2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3</v>
      </c>
      <c r="BZ30" s="2">
        <v>112</v>
      </c>
      <c r="CA30" s="2">
        <v>65</v>
      </c>
      <c r="CB30" s="2" t="s">
        <v>3</v>
      </c>
      <c r="CC30" s="2"/>
      <c r="CD30" s="2"/>
      <c r="CE30" s="2">
        <v>0</v>
      </c>
      <c r="CF30" s="2">
        <v>0</v>
      </c>
      <c r="CG30" s="2">
        <v>0</v>
      </c>
      <c r="CH30" s="2"/>
      <c r="CI30" s="2"/>
      <c r="CJ30" s="2"/>
      <c r="CK30" s="2"/>
      <c r="CL30" s="2"/>
      <c r="CM30" s="2">
        <v>0</v>
      </c>
      <c r="CN30" s="2" t="s">
        <v>3</v>
      </c>
      <c r="CO30" s="2">
        <v>0</v>
      </c>
      <c r="CP30" s="2">
        <f t="shared" si="22"/>
        <v>44230.87</v>
      </c>
      <c r="CQ30" s="2">
        <f>ROUND(AL30*BC30,2)</f>
        <v>1084.0899999999999</v>
      </c>
      <c r="CR30" s="2">
        <f>ROUND(AM30*BB30,2)</f>
        <v>0</v>
      </c>
      <c r="CS30" s="2">
        <f>ROUND(AN30*BS30,2)</f>
        <v>0</v>
      </c>
      <c r="CT30" s="2">
        <f>ROUND(AO30*BA30,2)</f>
        <v>0</v>
      </c>
      <c r="CU30" s="2">
        <f t="shared" si="23"/>
        <v>0</v>
      </c>
      <c r="CV30" s="2">
        <f t="shared" ref="CV30:CW33" si="37">AH30</f>
        <v>0</v>
      </c>
      <c r="CW30" s="2">
        <f t="shared" si="37"/>
        <v>0</v>
      </c>
      <c r="CX30" s="2">
        <f t="shared" si="24"/>
        <v>0</v>
      </c>
      <c r="CY30" s="2">
        <f t="shared" si="25"/>
        <v>0</v>
      </c>
      <c r="CZ30" s="2">
        <f t="shared" si="26"/>
        <v>0</v>
      </c>
      <c r="DA30" s="2"/>
      <c r="DB30" s="2"/>
      <c r="DC30" s="2" t="s">
        <v>3</v>
      </c>
      <c r="DD30" s="2" t="s">
        <v>3</v>
      </c>
      <c r="DE30" s="2" t="s">
        <v>3</v>
      </c>
      <c r="DF30" s="2" t="s">
        <v>3</v>
      </c>
      <c r="DG30" s="2" t="s">
        <v>3</v>
      </c>
      <c r="DH30" s="2" t="s">
        <v>3</v>
      </c>
      <c r="DI30" s="2" t="s">
        <v>3</v>
      </c>
      <c r="DJ30" s="2" t="s">
        <v>3</v>
      </c>
      <c r="DK30" s="2" t="s">
        <v>3</v>
      </c>
      <c r="DL30" s="2" t="s">
        <v>3</v>
      </c>
      <c r="DM30" s="2" t="s">
        <v>3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1005</v>
      </c>
      <c r="DV30" s="2" t="s">
        <v>69</v>
      </c>
      <c r="DW30" s="2" t="s">
        <v>69</v>
      </c>
      <c r="DX30" s="2">
        <v>1</v>
      </c>
      <c r="DY30" s="2"/>
      <c r="DZ30" s="2" t="s">
        <v>3</v>
      </c>
      <c r="EA30" s="2" t="s">
        <v>3</v>
      </c>
      <c r="EB30" s="2" t="s">
        <v>3</v>
      </c>
      <c r="EC30" s="2" t="s">
        <v>3</v>
      </c>
      <c r="ED30" s="2"/>
      <c r="EE30" s="2">
        <v>54458926</v>
      </c>
      <c r="EF30" s="2">
        <v>2</v>
      </c>
      <c r="EG30" s="2" t="s">
        <v>35</v>
      </c>
      <c r="EH30" s="2">
        <v>11</v>
      </c>
      <c r="EI30" s="2" t="s">
        <v>22</v>
      </c>
      <c r="EJ30" s="2">
        <v>1</v>
      </c>
      <c r="EK30" s="2">
        <v>11001</v>
      </c>
      <c r="EL30" s="2" t="s">
        <v>22</v>
      </c>
      <c r="EM30" s="2" t="s">
        <v>63</v>
      </c>
      <c r="EN30" s="2"/>
      <c r="EO30" s="2" t="s">
        <v>3</v>
      </c>
      <c r="EP30" s="2"/>
      <c r="EQ30" s="2">
        <v>0</v>
      </c>
      <c r="ER30" s="2">
        <v>1084.0899999999999</v>
      </c>
      <c r="ES30" s="2">
        <v>1084.0899999999999</v>
      </c>
      <c r="ET30" s="2">
        <v>0</v>
      </c>
      <c r="EU30" s="2">
        <v>0</v>
      </c>
      <c r="EV30" s="2">
        <v>0</v>
      </c>
      <c r="EW30" s="2">
        <v>0</v>
      </c>
      <c r="EX30" s="2">
        <v>0</v>
      </c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v>0</v>
      </c>
      <c r="FS30" s="2">
        <v>0</v>
      </c>
      <c r="FT30" s="2"/>
      <c r="FU30" s="2"/>
      <c r="FV30" s="2"/>
      <c r="FW30" s="2"/>
      <c r="FX30" s="2">
        <v>112</v>
      </c>
      <c r="FY30" s="2">
        <v>65</v>
      </c>
      <c r="FZ30" s="2"/>
      <c r="GA30" s="2" t="s">
        <v>3</v>
      </c>
      <c r="GB30" s="2"/>
      <c r="GC30" s="2"/>
      <c r="GD30" s="2">
        <v>1</v>
      </c>
      <c r="GE30" s="2">
        <v>850.72</v>
      </c>
      <c r="GF30" s="2">
        <v>-395630401</v>
      </c>
      <c r="GG30" s="2">
        <v>2</v>
      </c>
      <c r="GH30" s="2">
        <v>1</v>
      </c>
      <c r="GI30" s="2">
        <v>-2</v>
      </c>
      <c r="GJ30" s="2">
        <v>0</v>
      </c>
      <c r="GK30" s="2">
        <v>0</v>
      </c>
      <c r="GL30" s="2">
        <f t="shared" si="27"/>
        <v>0</v>
      </c>
      <c r="GM30" s="2">
        <f t="shared" si="28"/>
        <v>44230.87</v>
      </c>
      <c r="GN30" s="2">
        <f t="shared" si="29"/>
        <v>44230.87</v>
      </c>
      <c r="GO30" s="2">
        <f t="shared" si="30"/>
        <v>0</v>
      </c>
      <c r="GP30" s="2">
        <f t="shared" si="31"/>
        <v>0</v>
      </c>
      <c r="GQ30" s="2"/>
      <c r="GR30" s="2">
        <v>3</v>
      </c>
      <c r="GS30" s="2">
        <v>0</v>
      </c>
      <c r="GT30" s="2">
        <v>0</v>
      </c>
      <c r="GU30" s="2" t="s">
        <v>3</v>
      </c>
      <c r="GV30" s="2">
        <f t="shared" si="32"/>
        <v>0</v>
      </c>
      <c r="GW30" s="2">
        <v>1</v>
      </c>
      <c r="GX30" s="2">
        <f t="shared" si="33"/>
        <v>0</v>
      </c>
      <c r="GY30" s="2"/>
      <c r="GZ30" s="2"/>
      <c r="HA30" s="2">
        <v>0</v>
      </c>
      <c r="HB30" s="2">
        <v>0</v>
      </c>
      <c r="HC30" s="2">
        <f t="shared" si="34"/>
        <v>0</v>
      </c>
      <c r="HD30" s="2"/>
      <c r="HE30" s="2" t="s">
        <v>3</v>
      </c>
      <c r="HF30" s="2" t="s">
        <v>3</v>
      </c>
      <c r="HG30" s="2"/>
      <c r="HH30" s="2"/>
      <c r="HI30" s="2"/>
      <c r="HJ30" s="2"/>
      <c r="HK30" s="2"/>
      <c r="HL30" s="2"/>
      <c r="HM30" s="2" t="s">
        <v>3</v>
      </c>
      <c r="HN30" s="2" t="s">
        <v>64</v>
      </c>
      <c r="HO30" s="2" t="s">
        <v>65</v>
      </c>
      <c r="HP30" s="2" t="s">
        <v>22</v>
      </c>
      <c r="HQ30" s="2" t="s">
        <v>22</v>
      </c>
      <c r="HR30" s="2"/>
      <c r="HS30" s="2">
        <v>0</v>
      </c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>
        <v>0</v>
      </c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ht="13.15" customHeight="1" x14ac:dyDescent="0.2">
      <c r="A31" s="2">
        <v>18</v>
      </c>
      <c r="B31" s="2">
        <v>1</v>
      </c>
      <c r="C31" s="2">
        <v>26</v>
      </c>
      <c r="D31" s="2"/>
      <c r="E31" s="2" t="s">
        <v>71</v>
      </c>
      <c r="F31" s="2" t="s">
        <v>72</v>
      </c>
      <c r="G31" s="86" t="s">
        <v>73</v>
      </c>
      <c r="H31" s="86" t="s">
        <v>33</v>
      </c>
      <c r="I31" s="86">
        <f>I29*J31</f>
        <v>4.0000000000000001E-3</v>
      </c>
      <c r="J31" s="2">
        <v>0.01</v>
      </c>
      <c r="K31" s="2">
        <v>0.01</v>
      </c>
      <c r="L31" s="2"/>
      <c r="M31" s="2"/>
      <c r="N31" s="2"/>
      <c r="O31" s="2">
        <f t="shared" si="14"/>
        <v>131.43</v>
      </c>
      <c r="P31" s="2">
        <f>ROUND(CQ31*I31,2)</f>
        <v>131.43</v>
      </c>
      <c r="Q31" s="2">
        <f>ROUND(CR31*I31,2)</f>
        <v>0</v>
      </c>
      <c r="R31" s="2">
        <f>ROUND(CS31*I31,2)</f>
        <v>0</v>
      </c>
      <c r="S31" s="2">
        <f>ROUND(CT31*I31,2)</f>
        <v>0</v>
      </c>
      <c r="T31" s="2">
        <f t="shared" si="15"/>
        <v>0</v>
      </c>
      <c r="U31" s="2">
        <f>ROUND(CV31*I31,7)</f>
        <v>0</v>
      </c>
      <c r="V31" s="2">
        <f>ROUND(CW31*I31,7)</f>
        <v>0</v>
      </c>
      <c r="W31" s="2">
        <f t="shared" si="16"/>
        <v>0</v>
      </c>
      <c r="X31" s="2">
        <f t="shared" si="17"/>
        <v>0</v>
      </c>
      <c r="Y31" s="2">
        <f t="shared" si="18"/>
        <v>0</v>
      </c>
      <c r="Z31" s="2"/>
      <c r="AA31" s="2">
        <v>55858619</v>
      </c>
      <c r="AB31" s="2">
        <f t="shared" si="19"/>
        <v>23139.16</v>
      </c>
      <c r="AC31" s="2">
        <f>ROUND((ES31),6)</f>
        <v>23139.16</v>
      </c>
      <c r="AD31" s="2">
        <f>ROUND((((ET31)-(EU31))+AE31),6)</f>
        <v>0</v>
      </c>
      <c r="AE31" s="2">
        <f t="shared" si="35"/>
        <v>0</v>
      </c>
      <c r="AF31" s="2">
        <f t="shared" si="35"/>
        <v>0</v>
      </c>
      <c r="AG31" s="2">
        <f t="shared" si="20"/>
        <v>0</v>
      </c>
      <c r="AH31" s="2">
        <f t="shared" si="36"/>
        <v>0</v>
      </c>
      <c r="AI31" s="2">
        <f t="shared" si="36"/>
        <v>0</v>
      </c>
      <c r="AJ31" s="2">
        <f t="shared" si="21"/>
        <v>0</v>
      </c>
      <c r="AK31" s="2">
        <v>23139.16</v>
      </c>
      <c r="AL31" s="2">
        <v>23139.16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112</v>
      </c>
      <c r="AU31" s="2">
        <v>65</v>
      </c>
      <c r="AV31" s="2">
        <v>1</v>
      </c>
      <c r="AW31" s="2">
        <v>1</v>
      </c>
      <c r="AX31" s="2"/>
      <c r="AY31" s="2"/>
      <c r="AZ31" s="2">
        <v>1</v>
      </c>
      <c r="BA31" s="2">
        <v>1</v>
      </c>
      <c r="BB31" s="2">
        <v>1</v>
      </c>
      <c r="BC31" s="2">
        <v>1.42</v>
      </c>
      <c r="BD31" s="2" t="s">
        <v>3</v>
      </c>
      <c r="BE31" s="2" t="s">
        <v>3</v>
      </c>
      <c r="BF31" s="2" t="s">
        <v>3</v>
      </c>
      <c r="BG31" s="2" t="s">
        <v>3</v>
      </c>
      <c r="BH31" s="2">
        <v>3</v>
      </c>
      <c r="BI31" s="2">
        <v>1</v>
      </c>
      <c r="BJ31" s="2" t="s">
        <v>74</v>
      </c>
      <c r="BK31" s="2"/>
      <c r="BL31" s="2"/>
      <c r="BM31" s="2">
        <v>11001</v>
      </c>
      <c r="BN31" s="2">
        <v>0</v>
      </c>
      <c r="BO31" s="2" t="s">
        <v>72</v>
      </c>
      <c r="BP31" s="2">
        <v>1</v>
      </c>
      <c r="BQ31" s="2">
        <v>2</v>
      </c>
      <c r="BR31" s="2">
        <v>0</v>
      </c>
      <c r="BS31" s="2">
        <v>1</v>
      </c>
      <c r="BT31" s="2">
        <v>1</v>
      </c>
      <c r="BU31" s="2">
        <v>1</v>
      </c>
      <c r="BV31" s="2">
        <v>1</v>
      </c>
      <c r="BW31" s="2">
        <v>1</v>
      </c>
      <c r="BX31" s="2">
        <v>1</v>
      </c>
      <c r="BY31" s="2" t="s">
        <v>3</v>
      </c>
      <c r="BZ31" s="2">
        <v>112</v>
      </c>
      <c r="CA31" s="2">
        <v>65</v>
      </c>
      <c r="CB31" s="2" t="s">
        <v>3</v>
      </c>
      <c r="CC31" s="2"/>
      <c r="CD31" s="2"/>
      <c r="CE31" s="2">
        <v>0</v>
      </c>
      <c r="CF31" s="2">
        <v>0</v>
      </c>
      <c r="CG31" s="2">
        <v>0</v>
      </c>
      <c r="CH31" s="2"/>
      <c r="CI31" s="2"/>
      <c r="CJ31" s="2"/>
      <c r="CK31" s="2"/>
      <c r="CL31" s="2"/>
      <c r="CM31" s="2">
        <v>0</v>
      </c>
      <c r="CN31" s="2" t="s">
        <v>3</v>
      </c>
      <c r="CO31" s="2">
        <v>0</v>
      </c>
      <c r="CP31" s="2">
        <f t="shared" si="22"/>
        <v>131.43</v>
      </c>
      <c r="CQ31" s="2">
        <f>ROUND(AL31*BC31,2)</f>
        <v>32857.61</v>
      </c>
      <c r="CR31" s="2">
        <f>ROUND(AM31*BB31,2)</f>
        <v>0</v>
      </c>
      <c r="CS31" s="2">
        <f>ROUND(AN31*BS31,2)</f>
        <v>0</v>
      </c>
      <c r="CT31" s="2">
        <f>ROUND(AO31*BA31,2)</f>
        <v>0</v>
      </c>
      <c r="CU31" s="2">
        <f t="shared" si="23"/>
        <v>0</v>
      </c>
      <c r="CV31" s="2">
        <f t="shared" si="37"/>
        <v>0</v>
      </c>
      <c r="CW31" s="2">
        <f t="shared" si="37"/>
        <v>0</v>
      </c>
      <c r="CX31" s="2">
        <f t="shared" si="24"/>
        <v>0</v>
      </c>
      <c r="CY31" s="2">
        <f t="shared" si="25"/>
        <v>0</v>
      </c>
      <c r="CZ31" s="2">
        <f t="shared" si="26"/>
        <v>0</v>
      </c>
      <c r="DA31" s="2"/>
      <c r="DB31" s="2"/>
      <c r="DC31" s="2" t="s">
        <v>3</v>
      </c>
      <c r="DD31" s="2" t="s">
        <v>3</v>
      </c>
      <c r="DE31" s="2" t="s">
        <v>3</v>
      </c>
      <c r="DF31" s="2" t="s">
        <v>3</v>
      </c>
      <c r="DG31" s="2" t="s">
        <v>3</v>
      </c>
      <c r="DH31" s="2" t="s">
        <v>3</v>
      </c>
      <c r="DI31" s="2" t="s">
        <v>3</v>
      </c>
      <c r="DJ31" s="2" t="s">
        <v>3</v>
      </c>
      <c r="DK31" s="2" t="s">
        <v>3</v>
      </c>
      <c r="DL31" s="2" t="s">
        <v>3</v>
      </c>
      <c r="DM31" s="2" t="s">
        <v>3</v>
      </c>
      <c r="DN31" s="2">
        <v>0</v>
      </c>
      <c r="DO31" s="2">
        <v>0</v>
      </c>
      <c r="DP31" s="2">
        <v>1</v>
      </c>
      <c r="DQ31" s="2">
        <v>1</v>
      </c>
      <c r="DR31" s="2"/>
      <c r="DS31" s="2"/>
      <c r="DT31" s="2"/>
      <c r="DU31" s="2">
        <v>1007</v>
      </c>
      <c r="DV31" s="2" t="s">
        <v>33</v>
      </c>
      <c r="DW31" s="2" t="s">
        <v>33</v>
      </c>
      <c r="DX31" s="2">
        <v>1</v>
      </c>
      <c r="DY31" s="2"/>
      <c r="DZ31" s="2" t="s">
        <v>3</v>
      </c>
      <c r="EA31" s="2" t="s">
        <v>3</v>
      </c>
      <c r="EB31" s="2" t="s">
        <v>3</v>
      </c>
      <c r="EC31" s="2" t="s">
        <v>3</v>
      </c>
      <c r="ED31" s="2"/>
      <c r="EE31" s="2">
        <v>54458926</v>
      </c>
      <c r="EF31" s="2">
        <v>2</v>
      </c>
      <c r="EG31" s="2" t="s">
        <v>35</v>
      </c>
      <c r="EH31" s="2">
        <v>11</v>
      </c>
      <c r="EI31" s="2" t="s">
        <v>22</v>
      </c>
      <c r="EJ31" s="2">
        <v>1</v>
      </c>
      <c r="EK31" s="2">
        <v>11001</v>
      </c>
      <c r="EL31" s="2" t="s">
        <v>22</v>
      </c>
      <c r="EM31" s="2" t="s">
        <v>63</v>
      </c>
      <c r="EN31" s="2"/>
      <c r="EO31" s="2" t="s">
        <v>3</v>
      </c>
      <c r="EP31" s="2"/>
      <c r="EQ31" s="2">
        <v>0</v>
      </c>
      <c r="ER31" s="2">
        <v>23139.16</v>
      </c>
      <c r="ES31" s="2">
        <v>23139.16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>
        <v>0</v>
      </c>
      <c r="FR31" s="2">
        <v>0</v>
      </c>
      <c r="FS31" s="2">
        <v>0</v>
      </c>
      <c r="FT31" s="2"/>
      <c r="FU31" s="2"/>
      <c r="FV31" s="2"/>
      <c r="FW31" s="2"/>
      <c r="FX31" s="2">
        <v>112</v>
      </c>
      <c r="FY31" s="2">
        <v>65</v>
      </c>
      <c r="FZ31" s="2"/>
      <c r="GA31" s="2" t="s">
        <v>3</v>
      </c>
      <c r="GB31" s="2"/>
      <c r="GC31" s="2"/>
      <c r="GD31" s="2">
        <v>1</v>
      </c>
      <c r="GE31" s="2"/>
      <c r="GF31" s="2">
        <v>1205499803</v>
      </c>
      <c r="GG31" s="2">
        <v>2</v>
      </c>
      <c r="GH31" s="2">
        <v>1</v>
      </c>
      <c r="GI31" s="2">
        <v>2</v>
      </c>
      <c r="GJ31" s="2">
        <v>0</v>
      </c>
      <c r="GK31" s="2">
        <v>0</v>
      </c>
      <c r="GL31" s="2">
        <f t="shared" si="27"/>
        <v>0</v>
      </c>
      <c r="GM31" s="2">
        <f t="shared" si="28"/>
        <v>131.43</v>
      </c>
      <c r="GN31" s="2">
        <f t="shared" si="29"/>
        <v>131.43</v>
      </c>
      <c r="GO31" s="2">
        <f t="shared" si="30"/>
        <v>0</v>
      </c>
      <c r="GP31" s="2">
        <f t="shared" si="31"/>
        <v>0</v>
      </c>
      <c r="GQ31" s="2"/>
      <c r="GR31" s="2">
        <v>0</v>
      </c>
      <c r="GS31" s="2">
        <v>0</v>
      </c>
      <c r="GT31" s="2">
        <v>0</v>
      </c>
      <c r="GU31" s="2" t="s">
        <v>3</v>
      </c>
      <c r="GV31" s="2">
        <f t="shared" si="32"/>
        <v>0</v>
      </c>
      <c r="GW31" s="2">
        <v>1</v>
      </c>
      <c r="GX31" s="2">
        <f t="shared" si="33"/>
        <v>0</v>
      </c>
      <c r="GY31" s="2"/>
      <c r="GZ31" s="2"/>
      <c r="HA31" s="2">
        <v>0</v>
      </c>
      <c r="HB31" s="2">
        <v>0</v>
      </c>
      <c r="HC31" s="2">
        <f t="shared" si="34"/>
        <v>0</v>
      </c>
      <c r="HD31" s="2"/>
      <c r="HE31" s="2" t="s">
        <v>3</v>
      </c>
      <c r="HF31" s="2" t="s">
        <v>3</v>
      </c>
      <c r="HG31" s="2"/>
      <c r="HH31" s="2"/>
      <c r="HI31" s="2"/>
      <c r="HJ31" s="2"/>
      <c r="HK31" s="2"/>
      <c r="HL31" s="2"/>
      <c r="HM31" s="2" t="s">
        <v>3</v>
      </c>
      <c r="HN31" s="2" t="s">
        <v>64</v>
      </c>
      <c r="HO31" s="2" t="s">
        <v>65</v>
      </c>
      <c r="HP31" s="2" t="s">
        <v>22</v>
      </c>
      <c r="HQ31" s="2" t="s">
        <v>22</v>
      </c>
      <c r="HR31" s="2"/>
      <c r="HS31" s="2">
        <v>0</v>
      </c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>
        <v>0</v>
      </c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pans="1:255" ht="13.15" customHeight="1" x14ac:dyDescent="0.2">
      <c r="A32" s="2">
        <v>18</v>
      </c>
      <c r="B32" s="2">
        <v>1</v>
      </c>
      <c r="C32" s="2">
        <v>27</v>
      </c>
      <c r="D32" s="2"/>
      <c r="E32" s="2" t="s">
        <v>75</v>
      </c>
      <c r="F32" s="2" t="s">
        <v>76</v>
      </c>
      <c r="G32" s="86" t="s">
        <v>77</v>
      </c>
      <c r="H32" s="86" t="s">
        <v>29</v>
      </c>
      <c r="I32" s="86">
        <f>I29*J32</f>
        <v>0.48</v>
      </c>
      <c r="J32" s="2">
        <v>1.2</v>
      </c>
      <c r="K32" s="2">
        <v>1.2</v>
      </c>
      <c r="L32" s="2"/>
      <c r="M32" s="2"/>
      <c r="N32" s="2"/>
      <c r="O32" s="2">
        <f t="shared" si="14"/>
        <v>19909.439999999999</v>
      </c>
      <c r="P32" s="2">
        <f>ROUND(CQ32*I32,2)</f>
        <v>19909.439999999999</v>
      </c>
      <c r="Q32" s="2">
        <f>ROUND(CR32*I32,2)</f>
        <v>0</v>
      </c>
      <c r="R32" s="2">
        <f>ROUND(CS32*I32,2)</f>
        <v>0</v>
      </c>
      <c r="S32" s="2">
        <f>ROUND(CT32*I32,2)</f>
        <v>0</v>
      </c>
      <c r="T32" s="2">
        <f t="shared" si="15"/>
        <v>0</v>
      </c>
      <c r="U32" s="2">
        <f>ROUND(CV32*I32,7)</f>
        <v>0</v>
      </c>
      <c r="V32" s="2">
        <f>ROUND(CW32*I32,7)</f>
        <v>0</v>
      </c>
      <c r="W32" s="2">
        <f t="shared" si="16"/>
        <v>0</v>
      </c>
      <c r="X32" s="2">
        <f t="shared" si="17"/>
        <v>0</v>
      </c>
      <c r="Y32" s="2">
        <f t="shared" si="18"/>
        <v>0</v>
      </c>
      <c r="Z32" s="2"/>
      <c r="AA32" s="2">
        <v>55858619</v>
      </c>
      <c r="AB32" s="2">
        <f t="shared" si="19"/>
        <v>33998.35</v>
      </c>
      <c r="AC32" s="2">
        <f>ROUND((ES32),6)</f>
        <v>33998.35</v>
      </c>
      <c r="AD32" s="2">
        <f>ROUND((((ET32)-(EU32))+AE32),6)</f>
        <v>0</v>
      </c>
      <c r="AE32" s="2">
        <f t="shared" si="35"/>
        <v>0</v>
      </c>
      <c r="AF32" s="2">
        <f t="shared" si="35"/>
        <v>0</v>
      </c>
      <c r="AG32" s="2">
        <f t="shared" si="20"/>
        <v>0</v>
      </c>
      <c r="AH32" s="2">
        <f t="shared" si="36"/>
        <v>0</v>
      </c>
      <c r="AI32" s="2">
        <f t="shared" si="36"/>
        <v>0</v>
      </c>
      <c r="AJ32" s="2">
        <f t="shared" si="21"/>
        <v>0</v>
      </c>
      <c r="AK32" s="2">
        <v>33998.35</v>
      </c>
      <c r="AL32" s="2">
        <v>33998.35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112</v>
      </c>
      <c r="AU32" s="2">
        <v>65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1.22</v>
      </c>
      <c r="BD32" s="2" t="s">
        <v>3</v>
      </c>
      <c r="BE32" s="2" t="s">
        <v>3</v>
      </c>
      <c r="BF32" s="2" t="s">
        <v>3</v>
      </c>
      <c r="BG32" s="2" t="s">
        <v>3</v>
      </c>
      <c r="BH32" s="2">
        <v>3</v>
      </c>
      <c r="BI32" s="2">
        <v>1</v>
      </c>
      <c r="BJ32" s="2" t="s">
        <v>78</v>
      </c>
      <c r="BK32" s="2"/>
      <c r="BL32" s="2"/>
      <c r="BM32" s="2">
        <v>11001</v>
      </c>
      <c r="BN32" s="2">
        <v>0</v>
      </c>
      <c r="BO32" s="2" t="s">
        <v>76</v>
      </c>
      <c r="BP32" s="2">
        <v>1</v>
      </c>
      <c r="BQ32" s="2">
        <v>2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3</v>
      </c>
      <c r="BZ32" s="2">
        <v>112</v>
      </c>
      <c r="CA32" s="2">
        <v>65</v>
      </c>
      <c r="CB32" s="2" t="s">
        <v>3</v>
      </c>
      <c r="CC32" s="2"/>
      <c r="CD32" s="2"/>
      <c r="CE32" s="2">
        <v>0</v>
      </c>
      <c r="CF32" s="2">
        <v>0</v>
      </c>
      <c r="CG32" s="2">
        <v>0</v>
      </c>
      <c r="CH32" s="2"/>
      <c r="CI32" s="2"/>
      <c r="CJ32" s="2"/>
      <c r="CK32" s="2"/>
      <c r="CL32" s="2"/>
      <c r="CM32" s="2">
        <v>0</v>
      </c>
      <c r="CN32" s="2" t="s">
        <v>3</v>
      </c>
      <c r="CO32" s="2">
        <v>0</v>
      </c>
      <c r="CP32" s="2">
        <f t="shared" si="22"/>
        <v>19909.439999999999</v>
      </c>
      <c r="CQ32" s="2">
        <f>ROUND(AL32*BC32,2)</f>
        <v>41477.99</v>
      </c>
      <c r="CR32" s="2">
        <f>ROUND(AM32*BB32,2)</f>
        <v>0</v>
      </c>
      <c r="CS32" s="2">
        <f>ROUND(AN32*BS32,2)</f>
        <v>0</v>
      </c>
      <c r="CT32" s="2">
        <f>ROUND(AO32*BA32,2)</f>
        <v>0</v>
      </c>
      <c r="CU32" s="2">
        <f t="shared" si="23"/>
        <v>0</v>
      </c>
      <c r="CV32" s="2">
        <f t="shared" si="37"/>
        <v>0</v>
      </c>
      <c r="CW32" s="2">
        <f t="shared" si="37"/>
        <v>0</v>
      </c>
      <c r="CX32" s="2">
        <f t="shared" si="24"/>
        <v>0</v>
      </c>
      <c r="CY32" s="2">
        <f t="shared" si="25"/>
        <v>0</v>
      </c>
      <c r="CZ32" s="2">
        <f t="shared" si="26"/>
        <v>0</v>
      </c>
      <c r="DA32" s="2"/>
      <c r="DB32" s="2"/>
      <c r="DC32" s="2" t="s">
        <v>3</v>
      </c>
      <c r="DD32" s="2" t="s">
        <v>3</v>
      </c>
      <c r="DE32" s="2" t="s">
        <v>3</v>
      </c>
      <c r="DF32" s="2" t="s">
        <v>3</v>
      </c>
      <c r="DG32" s="2" t="s">
        <v>3</v>
      </c>
      <c r="DH32" s="2" t="s">
        <v>3</v>
      </c>
      <c r="DI32" s="2" t="s">
        <v>3</v>
      </c>
      <c r="DJ32" s="2" t="s">
        <v>3</v>
      </c>
      <c r="DK32" s="2" t="s">
        <v>3</v>
      </c>
      <c r="DL32" s="2" t="s">
        <v>3</v>
      </c>
      <c r="DM32" s="2" t="s">
        <v>3</v>
      </c>
      <c r="DN32" s="2">
        <v>0</v>
      </c>
      <c r="DO32" s="2">
        <v>0</v>
      </c>
      <c r="DP32" s="2">
        <v>1</v>
      </c>
      <c r="DQ32" s="2">
        <v>1</v>
      </c>
      <c r="DR32" s="2"/>
      <c r="DS32" s="2"/>
      <c r="DT32" s="2"/>
      <c r="DU32" s="2">
        <v>1009</v>
      </c>
      <c r="DV32" s="2" t="s">
        <v>29</v>
      </c>
      <c r="DW32" s="2" t="s">
        <v>29</v>
      </c>
      <c r="DX32" s="2">
        <v>1000</v>
      </c>
      <c r="DY32" s="2"/>
      <c r="DZ32" s="2" t="s">
        <v>3</v>
      </c>
      <c r="EA32" s="2" t="s">
        <v>3</v>
      </c>
      <c r="EB32" s="2" t="s">
        <v>3</v>
      </c>
      <c r="EC32" s="2" t="s">
        <v>3</v>
      </c>
      <c r="ED32" s="2"/>
      <c r="EE32" s="2">
        <v>54458926</v>
      </c>
      <c r="EF32" s="2">
        <v>2</v>
      </c>
      <c r="EG32" s="2" t="s">
        <v>35</v>
      </c>
      <c r="EH32" s="2">
        <v>11</v>
      </c>
      <c r="EI32" s="2" t="s">
        <v>22</v>
      </c>
      <c r="EJ32" s="2">
        <v>1</v>
      </c>
      <c r="EK32" s="2">
        <v>11001</v>
      </c>
      <c r="EL32" s="2" t="s">
        <v>22</v>
      </c>
      <c r="EM32" s="2" t="s">
        <v>63</v>
      </c>
      <c r="EN32" s="2"/>
      <c r="EO32" s="2" t="s">
        <v>3</v>
      </c>
      <c r="EP32" s="2"/>
      <c r="EQ32" s="2">
        <v>0</v>
      </c>
      <c r="ER32" s="2">
        <v>33998.35</v>
      </c>
      <c r="ES32" s="2">
        <v>33998.35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v>0</v>
      </c>
      <c r="FS32" s="2">
        <v>0</v>
      </c>
      <c r="FT32" s="2"/>
      <c r="FU32" s="2"/>
      <c r="FV32" s="2"/>
      <c r="FW32" s="2"/>
      <c r="FX32" s="2">
        <v>112</v>
      </c>
      <c r="FY32" s="2">
        <v>65</v>
      </c>
      <c r="FZ32" s="2"/>
      <c r="GA32" s="2" t="s">
        <v>3</v>
      </c>
      <c r="GB32" s="2"/>
      <c r="GC32" s="2"/>
      <c r="GD32" s="2">
        <v>1</v>
      </c>
      <c r="GE32" s="2"/>
      <c r="GF32" s="2">
        <v>1424319501</v>
      </c>
      <c r="GG32" s="2">
        <v>2</v>
      </c>
      <c r="GH32" s="2">
        <v>1</v>
      </c>
      <c r="GI32" s="2">
        <v>2</v>
      </c>
      <c r="GJ32" s="2">
        <v>0</v>
      </c>
      <c r="GK32" s="2">
        <v>0</v>
      </c>
      <c r="GL32" s="2">
        <f t="shared" si="27"/>
        <v>0</v>
      </c>
      <c r="GM32" s="2">
        <f t="shared" si="28"/>
        <v>19909.439999999999</v>
      </c>
      <c r="GN32" s="2">
        <f t="shared" si="29"/>
        <v>19909.439999999999</v>
      </c>
      <c r="GO32" s="2">
        <f t="shared" si="30"/>
        <v>0</v>
      </c>
      <c r="GP32" s="2">
        <f t="shared" si="31"/>
        <v>0</v>
      </c>
      <c r="GQ32" s="2"/>
      <c r="GR32" s="2">
        <v>0</v>
      </c>
      <c r="GS32" s="2">
        <v>0</v>
      </c>
      <c r="GT32" s="2">
        <v>0</v>
      </c>
      <c r="GU32" s="2" t="s">
        <v>3</v>
      </c>
      <c r="GV32" s="2">
        <f t="shared" si="32"/>
        <v>0</v>
      </c>
      <c r="GW32" s="2">
        <v>1</v>
      </c>
      <c r="GX32" s="2">
        <f t="shared" si="33"/>
        <v>0</v>
      </c>
      <c r="GY32" s="2"/>
      <c r="GZ32" s="2"/>
      <c r="HA32" s="2">
        <v>0</v>
      </c>
      <c r="HB32" s="2">
        <v>0</v>
      </c>
      <c r="HC32" s="2">
        <f t="shared" si="34"/>
        <v>0</v>
      </c>
      <c r="HD32" s="2"/>
      <c r="HE32" s="2" t="s">
        <v>3</v>
      </c>
      <c r="HF32" s="2" t="s">
        <v>3</v>
      </c>
      <c r="HG32" s="2"/>
      <c r="HH32" s="2"/>
      <c r="HI32" s="2"/>
      <c r="HJ32" s="2"/>
      <c r="HK32" s="2"/>
      <c r="HL32" s="2"/>
      <c r="HM32" s="2" t="s">
        <v>3</v>
      </c>
      <c r="HN32" s="2" t="s">
        <v>64</v>
      </c>
      <c r="HO32" s="2" t="s">
        <v>65</v>
      </c>
      <c r="HP32" s="2" t="s">
        <v>22</v>
      </c>
      <c r="HQ32" s="2" t="s">
        <v>22</v>
      </c>
      <c r="HR32" s="2"/>
      <c r="HS32" s="2">
        <v>0</v>
      </c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ht="13.15" customHeight="1" x14ac:dyDescent="0.2">
      <c r="A33" s="2">
        <v>18</v>
      </c>
      <c r="B33" s="2">
        <v>1</v>
      </c>
      <c r="C33" s="2">
        <v>28</v>
      </c>
      <c r="D33" s="2"/>
      <c r="E33" s="2" t="s">
        <v>79</v>
      </c>
      <c r="F33" s="2" t="s">
        <v>80</v>
      </c>
      <c r="G33" s="86" t="s">
        <v>81</v>
      </c>
      <c r="H33" s="86" t="s">
        <v>82</v>
      </c>
      <c r="I33" s="86">
        <f>I29*J33</f>
        <v>5.2</v>
      </c>
      <c r="J33" s="2">
        <v>13</v>
      </c>
      <c r="K33" s="2">
        <v>13</v>
      </c>
      <c r="L33" s="2"/>
      <c r="M33" s="2"/>
      <c r="N33" s="2"/>
      <c r="O33" s="2">
        <f t="shared" si="14"/>
        <v>9147.58</v>
      </c>
      <c r="P33" s="2">
        <f>ROUND(CQ33*I33,2)</f>
        <v>9147.58</v>
      </c>
      <c r="Q33" s="2">
        <f>ROUND(CR33*I33,2)</f>
        <v>0</v>
      </c>
      <c r="R33" s="2">
        <f>ROUND(CS33*I33,2)</f>
        <v>0</v>
      </c>
      <c r="S33" s="2">
        <f>ROUND(CT33*I33,2)</f>
        <v>0</v>
      </c>
      <c r="T33" s="2">
        <f t="shared" si="15"/>
        <v>0</v>
      </c>
      <c r="U33" s="2">
        <f>ROUND(CV33*I33,7)</f>
        <v>0</v>
      </c>
      <c r="V33" s="2">
        <f>ROUND(CW33*I33,7)</f>
        <v>0</v>
      </c>
      <c r="W33" s="2">
        <f t="shared" si="16"/>
        <v>0</v>
      </c>
      <c r="X33" s="2">
        <f t="shared" si="17"/>
        <v>0</v>
      </c>
      <c r="Y33" s="2">
        <f t="shared" si="18"/>
        <v>0</v>
      </c>
      <c r="Z33" s="2"/>
      <c r="AA33" s="2">
        <v>55858619</v>
      </c>
      <c r="AB33" s="2">
        <f t="shared" si="19"/>
        <v>1284.05</v>
      </c>
      <c r="AC33" s="2">
        <f>ROUND((ES33),6)</f>
        <v>1284.05</v>
      </c>
      <c r="AD33" s="2">
        <f>ROUND((((ET33)-(EU33))+AE33),6)</f>
        <v>0</v>
      </c>
      <c r="AE33" s="2">
        <f t="shared" si="35"/>
        <v>0</v>
      </c>
      <c r="AF33" s="2">
        <f t="shared" si="35"/>
        <v>0</v>
      </c>
      <c r="AG33" s="2">
        <f t="shared" si="20"/>
        <v>0</v>
      </c>
      <c r="AH33" s="2">
        <f t="shared" si="36"/>
        <v>0</v>
      </c>
      <c r="AI33" s="2">
        <f t="shared" si="36"/>
        <v>0</v>
      </c>
      <c r="AJ33" s="2">
        <f t="shared" si="21"/>
        <v>0</v>
      </c>
      <c r="AK33" s="2">
        <v>1284.05</v>
      </c>
      <c r="AL33" s="2">
        <v>1284.05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112</v>
      </c>
      <c r="AU33" s="2">
        <v>65</v>
      </c>
      <c r="AV33" s="2">
        <v>1</v>
      </c>
      <c r="AW33" s="2">
        <v>1</v>
      </c>
      <c r="AX33" s="2"/>
      <c r="AY33" s="2"/>
      <c r="AZ33" s="2">
        <v>1</v>
      </c>
      <c r="BA33" s="2">
        <v>1</v>
      </c>
      <c r="BB33" s="2">
        <v>1</v>
      </c>
      <c r="BC33" s="2">
        <v>1.37</v>
      </c>
      <c r="BD33" s="2" t="s">
        <v>3</v>
      </c>
      <c r="BE33" s="2" t="s">
        <v>3</v>
      </c>
      <c r="BF33" s="2" t="s">
        <v>3</v>
      </c>
      <c r="BG33" s="2" t="s">
        <v>3</v>
      </c>
      <c r="BH33" s="2">
        <v>3</v>
      </c>
      <c r="BI33" s="2">
        <v>1</v>
      </c>
      <c r="BJ33" s="2" t="s">
        <v>83</v>
      </c>
      <c r="BK33" s="2"/>
      <c r="BL33" s="2"/>
      <c r="BM33" s="2">
        <v>11001</v>
      </c>
      <c r="BN33" s="2">
        <v>0</v>
      </c>
      <c r="BO33" s="2" t="s">
        <v>80</v>
      </c>
      <c r="BP33" s="2">
        <v>1</v>
      </c>
      <c r="BQ33" s="2">
        <v>2</v>
      </c>
      <c r="BR33" s="2">
        <v>0</v>
      </c>
      <c r="BS33" s="2">
        <v>1</v>
      </c>
      <c r="BT33" s="2">
        <v>1</v>
      </c>
      <c r="BU33" s="2">
        <v>1</v>
      </c>
      <c r="BV33" s="2">
        <v>1</v>
      </c>
      <c r="BW33" s="2">
        <v>1</v>
      </c>
      <c r="BX33" s="2">
        <v>1</v>
      </c>
      <c r="BY33" s="2" t="s">
        <v>3</v>
      </c>
      <c r="BZ33" s="2">
        <v>112</v>
      </c>
      <c r="CA33" s="2">
        <v>65</v>
      </c>
      <c r="CB33" s="2" t="s">
        <v>3</v>
      </c>
      <c r="CC33" s="2"/>
      <c r="CD33" s="2"/>
      <c r="CE33" s="2">
        <v>0</v>
      </c>
      <c r="CF33" s="2">
        <v>0</v>
      </c>
      <c r="CG33" s="2">
        <v>0</v>
      </c>
      <c r="CH33" s="2"/>
      <c r="CI33" s="2"/>
      <c r="CJ33" s="2"/>
      <c r="CK33" s="2"/>
      <c r="CL33" s="2"/>
      <c r="CM33" s="2">
        <v>0</v>
      </c>
      <c r="CN33" s="2" t="s">
        <v>3</v>
      </c>
      <c r="CO33" s="2">
        <v>0</v>
      </c>
      <c r="CP33" s="2">
        <f t="shared" si="22"/>
        <v>9147.58</v>
      </c>
      <c r="CQ33" s="2">
        <f>ROUND(AL33*BC33,2)</f>
        <v>1759.15</v>
      </c>
      <c r="CR33" s="2">
        <f>ROUND(AM33*BB33,2)</f>
        <v>0</v>
      </c>
      <c r="CS33" s="2">
        <f>ROUND(AN33*BS33,2)</f>
        <v>0</v>
      </c>
      <c r="CT33" s="2">
        <f>ROUND(AO33*BA33,2)</f>
        <v>0</v>
      </c>
      <c r="CU33" s="2">
        <f t="shared" si="23"/>
        <v>0</v>
      </c>
      <c r="CV33" s="2">
        <f t="shared" si="37"/>
        <v>0</v>
      </c>
      <c r="CW33" s="2">
        <f t="shared" si="37"/>
        <v>0</v>
      </c>
      <c r="CX33" s="2">
        <f t="shared" si="24"/>
        <v>0</v>
      </c>
      <c r="CY33" s="2">
        <f t="shared" si="25"/>
        <v>0</v>
      </c>
      <c r="CZ33" s="2">
        <f t="shared" si="26"/>
        <v>0</v>
      </c>
      <c r="DA33" s="2"/>
      <c r="DB33" s="2"/>
      <c r="DC33" s="2" t="s">
        <v>3</v>
      </c>
      <c r="DD33" s="2" t="s">
        <v>3</v>
      </c>
      <c r="DE33" s="2" t="s">
        <v>3</v>
      </c>
      <c r="DF33" s="2" t="s">
        <v>3</v>
      </c>
      <c r="DG33" s="2" t="s">
        <v>3</v>
      </c>
      <c r="DH33" s="2" t="s">
        <v>3</v>
      </c>
      <c r="DI33" s="2" t="s">
        <v>3</v>
      </c>
      <c r="DJ33" s="2" t="s">
        <v>3</v>
      </c>
      <c r="DK33" s="2" t="s">
        <v>3</v>
      </c>
      <c r="DL33" s="2" t="s">
        <v>3</v>
      </c>
      <c r="DM33" s="2" t="s">
        <v>3</v>
      </c>
      <c r="DN33" s="2">
        <v>0</v>
      </c>
      <c r="DO33" s="2">
        <v>0</v>
      </c>
      <c r="DP33" s="2">
        <v>1</v>
      </c>
      <c r="DQ33" s="2">
        <v>1</v>
      </c>
      <c r="DR33" s="2"/>
      <c r="DS33" s="2"/>
      <c r="DT33" s="2"/>
      <c r="DU33" s="2">
        <v>1009</v>
      </c>
      <c r="DV33" s="2" t="s">
        <v>82</v>
      </c>
      <c r="DW33" s="2" t="s">
        <v>82</v>
      </c>
      <c r="DX33" s="2">
        <v>1</v>
      </c>
      <c r="DY33" s="2"/>
      <c r="DZ33" s="2" t="s">
        <v>3</v>
      </c>
      <c r="EA33" s="2" t="s">
        <v>3</v>
      </c>
      <c r="EB33" s="2" t="s">
        <v>3</v>
      </c>
      <c r="EC33" s="2" t="s">
        <v>3</v>
      </c>
      <c r="ED33" s="2"/>
      <c r="EE33" s="2">
        <v>54458926</v>
      </c>
      <c r="EF33" s="2">
        <v>2</v>
      </c>
      <c r="EG33" s="2" t="s">
        <v>35</v>
      </c>
      <c r="EH33" s="2">
        <v>11</v>
      </c>
      <c r="EI33" s="2" t="s">
        <v>22</v>
      </c>
      <c r="EJ33" s="2">
        <v>1</v>
      </c>
      <c r="EK33" s="2">
        <v>11001</v>
      </c>
      <c r="EL33" s="2" t="s">
        <v>22</v>
      </c>
      <c r="EM33" s="2" t="s">
        <v>63</v>
      </c>
      <c r="EN33" s="2"/>
      <c r="EO33" s="2" t="s">
        <v>3</v>
      </c>
      <c r="EP33" s="2"/>
      <c r="EQ33" s="2">
        <v>0</v>
      </c>
      <c r="ER33" s="2">
        <v>1284.05</v>
      </c>
      <c r="ES33" s="2">
        <v>1284.05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>
        <v>0</v>
      </c>
      <c r="FR33" s="2">
        <v>0</v>
      </c>
      <c r="FS33" s="2">
        <v>0</v>
      </c>
      <c r="FT33" s="2"/>
      <c r="FU33" s="2"/>
      <c r="FV33" s="2"/>
      <c r="FW33" s="2"/>
      <c r="FX33" s="2">
        <v>112</v>
      </c>
      <c r="FY33" s="2">
        <v>65</v>
      </c>
      <c r="FZ33" s="2"/>
      <c r="GA33" s="2" t="s">
        <v>3</v>
      </c>
      <c r="GB33" s="2"/>
      <c r="GC33" s="2"/>
      <c r="GD33" s="2">
        <v>1</v>
      </c>
      <c r="GE33" s="2"/>
      <c r="GF33" s="2">
        <v>-844825149</v>
      </c>
      <c r="GG33" s="2">
        <v>2</v>
      </c>
      <c r="GH33" s="2">
        <v>1</v>
      </c>
      <c r="GI33" s="2">
        <v>2</v>
      </c>
      <c r="GJ33" s="2">
        <v>0</v>
      </c>
      <c r="GK33" s="2">
        <v>0</v>
      </c>
      <c r="GL33" s="2">
        <f t="shared" si="27"/>
        <v>0</v>
      </c>
      <c r="GM33" s="2">
        <f t="shared" si="28"/>
        <v>9147.58</v>
      </c>
      <c r="GN33" s="2">
        <f t="shared" si="29"/>
        <v>9147.58</v>
      </c>
      <c r="GO33" s="2">
        <f t="shared" si="30"/>
        <v>0</v>
      </c>
      <c r="GP33" s="2">
        <f t="shared" si="31"/>
        <v>0</v>
      </c>
      <c r="GQ33" s="2"/>
      <c r="GR33" s="2">
        <v>0</v>
      </c>
      <c r="GS33" s="2">
        <v>0</v>
      </c>
      <c r="GT33" s="2">
        <v>0</v>
      </c>
      <c r="GU33" s="2" t="s">
        <v>3</v>
      </c>
      <c r="GV33" s="2">
        <f t="shared" si="32"/>
        <v>0</v>
      </c>
      <c r="GW33" s="2">
        <v>1</v>
      </c>
      <c r="GX33" s="2">
        <f t="shared" si="33"/>
        <v>0</v>
      </c>
      <c r="GY33" s="2"/>
      <c r="GZ33" s="2"/>
      <c r="HA33" s="2">
        <v>0</v>
      </c>
      <c r="HB33" s="2">
        <v>0</v>
      </c>
      <c r="HC33" s="2">
        <f t="shared" si="34"/>
        <v>0</v>
      </c>
      <c r="HD33" s="2"/>
      <c r="HE33" s="2" t="s">
        <v>3</v>
      </c>
      <c r="HF33" s="2" t="s">
        <v>3</v>
      </c>
      <c r="HG33" s="2"/>
      <c r="HH33" s="2"/>
      <c r="HI33" s="2"/>
      <c r="HJ33" s="2"/>
      <c r="HK33" s="2"/>
      <c r="HL33" s="2"/>
      <c r="HM33" s="2" t="s">
        <v>3</v>
      </c>
      <c r="HN33" s="2" t="s">
        <v>64</v>
      </c>
      <c r="HO33" s="2" t="s">
        <v>65</v>
      </c>
      <c r="HP33" s="2" t="s">
        <v>22</v>
      </c>
      <c r="HQ33" s="2" t="s">
        <v>22</v>
      </c>
      <c r="HR33" s="2"/>
      <c r="HS33" s="2">
        <v>0</v>
      </c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>
        <v>0</v>
      </c>
      <c r="IL33" s="2"/>
      <c r="IM33" s="2"/>
      <c r="IN33" s="2"/>
      <c r="IO33" s="2"/>
      <c r="IP33" s="2"/>
      <c r="IQ33" s="2"/>
      <c r="IR33" s="2"/>
      <c r="IS33" s="2"/>
      <c r="IT33" s="2"/>
      <c r="IU33" s="2"/>
    </row>
    <row r="34" spans="1:255" ht="13.15" customHeight="1" x14ac:dyDescent="0.2">
      <c r="A34" s="2">
        <v>17</v>
      </c>
      <c r="B34" s="2">
        <v>1</v>
      </c>
      <c r="C34" s="2">
        <f>ROW(SmtRes!A37)</f>
        <v>37</v>
      </c>
      <c r="D34" s="2">
        <f>ROW(EtalonRes!A37)</f>
        <v>37</v>
      </c>
      <c r="E34" s="2" t="s">
        <v>84</v>
      </c>
      <c r="F34" s="2" t="s">
        <v>85</v>
      </c>
      <c r="G34" s="86" t="s">
        <v>86</v>
      </c>
      <c r="H34" s="86" t="s">
        <v>87</v>
      </c>
      <c r="I34" s="86">
        <f>ROUND(9/100,7)</f>
        <v>0.09</v>
      </c>
      <c r="J34" s="2">
        <v>0</v>
      </c>
      <c r="K34" s="2">
        <f>ROUND(9/100,7)</f>
        <v>0.09</v>
      </c>
      <c r="L34" s="2"/>
      <c r="M34" s="2"/>
      <c r="N34" s="2"/>
      <c r="O34" s="2">
        <f t="shared" si="14"/>
        <v>1242.3599999999999</v>
      </c>
      <c r="P34" s="2">
        <f>SUMIF(SmtRes!AQ29:'SmtRes'!AQ37,"=1",SmtRes!DF29:'SmtRes'!DF37)</f>
        <v>0.09</v>
      </c>
      <c r="Q34" s="2">
        <f>SUMIF(SmtRes!AQ29:'SmtRes'!AQ37,"=1",SmtRes!DG29:'SmtRes'!DG37)</f>
        <v>23.05</v>
      </c>
      <c r="R34" s="2">
        <f>SUMIF(SmtRes!AQ29:'SmtRes'!AQ37,"=1",SmtRes!DH29:'SmtRes'!DH37)</f>
        <v>14.07</v>
      </c>
      <c r="S34" s="2">
        <f>SUMIF(SmtRes!AQ29:'SmtRes'!AQ37,"=1",SmtRes!DI29:'SmtRes'!DI37)</f>
        <v>1205.1500000000001</v>
      </c>
      <c r="T34" s="2">
        <f t="shared" si="15"/>
        <v>0</v>
      </c>
      <c r="U34" s="2">
        <f>SUMIF(SmtRes!AQ29:'SmtRes'!AQ37,"=1",SmtRes!CV29:'SmtRes'!CV37)</f>
        <v>3.0439349999999998</v>
      </c>
      <c r="V34" s="2">
        <f>SUMIF(SmtRes!AQ29:'SmtRes'!AQ37,"=1",SmtRes!CW29:'SmtRes'!CW37)</f>
        <v>3.4875000000000003E-2</v>
      </c>
      <c r="W34" s="2">
        <f t="shared" si="16"/>
        <v>0</v>
      </c>
      <c r="X34" s="2">
        <f t="shared" si="17"/>
        <v>1228.97</v>
      </c>
      <c r="Y34" s="2">
        <f t="shared" si="18"/>
        <v>673.62</v>
      </c>
      <c r="Z34" s="2"/>
      <c r="AA34" s="2">
        <v>55858619</v>
      </c>
      <c r="AB34" s="2">
        <f t="shared" si="19"/>
        <v>13647.40703</v>
      </c>
      <c r="AC34" s="2">
        <f>ROUND((SUM(SmtRes!BQ29:'SmtRes'!BQ37)),6)</f>
        <v>1.0509999999999999</v>
      </c>
      <c r="AD34" s="2">
        <f>ROUND((((SUM(SmtRes!BR29:'SmtRes'!BR37))-(SUM(SmtRes!BS29:'SmtRes'!BS37)))+AE34),6)</f>
        <v>255.74775</v>
      </c>
      <c r="AE34" s="2">
        <f>ROUND((SUM(SmtRes!BS29:'SmtRes'!BS37)),6)</f>
        <v>156.36687499999999</v>
      </c>
      <c r="AF34" s="2">
        <f>ROUND((SUM(SmtRes!BT29:'SmtRes'!BT37)),6)</f>
        <v>13390.60828</v>
      </c>
      <c r="AG34" s="2">
        <f t="shared" si="20"/>
        <v>0</v>
      </c>
      <c r="AH34" s="2">
        <f>(SUM(SmtRes!BU29:'SmtRes'!BU37))</f>
        <v>33.8215</v>
      </c>
      <c r="AI34" s="2">
        <f>(SUM(SmtRes!BV29:'SmtRes'!BV37))</f>
        <v>0.38750000000000001</v>
      </c>
      <c r="AJ34" s="2">
        <f t="shared" si="21"/>
        <v>0</v>
      </c>
      <c r="AK34" s="2">
        <v>11974.749900000001</v>
      </c>
      <c r="AL34" s="2">
        <v>1.0509999999999999</v>
      </c>
      <c r="AM34" s="2">
        <v>204.59819999999999</v>
      </c>
      <c r="AN34" s="2">
        <v>125.09350000000001</v>
      </c>
      <c r="AO34" s="2">
        <v>11644.0072</v>
      </c>
      <c r="AP34" s="2">
        <v>0</v>
      </c>
      <c r="AQ34" s="2">
        <v>29.41</v>
      </c>
      <c r="AR34" s="2">
        <v>0.31</v>
      </c>
      <c r="AS34" s="2">
        <v>0</v>
      </c>
      <c r="AT34" s="2">
        <v>100.8</v>
      </c>
      <c r="AU34" s="2">
        <v>55.25</v>
      </c>
      <c r="AV34" s="2">
        <v>1</v>
      </c>
      <c r="AW34" s="2">
        <v>1</v>
      </c>
      <c r="AX34" s="2"/>
      <c r="AY34" s="2"/>
      <c r="AZ34" s="2">
        <v>1</v>
      </c>
      <c r="BA34" s="2">
        <v>1</v>
      </c>
      <c r="BB34" s="2">
        <v>1</v>
      </c>
      <c r="BC34" s="2">
        <v>1</v>
      </c>
      <c r="BD34" s="2" t="s">
        <v>3</v>
      </c>
      <c r="BE34" s="2" t="s">
        <v>3</v>
      </c>
      <c r="BF34" s="2" t="s">
        <v>3</v>
      </c>
      <c r="BG34" s="2" t="s">
        <v>3</v>
      </c>
      <c r="BH34" s="2">
        <v>0</v>
      </c>
      <c r="BI34" s="2">
        <v>1</v>
      </c>
      <c r="BJ34" s="2" t="s">
        <v>88</v>
      </c>
      <c r="BK34" s="2"/>
      <c r="BL34" s="2"/>
      <c r="BM34" s="2">
        <v>11001</v>
      </c>
      <c r="BN34" s="2">
        <v>0</v>
      </c>
      <c r="BO34" s="2" t="s">
        <v>3</v>
      </c>
      <c r="BP34" s="2">
        <v>0</v>
      </c>
      <c r="BQ34" s="2">
        <v>2</v>
      </c>
      <c r="BR34" s="2">
        <v>0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3</v>
      </c>
      <c r="BZ34" s="2">
        <v>112</v>
      </c>
      <c r="CA34" s="2">
        <v>65</v>
      </c>
      <c r="CB34" s="2" t="s">
        <v>3</v>
      </c>
      <c r="CC34" s="2"/>
      <c r="CD34" s="2"/>
      <c r="CE34" s="2">
        <v>0</v>
      </c>
      <c r="CF34" s="2">
        <v>0</v>
      </c>
      <c r="CG34" s="2">
        <v>0</v>
      </c>
      <c r="CH34" s="2"/>
      <c r="CI34" s="2"/>
      <c r="CJ34" s="2"/>
      <c r="CK34" s="2"/>
      <c r="CL34" s="2"/>
      <c r="CM34" s="2">
        <v>0</v>
      </c>
      <c r="CN34" s="7" t="s">
        <v>481</v>
      </c>
      <c r="CO34" s="2">
        <v>0</v>
      </c>
      <c r="CP34" s="2">
        <f t="shared" si="22"/>
        <v>1242.3600000000001</v>
      </c>
      <c r="CQ34" s="2">
        <f>SUMIF(SmtRes!AQ29:'SmtRes'!AQ37,"=1",SmtRes!AA29:'SmtRes'!AA37)</f>
        <v>37.35</v>
      </c>
      <c r="CR34" s="2">
        <f>SUMIF(SmtRes!AQ29:'SmtRes'!AQ37,"=1",SmtRes!AB29:'SmtRes'!AB37)</f>
        <v>741.58</v>
      </c>
      <c r="CS34" s="2">
        <f>SUMIF(SmtRes!AQ29:'SmtRes'!AQ37,"=1",SmtRes!AC29:'SmtRes'!AC37)</f>
        <v>764.64</v>
      </c>
      <c r="CT34" s="2">
        <f>SUMIF(SmtRes!AQ29:'SmtRes'!AQ37,"=1",SmtRes!AD29:'SmtRes'!AD37)</f>
        <v>395.92</v>
      </c>
      <c r="CU34" s="2">
        <f t="shared" si="23"/>
        <v>0</v>
      </c>
      <c r="CV34" s="2">
        <f>SUMIF(SmtRes!AQ29:'SmtRes'!AQ37,"=1",SmtRes!BU29:'SmtRes'!BU37)</f>
        <v>33.8215</v>
      </c>
      <c r="CW34" s="2">
        <f>SUMIF(SmtRes!AQ29:'SmtRes'!AQ37,"=1",SmtRes!BV29:'SmtRes'!BV37)</f>
        <v>0.38750000000000001</v>
      </c>
      <c r="CX34" s="2">
        <f t="shared" si="24"/>
        <v>0</v>
      </c>
      <c r="CY34" s="2">
        <f t="shared" si="25"/>
        <v>1228.9737600000001</v>
      </c>
      <c r="CZ34" s="2">
        <f t="shared" si="26"/>
        <v>673.61905000000002</v>
      </c>
      <c r="DA34" s="2"/>
      <c r="DB34" s="2">
        <v>3</v>
      </c>
      <c r="DC34" s="2" t="s">
        <v>3</v>
      </c>
      <c r="DD34" s="2" t="s">
        <v>3</v>
      </c>
      <c r="DE34" s="2" t="s">
        <v>46</v>
      </c>
      <c r="DF34" s="2" t="s">
        <v>46</v>
      </c>
      <c r="DG34" s="2" t="s">
        <v>47</v>
      </c>
      <c r="DH34" s="2" t="s">
        <v>3</v>
      </c>
      <c r="DI34" s="2" t="s">
        <v>47</v>
      </c>
      <c r="DJ34" s="2" t="s">
        <v>46</v>
      </c>
      <c r="DK34" s="2" t="s">
        <v>3</v>
      </c>
      <c r="DL34" s="2" t="s">
        <v>48</v>
      </c>
      <c r="DM34" s="2" t="s">
        <v>49</v>
      </c>
      <c r="DN34" s="2">
        <v>0</v>
      </c>
      <c r="DO34" s="2">
        <v>0</v>
      </c>
      <c r="DP34" s="2">
        <v>1</v>
      </c>
      <c r="DQ34" s="2">
        <v>1</v>
      </c>
      <c r="DR34" s="2"/>
      <c r="DS34" s="2"/>
      <c r="DT34" s="2"/>
      <c r="DU34" s="2">
        <v>1003</v>
      </c>
      <c r="DV34" s="2" t="s">
        <v>87</v>
      </c>
      <c r="DW34" s="2" t="s">
        <v>87</v>
      </c>
      <c r="DX34" s="2">
        <v>100</v>
      </c>
      <c r="DY34" s="2"/>
      <c r="DZ34" s="2" t="s">
        <v>3</v>
      </c>
      <c r="EA34" s="2" t="s">
        <v>3</v>
      </c>
      <c r="EB34" s="2" t="s">
        <v>3</v>
      </c>
      <c r="EC34" s="2" t="s">
        <v>3</v>
      </c>
      <c r="ED34" s="2"/>
      <c r="EE34" s="2">
        <v>54458926</v>
      </c>
      <c r="EF34" s="2">
        <v>2</v>
      </c>
      <c r="EG34" s="2" t="s">
        <v>35</v>
      </c>
      <c r="EH34" s="2">
        <v>11</v>
      </c>
      <c r="EI34" s="2" t="s">
        <v>22</v>
      </c>
      <c r="EJ34" s="2">
        <v>1</v>
      </c>
      <c r="EK34" s="2">
        <v>11001</v>
      </c>
      <c r="EL34" s="2" t="s">
        <v>22</v>
      </c>
      <c r="EM34" s="2" t="s">
        <v>63</v>
      </c>
      <c r="EN34" s="2"/>
      <c r="EO34" s="2" t="s">
        <v>52</v>
      </c>
      <c r="EP34" s="2"/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29.41</v>
      </c>
      <c r="EX34" s="2">
        <v>0.31</v>
      </c>
      <c r="EY34" s="2">
        <v>0</v>
      </c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>
        <v>0</v>
      </c>
      <c r="FR34" s="2">
        <v>0</v>
      </c>
      <c r="FS34" s="2">
        <v>0</v>
      </c>
      <c r="FT34" s="2"/>
      <c r="FU34" s="2"/>
      <c r="FV34" s="2"/>
      <c r="FW34" s="2"/>
      <c r="FX34" s="2">
        <v>100.8</v>
      </c>
      <c r="FY34" s="2">
        <v>55.25</v>
      </c>
      <c r="FZ34" s="2"/>
      <c r="GA34" s="2" t="s">
        <v>3</v>
      </c>
      <c r="GB34" s="2"/>
      <c r="GC34" s="2"/>
      <c r="GD34" s="2">
        <v>1</v>
      </c>
      <c r="GE34" s="2"/>
      <c r="GF34" s="2">
        <v>840570263</v>
      </c>
      <c r="GG34" s="2">
        <v>2</v>
      </c>
      <c r="GH34" s="2">
        <v>1</v>
      </c>
      <c r="GI34" s="2">
        <v>-2</v>
      </c>
      <c r="GJ34" s="2">
        <v>0</v>
      </c>
      <c r="GK34" s="2">
        <v>0</v>
      </c>
      <c r="GL34" s="2">
        <f t="shared" si="27"/>
        <v>0</v>
      </c>
      <c r="GM34" s="2">
        <f t="shared" si="28"/>
        <v>3144.95</v>
      </c>
      <c r="GN34" s="2">
        <f t="shared" si="29"/>
        <v>3144.95</v>
      </c>
      <c r="GO34" s="2">
        <f t="shared" si="30"/>
        <v>0</v>
      </c>
      <c r="GP34" s="2">
        <f t="shared" si="31"/>
        <v>0</v>
      </c>
      <c r="GQ34" s="2"/>
      <c r="GR34" s="2">
        <v>0</v>
      </c>
      <c r="GS34" s="2">
        <v>0</v>
      </c>
      <c r="GT34" s="2">
        <v>0</v>
      </c>
      <c r="GU34" s="2" t="s">
        <v>3</v>
      </c>
      <c r="GV34" s="2">
        <f t="shared" si="32"/>
        <v>0</v>
      </c>
      <c r="GW34" s="2">
        <v>1</v>
      </c>
      <c r="GX34" s="2">
        <f t="shared" si="33"/>
        <v>0</v>
      </c>
      <c r="GY34" s="2"/>
      <c r="GZ34" s="2"/>
      <c r="HA34" s="2">
        <v>0</v>
      </c>
      <c r="HB34" s="2">
        <v>0</v>
      </c>
      <c r="HC34" s="2">
        <f t="shared" si="34"/>
        <v>0</v>
      </c>
      <c r="HD34" s="2"/>
      <c r="HE34" s="2" t="s">
        <v>3</v>
      </c>
      <c r="HF34" s="2" t="s">
        <v>3</v>
      </c>
      <c r="HG34" s="2"/>
      <c r="HH34" s="2"/>
      <c r="HI34" s="2"/>
      <c r="HJ34" s="2"/>
      <c r="HK34" s="2"/>
      <c r="HL34" s="2"/>
      <c r="HM34" s="2" t="s">
        <v>3</v>
      </c>
      <c r="HN34" s="2" t="s">
        <v>64</v>
      </c>
      <c r="HO34" s="2" t="s">
        <v>65</v>
      </c>
      <c r="HP34" s="2" t="s">
        <v>22</v>
      </c>
      <c r="HQ34" s="2" t="s">
        <v>22</v>
      </c>
      <c r="HR34" s="2"/>
      <c r="HS34" s="2">
        <v>0</v>
      </c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>
        <v>0</v>
      </c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ht="13.15" customHeight="1" x14ac:dyDescent="0.2">
      <c r="A35" s="2">
        <v>18</v>
      </c>
      <c r="B35" s="2">
        <v>1</v>
      </c>
      <c r="C35" s="2">
        <v>35</v>
      </c>
      <c r="D35" s="2"/>
      <c r="E35" s="2" t="s">
        <v>89</v>
      </c>
      <c r="F35" s="2" t="s">
        <v>90</v>
      </c>
      <c r="G35" s="86" t="s">
        <v>91</v>
      </c>
      <c r="H35" s="86" t="s">
        <v>29</v>
      </c>
      <c r="I35" s="86">
        <f>I34*J35</f>
        <v>8.9999999999999998E-4</v>
      </c>
      <c r="J35" s="2">
        <v>0.01</v>
      </c>
      <c r="K35" s="2">
        <v>0.01</v>
      </c>
      <c r="L35" s="2"/>
      <c r="M35" s="2"/>
      <c r="N35" s="2"/>
      <c r="O35" s="2">
        <f t="shared" si="14"/>
        <v>68.38</v>
      </c>
      <c r="P35" s="2">
        <f>ROUND(CQ35*I35,2)</f>
        <v>68.38</v>
      </c>
      <c r="Q35" s="2">
        <f>ROUND(CR35*I35,2)</f>
        <v>0</v>
      </c>
      <c r="R35" s="2">
        <f>ROUND(CS35*I35,2)</f>
        <v>0</v>
      </c>
      <c r="S35" s="2">
        <f>ROUND(CT35*I35,2)</f>
        <v>0</v>
      </c>
      <c r="T35" s="2">
        <f t="shared" si="15"/>
        <v>0</v>
      </c>
      <c r="U35" s="2">
        <f>ROUND(CV35*I35,7)</f>
        <v>0</v>
      </c>
      <c r="V35" s="2">
        <f>ROUND(CW35*I35,7)</f>
        <v>0</v>
      </c>
      <c r="W35" s="2">
        <f t="shared" si="16"/>
        <v>0</v>
      </c>
      <c r="X35" s="2">
        <f t="shared" si="17"/>
        <v>0</v>
      </c>
      <c r="Y35" s="2">
        <f t="shared" si="18"/>
        <v>0</v>
      </c>
      <c r="Z35" s="2"/>
      <c r="AA35" s="2">
        <v>55858619</v>
      </c>
      <c r="AB35" s="2">
        <f t="shared" si="19"/>
        <v>37800.300000000003</v>
      </c>
      <c r="AC35" s="2">
        <f>ROUND((ES35),6)</f>
        <v>37800.300000000003</v>
      </c>
      <c r="AD35" s="2">
        <f>ROUND((((ET35)-(EU35))+AE35),6)</f>
        <v>0</v>
      </c>
      <c r="AE35" s="2">
        <f t="shared" ref="AE35:AF37" si="38">ROUND((EU35),6)</f>
        <v>0</v>
      </c>
      <c r="AF35" s="2">
        <f t="shared" si="38"/>
        <v>0</v>
      </c>
      <c r="AG35" s="2">
        <f t="shared" si="20"/>
        <v>0</v>
      </c>
      <c r="AH35" s="2">
        <f t="shared" ref="AH35:AI37" si="39">(EW35)</f>
        <v>0</v>
      </c>
      <c r="AI35" s="2">
        <f t="shared" si="39"/>
        <v>0</v>
      </c>
      <c r="AJ35" s="2">
        <f t="shared" si="21"/>
        <v>0</v>
      </c>
      <c r="AK35" s="2">
        <v>37800.300000000003</v>
      </c>
      <c r="AL35" s="2">
        <v>37800.300000000003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112</v>
      </c>
      <c r="AU35" s="2">
        <v>65</v>
      </c>
      <c r="AV35" s="2">
        <v>1</v>
      </c>
      <c r="AW35" s="2">
        <v>1</v>
      </c>
      <c r="AX35" s="2"/>
      <c r="AY35" s="2"/>
      <c r="AZ35" s="2">
        <v>1</v>
      </c>
      <c r="BA35" s="2">
        <v>1</v>
      </c>
      <c r="BB35" s="2">
        <v>1</v>
      </c>
      <c r="BC35" s="2">
        <v>2.0099999999999998</v>
      </c>
      <c r="BD35" s="2" t="s">
        <v>3</v>
      </c>
      <c r="BE35" s="2" t="s">
        <v>3</v>
      </c>
      <c r="BF35" s="2" t="s">
        <v>3</v>
      </c>
      <c r="BG35" s="2" t="s">
        <v>3</v>
      </c>
      <c r="BH35" s="2">
        <v>3</v>
      </c>
      <c r="BI35" s="2">
        <v>1</v>
      </c>
      <c r="BJ35" s="2" t="s">
        <v>92</v>
      </c>
      <c r="BK35" s="2"/>
      <c r="BL35" s="2"/>
      <c r="BM35" s="2">
        <v>11001</v>
      </c>
      <c r="BN35" s="2">
        <v>0</v>
      </c>
      <c r="BO35" s="2" t="s">
        <v>90</v>
      </c>
      <c r="BP35" s="2">
        <v>1</v>
      </c>
      <c r="BQ35" s="2">
        <v>2</v>
      </c>
      <c r="BR35" s="2">
        <v>0</v>
      </c>
      <c r="BS35" s="2">
        <v>1</v>
      </c>
      <c r="BT35" s="2">
        <v>1</v>
      </c>
      <c r="BU35" s="2">
        <v>1</v>
      </c>
      <c r="BV35" s="2">
        <v>1</v>
      </c>
      <c r="BW35" s="2">
        <v>1</v>
      </c>
      <c r="BX35" s="2">
        <v>1</v>
      </c>
      <c r="BY35" s="2" t="s">
        <v>3</v>
      </c>
      <c r="BZ35" s="2">
        <v>112</v>
      </c>
      <c r="CA35" s="2">
        <v>65</v>
      </c>
      <c r="CB35" s="2" t="s">
        <v>3</v>
      </c>
      <c r="CC35" s="2"/>
      <c r="CD35" s="2"/>
      <c r="CE35" s="2">
        <v>0</v>
      </c>
      <c r="CF35" s="2">
        <v>0</v>
      </c>
      <c r="CG35" s="2">
        <v>0</v>
      </c>
      <c r="CH35" s="2"/>
      <c r="CI35" s="2"/>
      <c r="CJ35" s="2"/>
      <c r="CK35" s="2"/>
      <c r="CL35" s="2"/>
      <c r="CM35" s="2">
        <v>0</v>
      </c>
      <c r="CN35" s="2" t="s">
        <v>3</v>
      </c>
      <c r="CO35" s="2">
        <v>0</v>
      </c>
      <c r="CP35" s="2">
        <f t="shared" si="22"/>
        <v>68.38</v>
      </c>
      <c r="CQ35" s="2">
        <f>ROUND(AL35*BC35,2)</f>
        <v>75978.600000000006</v>
      </c>
      <c r="CR35" s="2">
        <f>ROUND(AM35*BB35,2)</f>
        <v>0</v>
      </c>
      <c r="CS35" s="2">
        <f>ROUND(AN35*BS35,2)</f>
        <v>0</v>
      </c>
      <c r="CT35" s="2">
        <f>ROUND(AO35*BA35,2)</f>
        <v>0</v>
      </c>
      <c r="CU35" s="2">
        <f t="shared" si="23"/>
        <v>0</v>
      </c>
      <c r="CV35" s="2">
        <f t="shared" ref="CV35:CW37" si="40">AH35</f>
        <v>0</v>
      </c>
      <c r="CW35" s="2">
        <f t="shared" si="40"/>
        <v>0</v>
      </c>
      <c r="CX35" s="2">
        <f t="shared" si="24"/>
        <v>0</v>
      </c>
      <c r="CY35" s="2">
        <f t="shared" si="25"/>
        <v>0</v>
      </c>
      <c r="CZ35" s="2">
        <f t="shared" si="26"/>
        <v>0</v>
      </c>
      <c r="DA35" s="2"/>
      <c r="DB35" s="2"/>
      <c r="DC35" s="2" t="s">
        <v>3</v>
      </c>
      <c r="DD35" s="2" t="s">
        <v>3</v>
      </c>
      <c r="DE35" s="2" t="s">
        <v>3</v>
      </c>
      <c r="DF35" s="2" t="s">
        <v>3</v>
      </c>
      <c r="DG35" s="2" t="s">
        <v>3</v>
      </c>
      <c r="DH35" s="2" t="s">
        <v>3</v>
      </c>
      <c r="DI35" s="2" t="s">
        <v>3</v>
      </c>
      <c r="DJ35" s="2" t="s">
        <v>3</v>
      </c>
      <c r="DK35" s="2" t="s">
        <v>3</v>
      </c>
      <c r="DL35" s="2" t="s">
        <v>3</v>
      </c>
      <c r="DM35" s="2" t="s">
        <v>3</v>
      </c>
      <c r="DN35" s="2">
        <v>0</v>
      </c>
      <c r="DO35" s="2">
        <v>0</v>
      </c>
      <c r="DP35" s="2">
        <v>1</v>
      </c>
      <c r="DQ35" s="2">
        <v>1</v>
      </c>
      <c r="DR35" s="2"/>
      <c r="DS35" s="2"/>
      <c r="DT35" s="2"/>
      <c r="DU35" s="2">
        <v>1009</v>
      </c>
      <c r="DV35" s="2" t="s">
        <v>29</v>
      </c>
      <c r="DW35" s="2" t="s">
        <v>29</v>
      </c>
      <c r="DX35" s="2">
        <v>1000</v>
      </c>
      <c r="DY35" s="2"/>
      <c r="DZ35" s="2" t="s">
        <v>3</v>
      </c>
      <c r="EA35" s="2" t="s">
        <v>3</v>
      </c>
      <c r="EB35" s="2" t="s">
        <v>3</v>
      </c>
      <c r="EC35" s="2" t="s">
        <v>3</v>
      </c>
      <c r="ED35" s="2"/>
      <c r="EE35" s="2">
        <v>54458926</v>
      </c>
      <c r="EF35" s="2">
        <v>2</v>
      </c>
      <c r="EG35" s="2" t="s">
        <v>35</v>
      </c>
      <c r="EH35" s="2">
        <v>11</v>
      </c>
      <c r="EI35" s="2" t="s">
        <v>22</v>
      </c>
      <c r="EJ35" s="2">
        <v>1</v>
      </c>
      <c r="EK35" s="2">
        <v>11001</v>
      </c>
      <c r="EL35" s="2" t="s">
        <v>22</v>
      </c>
      <c r="EM35" s="2" t="s">
        <v>63</v>
      </c>
      <c r="EN35" s="2"/>
      <c r="EO35" s="2" t="s">
        <v>3</v>
      </c>
      <c r="EP35" s="2"/>
      <c r="EQ35" s="2">
        <v>0</v>
      </c>
      <c r="ER35" s="2">
        <v>37800.300000000003</v>
      </c>
      <c r="ES35" s="2">
        <v>37800.300000000003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>
        <v>0</v>
      </c>
      <c r="FR35" s="2">
        <v>0</v>
      </c>
      <c r="FS35" s="2">
        <v>0</v>
      </c>
      <c r="FT35" s="2"/>
      <c r="FU35" s="2"/>
      <c r="FV35" s="2"/>
      <c r="FW35" s="2"/>
      <c r="FX35" s="2">
        <v>112</v>
      </c>
      <c r="FY35" s="2">
        <v>65</v>
      </c>
      <c r="FZ35" s="2"/>
      <c r="GA35" s="2" t="s">
        <v>3</v>
      </c>
      <c r="GB35" s="2"/>
      <c r="GC35" s="2"/>
      <c r="GD35" s="2">
        <v>1</v>
      </c>
      <c r="GE35" s="2"/>
      <c r="GF35" s="2">
        <v>-311689578</v>
      </c>
      <c r="GG35" s="2">
        <v>2</v>
      </c>
      <c r="GH35" s="2">
        <v>1</v>
      </c>
      <c r="GI35" s="2">
        <v>2</v>
      </c>
      <c r="GJ35" s="2">
        <v>0</v>
      </c>
      <c r="GK35" s="2">
        <v>0</v>
      </c>
      <c r="GL35" s="2">
        <f t="shared" si="27"/>
        <v>0</v>
      </c>
      <c r="GM35" s="2">
        <f t="shared" si="28"/>
        <v>68.38</v>
      </c>
      <c r="GN35" s="2">
        <f t="shared" si="29"/>
        <v>68.38</v>
      </c>
      <c r="GO35" s="2">
        <f t="shared" si="30"/>
        <v>0</v>
      </c>
      <c r="GP35" s="2">
        <f t="shared" si="31"/>
        <v>0</v>
      </c>
      <c r="GQ35" s="2"/>
      <c r="GR35" s="2">
        <v>0</v>
      </c>
      <c r="GS35" s="2">
        <v>0</v>
      </c>
      <c r="GT35" s="2">
        <v>0</v>
      </c>
      <c r="GU35" s="2" t="s">
        <v>3</v>
      </c>
      <c r="GV35" s="2">
        <f t="shared" si="32"/>
        <v>0</v>
      </c>
      <c r="GW35" s="2">
        <v>1</v>
      </c>
      <c r="GX35" s="2">
        <f t="shared" si="33"/>
        <v>0</v>
      </c>
      <c r="GY35" s="2"/>
      <c r="GZ35" s="2"/>
      <c r="HA35" s="2">
        <v>0</v>
      </c>
      <c r="HB35" s="2">
        <v>0</v>
      </c>
      <c r="HC35" s="2">
        <f t="shared" si="34"/>
        <v>0</v>
      </c>
      <c r="HD35" s="2"/>
      <c r="HE35" s="2" t="s">
        <v>3</v>
      </c>
      <c r="HF35" s="2" t="s">
        <v>3</v>
      </c>
      <c r="HG35" s="2"/>
      <c r="HH35" s="2"/>
      <c r="HI35" s="2"/>
      <c r="HJ35" s="2"/>
      <c r="HK35" s="2"/>
      <c r="HL35" s="2"/>
      <c r="HM35" s="2" t="s">
        <v>3</v>
      </c>
      <c r="HN35" s="2" t="s">
        <v>64</v>
      </c>
      <c r="HO35" s="2" t="s">
        <v>65</v>
      </c>
      <c r="HP35" s="2" t="s">
        <v>22</v>
      </c>
      <c r="HQ35" s="2" t="s">
        <v>22</v>
      </c>
      <c r="HR35" s="2"/>
      <c r="HS35" s="2">
        <v>0</v>
      </c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>
        <v>0</v>
      </c>
      <c r="IL35" s="2"/>
      <c r="IM35" s="2"/>
      <c r="IN35" s="2"/>
      <c r="IO35" s="2"/>
      <c r="IP35" s="2"/>
      <c r="IQ35" s="2"/>
      <c r="IR35" s="2"/>
      <c r="IS35" s="2"/>
      <c r="IT35" s="2"/>
      <c r="IU35" s="2"/>
    </row>
    <row r="36" spans="1:255" ht="13.15" customHeight="1" x14ac:dyDescent="0.2">
      <c r="A36" s="2">
        <v>18</v>
      </c>
      <c r="B36" s="2">
        <v>1</v>
      </c>
      <c r="C36" s="2">
        <v>36</v>
      </c>
      <c r="D36" s="2"/>
      <c r="E36" s="2" t="s">
        <v>93</v>
      </c>
      <c r="F36" s="2" t="s">
        <v>67</v>
      </c>
      <c r="G36" s="86" t="s">
        <v>68</v>
      </c>
      <c r="H36" s="86" t="s">
        <v>69</v>
      </c>
      <c r="I36" s="86">
        <f>I34*J36</f>
        <v>0.91800000000000004</v>
      </c>
      <c r="J36" s="2">
        <v>10.200000000000001</v>
      </c>
      <c r="K36" s="2">
        <v>10.199999999999999</v>
      </c>
      <c r="L36" s="2"/>
      <c r="M36" s="2"/>
      <c r="N36" s="2"/>
      <c r="O36" s="2">
        <f t="shared" si="14"/>
        <v>995.19</v>
      </c>
      <c r="P36" s="2">
        <f>ROUND(CQ36*I36,2)</f>
        <v>995.19</v>
      </c>
      <c r="Q36" s="2">
        <f>ROUND(CR36*I36,2)</f>
        <v>0</v>
      </c>
      <c r="R36" s="2">
        <f>ROUND(CS36*I36,2)</f>
        <v>0</v>
      </c>
      <c r="S36" s="2">
        <f>ROUND(CT36*I36,2)</f>
        <v>0</v>
      </c>
      <c r="T36" s="2">
        <f t="shared" si="15"/>
        <v>0</v>
      </c>
      <c r="U36" s="2">
        <f>ROUND(CV36*I36,7)</f>
        <v>0</v>
      </c>
      <c r="V36" s="2">
        <f>ROUND(CW36*I36,7)</f>
        <v>0</v>
      </c>
      <c r="W36" s="2">
        <f t="shared" si="16"/>
        <v>0</v>
      </c>
      <c r="X36" s="2">
        <f t="shared" si="17"/>
        <v>0</v>
      </c>
      <c r="Y36" s="2">
        <f t="shared" si="18"/>
        <v>0</v>
      </c>
      <c r="Z36" s="2"/>
      <c r="AA36" s="2">
        <v>55858619</v>
      </c>
      <c r="AB36" s="2">
        <f t="shared" si="19"/>
        <v>1084.0899999999999</v>
      </c>
      <c r="AC36" s="2">
        <f>ROUND((ES36),6)</f>
        <v>1084.0899999999999</v>
      </c>
      <c r="AD36" s="2">
        <f>ROUND((((ET36)-(EU36))+AE36),6)</f>
        <v>0</v>
      </c>
      <c r="AE36" s="2">
        <f t="shared" si="38"/>
        <v>0</v>
      </c>
      <c r="AF36" s="2">
        <f t="shared" si="38"/>
        <v>0</v>
      </c>
      <c r="AG36" s="2">
        <f t="shared" si="20"/>
        <v>0</v>
      </c>
      <c r="AH36" s="2">
        <f t="shared" si="39"/>
        <v>0</v>
      </c>
      <c r="AI36" s="2">
        <f t="shared" si="39"/>
        <v>0</v>
      </c>
      <c r="AJ36" s="2">
        <f t="shared" si="21"/>
        <v>0</v>
      </c>
      <c r="AK36" s="2">
        <v>1084.0899999999999</v>
      </c>
      <c r="AL36" s="2">
        <v>1084.0899999999999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112</v>
      </c>
      <c r="AU36" s="2">
        <v>65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3</v>
      </c>
      <c r="BE36" s="2" t="s">
        <v>3</v>
      </c>
      <c r="BF36" s="2" t="s">
        <v>3</v>
      </c>
      <c r="BG36" s="2" t="s">
        <v>3</v>
      </c>
      <c r="BH36" s="2">
        <v>3</v>
      </c>
      <c r="BI36" s="2">
        <v>1</v>
      </c>
      <c r="BJ36" s="2" t="s">
        <v>70</v>
      </c>
      <c r="BK36" s="2"/>
      <c r="BL36" s="2"/>
      <c r="BM36" s="2">
        <v>11001</v>
      </c>
      <c r="BN36" s="2">
        <v>0</v>
      </c>
      <c r="BO36" s="2" t="s">
        <v>3</v>
      </c>
      <c r="BP36" s="2">
        <v>0</v>
      </c>
      <c r="BQ36" s="2">
        <v>2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3</v>
      </c>
      <c r="BZ36" s="2">
        <v>112</v>
      </c>
      <c r="CA36" s="2">
        <v>65</v>
      </c>
      <c r="CB36" s="2" t="s">
        <v>3</v>
      </c>
      <c r="CC36" s="2"/>
      <c r="CD36" s="2"/>
      <c r="CE36" s="2">
        <v>0</v>
      </c>
      <c r="CF36" s="2">
        <v>0</v>
      </c>
      <c r="CG36" s="2">
        <v>0</v>
      </c>
      <c r="CH36" s="2"/>
      <c r="CI36" s="2"/>
      <c r="CJ36" s="2"/>
      <c r="CK36" s="2"/>
      <c r="CL36" s="2"/>
      <c r="CM36" s="2">
        <v>0</v>
      </c>
      <c r="CN36" s="2" t="s">
        <v>3</v>
      </c>
      <c r="CO36" s="2">
        <v>0</v>
      </c>
      <c r="CP36" s="2">
        <f t="shared" si="22"/>
        <v>995.19</v>
      </c>
      <c r="CQ36" s="2">
        <f>ROUND(AL36*BC36,2)</f>
        <v>1084.0899999999999</v>
      </c>
      <c r="CR36" s="2">
        <f>ROUND(AM36*BB36,2)</f>
        <v>0</v>
      </c>
      <c r="CS36" s="2">
        <f>ROUND(AN36*BS36,2)</f>
        <v>0</v>
      </c>
      <c r="CT36" s="2">
        <f>ROUND(AO36*BA36,2)</f>
        <v>0</v>
      </c>
      <c r="CU36" s="2">
        <f t="shared" si="23"/>
        <v>0</v>
      </c>
      <c r="CV36" s="2">
        <f t="shared" si="40"/>
        <v>0</v>
      </c>
      <c r="CW36" s="2">
        <f t="shared" si="40"/>
        <v>0</v>
      </c>
      <c r="CX36" s="2">
        <f t="shared" si="24"/>
        <v>0</v>
      </c>
      <c r="CY36" s="2">
        <f t="shared" si="25"/>
        <v>0</v>
      </c>
      <c r="CZ36" s="2">
        <f t="shared" si="26"/>
        <v>0</v>
      </c>
      <c r="DA36" s="2"/>
      <c r="DB36" s="2"/>
      <c r="DC36" s="2" t="s">
        <v>3</v>
      </c>
      <c r="DD36" s="2" t="s">
        <v>3</v>
      </c>
      <c r="DE36" s="2" t="s">
        <v>3</v>
      </c>
      <c r="DF36" s="2" t="s">
        <v>3</v>
      </c>
      <c r="DG36" s="2" t="s">
        <v>3</v>
      </c>
      <c r="DH36" s="2" t="s">
        <v>3</v>
      </c>
      <c r="DI36" s="2" t="s">
        <v>3</v>
      </c>
      <c r="DJ36" s="2" t="s">
        <v>3</v>
      </c>
      <c r="DK36" s="2" t="s">
        <v>3</v>
      </c>
      <c r="DL36" s="2" t="s">
        <v>3</v>
      </c>
      <c r="DM36" s="2" t="s">
        <v>3</v>
      </c>
      <c r="DN36" s="2">
        <v>0</v>
      </c>
      <c r="DO36" s="2">
        <v>0</v>
      </c>
      <c r="DP36" s="2">
        <v>1</v>
      </c>
      <c r="DQ36" s="2">
        <v>1</v>
      </c>
      <c r="DR36" s="2"/>
      <c r="DS36" s="2"/>
      <c r="DT36" s="2"/>
      <c r="DU36" s="2">
        <v>1005</v>
      </c>
      <c r="DV36" s="2" t="s">
        <v>69</v>
      </c>
      <c r="DW36" s="2" t="s">
        <v>69</v>
      </c>
      <c r="DX36" s="2">
        <v>1</v>
      </c>
      <c r="DY36" s="2"/>
      <c r="DZ36" s="2" t="s">
        <v>3</v>
      </c>
      <c r="EA36" s="2" t="s">
        <v>3</v>
      </c>
      <c r="EB36" s="2" t="s">
        <v>3</v>
      </c>
      <c r="EC36" s="2" t="s">
        <v>3</v>
      </c>
      <c r="ED36" s="2"/>
      <c r="EE36" s="2">
        <v>54458926</v>
      </c>
      <c r="EF36" s="2">
        <v>2</v>
      </c>
      <c r="EG36" s="2" t="s">
        <v>35</v>
      </c>
      <c r="EH36" s="2">
        <v>11</v>
      </c>
      <c r="EI36" s="2" t="s">
        <v>22</v>
      </c>
      <c r="EJ36" s="2">
        <v>1</v>
      </c>
      <c r="EK36" s="2">
        <v>11001</v>
      </c>
      <c r="EL36" s="2" t="s">
        <v>22</v>
      </c>
      <c r="EM36" s="2" t="s">
        <v>63</v>
      </c>
      <c r="EN36" s="2"/>
      <c r="EO36" s="2" t="s">
        <v>3</v>
      </c>
      <c r="EP36" s="2"/>
      <c r="EQ36" s="2">
        <v>0</v>
      </c>
      <c r="ER36" s="2">
        <v>1084.0899999999999</v>
      </c>
      <c r="ES36" s="2">
        <v>1084.0899999999999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v>0</v>
      </c>
      <c r="FS36" s="2">
        <v>0</v>
      </c>
      <c r="FT36" s="2"/>
      <c r="FU36" s="2"/>
      <c r="FV36" s="2"/>
      <c r="FW36" s="2"/>
      <c r="FX36" s="2">
        <v>112</v>
      </c>
      <c r="FY36" s="2">
        <v>65</v>
      </c>
      <c r="FZ36" s="2"/>
      <c r="GA36" s="2" t="s">
        <v>3</v>
      </c>
      <c r="GB36" s="2"/>
      <c r="GC36" s="2"/>
      <c r="GD36" s="2">
        <v>1</v>
      </c>
      <c r="GE36" s="2">
        <v>850.72</v>
      </c>
      <c r="GF36" s="2">
        <v>-395630401</v>
      </c>
      <c r="GG36" s="2">
        <v>2</v>
      </c>
      <c r="GH36" s="2">
        <v>1</v>
      </c>
      <c r="GI36" s="2">
        <v>-2</v>
      </c>
      <c r="GJ36" s="2">
        <v>0</v>
      </c>
      <c r="GK36" s="2">
        <v>0</v>
      </c>
      <c r="GL36" s="2">
        <f t="shared" si="27"/>
        <v>0</v>
      </c>
      <c r="GM36" s="2">
        <f t="shared" si="28"/>
        <v>995.19</v>
      </c>
      <c r="GN36" s="2">
        <f t="shared" si="29"/>
        <v>995.19</v>
      </c>
      <c r="GO36" s="2">
        <f t="shared" si="30"/>
        <v>0</v>
      </c>
      <c r="GP36" s="2">
        <f t="shared" si="31"/>
        <v>0</v>
      </c>
      <c r="GQ36" s="2"/>
      <c r="GR36" s="2">
        <v>3</v>
      </c>
      <c r="GS36" s="2">
        <v>0</v>
      </c>
      <c r="GT36" s="2">
        <v>0</v>
      </c>
      <c r="GU36" s="2" t="s">
        <v>3</v>
      </c>
      <c r="GV36" s="2">
        <f t="shared" si="32"/>
        <v>0</v>
      </c>
      <c r="GW36" s="2">
        <v>1</v>
      </c>
      <c r="GX36" s="2">
        <f t="shared" si="33"/>
        <v>0</v>
      </c>
      <c r="GY36" s="2"/>
      <c r="GZ36" s="2"/>
      <c r="HA36" s="2">
        <v>0</v>
      </c>
      <c r="HB36" s="2">
        <v>0</v>
      </c>
      <c r="HC36" s="2">
        <f t="shared" si="34"/>
        <v>0</v>
      </c>
      <c r="HD36" s="2"/>
      <c r="HE36" s="2" t="s">
        <v>3</v>
      </c>
      <c r="HF36" s="2" t="s">
        <v>3</v>
      </c>
      <c r="HG36" s="2"/>
      <c r="HH36" s="2"/>
      <c r="HI36" s="2"/>
      <c r="HJ36" s="2"/>
      <c r="HK36" s="2"/>
      <c r="HL36" s="2"/>
      <c r="HM36" s="2" t="s">
        <v>3</v>
      </c>
      <c r="HN36" s="2" t="s">
        <v>64</v>
      </c>
      <c r="HO36" s="2" t="s">
        <v>65</v>
      </c>
      <c r="HP36" s="2" t="s">
        <v>22</v>
      </c>
      <c r="HQ36" s="2" t="s">
        <v>22</v>
      </c>
      <c r="HR36" s="2"/>
      <c r="HS36" s="2">
        <v>0</v>
      </c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ht="13.15" customHeight="1" x14ac:dyDescent="0.2">
      <c r="A37" s="2">
        <v>18</v>
      </c>
      <c r="B37" s="2">
        <v>1</v>
      </c>
      <c r="C37" s="2">
        <v>37</v>
      </c>
      <c r="D37" s="2"/>
      <c r="E37" s="2" t="s">
        <v>94</v>
      </c>
      <c r="F37" s="2" t="s">
        <v>76</v>
      </c>
      <c r="G37" s="86" t="s">
        <v>77</v>
      </c>
      <c r="H37" s="86" t="s">
        <v>29</v>
      </c>
      <c r="I37" s="86">
        <f>I34*J37</f>
        <v>3.5999999999999999E-3</v>
      </c>
      <c r="J37" s="2">
        <v>0.04</v>
      </c>
      <c r="K37" s="2">
        <v>0.04</v>
      </c>
      <c r="L37" s="2"/>
      <c r="M37" s="2"/>
      <c r="N37" s="2"/>
      <c r="O37" s="2">
        <f t="shared" si="14"/>
        <v>149.32</v>
      </c>
      <c r="P37" s="2">
        <f>ROUND(CQ37*I37,2)</f>
        <v>149.32</v>
      </c>
      <c r="Q37" s="2">
        <f>ROUND(CR37*I37,2)</f>
        <v>0</v>
      </c>
      <c r="R37" s="2">
        <f>ROUND(CS37*I37,2)</f>
        <v>0</v>
      </c>
      <c r="S37" s="2">
        <f>ROUND(CT37*I37,2)</f>
        <v>0</v>
      </c>
      <c r="T37" s="2">
        <f t="shared" si="15"/>
        <v>0</v>
      </c>
      <c r="U37" s="2">
        <f>ROUND(CV37*I37,7)</f>
        <v>0</v>
      </c>
      <c r="V37" s="2">
        <f>ROUND(CW37*I37,7)</f>
        <v>0</v>
      </c>
      <c r="W37" s="2">
        <f t="shared" si="16"/>
        <v>0</v>
      </c>
      <c r="X37" s="2">
        <f t="shared" si="17"/>
        <v>0</v>
      </c>
      <c r="Y37" s="2">
        <f t="shared" si="18"/>
        <v>0</v>
      </c>
      <c r="Z37" s="2"/>
      <c r="AA37" s="2">
        <v>55858619</v>
      </c>
      <c r="AB37" s="2">
        <f t="shared" si="19"/>
        <v>33998.35</v>
      </c>
      <c r="AC37" s="2">
        <f>ROUND((ES37),6)</f>
        <v>33998.35</v>
      </c>
      <c r="AD37" s="2">
        <f>ROUND((((ET37)-(EU37))+AE37),6)</f>
        <v>0</v>
      </c>
      <c r="AE37" s="2">
        <f t="shared" si="38"/>
        <v>0</v>
      </c>
      <c r="AF37" s="2">
        <f t="shared" si="38"/>
        <v>0</v>
      </c>
      <c r="AG37" s="2">
        <f t="shared" si="20"/>
        <v>0</v>
      </c>
      <c r="AH37" s="2">
        <f t="shared" si="39"/>
        <v>0</v>
      </c>
      <c r="AI37" s="2">
        <f t="shared" si="39"/>
        <v>0</v>
      </c>
      <c r="AJ37" s="2">
        <f t="shared" si="21"/>
        <v>0</v>
      </c>
      <c r="AK37" s="2">
        <v>33998.35</v>
      </c>
      <c r="AL37" s="2">
        <v>33998.35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112</v>
      </c>
      <c r="AU37" s="2">
        <v>65</v>
      </c>
      <c r="AV37" s="2">
        <v>1</v>
      </c>
      <c r="AW37" s="2">
        <v>1</v>
      </c>
      <c r="AX37" s="2"/>
      <c r="AY37" s="2"/>
      <c r="AZ37" s="2">
        <v>1</v>
      </c>
      <c r="BA37" s="2">
        <v>1</v>
      </c>
      <c r="BB37" s="2">
        <v>1</v>
      </c>
      <c r="BC37" s="2">
        <v>1.22</v>
      </c>
      <c r="BD37" s="2" t="s">
        <v>3</v>
      </c>
      <c r="BE37" s="2" t="s">
        <v>3</v>
      </c>
      <c r="BF37" s="2" t="s">
        <v>3</v>
      </c>
      <c r="BG37" s="2" t="s">
        <v>3</v>
      </c>
      <c r="BH37" s="2">
        <v>3</v>
      </c>
      <c r="BI37" s="2">
        <v>1</v>
      </c>
      <c r="BJ37" s="2" t="s">
        <v>78</v>
      </c>
      <c r="BK37" s="2"/>
      <c r="BL37" s="2"/>
      <c r="BM37" s="2">
        <v>11001</v>
      </c>
      <c r="BN37" s="2">
        <v>0</v>
      </c>
      <c r="BO37" s="2" t="s">
        <v>76</v>
      </c>
      <c r="BP37" s="2">
        <v>1</v>
      </c>
      <c r="BQ37" s="2">
        <v>2</v>
      </c>
      <c r="BR37" s="2">
        <v>0</v>
      </c>
      <c r="BS37" s="2">
        <v>1</v>
      </c>
      <c r="BT37" s="2">
        <v>1</v>
      </c>
      <c r="BU37" s="2">
        <v>1</v>
      </c>
      <c r="BV37" s="2">
        <v>1</v>
      </c>
      <c r="BW37" s="2">
        <v>1</v>
      </c>
      <c r="BX37" s="2">
        <v>1</v>
      </c>
      <c r="BY37" s="2" t="s">
        <v>3</v>
      </c>
      <c r="BZ37" s="2">
        <v>112</v>
      </c>
      <c r="CA37" s="2">
        <v>65</v>
      </c>
      <c r="CB37" s="2" t="s">
        <v>3</v>
      </c>
      <c r="CC37" s="2"/>
      <c r="CD37" s="2"/>
      <c r="CE37" s="2">
        <v>0</v>
      </c>
      <c r="CF37" s="2">
        <v>0</v>
      </c>
      <c r="CG37" s="2">
        <v>0</v>
      </c>
      <c r="CH37" s="2"/>
      <c r="CI37" s="2"/>
      <c r="CJ37" s="2"/>
      <c r="CK37" s="2"/>
      <c r="CL37" s="2"/>
      <c r="CM37" s="2">
        <v>0</v>
      </c>
      <c r="CN37" s="2" t="s">
        <v>3</v>
      </c>
      <c r="CO37" s="2">
        <v>0</v>
      </c>
      <c r="CP37" s="2">
        <f t="shared" si="22"/>
        <v>149.32</v>
      </c>
      <c r="CQ37" s="2">
        <f>ROUND(AL37*BC37,2)</f>
        <v>41477.99</v>
      </c>
      <c r="CR37" s="2">
        <f>ROUND(AM37*BB37,2)</f>
        <v>0</v>
      </c>
      <c r="CS37" s="2">
        <f>ROUND(AN37*BS37,2)</f>
        <v>0</v>
      </c>
      <c r="CT37" s="2">
        <f>ROUND(AO37*BA37,2)</f>
        <v>0</v>
      </c>
      <c r="CU37" s="2">
        <f t="shared" si="23"/>
        <v>0</v>
      </c>
      <c r="CV37" s="2">
        <f t="shared" si="40"/>
        <v>0</v>
      </c>
      <c r="CW37" s="2">
        <f t="shared" si="40"/>
        <v>0</v>
      </c>
      <c r="CX37" s="2">
        <f t="shared" si="24"/>
        <v>0</v>
      </c>
      <c r="CY37" s="2">
        <f t="shared" si="25"/>
        <v>0</v>
      </c>
      <c r="CZ37" s="2">
        <f t="shared" si="26"/>
        <v>0</v>
      </c>
      <c r="DA37" s="2"/>
      <c r="DB37" s="2"/>
      <c r="DC37" s="2" t="s">
        <v>3</v>
      </c>
      <c r="DD37" s="2" t="s">
        <v>3</v>
      </c>
      <c r="DE37" s="2" t="s">
        <v>3</v>
      </c>
      <c r="DF37" s="2" t="s">
        <v>3</v>
      </c>
      <c r="DG37" s="2" t="s">
        <v>3</v>
      </c>
      <c r="DH37" s="2" t="s">
        <v>3</v>
      </c>
      <c r="DI37" s="2" t="s">
        <v>3</v>
      </c>
      <c r="DJ37" s="2" t="s">
        <v>3</v>
      </c>
      <c r="DK37" s="2" t="s">
        <v>3</v>
      </c>
      <c r="DL37" s="2" t="s">
        <v>3</v>
      </c>
      <c r="DM37" s="2" t="s">
        <v>3</v>
      </c>
      <c r="DN37" s="2">
        <v>0</v>
      </c>
      <c r="DO37" s="2">
        <v>0</v>
      </c>
      <c r="DP37" s="2">
        <v>1</v>
      </c>
      <c r="DQ37" s="2">
        <v>1</v>
      </c>
      <c r="DR37" s="2"/>
      <c r="DS37" s="2"/>
      <c r="DT37" s="2"/>
      <c r="DU37" s="2">
        <v>1009</v>
      </c>
      <c r="DV37" s="2" t="s">
        <v>29</v>
      </c>
      <c r="DW37" s="2" t="s">
        <v>29</v>
      </c>
      <c r="DX37" s="2">
        <v>1000</v>
      </c>
      <c r="DY37" s="2"/>
      <c r="DZ37" s="2" t="s">
        <v>3</v>
      </c>
      <c r="EA37" s="2" t="s">
        <v>3</v>
      </c>
      <c r="EB37" s="2" t="s">
        <v>3</v>
      </c>
      <c r="EC37" s="2" t="s">
        <v>3</v>
      </c>
      <c r="ED37" s="2"/>
      <c r="EE37" s="2">
        <v>54458926</v>
      </c>
      <c r="EF37" s="2">
        <v>2</v>
      </c>
      <c r="EG37" s="2" t="s">
        <v>35</v>
      </c>
      <c r="EH37" s="2">
        <v>11</v>
      </c>
      <c r="EI37" s="2" t="s">
        <v>22</v>
      </c>
      <c r="EJ37" s="2">
        <v>1</v>
      </c>
      <c r="EK37" s="2">
        <v>11001</v>
      </c>
      <c r="EL37" s="2" t="s">
        <v>22</v>
      </c>
      <c r="EM37" s="2" t="s">
        <v>63</v>
      </c>
      <c r="EN37" s="2"/>
      <c r="EO37" s="2" t="s">
        <v>3</v>
      </c>
      <c r="EP37" s="2"/>
      <c r="EQ37" s="2">
        <v>0</v>
      </c>
      <c r="ER37" s="2">
        <v>33998.35</v>
      </c>
      <c r="ES37" s="2">
        <v>33998.35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>
        <v>0</v>
      </c>
      <c r="FR37" s="2">
        <v>0</v>
      </c>
      <c r="FS37" s="2">
        <v>0</v>
      </c>
      <c r="FT37" s="2"/>
      <c r="FU37" s="2"/>
      <c r="FV37" s="2"/>
      <c r="FW37" s="2"/>
      <c r="FX37" s="2">
        <v>112</v>
      </c>
      <c r="FY37" s="2">
        <v>65</v>
      </c>
      <c r="FZ37" s="2"/>
      <c r="GA37" s="2" t="s">
        <v>3</v>
      </c>
      <c r="GB37" s="2"/>
      <c r="GC37" s="2"/>
      <c r="GD37" s="2">
        <v>1</v>
      </c>
      <c r="GE37" s="2"/>
      <c r="GF37" s="2">
        <v>1044775536</v>
      </c>
      <c r="GG37" s="2">
        <v>2</v>
      </c>
      <c r="GH37" s="2">
        <v>1</v>
      </c>
      <c r="GI37" s="2">
        <v>2</v>
      </c>
      <c r="GJ37" s="2">
        <v>0</v>
      </c>
      <c r="GK37" s="2">
        <v>0</v>
      </c>
      <c r="GL37" s="2">
        <f t="shared" si="27"/>
        <v>0</v>
      </c>
      <c r="GM37" s="2">
        <f t="shared" si="28"/>
        <v>149.32</v>
      </c>
      <c r="GN37" s="2">
        <f t="shared" si="29"/>
        <v>149.32</v>
      </c>
      <c r="GO37" s="2">
        <f t="shared" si="30"/>
        <v>0</v>
      </c>
      <c r="GP37" s="2">
        <f t="shared" si="31"/>
        <v>0</v>
      </c>
      <c r="GQ37" s="2"/>
      <c r="GR37" s="2">
        <v>0</v>
      </c>
      <c r="GS37" s="2">
        <v>0</v>
      </c>
      <c r="GT37" s="2">
        <v>0</v>
      </c>
      <c r="GU37" s="2" t="s">
        <v>3</v>
      </c>
      <c r="GV37" s="2">
        <f t="shared" si="32"/>
        <v>0</v>
      </c>
      <c r="GW37" s="2">
        <v>1</v>
      </c>
      <c r="GX37" s="2">
        <f t="shared" si="33"/>
        <v>0</v>
      </c>
      <c r="GY37" s="2"/>
      <c r="GZ37" s="2"/>
      <c r="HA37" s="2">
        <v>0</v>
      </c>
      <c r="HB37" s="2">
        <v>0</v>
      </c>
      <c r="HC37" s="2">
        <f t="shared" si="34"/>
        <v>0</v>
      </c>
      <c r="HD37" s="2"/>
      <c r="HE37" s="2" t="s">
        <v>3</v>
      </c>
      <c r="HF37" s="2" t="s">
        <v>3</v>
      </c>
      <c r="HG37" s="2"/>
      <c r="HH37" s="2"/>
      <c r="HI37" s="2"/>
      <c r="HJ37" s="2"/>
      <c r="HK37" s="2"/>
      <c r="HL37" s="2"/>
      <c r="HM37" s="2" t="s">
        <v>3</v>
      </c>
      <c r="HN37" s="2" t="s">
        <v>64</v>
      </c>
      <c r="HO37" s="2" t="s">
        <v>65</v>
      </c>
      <c r="HP37" s="2" t="s">
        <v>22</v>
      </c>
      <c r="HQ37" s="2" t="s">
        <v>22</v>
      </c>
      <c r="HR37" s="2"/>
      <c r="HS37" s="2">
        <v>0</v>
      </c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>
        <v>0</v>
      </c>
      <c r="IL37" s="2"/>
      <c r="IM37" s="2"/>
      <c r="IN37" s="2"/>
      <c r="IO37" s="2"/>
      <c r="IP37" s="2"/>
      <c r="IQ37" s="2"/>
      <c r="IR37" s="2"/>
      <c r="IS37" s="2"/>
      <c r="IT37" s="2"/>
      <c r="IU37" s="2"/>
    </row>
    <row r="38" spans="1:255" ht="13.15" customHeight="1" x14ac:dyDescent="0.2">
      <c r="A38" s="2">
        <v>17</v>
      </c>
      <c r="B38" s="2">
        <v>1</v>
      </c>
      <c r="C38" s="2">
        <f>ROW(SmtRes!A45)</f>
        <v>45</v>
      </c>
      <c r="D38" s="2">
        <f>ROW(EtalonRes!A46)</f>
        <v>46</v>
      </c>
      <c r="E38" s="2" t="s">
        <v>95</v>
      </c>
      <c r="F38" s="2" t="s">
        <v>96</v>
      </c>
      <c r="G38" s="86" t="s">
        <v>97</v>
      </c>
      <c r="H38" s="86" t="s">
        <v>87</v>
      </c>
      <c r="I38" s="86">
        <f>ROUND((15+26)/100,7)</f>
        <v>0.41</v>
      </c>
      <c r="J38" s="2">
        <v>0</v>
      </c>
      <c r="K38" s="2">
        <f>ROUND((15+26)/100,7)</f>
        <v>0.41</v>
      </c>
      <c r="L38" s="2"/>
      <c r="M38" s="2"/>
      <c r="N38" s="2"/>
      <c r="O38" s="2">
        <f t="shared" si="14"/>
        <v>5510.8</v>
      </c>
      <c r="P38" s="2">
        <f>SUMIF(SmtRes!AQ38:'SmtRes'!AQ45,"=1",SmtRes!DF38:'SmtRes'!DF45)</f>
        <v>0</v>
      </c>
      <c r="Q38" s="2">
        <f>SUMIF(SmtRes!AQ38:'SmtRes'!AQ45,"=1",SmtRes!DG38:'SmtRes'!DG45)</f>
        <v>499.09999999999997</v>
      </c>
      <c r="R38" s="2">
        <f>SUMIF(SmtRes!AQ38:'SmtRes'!AQ45,"=1",SmtRes!DH38:'SmtRes'!DH45)</f>
        <v>296.09000000000003</v>
      </c>
      <c r="S38" s="2">
        <f>SUMIF(SmtRes!AQ38:'SmtRes'!AQ45,"=1",SmtRes!DI38:'SmtRes'!DI45)</f>
        <v>4715.6099999999997</v>
      </c>
      <c r="T38" s="2">
        <f t="shared" si="15"/>
        <v>0</v>
      </c>
      <c r="U38" s="2">
        <f>SUMIF(SmtRes!AQ38:'SmtRes'!AQ45,"=1",SmtRes!CV38:'SmtRes'!CV45)</f>
        <v>11.910500000000001</v>
      </c>
      <c r="V38" s="2">
        <f>SUMIF(SmtRes!AQ38:'SmtRes'!AQ45,"=1",SmtRes!CW38:'SmtRes'!CW45)</f>
        <v>0.74333000000000005</v>
      </c>
      <c r="W38" s="2">
        <f t="shared" si="16"/>
        <v>0</v>
      </c>
      <c r="X38" s="2">
        <f t="shared" si="17"/>
        <v>5813.57</v>
      </c>
      <c r="Y38" s="2">
        <f t="shared" si="18"/>
        <v>4009.36</v>
      </c>
      <c r="Z38" s="2"/>
      <c r="AA38" s="2">
        <v>55858619</v>
      </c>
      <c r="AB38" s="2">
        <f t="shared" si="19"/>
        <v>12712.55097</v>
      </c>
      <c r="AC38" s="2">
        <f>ROUND((0),6)</f>
        <v>0</v>
      </c>
      <c r="AD38" s="2">
        <f>ROUND((((SUM(SmtRes!BR38:'SmtRes'!BR45))-(SUM(SmtRes!BS38:'SmtRes'!BS45)))+AE38),6)</f>
        <v>1211.0749699999999</v>
      </c>
      <c r="AE38" s="2">
        <f>ROUND((SUM(SmtRes!BS38:'SmtRes'!BS45)),6)</f>
        <v>722.18642999999997</v>
      </c>
      <c r="AF38" s="2">
        <f>ROUND((SUM(SmtRes!BT38:'SmtRes'!BT45)),6)</f>
        <v>11501.476000000001</v>
      </c>
      <c r="AG38" s="2">
        <f t="shared" si="20"/>
        <v>0</v>
      </c>
      <c r="AH38" s="2">
        <f>(SUM(SmtRes!BU38:'SmtRes'!BU45))</f>
        <v>29.049999999999997</v>
      </c>
      <c r="AI38" s="2">
        <f>(SUM(SmtRes!BV38:'SmtRes'!BV45))</f>
        <v>1.8129999999999999</v>
      </c>
      <c r="AJ38" s="2">
        <f t="shared" si="21"/>
        <v>0</v>
      </c>
      <c r="AK38" s="2">
        <v>22880.140899999999</v>
      </c>
      <c r="AL38" s="2">
        <v>3687.6588999999999</v>
      </c>
      <c r="AM38" s="2">
        <v>1730.1070999999999</v>
      </c>
      <c r="AN38" s="2">
        <v>1031.6949</v>
      </c>
      <c r="AO38" s="2">
        <v>16430.68</v>
      </c>
      <c r="AP38" s="2">
        <v>0</v>
      </c>
      <c r="AQ38" s="2">
        <v>41.5</v>
      </c>
      <c r="AR38" s="2">
        <v>2.59</v>
      </c>
      <c r="AS38" s="2">
        <v>0</v>
      </c>
      <c r="AT38" s="2">
        <v>116</v>
      </c>
      <c r="AU38" s="2">
        <v>80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3</v>
      </c>
      <c r="BE38" s="2" t="s">
        <v>3</v>
      </c>
      <c r="BF38" s="2" t="s">
        <v>3</v>
      </c>
      <c r="BG38" s="2" t="s">
        <v>3</v>
      </c>
      <c r="BH38" s="2">
        <v>0</v>
      </c>
      <c r="BI38" s="2">
        <v>1</v>
      </c>
      <c r="BJ38" s="2" t="s">
        <v>98</v>
      </c>
      <c r="BK38" s="2"/>
      <c r="BL38" s="2"/>
      <c r="BM38" s="2">
        <v>7005</v>
      </c>
      <c r="BN38" s="2">
        <v>0</v>
      </c>
      <c r="BO38" s="2" t="s">
        <v>3</v>
      </c>
      <c r="BP38" s="2">
        <v>0</v>
      </c>
      <c r="BQ38" s="2">
        <v>2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3</v>
      </c>
      <c r="BZ38" s="2">
        <v>116</v>
      </c>
      <c r="CA38" s="2">
        <v>80</v>
      </c>
      <c r="CB38" s="2" t="s">
        <v>3</v>
      </c>
      <c r="CC38" s="2"/>
      <c r="CD38" s="2"/>
      <c r="CE38" s="2">
        <v>0</v>
      </c>
      <c r="CF38" s="2">
        <v>0</v>
      </c>
      <c r="CG38" s="2">
        <v>0</v>
      </c>
      <c r="CH38" s="2"/>
      <c r="CI38" s="2"/>
      <c r="CJ38" s="2"/>
      <c r="CK38" s="2"/>
      <c r="CL38" s="2"/>
      <c r="CM38" s="2">
        <v>0</v>
      </c>
      <c r="CN38" s="2" t="s">
        <v>99</v>
      </c>
      <c r="CO38" s="2">
        <v>0</v>
      </c>
      <c r="CP38" s="2">
        <f t="shared" si="22"/>
        <v>5510.8</v>
      </c>
      <c r="CQ38" s="2">
        <f>SUMIF(SmtRes!AQ38:'SmtRes'!AQ45,"=1",SmtRes!AA38:'SmtRes'!AA45)</f>
        <v>142235.14000000001</v>
      </c>
      <c r="CR38" s="2">
        <f>SUMIF(SmtRes!AQ38:'SmtRes'!AQ45,"=1",SmtRes!AB38:'SmtRes'!AB45)</f>
        <v>778.04000000000008</v>
      </c>
      <c r="CS38" s="2">
        <f>SUMIF(SmtRes!AQ38:'SmtRes'!AQ45,"=1",SmtRes!AC38:'SmtRes'!AC45)</f>
        <v>764.64</v>
      </c>
      <c r="CT38" s="2">
        <f>SUMIF(SmtRes!AQ38:'SmtRes'!AQ45,"=1",SmtRes!AD38:'SmtRes'!AD45)</f>
        <v>395.92</v>
      </c>
      <c r="CU38" s="2">
        <f t="shared" si="23"/>
        <v>0</v>
      </c>
      <c r="CV38" s="2">
        <f>SUMIF(SmtRes!AQ38:'SmtRes'!AQ45,"=1",SmtRes!BU38:'SmtRes'!BU45)</f>
        <v>29.049999999999997</v>
      </c>
      <c r="CW38" s="2">
        <f>SUMIF(SmtRes!AQ38:'SmtRes'!AQ45,"=1",SmtRes!BV38:'SmtRes'!BV45)</f>
        <v>1.8129999999999999</v>
      </c>
      <c r="CX38" s="2">
        <f t="shared" si="24"/>
        <v>0</v>
      </c>
      <c r="CY38" s="2">
        <f t="shared" si="25"/>
        <v>5813.5719999999992</v>
      </c>
      <c r="CZ38" s="2">
        <f t="shared" si="26"/>
        <v>4009.36</v>
      </c>
      <c r="DA38" s="2"/>
      <c r="DB38" s="2">
        <v>4</v>
      </c>
      <c r="DC38" s="2" t="s">
        <v>3</v>
      </c>
      <c r="DD38" s="2" t="s">
        <v>100</v>
      </c>
      <c r="DE38" s="2" t="s">
        <v>101</v>
      </c>
      <c r="DF38" s="2" t="s">
        <v>101</v>
      </c>
      <c r="DG38" s="2" t="s">
        <v>101</v>
      </c>
      <c r="DH38" s="2" t="s">
        <v>3</v>
      </c>
      <c r="DI38" s="2" t="s">
        <v>101</v>
      </c>
      <c r="DJ38" s="2" t="s">
        <v>101</v>
      </c>
      <c r="DK38" s="2" t="s">
        <v>3</v>
      </c>
      <c r="DL38" s="2" t="s">
        <v>3</v>
      </c>
      <c r="DM38" s="2" t="s">
        <v>3</v>
      </c>
      <c r="DN38" s="2">
        <v>0</v>
      </c>
      <c r="DO38" s="2">
        <v>0</v>
      </c>
      <c r="DP38" s="2">
        <v>1</v>
      </c>
      <c r="DQ38" s="2">
        <v>1</v>
      </c>
      <c r="DR38" s="2"/>
      <c r="DS38" s="2"/>
      <c r="DT38" s="2"/>
      <c r="DU38" s="2">
        <v>1003</v>
      </c>
      <c r="DV38" s="2" t="s">
        <v>87</v>
      </c>
      <c r="DW38" s="2" t="s">
        <v>87</v>
      </c>
      <c r="DX38" s="2">
        <v>100</v>
      </c>
      <c r="DY38" s="2"/>
      <c r="DZ38" s="2" t="s">
        <v>3</v>
      </c>
      <c r="EA38" s="2" t="s">
        <v>3</v>
      </c>
      <c r="EB38" s="2" t="s">
        <v>3</v>
      </c>
      <c r="EC38" s="2" t="s">
        <v>3</v>
      </c>
      <c r="ED38" s="2"/>
      <c r="EE38" s="2">
        <v>54458877</v>
      </c>
      <c r="EF38" s="2">
        <v>2</v>
      </c>
      <c r="EG38" s="2" t="s">
        <v>35</v>
      </c>
      <c r="EH38" s="2">
        <v>7</v>
      </c>
      <c r="EI38" s="2" t="s">
        <v>102</v>
      </c>
      <c r="EJ38" s="2">
        <v>1</v>
      </c>
      <c r="EK38" s="2">
        <v>7005</v>
      </c>
      <c r="EL38" s="2" t="s">
        <v>103</v>
      </c>
      <c r="EM38" s="2" t="s">
        <v>104</v>
      </c>
      <c r="EN38" s="2"/>
      <c r="EO38" s="2" t="s">
        <v>105</v>
      </c>
      <c r="EP38" s="2"/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41.5</v>
      </c>
      <c r="EX38" s="2">
        <v>2.59</v>
      </c>
      <c r="EY38" s="2">
        <v>0</v>
      </c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v>0</v>
      </c>
      <c r="FS38" s="2">
        <v>0</v>
      </c>
      <c r="FT38" s="2"/>
      <c r="FU38" s="2"/>
      <c r="FV38" s="2"/>
      <c r="FW38" s="2"/>
      <c r="FX38" s="2">
        <v>116</v>
      </c>
      <c r="FY38" s="2">
        <v>80</v>
      </c>
      <c r="FZ38" s="2"/>
      <c r="GA38" s="2" t="s">
        <v>3</v>
      </c>
      <c r="GB38" s="2"/>
      <c r="GC38" s="2"/>
      <c r="GD38" s="2">
        <v>1</v>
      </c>
      <c r="GE38" s="2"/>
      <c r="GF38" s="2">
        <v>-266322700</v>
      </c>
      <c r="GG38" s="2">
        <v>2</v>
      </c>
      <c r="GH38" s="2">
        <v>1</v>
      </c>
      <c r="GI38" s="2">
        <v>-2</v>
      </c>
      <c r="GJ38" s="2">
        <v>0</v>
      </c>
      <c r="GK38" s="2">
        <v>0</v>
      </c>
      <c r="GL38" s="2">
        <f t="shared" si="27"/>
        <v>0</v>
      </c>
      <c r="GM38" s="2">
        <f t="shared" si="28"/>
        <v>15333.73</v>
      </c>
      <c r="GN38" s="2">
        <f t="shared" si="29"/>
        <v>15333.73</v>
      </c>
      <c r="GO38" s="2">
        <f t="shared" si="30"/>
        <v>0</v>
      </c>
      <c r="GP38" s="2">
        <f t="shared" si="31"/>
        <v>0</v>
      </c>
      <c r="GQ38" s="2"/>
      <c r="GR38" s="2">
        <v>0</v>
      </c>
      <c r="GS38" s="2">
        <v>0</v>
      </c>
      <c r="GT38" s="2">
        <v>0</v>
      </c>
      <c r="GU38" s="2" t="s">
        <v>3</v>
      </c>
      <c r="GV38" s="2">
        <f t="shared" si="32"/>
        <v>0</v>
      </c>
      <c r="GW38" s="2">
        <v>1</v>
      </c>
      <c r="GX38" s="2">
        <f t="shared" si="33"/>
        <v>0</v>
      </c>
      <c r="GY38" s="2"/>
      <c r="GZ38" s="2"/>
      <c r="HA38" s="2">
        <v>0</v>
      </c>
      <c r="HB38" s="2">
        <v>0</v>
      </c>
      <c r="HC38" s="2">
        <f t="shared" si="34"/>
        <v>0</v>
      </c>
      <c r="HD38" s="2"/>
      <c r="HE38" s="2" t="s">
        <v>3</v>
      </c>
      <c r="HF38" s="2" t="s">
        <v>3</v>
      </c>
      <c r="HG38" s="2"/>
      <c r="HH38" s="2"/>
      <c r="HI38" s="2"/>
      <c r="HJ38" s="2"/>
      <c r="HK38" s="2"/>
      <c r="HL38" s="2"/>
      <c r="HM38" s="2" t="s">
        <v>3</v>
      </c>
      <c r="HN38" s="2" t="s">
        <v>106</v>
      </c>
      <c r="HO38" s="2" t="s">
        <v>107</v>
      </c>
      <c r="HP38" s="2" t="s">
        <v>103</v>
      </c>
      <c r="HQ38" s="2" t="s">
        <v>103</v>
      </c>
      <c r="HR38" s="2"/>
      <c r="HS38" s="2">
        <v>0</v>
      </c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>
        <v>0</v>
      </c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ht="13.15" customHeight="1" x14ac:dyDescent="0.2">
      <c r="A39" s="2">
        <v>17</v>
      </c>
      <c r="B39" s="2">
        <v>1</v>
      </c>
      <c r="C39" s="2">
        <f>ROW(SmtRes!A54)</f>
        <v>54</v>
      </c>
      <c r="D39" s="2">
        <f>ROW(EtalonRes!A55)</f>
        <v>55</v>
      </c>
      <c r="E39" s="2" t="s">
        <v>108</v>
      </c>
      <c r="F39" s="2" t="s">
        <v>96</v>
      </c>
      <c r="G39" s="86" t="s">
        <v>109</v>
      </c>
      <c r="H39" s="86" t="s">
        <v>87</v>
      </c>
      <c r="I39" s="86">
        <f>ROUND(41/100,7)</f>
        <v>0.41</v>
      </c>
      <c r="J39" s="2">
        <v>0</v>
      </c>
      <c r="K39" s="2">
        <f>ROUND(41/100,7)</f>
        <v>0.41</v>
      </c>
      <c r="L39" s="2"/>
      <c r="M39" s="2"/>
      <c r="N39" s="2"/>
      <c r="O39" s="2">
        <f t="shared" si="14"/>
        <v>10725.88</v>
      </c>
      <c r="P39" s="2">
        <f>SUMIF(SmtRes!AQ46:'SmtRes'!AQ54,"=1",SmtRes!DF46:'SmtRes'!DF54)</f>
        <v>1558.81</v>
      </c>
      <c r="Q39" s="2">
        <f>SUMIF(SmtRes!AQ46:'SmtRes'!AQ54,"=1",SmtRes!DG46:'SmtRes'!DG54)</f>
        <v>891.26</v>
      </c>
      <c r="R39" s="2">
        <f>SUMIF(SmtRes!AQ46:'SmtRes'!AQ54,"=1",SmtRes!DH46:'SmtRes'!DH54)</f>
        <v>528.74</v>
      </c>
      <c r="S39" s="2">
        <f>SUMIF(SmtRes!AQ46:'SmtRes'!AQ54,"=1",SmtRes!DI46:'SmtRes'!DI54)</f>
        <v>7747.07</v>
      </c>
      <c r="T39" s="2">
        <f t="shared" si="15"/>
        <v>0</v>
      </c>
      <c r="U39" s="2">
        <f>SUMIF(SmtRes!AQ46:'SmtRes'!AQ54,"=1",SmtRes!CV46:'SmtRes'!CV54)</f>
        <v>19.567250000000001</v>
      </c>
      <c r="V39" s="2">
        <f>SUMIF(SmtRes!AQ46:'SmtRes'!AQ54,"=1",SmtRes!CW46:'SmtRes'!CW54)</f>
        <v>1.327375</v>
      </c>
      <c r="W39" s="2">
        <f t="shared" si="16"/>
        <v>0</v>
      </c>
      <c r="X39" s="2">
        <f t="shared" si="17"/>
        <v>8639.9500000000007</v>
      </c>
      <c r="Y39" s="2">
        <f t="shared" si="18"/>
        <v>5627.55</v>
      </c>
      <c r="Z39" s="2"/>
      <c r="AA39" s="2">
        <v>55858619</v>
      </c>
      <c r="AB39" s="2">
        <f t="shared" si="19"/>
        <v>24745.574775000001</v>
      </c>
      <c r="AC39" s="2">
        <f>ROUND((SUM(SmtRes!BQ46:'SmtRes'!BQ54)),6)</f>
        <v>3687.6588999999999</v>
      </c>
      <c r="AD39" s="2">
        <f>ROUND((((SUM(SmtRes!BR46:'SmtRes'!BR54))-(SUM(SmtRes!BS46:'SmtRes'!BS54)))+AE39),6)</f>
        <v>2162.633875</v>
      </c>
      <c r="AE39" s="2">
        <f>ROUND((SUM(SmtRes!BS46:'SmtRes'!BS54)),6)</f>
        <v>1289.6186250000001</v>
      </c>
      <c r="AF39" s="2">
        <f>ROUND((SUM(SmtRes!BT46:'SmtRes'!BT54)),6)</f>
        <v>18895.281999999999</v>
      </c>
      <c r="AG39" s="2">
        <f t="shared" si="20"/>
        <v>0</v>
      </c>
      <c r="AH39" s="2">
        <f>(SUM(SmtRes!BU46:'SmtRes'!BU54))</f>
        <v>47.724999999999994</v>
      </c>
      <c r="AI39" s="2">
        <f>(SUM(SmtRes!BV46:'SmtRes'!BV54))</f>
        <v>3.2375000000000003</v>
      </c>
      <c r="AJ39" s="2">
        <f t="shared" si="21"/>
        <v>0</v>
      </c>
      <c r="AK39" s="2">
        <v>22880.140899999999</v>
      </c>
      <c r="AL39" s="2">
        <v>3687.6588999999999</v>
      </c>
      <c r="AM39" s="2">
        <v>1730.1070999999999</v>
      </c>
      <c r="AN39" s="2">
        <v>1031.6949</v>
      </c>
      <c r="AO39" s="2">
        <v>16430.68</v>
      </c>
      <c r="AP39" s="2">
        <v>0</v>
      </c>
      <c r="AQ39" s="2">
        <v>41.5</v>
      </c>
      <c r="AR39" s="2">
        <v>2.59</v>
      </c>
      <c r="AS39" s="2">
        <v>0</v>
      </c>
      <c r="AT39" s="2">
        <v>104.4</v>
      </c>
      <c r="AU39" s="2">
        <v>68</v>
      </c>
      <c r="AV39" s="2">
        <v>1</v>
      </c>
      <c r="AW39" s="2">
        <v>1</v>
      </c>
      <c r="AX39" s="2"/>
      <c r="AY39" s="2"/>
      <c r="AZ39" s="2">
        <v>1</v>
      </c>
      <c r="BA39" s="2">
        <v>1</v>
      </c>
      <c r="BB39" s="2">
        <v>1</v>
      </c>
      <c r="BC39" s="2">
        <v>1</v>
      </c>
      <c r="BD39" s="2" t="s">
        <v>3</v>
      </c>
      <c r="BE39" s="2" t="s">
        <v>3</v>
      </c>
      <c r="BF39" s="2" t="s">
        <v>3</v>
      </c>
      <c r="BG39" s="2" t="s">
        <v>3</v>
      </c>
      <c r="BH39" s="2">
        <v>0</v>
      </c>
      <c r="BI39" s="2">
        <v>1</v>
      </c>
      <c r="BJ39" s="2" t="s">
        <v>98</v>
      </c>
      <c r="BK39" s="2"/>
      <c r="BL39" s="2"/>
      <c r="BM39" s="2">
        <v>7005</v>
      </c>
      <c r="BN39" s="2">
        <v>0</v>
      </c>
      <c r="BO39" s="2" t="s">
        <v>3</v>
      </c>
      <c r="BP39" s="2">
        <v>0</v>
      </c>
      <c r="BQ39" s="2">
        <v>2</v>
      </c>
      <c r="BR39" s="2">
        <v>0</v>
      </c>
      <c r="BS39" s="2">
        <v>1</v>
      </c>
      <c r="BT39" s="2">
        <v>1</v>
      </c>
      <c r="BU39" s="2">
        <v>1</v>
      </c>
      <c r="BV39" s="2">
        <v>1</v>
      </c>
      <c r="BW39" s="2">
        <v>1</v>
      </c>
      <c r="BX39" s="2">
        <v>1</v>
      </c>
      <c r="BY39" s="2" t="s">
        <v>3</v>
      </c>
      <c r="BZ39" s="2">
        <v>116</v>
      </c>
      <c r="CA39" s="2">
        <v>80</v>
      </c>
      <c r="CB39" s="2" t="s">
        <v>3</v>
      </c>
      <c r="CC39" s="2"/>
      <c r="CD39" s="2"/>
      <c r="CE39" s="2">
        <v>0</v>
      </c>
      <c r="CF39" s="2">
        <v>0</v>
      </c>
      <c r="CG39" s="2">
        <v>0</v>
      </c>
      <c r="CH39" s="2"/>
      <c r="CI39" s="2"/>
      <c r="CJ39" s="2"/>
      <c r="CK39" s="2"/>
      <c r="CL39" s="2"/>
      <c r="CM39" s="2">
        <v>0</v>
      </c>
      <c r="CN39" s="7" t="s">
        <v>481</v>
      </c>
      <c r="CO39" s="2">
        <v>0</v>
      </c>
      <c r="CP39" s="2">
        <f t="shared" si="22"/>
        <v>10725.88</v>
      </c>
      <c r="CQ39" s="2">
        <f>SUMIF(SmtRes!AQ46:'SmtRes'!AQ54,"=1",SmtRes!AA46:'SmtRes'!AA54)</f>
        <v>142235.14000000001</v>
      </c>
      <c r="CR39" s="2">
        <f>SUMIF(SmtRes!AQ46:'SmtRes'!AQ54,"=1",SmtRes!AB46:'SmtRes'!AB54)</f>
        <v>778.04000000000008</v>
      </c>
      <c r="CS39" s="2">
        <f>SUMIF(SmtRes!AQ46:'SmtRes'!AQ54,"=1",SmtRes!AC46:'SmtRes'!AC54)</f>
        <v>764.64</v>
      </c>
      <c r="CT39" s="2">
        <f>SUMIF(SmtRes!AQ46:'SmtRes'!AQ54,"=1",SmtRes!AD46:'SmtRes'!AD54)</f>
        <v>395.92</v>
      </c>
      <c r="CU39" s="2">
        <f t="shared" si="23"/>
        <v>0</v>
      </c>
      <c r="CV39" s="2">
        <f>SUMIF(SmtRes!AQ46:'SmtRes'!AQ54,"=1",SmtRes!BU46:'SmtRes'!BU54)</f>
        <v>47.724999999999994</v>
      </c>
      <c r="CW39" s="2">
        <f>SUMIF(SmtRes!AQ46:'SmtRes'!AQ54,"=1",SmtRes!BV46:'SmtRes'!BV54)</f>
        <v>3.2375000000000003</v>
      </c>
      <c r="CX39" s="2">
        <f t="shared" si="24"/>
        <v>0</v>
      </c>
      <c r="CY39" s="2">
        <f t="shared" si="25"/>
        <v>8639.9456399999999</v>
      </c>
      <c r="CZ39" s="2">
        <f t="shared" si="26"/>
        <v>5627.5508</v>
      </c>
      <c r="DA39" s="2"/>
      <c r="DB39" s="2">
        <v>5</v>
      </c>
      <c r="DC39" s="2" t="s">
        <v>3</v>
      </c>
      <c r="DD39" s="2" t="s">
        <v>3</v>
      </c>
      <c r="DE39" s="2" t="s">
        <v>46</v>
      </c>
      <c r="DF39" s="2" t="s">
        <v>46</v>
      </c>
      <c r="DG39" s="2" t="s">
        <v>47</v>
      </c>
      <c r="DH39" s="2" t="s">
        <v>3</v>
      </c>
      <c r="DI39" s="2" t="s">
        <v>47</v>
      </c>
      <c r="DJ39" s="2" t="s">
        <v>46</v>
      </c>
      <c r="DK39" s="2" t="s">
        <v>3</v>
      </c>
      <c r="DL39" s="2" t="s">
        <v>48</v>
      </c>
      <c r="DM39" s="2" t="s">
        <v>49</v>
      </c>
      <c r="DN39" s="2">
        <v>0</v>
      </c>
      <c r="DO39" s="2">
        <v>0</v>
      </c>
      <c r="DP39" s="2">
        <v>1</v>
      </c>
      <c r="DQ39" s="2">
        <v>1</v>
      </c>
      <c r="DR39" s="2"/>
      <c r="DS39" s="2"/>
      <c r="DT39" s="2"/>
      <c r="DU39" s="2">
        <v>1003</v>
      </c>
      <c r="DV39" s="2" t="s">
        <v>87</v>
      </c>
      <c r="DW39" s="2" t="s">
        <v>87</v>
      </c>
      <c r="DX39" s="2">
        <v>100</v>
      </c>
      <c r="DY39" s="2"/>
      <c r="DZ39" s="2" t="s">
        <v>3</v>
      </c>
      <c r="EA39" s="2" t="s">
        <v>3</v>
      </c>
      <c r="EB39" s="2" t="s">
        <v>3</v>
      </c>
      <c r="EC39" s="2" t="s">
        <v>3</v>
      </c>
      <c r="ED39" s="2"/>
      <c r="EE39" s="2">
        <v>54458877</v>
      </c>
      <c r="EF39" s="2">
        <v>2</v>
      </c>
      <c r="EG39" s="2" t="s">
        <v>35</v>
      </c>
      <c r="EH39" s="2">
        <v>7</v>
      </c>
      <c r="EI39" s="2" t="s">
        <v>102</v>
      </c>
      <c r="EJ39" s="2">
        <v>1</v>
      </c>
      <c r="EK39" s="2">
        <v>7005</v>
      </c>
      <c r="EL39" s="2" t="s">
        <v>103</v>
      </c>
      <c r="EM39" s="2" t="s">
        <v>104</v>
      </c>
      <c r="EN39" s="2"/>
      <c r="EO39" s="2" t="s">
        <v>52</v>
      </c>
      <c r="EP39" s="2"/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41.5</v>
      </c>
      <c r="EX39" s="2">
        <v>2.59</v>
      </c>
      <c r="EY39" s="2">
        <v>0</v>
      </c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>
        <v>0</v>
      </c>
      <c r="FR39" s="2">
        <v>0</v>
      </c>
      <c r="FS39" s="2">
        <v>0</v>
      </c>
      <c r="FT39" s="2"/>
      <c r="FU39" s="2"/>
      <c r="FV39" s="2"/>
      <c r="FW39" s="2"/>
      <c r="FX39" s="2">
        <v>104.4</v>
      </c>
      <c r="FY39" s="2">
        <v>68</v>
      </c>
      <c r="FZ39" s="2"/>
      <c r="GA39" s="2" t="s">
        <v>3</v>
      </c>
      <c r="GB39" s="2"/>
      <c r="GC39" s="2"/>
      <c r="GD39" s="2">
        <v>1</v>
      </c>
      <c r="GE39" s="2"/>
      <c r="GF39" s="2">
        <v>-1928273148</v>
      </c>
      <c r="GG39" s="2">
        <v>2</v>
      </c>
      <c r="GH39" s="2">
        <v>1</v>
      </c>
      <c r="GI39" s="2">
        <v>-2</v>
      </c>
      <c r="GJ39" s="2">
        <v>0</v>
      </c>
      <c r="GK39" s="2">
        <v>0</v>
      </c>
      <c r="GL39" s="2">
        <f t="shared" si="27"/>
        <v>0</v>
      </c>
      <c r="GM39" s="2">
        <f t="shared" si="28"/>
        <v>24993.38</v>
      </c>
      <c r="GN39" s="2">
        <f t="shared" si="29"/>
        <v>24993.38</v>
      </c>
      <c r="GO39" s="2">
        <f t="shared" si="30"/>
        <v>0</v>
      </c>
      <c r="GP39" s="2">
        <f t="shared" si="31"/>
        <v>0</v>
      </c>
      <c r="GQ39" s="2"/>
      <c r="GR39" s="2">
        <v>0</v>
      </c>
      <c r="GS39" s="2">
        <v>0</v>
      </c>
      <c r="GT39" s="2">
        <v>0</v>
      </c>
      <c r="GU39" s="2" t="s">
        <v>3</v>
      </c>
      <c r="GV39" s="2">
        <f t="shared" si="32"/>
        <v>0</v>
      </c>
      <c r="GW39" s="2">
        <v>1</v>
      </c>
      <c r="GX39" s="2">
        <f t="shared" si="33"/>
        <v>0</v>
      </c>
      <c r="GY39" s="2"/>
      <c r="GZ39" s="2"/>
      <c r="HA39" s="2">
        <v>0</v>
      </c>
      <c r="HB39" s="2">
        <v>0</v>
      </c>
      <c r="HC39" s="2">
        <f t="shared" si="34"/>
        <v>0</v>
      </c>
      <c r="HD39" s="2"/>
      <c r="HE39" s="2" t="s">
        <v>3</v>
      </c>
      <c r="HF39" s="2" t="s">
        <v>3</v>
      </c>
      <c r="HG39" s="2"/>
      <c r="HH39" s="2"/>
      <c r="HI39" s="2"/>
      <c r="HJ39" s="2"/>
      <c r="HK39" s="2"/>
      <c r="HL39" s="2"/>
      <c r="HM39" s="2" t="s">
        <v>3</v>
      </c>
      <c r="HN39" s="2" t="s">
        <v>106</v>
      </c>
      <c r="HO39" s="2" t="s">
        <v>107</v>
      </c>
      <c r="HP39" s="2" t="s">
        <v>103</v>
      </c>
      <c r="HQ39" s="2" t="s">
        <v>103</v>
      </c>
      <c r="HR39" s="2"/>
      <c r="HS39" s="2">
        <v>0</v>
      </c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>
        <v>0</v>
      </c>
      <c r="IL39" s="2"/>
      <c r="IM39" s="2"/>
      <c r="IN39" s="2"/>
      <c r="IO39" s="2"/>
      <c r="IP39" s="2"/>
      <c r="IQ39" s="2"/>
      <c r="IR39" s="2"/>
      <c r="IS39" s="2"/>
      <c r="IT39" s="2"/>
      <c r="IU39" s="2"/>
    </row>
    <row r="40" spans="1:255" ht="13.15" customHeight="1" x14ac:dyDescent="0.2">
      <c r="A40" s="2">
        <v>18</v>
      </c>
      <c r="B40" s="2">
        <v>1</v>
      </c>
      <c r="C40" s="2">
        <v>54</v>
      </c>
      <c r="D40" s="2"/>
      <c r="E40" s="2" t="s">
        <v>110</v>
      </c>
      <c r="F40" s="2" t="s">
        <v>111</v>
      </c>
      <c r="G40" s="86" t="s">
        <v>112</v>
      </c>
      <c r="H40" s="86" t="s">
        <v>113</v>
      </c>
      <c r="I40" s="86">
        <f>I39*J40</f>
        <v>41</v>
      </c>
      <c r="J40" s="2">
        <v>100</v>
      </c>
      <c r="K40" s="2">
        <v>100</v>
      </c>
      <c r="L40" s="2"/>
      <c r="M40" s="2"/>
      <c r="N40" s="2"/>
      <c r="O40" s="2">
        <f t="shared" si="14"/>
        <v>509863.29</v>
      </c>
      <c r="P40" s="2">
        <f>ROUND(CQ40*I40,2)</f>
        <v>509863.29</v>
      </c>
      <c r="Q40" s="2">
        <f>ROUND(CR40*I40,2)</f>
        <v>0</v>
      </c>
      <c r="R40" s="2">
        <f>ROUND(CS40*I40,2)</f>
        <v>0</v>
      </c>
      <c r="S40" s="2">
        <f>ROUND(CT40*I40,2)</f>
        <v>0</v>
      </c>
      <c r="T40" s="2">
        <f t="shared" si="15"/>
        <v>0</v>
      </c>
      <c r="U40" s="2">
        <f>ROUND(CV40*I40,7)</f>
        <v>0</v>
      </c>
      <c r="V40" s="2">
        <f>ROUND(CW40*I40,7)</f>
        <v>0</v>
      </c>
      <c r="W40" s="2">
        <f t="shared" si="16"/>
        <v>0</v>
      </c>
      <c r="X40" s="2">
        <f t="shared" si="17"/>
        <v>0</v>
      </c>
      <c r="Y40" s="2">
        <f t="shared" si="18"/>
        <v>0</v>
      </c>
      <c r="Z40" s="2"/>
      <c r="AA40" s="2">
        <v>55858619</v>
      </c>
      <c r="AB40" s="2">
        <f t="shared" si="19"/>
        <v>9143.89</v>
      </c>
      <c r="AC40" s="2">
        <f>ROUND((ES40),6)</f>
        <v>9143.89</v>
      </c>
      <c r="AD40" s="2">
        <f>ROUND((((ET40)-(EU40))+AE40),6)</f>
        <v>0</v>
      </c>
      <c r="AE40" s="2">
        <f>ROUND((EU40),6)</f>
        <v>0</v>
      </c>
      <c r="AF40" s="2">
        <f>ROUND((EV40),6)</f>
        <v>0</v>
      </c>
      <c r="AG40" s="2">
        <f t="shared" si="20"/>
        <v>0</v>
      </c>
      <c r="AH40" s="2">
        <f>(EW40)</f>
        <v>0</v>
      </c>
      <c r="AI40" s="2">
        <f>(EX40)</f>
        <v>0</v>
      </c>
      <c r="AJ40" s="2">
        <f t="shared" si="21"/>
        <v>0</v>
      </c>
      <c r="AK40" s="2">
        <v>9143.89</v>
      </c>
      <c r="AL40" s="2">
        <v>9143.89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116</v>
      </c>
      <c r="AU40" s="2">
        <v>80</v>
      </c>
      <c r="AV40" s="2">
        <v>1</v>
      </c>
      <c r="AW40" s="2">
        <v>1</v>
      </c>
      <c r="AX40" s="2"/>
      <c r="AY40" s="2"/>
      <c r="AZ40" s="2">
        <v>1</v>
      </c>
      <c r="BA40" s="2">
        <v>1</v>
      </c>
      <c r="BB40" s="2">
        <v>1</v>
      </c>
      <c r="BC40" s="2">
        <v>1.36</v>
      </c>
      <c r="BD40" s="2" t="s">
        <v>3</v>
      </c>
      <c r="BE40" s="2" t="s">
        <v>3</v>
      </c>
      <c r="BF40" s="2" t="s">
        <v>3</v>
      </c>
      <c r="BG40" s="2" t="s">
        <v>3</v>
      </c>
      <c r="BH40" s="2">
        <v>3</v>
      </c>
      <c r="BI40" s="2">
        <v>1</v>
      </c>
      <c r="BJ40" s="2" t="s">
        <v>114</v>
      </c>
      <c r="BK40" s="2"/>
      <c r="BL40" s="2"/>
      <c r="BM40" s="2">
        <v>7005</v>
      </c>
      <c r="BN40" s="2">
        <v>0</v>
      </c>
      <c r="BO40" s="2" t="s">
        <v>111</v>
      </c>
      <c r="BP40" s="2">
        <v>1</v>
      </c>
      <c r="BQ40" s="2">
        <v>2</v>
      </c>
      <c r="BR40" s="2">
        <v>0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 t="s">
        <v>3</v>
      </c>
      <c r="BZ40" s="2">
        <v>116</v>
      </c>
      <c r="CA40" s="2">
        <v>80</v>
      </c>
      <c r="CB40" s="2" t="s">
        <v>3</v>
      </c>
      <c r="CC40" s="2"/>
      <c r="CD40" s="2"/>
      <c r="CE40" s="2">
        <v>0</v>
      </c>
      <c r="CF40" s="2">
        <v>0</v>
      </c>
      <c r="CG40" s="2">
        <v>0</v>
      </c>
      <c r="CH40" s="2"/>
      <c r="CI40" s="2"/>
      <c r="CJ40" s="2"/>
      <c r="CK40" s="2"/>
      <c r="CL40" s="2"/>
      <c r="CM40" s="2">
        <v>0</v>
      </c>
      <c r="CN40" s="2" t="s">
        <v>3</v>
      </c>
      <c r="CO40" s="2">
        <v>0</v>
      </c>
      <c r="CP40" s="2">
        <f t="shared" si="22"/>
        <v>509863.29</v>
      </c>
      <c r="CQ40" s="2">
        <f>ROUND(AL40*BC40,2)</f>
        <v>12435.69</v>
      </c>
      <c r="CR40" s="2">
        <f>ROUND(AM40*BB40,2)</f>
        <v>0</v>
      </c>
      <c r="CS40" s="2">
        <f>ROUND(AN40*BS40,2)</f>
        <v>0</v>
      </c>
      <c r="CT40" s="2">
        <f>ROUND(AO40*BA40,2)</f>
        <v>0</v>
      </c>
      <c r="CU40" s="2">
        <f t="shared" si="23"/>
        <v>0</v>
      </c>
      <c r="CV40" s="2">
        <f>AH40</f>
        <v>0</v>
      </c>
      <c r="CW40" s="2">
        <f>AI40</f>
        <v>0</v>
      </c>
      <c r="CX40" s="2">
        <f t="shared" si="24"/>
        <v>0</v>
      </c>
      <c r="CY40" s="2">
        <f t="shared" si="25"/>
        <v>0</v>
      </c>
      <c r="CZ40" s="2">
        <f t="shared" si="26"/>
        <v>0</v>
      </c>
      <c r="DA40" s="2"/>
      <c r="DB40" s="2"/>
      <c r="DC40" s="2" t="s">
        <v>3</v>
      </c>
      <c r="DD40" s="2" t="s">
        <v>3</v>
      </c>
      <c r="DE40" s="2" t="s">
        <v>3</v>
      </c>
      <c r="DF40" s="2" t="s">
        <v>3</v>
      </c>
      <c r="DG40" s="2" t="s">
        <v>3</v>
      </c>
      <c r="DH40" s="2" t="s">
        <v>3</v>
      </c>
      <c r="DI40" s="2" t="s">
        <v>3</v>
      </c>
      <c r="DJ40" s="2" t="s">
        <v>3</v>
      </c>
      <c r="DK40" s="2" t="s">
        <v>3</v>
      </c>
      <c r="DL40" s="2" t="s">
        <v>3</v>
      </c>
      <c r="DM40" s="2" t="s">
        <v>3</v>
      </c>
      <c r="DN40" s="2">
        <v>0</v>
      </c>
      <c r="DO40" s="2">
        <v>0</v>
      </c>
      <c r="DP40" s="2">
        <v>1</v>
      </c>
      <c r="DQ40" s="2">
        <v>1</v>
      </c>
      <c r="DR40" s="2"/>
      <c r="DS40" s="2"/>
      <c r="DT40" s="2"/>
      <c r="DU40" s="2">
        <v>1003</v>
      </c>
      <c r="DV40" s="2" t="s">
        <v>113</v>
      </c>
      <c r="DW40" s="2" t="s">
        <v>113</v>
      </c>
      <c r="DX40" s="2">
        <v>1</v>
      </c>
      <c r="DY40" s="2"/>
      <c r="DZ40" s="2" t="s">
        <v>3</v>
      </c>
      <c r="EA40" s="2" t="s">
        <v>3</v>
      </c>
      <c r="EB40" s="2" t="s">
        <v>3</v>
      </c>
      <c r="EC40" s="2" t="s">
        <v>3</v>
      </c>
      <c r="ED40" s="2"/>
      <c r="EE40" s="2">
        <v>54458877</v>
      </c>
      <c r="EF40" s="2">
        <v>2</v>
      </c>
      <c r="EG40" s="2" t="s">
        <v>35</v>
      </c>
      <c r="EH40" s="2">
        <v>7</v>
      </c>
      <c r="EI40" s="2" t="s">
        <v>102</v>
      </c>
      <c r="EJ40" s="2">
        <v>1</v>
      </c>
      <c r="EK40" s="2">
        <v>7005</v>
      </c>
      <c r="EL40" s="2" t="s">
        <v>103</v>
      </c>
      <c r="EM40" s="2" t="s">
        <v>104</v>
      </c>
      <c r="EN40" s="2"/>
      <c r="EO40" s="2" t="s">
        <v>3</v>
      </c>
      <c r="EP40" s="2"/>
      <c r="EQ40" s="2">
        <v>0</v>
      </c>
      <c r="ER40" s="2">
        <v>9143.89</v>
      </c>
      <c r="ES40" s="2">
        <v>9143.89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>
        <v>0</v>
      </c>
      <c r="FR40" s="2">
        <v>0</v>
      </c>
      <c r="FS40" s="2">
        <v>0</v>
      </c>
      <c r="FT40" s="2"/>
      <c r="FU40" s="2"/>
      <c r="FV40" s="2"/>
      <c r="FW40" s="2"/>
      <c r="FX40" s="2">
        <v>116</v>
      </c>
      <c r="FY40" s="2">
        <v>80</v>
      </c>
      <c r="FZ40" s="2"/>
      <c r="GA40" s="2" t="s">
        <v>3</v>
      </c>
      <c r="GB40" s="2"/>
      <c r="GC40" s="2"/>
      <c r="GD40" s="2">
        <v>1</v>
      </c>
      <c r="GE40" s="2"/>
      <c r="GF40" s="2">
        <v>1071340681</v>
      </c>
      <c r="GG40" s="2">
        <v>2</v>
      </c>
      <c r="GH40" s="2">
        <v>1</v>
      </c>
      <c r="GI40" s="2">
        <v>2</v>
      </c>
      <c r="GJ40" s="2">
        <v>0</v>
      </c>
      <c r="GK40" s="2">
        <v>0</v>
      </c>
      <c r="GL40" s="2">
        <f t="shared" si="27"/>
        <v>0</v>
      </c>
      <c r="GM40" s="2">
        <f t="shared" si="28"/>
        <v>509863.29</v>
      </c>
      <c r="GN40" s="2">
        <f t="shared" si="29"/>
        <v>509863.29</v>
      </c>
      <c r="GO40" s="2">
        <f t="shared" si="30"/>
        <v>0</v>
      </c>
      <c r="GP40" s="2">
        <f t="shared" si="31"/>
        <v>0</v>
      </c>
      <c r="GQ40" s="2"/>
      <c r="GR40" s="2">
        <v>0</v>
      </c>
      <c r="GS40" s="2">
        <v>3</v>
      </c>
      <c r="GT40" s="2">
        <v>0</v>
      </c>
      <c r="GU40" s="2" t="s">
        <v>3</v>
      </c>
      <c r="GV40" s="2">
        <f t="shared" si="32"/>
        <v>0</v>
      </c>
      <c r="GW40" s="2">
        <v>1</v>
      </c>
      <c r="GX40" s="2">
        <f t="shared" si="33"/>
        <v>0</v>
      </c>
      <c r="GY40" s="2"/>
      <c r="GZ40" s="2"/>
      <c r="HA40" s="2">
        <v>0</v>
      </c>
      <c r="HB40" s="2">
        <v>0</v>
      </c>
      <c r="HC40" s="2">
        <f t="shared" si="34"/>
        <v>0</v>
      </c>
      <c r="HD40" s="2"/>
      <c r="HE40" s="2" t="s">
        <v>3</v>
      </c>
      <c r="HF40" s="2" t="s">
        <v>3</v>
      </c>
      <c r="HG40" s="2"/>
      <c r="HH40" s="2"/>
      <c r="HI40" s="2"/>
      <c r="HJ40" s="2"/>
      <c r="HK40" s="2"/>
      <c r="HL40" s="2"/>
      <c r="HM40" s="2" t="s">
        <v>3</v>
      </c>
      <c r="HN40" s="2" t="s">
        <v>106</v>
      </c>
      <c r="HO40" s="2" t="s">
        <v>107</v>
      </c>
      <c r="HP40" s="2" t="s">
        <v>103</v>
      </c>
      <c r="HQ40" s="2" t="s">
        <v>103</v>
      </c>
      <c r="HR40" s="2"/>
      <c r="HS40" s="2">
        <v>0</v>
      </c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>
        <v>0</v>
      </c>
      <c r="IL40" s="2"/>
      <c r="IM40" s="2"/>
      <c r="IN40" s="2"/>
      <c r="IO40" s="2"/>
      <c r="IP40" s="2"/>
      <c r="IQ40" s="2"/>
      <c r="IR40" s="2"/>
      <c r="IS40" s="2"/>
      <c r="IT40" s="2"/>
      <c r="IU40" s="2"/>
    </row>
    <row r="41" spans="1:255" ht="13.15" customHeight="1" x14ac:dyDescent="0.2">
      <c r="A41" s="2">
        <v>17</v>
      </c>
      <c r="B41" s="2">
        <v>1</v>
      </c>
      <c r="C41" s="2">
        <f>ROW(SmtRes!A61)</f>
        <v>61</v>
      </c>
      <c r="D41" s="2">
        <f>ROW(EtalonRes!A62)</f>
        <v>62</v>
      </c>
      <c r="E41" s="2" t="s">
        <v>115</v>
      </c>
      <c r="F41" s="2" t="s">
        <v>116</v>
      </c>
      <c r="G41" s="87" t="s">
        <v>117</v>
      </c>
      <c r="H41" s="87" t="s">
        <v>118</v>
      </c>
      <c r="I41" s="87">
        <f>ROUND(1/10,7)</f>
        <v>0.1</v>
      </c>
      <c r="J41" s="2">
        <v>0</v>
      </c>
      <c r="K41" s="2">
        <f>ROUND(1/10,7)</f>
        <v>0.1</v>
      </c>
      <c r="L41" s="2"/>
      <c r="M41" s="2"/>
      <c r="N41" s="2"/>
      <c r="O41" s="2">
        <f t="shared" si="14"/>
        <v>194.32</v>
      </c>
      <c r="P41" s="2">
        <f>SUMIF(SmtRes!AQ55:'SmtRes'!AQ61,"=1",SmtRes!DF55:'SmtRes'!DF61)</f>
        <v>9.57</v>
      </c>
      <c r="Q41" s="2">
        <f>SUMIF(SmtRes!AQ55:'SmtRes'!AQ61,"=1",SmtRes!DG55:'SmtRes'!DG61)</f>
        <v>0.9</v>
      </c>
      <c r="R41" s="2">
        <f>SUMIF(SmtRes!AQ55:'SmtRes'!AQ61,"=1",SmtRes!DH55:'SmtRes'!DH61)</f>
        <v>0.35</v>
      </c>
      <c r="S41" s="2">
        <f>SUMIF(SmtRes!AQ55:'SmtRes'!AQ61,"=1",SmtRes!DI55:'SmtRes'!DI61)</f>
        <v>183.5</v>
      </c>
      <c r="T41" s="2">
        <f t="shared" si="15"/>
        <v>0</v>
      </c>
      <c r="U41" s="2">
        <f>SUMIF(SmtRes!AQ55:'SmtRes'!AQ61,"=1",SmtRes!CV55:'SmtRes'!CV61)</f>
        <v>0.4531</v>
      </c>
      <c r="V41" s="2">
        <f>SUMIF(SmtRes!AQ55:'SmtRes'!AQ61,"=1",SmtRes!CW55:'SmtRes'!CW61)</f>
        <v>7.5000000000000002E-4</v>
      </c>
      <c r="W41" s="2">
        <f t="shared" si="16"/>
        <v>0</v>
      </c>
      <c r="X41" s="2">
        <f t="shared" si="17"/>
        <v>178.7</v>
      </c>
      <c r="Y41" s="2">
        <f t="shared" si="18"/>
        <v>85.95</v>
      </c>
      <c r="Z41" s="2"/>
      <c r="AA41" s="2">
        <v>55858619</v>
      </c>
      <c r="AB41" s="2">
        <f t="shared" si="19"/>
        <v>1906.5986399999999</v>
      </c>
      <c r="AC41" s="2">
        <f>ROUND((SUM(SmtRes!BQ55:'SmtRes'!BQ61)),6)</f>
        <v>62.586399999999998</v>
      </c>
      <c r="AD41" s="2">
        <f>ROUND((((SUM(SmtRes!BR55:'SmtRes'!BR61))-(SUM(SmtRes!BS55:'SmtRes'!BS61)))+AE41),6)</f>
        <v>9.0025499999999994</v>
      </c>
      <c r="AE41" s="2">
        <f>ROUND((SUM(SmtRes!BS55:'SmtRes'!BS61)),6)</f>
        <v>3.5587499999999999</v>
      </c>
      <c r="AF41" s="2">
        <f>ROUND((SUM(SmtRes!BT55:'SmtRes'!BT61)),6)</f>
        <v>1835.0096900000001</v>
      </c>
      <c r="AG41" s="2">
        <f t="shared" si="20"/>
        <v>0</v>
      </c>
      <c r="AH41" s="2">
        <f>(SUM(SmtRes!BU55:'SmtRes'!BU61))</f>
        <v>4.5309999999999997</v>
      </c>
      <c r="AI41" s="2">
        <f>(SUM(SmtRes!BV55:'SmtRes'!BV61))</f>
        <v>7.4999999999999997E-3</v>
      </c>
      <c r="AJ41" s="2">
        <f t="shared" si="21"/>
        <v>0</v>
      </c>
      <c r="AK41" s="2">
        <v>1668.2960399999999</v>
      </c>
      <c r="AL41" s="2">
        <v>62.586399999999998</v>
      </c>
      <c r="AM41" s="2">
        <v>7.2020400000000002</v>
      </c>
      <c r="AN41" s="2">
        <v>2.8470000000000004</v>
      </c>
      <c r="AO41" s="2">
        <v>1595.6605999999999</v>
      </c>
      <c r="AP41" s="2">
        <v>0</v>
      </c>
      <c r="AQ41" s="2">
        <v>3.94</v>
      </c>
      <c r="AR41" s="2">
        <v>6.0000000000000001E-3</v>
      </c>
      <c r="AS41" s="2">
        <v>0</v>
      </c>
      <c r="AT41" s="2">
        <v>97.2</v>
      </c>
      <c r="AU41" s="2">
        <v>46.75</v>
      </c>
      <c r="AV41" s="2">
        <v>1</v>
      </c>
      <c r="AW41" s="2">
        <v>1</v>
      </c>
      <c r="AX41" s="2"/>
      <c r="AY41" s="2"/>
      <c r="AZ41" s="2">
        <v>1</v>
      </c>
      <c r="BA41" s="2">
        <v>1</v>
      </c>
      <c r="BB41" s="2">
        <v>1</v>
      </c>
      <c r="BC41" s="2">
        <v>1</v>
      </c>
      <c r="BD41" s="2" t="s">
        <v>3</v>
      </c>
      <c r="BE41" s="2" t="s">
        <v>3</v>
      </c>
      <c r="BF41" s="2" t="s">
        <v>3</v>
      </c>
      <c r="BG41" s="2" t="s">
        <v>3</v>
      </c>
      <c r="BH41" s="2">
        <v>0</v>
      </c>
      <c r="BI41" s="2">
        <v>1</v>
      </c>
      <c r="BJ41" s="2" t="s">
        <v>119</v>
      </c>
      <c r="BK41" s="2"/>
      <c r="BL41" s="2"/>
      <c r="BM41" s="2">
        <v>10001</v>
      </c>
      <c r="BN41" s="2">
        <v>0</v>
      </c>
      <c r="BO41" s="2" t="s">
        <v>3</v>
      </c>
      <c r="BP41" s="2">
        <v>0</v>
      </c>
      <c r="BQ41" s="2">
        <v>2</v>
      </c>
      <c r="BR41" s="2">
        <v>0</v>
      </c>
      <c r="BS41" s="2">
        <v>1</v>
      </c>
      <c r="BT41" s="2">
        <v>1</v>
      </c>
      <c r="BU41" s="2">
        <v>1</v>
      </c>
      <c r="BV41" s="2">
        <v>1</v>
      </c>
      <c r="BW41" s="2">
        <v>1</v>
      </c>
      <c r="BX41" s="2">
        <v>1</v>
      </c>
      <c r="BY41" s="2" t="s">
        <v>3</v>
      </c>
      <c r="BZ41" s="2">
        <v>108</v>
      </c>
      <c r="CA41" s="2">
        <v>55</v>
      </c>
      <c r="CB41" s="2" t="s">
        <v>3</v>
      </c>
      <c r="CC41" s="2"/>
      <c r="CD41" s="2"/>
      <c r="CE41" s="2">
        <v>0</v>
      </c>
      <c r="CF41" s="2">
        <v>0</v>
      </c>
      <c r="CG41" s="2">
        <v>0</v>
      </c>
      <c r="CH41" s="2"/>
      <c r="CI41" s="2"/>
      <c r="CJ41" s="2"/>
      <c r="CK41" s="2"/>
      <c r="CL41" s="2"/>
      <c r="CM41" s="2">
        <v>0</v>
      </c>
      <c r="CN41" s="7" t="s">
        <v>481</v>
      </c>
      <c r="CO41" s="2">
        <v>0</v>
      </c>
      <c r="CP41" s="2">
        <f t="shared" si="22"/>
        <v>194.32</v>
      </c>
      <c r="CQ41" s="2">
        <f>SUMIF(SmtRes!AQ55:'SmtRes'!AQ61,"=1",SmtRes!AA55:'SmtRes'!AA61)</f>
        <v>96.919999999999987</v>
      </c>
      <c r="CR41" s="2">
        <f>SUMIF(SmtRes!AQ55:'SmtRes'!AQ61,"=1",SmtRes!AB55:'SmtRes'!AB61)</f>
        <v>2400.6800000000003</v>
      </c>
      <c r="CS41" s="2">
        <f>SUMIF(SmtRes!AQ55:'SmtRes'!AQ61,"=1",SmtRes!AC55:'SmtRes'!AC61)</f>
        <v>949</v>
      </c>
      <c r="CT41" s="2">
        <f>SUMIF(SmtRes!AQ55:'SmtRes'!AQ61,"=1",SmtRes!AD55:'SmtRes'!AD61)</f>
        <v>404.99</v>
      </c>
      <c r="CU41" s="2">
        <f t="shared" si="23"/>
        <v>0</v>
      </c>
      <c r="CV41" s="2">
        <f>SUMIF(SmtRes!AQ55:'SmtRes'!AQ61,"=1",SmtRes!BU55:'SmtRes'!BU61)</f>
        <v>4.5309999999999997</v>
      </c>
      <c r="CW41" s="2">
        <f>SUMIF(SmtRes!AQ55:'SmtRes'!AQ61,"=1",SmtRes!BV55:'SmtRes'!BV61)</f>
        <v>7.4999999999999997E-3</v>
      </c>
      <c r="CX41" s="2">
        <f t="shared" si="24"/>
        <v>0</v>
      </c>
      <c r="CY41" s="2">
        <f t="shared" si="25"/>
        <v>178.7022</v>
      </c>
      <c r="CZ41" s="2">
        <f t="shared" si="26"/>
        <v>85.949874999999992</v>
      </c>
      <c r="DA41" s="2"/>
      <c r="DB41" s="2">
        <v>6</v>
      </c>
      <c r="DC41" s="2" t="s">
        <v>3</v>
      </c>
      <c r="DD41" s="2" t="s">
        <v>3</v>
      </c>
      <c r="DE41" s="2" t="s">
        <v>46</v>
      </c>
      <c r="DF41" s="2" t="s">
        <v>46</v>
      </c>
      <c r="DG41" s="2" t="s">
        <v>47</v>
      </c>
      <c r="DH41" s="2" t="s">
        <v>3</v>
      </c>
      <c r="DI41" s="2" t="s">
        <v>47</v>
      </c>
      <c r="DJ41" s="2" t="s">
        <v>46</v>
      </c>
      <c r="DK41" s="2" t="s">
        <v>3</v>
      </c>
      <c r="DL41" s="2" t="s">
        <v>48</v>
      </c>
      <c r="DM41" s="2" t="s">
        <v>49</v>
      </c>
      <c r="DN41" s="2">
        <v>0</v>
      </c>
      <c r="DO41" s="2">
        <v>0</v>
      </c>
      <c r="DP41" s="2">
        <v>1</v>
      </c>
      <c r="DQ41" s="2">
        <v>1</v>
      </c>
      <c r="DR41" s="2"/>
      <c r="DS41" s="2"/>
      <c r="DT41" s="2"/>
      <c r="DU41" s="2">
        <v>1013</v>
      </c>
      <c r="DV41" s="2" t="s">
        <v>118</v>
      </c>
      <c r="DW41" s="2" t="s">
        <v>118</v>
      </c>
      <c r="DX41" s="2">
        <v>1</v>
      </c>
      <c r="DY41" s="2"/>
      <c r="DZ41" s="2" t="s">
        <v>3</v>
      </c>
      <c r="EA41" s="2" t="s">
        <v>3</v>
      </c>
      <c r="EB41" s="2" t="s">
        <v>3</v>
      </c>
      <c r="EC41" s="2" t="s">
        <v>3</v>
      </c>
      <c r="ED41" s="2"/>
      <c r="EE41" s="2">
        <v>54458925</v>
      </c>
      <c r="EF41" s="2">
        <v>2</v>
      </c>
      <c r="EG41" s="2" t="s">
        <v>35</v>
      </c>
      <c r="EH41" s="2">
        <v>10</v>
      </c>
      <c r="EI41" s="2" t="s">
        <v>120</v>
      </c>
      <c r="EJ41" s="2">
        <v>1</v>
      </c>
      <c r="EK41" s="2">
        <v>10001</v>
      </c>
      <c r="EL41" s="2" t="s">
        <v>120</v>
      </c>
      <c r="EM41" s="2" t="s">
        <v>121</v>
      </c>
      <c r="EN41" s="2"/>
      <c r="EO41" s="2" t="s">
        <v>52</v>
      </c>
      <c r="EP41" s="2"/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3.94</v>
      </c>
      <c r="EX41" s="2">
        <v>0.01</v>
      </c>
      <c r="EY41" s="2">
        <v>0</v>
      </c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>
        <v>0</v>
      </c>
      <c r="FR41" s="2">
        <v>0</v>
      </c>
      <c r="FS41" s="2">
        <v>0</v>
      </c>
      <c r="FT41" s="2"/>
      <c r="FU41" s="2"/>
      <c r="FV41" s="2"/>
      <c r="FW41" s="2"/>
      <c r="FX41" s="2">
        <v>97.2</v>
      </c>
      <c r="FY41" s="2">
        <v>46.75</v>
      </c>
      <c r="FZ41" s="2"/>
      <c r="GA41" s="2" t="s">
        <v>3</v>
      </c>
      <c r="GB41" s="2"/>
      <c r="GC41" s="2"/>
      <c r="GD41" s="2">
        <v>1</v>
      </c>
      <c r="GE41" s="2"/>
      <c r="GF41" s="2">
        <v>-161799564</v>
      </c>
      <c r="GG41" s="2">
        <v>2</v>
      </c>
      <c r="GH41" s="2">
        <v>1</v>
      </c>
      <c r="GI41" s="2">
        <v>-2</v>
      </c>
      <c r="GJ41" s="2">
        <v>0</v>
      </c>
      <c r="GK41" s="2">
        <v>0</v>
      </c>
      <c r="GL41" s="2">
        <f t="shared" si="27"/>
        <v>0</v>
      </c>
      <c r="GM41" s="2">
        <f t="shared" si="28"/>
        <v>458.97</v>
      </c>
      <c r="GN41" s="2">
        <f t="shared" si="29"/>
        <v>458.97</v>
      </c>
      <c r="GO41" s="2">
        <f t="shared" si="30"/>
        <v>0</v>
      </c>
      <c r="GP41" s="2">
        <f t="shared" si="31"/>
        <v>0</v>
      </c>
      <c r="GQ41" s="2"/>
      <c r="GR41" s="2">
        <v>0</v>
      </c>
      <c r="GS41" s="2">
        <v>0</v>
      </c>
      <c r="GT41" s="2">
        <v>0</v>
      </c>
      <c r="GU41" s="2" t="s">
        <v>3</v>
      </c>
      <c r="GV41" s="2">
        <f t="shared" si="32"/>
        <v>0</v>
      </c>
      <c r="GW41" s="2">
        <v>1</v>
      </c>
      <c r="GX41" s="2">
        <f t="shared" si="33"/>
        <v>0</v>
      </c>
      <c r="GY41" s="2"/>
      <c r="GZ41" s="2"/>
      <c r="HA41" s="2">
        <v>0</v>
      </c>
      <c r="HB41" s="2">
        <v>0</v>
      </c>
      <c r="HC41" s="2">
        <f t="shared" si="34"/>
        <v>0</v>
      </c>
      <c r="HD41" s="2"/>
      <c r="HE41" s="2" t="s">
        <v>3</v>
      </c>
      <c r="HF41" s="2" t="s">
        <v>3</v>
      </c>
      <c r="HG41" s="2"/>
      <c r="HH41" s="2"/>
      <c r="HI41" s="2"/>
      <c r="HJ41" s="2"/>
      <c r="HK41" s="2"/>
      <c r="HL41" s="2"/>
      <c r="HM41" s="2" t="s">
        <v>3</v>
      </c>
      <c r="HN41" s="2" t="s">
        <v>122</v>
      </c>
      <c r="HO41" s="2" t="s">
        <v>123</v>
      </c>
      <c r="HP41" s="2" t="s">
        <v>120</v>
      </c>
      <c r="HQ41" s="2" t="s">
        <v>120</v>
      </c>
      <c r="HR41" s="2"/>
      <c r="HS41" s="2">
        <v>0</v>
      </c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>
        <v>0</v>
      </c>
      <c r="IL41" s="2"/>
      <c r="IM41" s="2"/>
      <c r="IN41" s="2"/>
      <c r="IO41" s="2"/>
      <c r="IP41" s="2"/>
      <c r="IQ41" s="2"/>
      <c r="IR41" s="2"/>
      <c r="IS41" s="2"/>
      <c r="IT41" s="2"/>
      <c r="IU41" s="2"/>
    </row>
    <row r="42" spans="1:255" ht="13.15" customHeight="1" x14ac:dyDescent="0.2">
      <c r="A42" s="2">
        <v>18</v>
      </c>
      <c r="B42" s="2">
        <v>1</v>
      </c>
      <c r="C42" s="2">
        <v>60</v>
      </c>
      <c r="D42" s="2"/>
      <c r="E42" s="2" t="s">
        <v>124</v>
      </c>
      <c r="F42" s="2" t="s">
        <v>125</v>
      </c>
      <c r="G42" s="87" t="s">
        <v>126</v>
      </c>
      <c r="H42" s="87" t="s">
        <v>127</v>
      </c>
      <c r="I42" s="87">
        <f>I41*J42</f>
        <v>1</v>
      </c>
      <c r="J42" s="2">
        <v>10</v>
      </c>
      <c r="K42" s="2">
        <v>10</v>
      </c>
      <c r="L42" s="2"/>
      <c r="M42" s="2"/>
      <c r="N42" s="2"/>
      <c r="O42" s="2">
        <f t="shared" si="14"/>
        <v>738.73</v>
      </c>
      <c r="P42" s="2">
        <f>ROUND(CQ42*I42,2)</f>
        <v>738.73</v>
      </c>
      <c r="Q42" s="2">
        <f>ROUND(CR42*I42,2)</f>
        <v>0</v>
      </c>
      <c r="R42" s="2">
        <f>ROUND(CS42*I42,2)</f>
        <v>0</v>
      </c>
      <c r="S42" s="2">
        <f>ROUND(CT42*I42,2)</f>
        <v>0</v>
      </c>
      <c r="T42" s="2">
        <f t="shared" si="15"/>
        <v>0</v>
      </c>
      <c r="U42" s="2">
        <f>ROUND(CV42*I42,7)</f>
        <v>0</v>
      </c>
      <c r="V42" s="2">
        <f>ROUND(CW42*I42,7)</f>
        <v>0</v>
      </c>
      <c r="W42" s="2">
        <f t="shared" si="16"/>
        <v>0</v>
      </c>
      <c r="X42" s="2">
        <f t="shared" si="17"/>
        <v>0</v>
      </c>
      <c r="Y42" s="2">
        <f t="shared" si="18"/>
        <v>0</v>
      </c>
      <c r="Z42" s="2"/>
      <c r="AA42" s="2">
        <v>55858619</v>
      </c>
      <c r="AB42" s="2">
        <f t="shared" si="19"/>
        <v>636.84</v>
      </c>
      <c r="AC42" s="2">
        <f>ROUND((ES42),6)</f>
        <v>636.84</v>
      </c>
      <c r="AD42" s="2">
        <f>ROUND((((ET42)-(EU42))+AE42),6)</f>
        <v>0</v>
      </c>
      <c r="AE42" s="2">
        <f>ROUND((EU42),6)</f>
        <v>0</v>
      </c>
      <c r="AF42" s="2">
        <f>ROUND((EV42),6)</f>
        <v>0</v>
      </c>
      <c r="AG42" s="2">
        <f t="shared" si="20"/>
        <v>0</v>
      </c>
      <c r="AH42" s="2">
        <f>(EW42)</f>
        <v>0</v>
      </c>
      <c r="AI42" s="2">
        <f>(EX42)</f>
        <v>0</v>
      </c>
      <c r="AJ42" s="2">
        <f t="shared" si="21"/>
        <v>0</v>
      </c>
      <c r="AK42" s="2">
        <v>636.84</v>
      </c>
      <c r="AL42" s="2">
        <v>636.84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108</v>
      </c>
      <c r="AU42" s="2">
        <v>55</v>
      </c>
      <c r="AV42" s="2">
        <v>1</v>
      </c>
      <c r="AW42" s="2">
        <v>1</v>
      </c>
      <c r="AX42" s="2"/>
      <c r="AY42" s="2"/>
      <c r="AZ42" s="2">
        <v>1</v>
      </c>
      <c r="BA42" s="2">
        <v>1</v>
      </c>
      <c r="BB42" s="2">
        <v>1</v>
      </c>
      <c r="BC42" s="2">
        <v>1.1599999999999999</v>
      </c>
      <c r="BD42" s="2" t="s">
        <v>3</v>
      </c>
      <c r="BE42" s="2" t="s">
        <v>3</v>
      </c>
      <c r="BF42" s="2" t="s">
        <v>3</v>
      </c>
      <c r="BG42" s="2" t="s">
        <v>3</v>
      </c>
      <c r="BH42" s="2">
        <v>3</v>
      </c>
      <c r="BI42" s="2">
        <v>1</v>
      </c>
      <c r="BJ42" s="2" t="s">
        <v>128</v>
      </c>
      <c r="BK42" s="2"/>
      <c r="BL42" s="2"/>
      <c r="BM42" s="2">
        <v>10001</v>
      </c>
      <c r="BN42" s="2">
        <v>0</v>
      </c>
      <c r="BO42" s="2" t="s">
        <v>125</v>
      </c>
      <c r="BP42" s="2">
        <v>1</v>
      </c>
      <c r="BQ42" s="2">
        <v>2</v>
      </c>
      <c r="BR42" s="2">
        <v>0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 t="s">
        <v>3</v>
      </c>
      <c r="BZ42" s="2">
        <v>108</v>
      </c>
      <c r="CA42" s="2">
        <v>55</v>
      </c>
      <c r="CB42" s="2" t="s">
        <v>3</v>
      </c>
      <c r="CC42" s="2"/>
      <c r="CD42" s="2"/>
      <c r="CE42" s="2">
        <v>0</v>
      </c>
      <c r="CF42" s="2">
        <v>0</v>
      </c>
      <c r="CG42" s="2">
        <v>0</v>
      </c>
      <c r="CH42" s="2"/>
      <c r="CI42" s="2"/>
      <c r="CJ42" s="2"/>
      <c r="CK42" s="2"/>
      <c r="CL42" s="2"/>
      <c r="CM42" s="2">
        <v>0</v>
      </c>
      <c r="CN42" s="2" t="s">
        <v>3</v>
      </c>
      <c r="CO42" s="2">
        <v>0</v>
      </c>
      <c r="CP42" s="2">
        <f t="shared" si="22"/>
        <v>738.73</v>
      </c>
      <c r="CQ42" s="2">
        <f>ROUND(AL42*BC42,2)</f>
        <v>738.73</v>
      </c>
      <c r="CR42" s="2">
        <f>ROUND(AM42*BB42,2)</f>
        <v>0</v>
      </c>
      <c r="CS42" s="2">
        <f>ROUND(AN42*BS42,2)</f>
        <v>0</v>
      </c>
      <c r="CT42" s="2">
        <f>ROUND(AO42*BA42,2)</f>
        <v>0</v>
      </c>
      <c r="CU42" s="2">
        <f t="shared" si="23"/>
        <v>0</v>
      </c>
      <c r="CV42" s="2">
        <f>AH42</f>
        <v>0</v>
      </c>
      <c r="CW42" s="2">
        <f>AI42</f>
        <v>0</v>
      </c>
      <c r="CX42" s="2">
        <f t="shared" si="24"/>
        <v>0</v>
      </c>
      <c r="CY42" s="2">
        <f t="shared" si="25"/>
        <v>0</v>
      </c>
      <c r="CZ42" s="2">
        <f t="shared" si="26"/>
        <v>0</v>
      </c>
      <c r="DA42" s="2"/>
      <c r="DB42" s="2"/>
      <c r="DC42" s="2" t="s">
        <v>3</v>
      </c>
      <c r="DD42" s="2" t="s">
        <v>3</v>
      </c>
      <c r="DE42" s="2" t="s">
        <v>3</v>
      </c>
      <c r="DF42" s="2" t="s">
        <v>3</v>
      </c>
      <c r="DG42" s="2" t="s">
        <v>3</v>
      </c>
      <c r="DH42" s="2" t="s">
        <v>3</v>
      </c>
      <c r="DI42" s="2" t="s">
        <v>3</v>
      </c>
      <c r="DJ42" s="2" t="s">
        <v>3</v>
      </c>
      <c r="DK42" s="2" t="s">
        <v>3</v>
      </c>
      <c r="DL42" s="2" t="s">
        <v>3</v>
      </c>
      <c r="DM42" s="2" t="s">
        <v>3</v>
      </c>
      <c r="DN42" s="2">
        <v>0</v>
      </c>
      <c r="DO42" s="2">
        <v>0</v>
      </c>
      <c r="DP42" s="2">
        <v>1</v>
      </c>
      <c r="DQ42" s="2">
        <v>1</v>
      </c>
      <c r="DR42" s="2"/>
      <c r="DS42" s="2"/>
      <c r="DT42" s="2"/>
      <c r="DU42" s="2">
        <v>1013</v>
      </c>
      <c r="DV42" s="2" t="s">
        <v>127</v>
      </c>
      <c r="DW42" s="2" t="s">
        <v>127</v>
      </c>
      <c r="DX42" s="2">
        <v>1</v>
      </c>
      <c r="DY42" s="2"/>
      <c r="DZ42" s="2" t="s">
        <v>3</v>
      </c>
      <c r="EA42" s="2" t="s">
        <v>3</v>
      </c>
      <c r="EB42" s="2" t="s">
        <v>3</v>
      </c>
      <c r="EC42" s="2" t="s">
        <v>3</v>
      </c>
      <c r="ED42" s="2"/>
      <c r="EE42" s="2">
        <v>54458925</v>
      </c>
      <c r="EF42" s="2">
        <v>2</v>
      </c>
      <c r="EG42" s="2" t="s">
        <v>35</v>
      </c>
      <c r="EH42" s="2">
        <v>10</v>
      </c>
      <c r="EI42" s="2" t="s">
        <v>120</v>
      </c>
      <c r="EJ42" s="2">
        <v>1</v>
      </c>
      <c r="EK42" s="2">
        <v>10001</v>
      </c>
      <c r="EL42" s="2" t="s">
        <v>120</v>
      </c>
      <c r="EM42" s="2" t="s">
        <v>121</v>
      </c>
      <c r="EN42" s="2"/>
      <c r="EO42" s="2" t="s">
        <v>3</v>
      </c>
      <c r="EP42" s="2"/>
      <c r="EQ42" s="2">
        <v>0</v>
      </c>
      <c r="ER42" s="2">
        <v>636.84</v>
      </c>
      <c r="ES42" s="2">
        <v>636.84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>
        <v>0</v>
      </c>
      <c r="FR42" s="2">
        <v>0</v>
      </c>
      <c r="FS42" s="2">
        <v>0</v>
      </c>
      <c r="FT42" s="2"/>
      <c r="FU42" s="2"/>
      <c r="FV42" s="2"/>
      <c r="FW42" s="2"/>
      <c r="FX42" s="2">
        <v>108</v>
      </c>
      <c r="FY42" s="2">
        <v>55</v>
      </c>
      <c r="FZ42" s="2"/>
      <c r="GA42" s="2" t="s">
        <v>3</v>
      </c>
      <c r="GB42" s="2"/>
      <c r="GC42" s="2"/>
      <c r="GD42" s="2">
        <v>1</v>
      </c>
      <c r="GE42" s="2"/>
      <c r="GF42" s="2">
        <v>-2028331373</v>
      </c>
      <c r="GG42" s="2">
        <v>2</v>
      </c>
      <c r="GH42" s="2">
        <v>1</v>
      </c>
      <c r="GI42" s="2">
        <v>2</v>
      </c>
      <c r="GJ42" s="2">
        <v>0</v>
      </c>
      <c r="GK42" s="2">
        <v>0</v>
      </c>
      <c r="GL42" s="2">
        <f t="shared" si="27"/>
        <v>0</v>
      </c>
      <c r="GM42" s="2">
        <f t="shared" si="28"/>
        <v>738.73</v>
      </c>
      <c r="GN42" s="2">
        <f t="shared" si="29"/>
        <v>738.73</v>
      </c>
      <c r="GO42" s="2">
        <f t="shared" si="30"/>
        <v>0</v>
      </c>
      <c r="GP42" s="2">
        <f t="shared" si="31"/>
        <v>0</v>
      </c>
      <c r="GQ42" s="2"/>
      <c r="GR42" s="2">
        <v>0</v>
      </c>
      <c r="GS42" s="2">
        <v>0</v>
      </c>
      <c r="GT42" s="2">
        <v>0</v>
      </c>
      <c r="GU42" s="2" t="s">
        <v>3</v>
      </c>
      <c r="GV42" s="2">
        <f t="shared" si="32"/>
        <v>0</v>
      </c>
      <c r="GW42" s="2">
        <v>1</v>
      </c>
      <c r="GX42" s="2">
        <f t="shared" si="33"/>
        <v>0</v>
      </c>
      <c r="GY42" s="2"/>
      <c r="GZ42" s="2"/>
      <c r="HA42" s="2">
        <v>0</v>
      </c>
      <c r="HB42" s="2">
        <v>0</v>
      </c>
      <c r="HC42" s="2">
        <f t="shared" si="34"/>
        <v>0</v>
      </c>
      <c r="HD42" s="2"/>
      <c r="HE42" s="2" t="s">
        <v>3</v>
      </c>
      <c r="HF42" s="2" t="s">
        <v>3</v>
      </c>
      <c r="HG42" s="2"/>
      <c r="HH42" s="2"/>
      <c r="HI42" s="2"/>
      <c r="HJ42" s="2"/>
      <c r="HK42" s="2"/>
      <c r="HL42" s="2"/>
      <c r="HM42" s="2" t="s">
        <v>3</v>
      </c>
      <c r="HN42" s="2" t="s">
        <v>122</v>
      </c>
      <c r="HO42" s="2" t="s">
        <v>123</v>
      </c>
      <c r="HP42" s="2" t="s">
        <v>120</v>
      </c>
      <c r="HQ42" s="2" t="s">
        <v>120</v>
      </c>
      <c r="HR42" s="2"/>
      <c r="HS42" s="2">
        <v>0</v>
      </c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>
        <v>0</v>
      </c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ht="13.15" customHeight="1" x14ac:dyDescent="0.2">
      <c r="A43" s="2">
        <v>17</v>
      </c>
      <c r="B43" s="2">
        <v>1</v>
      </c>
      <c r="C43" s="2">
        <f>ROW(SmtRes!A66)</f>
        <v>66</v>
      </c>
      <c r="D43" s="2">
        <f>ROW(EtalonRes!A68)</f>
        <v>68</v>
      </c>
      <c r="E43" s="2" t="s">
        <v>129</v>
      </c>
      <c r="F43" s="2" t="s">
        <v>130</v>
      </c>
      <c r="G43" s="87" t="s">
        <v>131</v>
      </c>
      <c r="H43" s="87" t="s">
        <v>132</v>
      </c>
      <c r="I43" s="87">
        <v>1</v>
      </c>
      <c r="J43" s="2">
        <v>0</v>
      </c>
      <c r="K43" s="2">
        <v>1</v>
      </c>
      <c r="L43" s="2"/>
      <c r="M43" s="2"/>
      <c r="N43" s="2"/>
      <c r="O43" s="2">
        <f t="shared" si="14"/>
        <v>330.71</v>
      </c>
      <c r="P43" s="2">
        <f>SUMIF(SmtRes!AQ62:'SmtRes'!AQ66,"=1",SmtRes!DF62:'SmtRes'!DF66)</f>
        <v>0</v>
      </c>
      <c r="Q43" s="2">
        <f>SUMIF(SmtRes!AQ62:'SmtRes'!AQ66,"=1",SmtRes!DG62:'SmtRes'!DG66)</f>
        <v>6.64</v>
      </c>
      <c r="R43" s="2">
        <f>SUMIF(SmtRes!AQ62:'SmtRes'!AQ66,"=1",SmtRes!DH62:'SmtRes'!DH66)</f>
        <v>0</v>
      </c>
      <c r="S43" s="2">
        <f>SUMIF(SmtRes!AQ62:'SmtRes'!AQ66,"=1",SmtRes!DI62:'SmtRes'!DI66)</f>
        <v>324.07</v>
      </c>
      <c r="T43" s="2">
        <f t="shared" si="15"/>
        <v>0</v>
      </c>
      <c r="U43" s="2">
        <f>SUMIF(SmtRes!AQ62:'SmtRes'!AQ66,"=1",SmtRes!CV62:'SmtRes'!CV66)</f>
        <v>0.77700000000000002</v>
      </c>
      <c r="V43" s="2">
        <f>SUMIF(SmtRes!AQ62:'SmtRes'!AQ66,"=1",SmtRes!CW62:'SmtRes'!CW66)</f>
        <v>0</v>
      </c>
      <c r="W43" s="2">
        <f t="shared" si="16"/>
        <v>0</v>
      </c>
      <c r="X43" s="2">
        <f t="shared" si="17"/>
        <v>301.39</v>
      </c>
      <c r="Y43" s="2">
        <f t="shared" si="18"/>
        <v>200.92</v>
      </c>
      <c r="Z43" s="2"/>
      <c r="AA43" s="2">
        <v>55858619</v>
      </c>
      <c r="AB43" s="2">
        <f t="shared" si="19"/>
        <v>330.70688000000001</v>
      </c>
      <c r="AC43" s="2">
        <f>ROUND((0),6)</f>
        <v>0</v>
      </c>
      <c r="AD43" s="2">
        <f>ROUND((((SUM(SmtRes!BR62:'SmtRes'!BR66))-(0))+AE43),6)</f>
        <v>6.6357200000000001</v>
      </c>
      <c r="AE43" s="2">
        <f>ROUND((0),6)</f>
        <v>0</v>
      </c>
      <c r="AF43" s="2">
        <f>ROUND((SUM(SmtRes!BT62:'SmtRes'!BT66)),6)</f>
        <v>324.07116000000002</v>
      </c>
      <c r="AG43" s="2">
        <f t="shared" si="20"/>
        <v>0</v>
      </c>
      <c r="AH43" s="2">
        <f>(SUM(SmtRes!BU62:'SmtRes'!BU66))</f>
        <v>0.77700000000000002</v>
      </c>
      <c r="AI43" s="2">
        <f>(0)</f>
        <v>0</v>
      </c>
      <c r="AJ43" s="2">
        <f t="shared" si="21"/>
        <v>0</v>
      </c>
      <c r="AK43" s="2">
        <v>494.65307200000001</v>
      </c>
      <c r="AL43" s="2">
        <v>22.214672</v>
      </c>
      <c r="AM43" s="2">
        <v>9.4796000000000014</v>
      </c>
      <c r="AN43" s="2">
        <v>0</v>
      </c>
      <c r="AO43" s="2">
        <v>462.9588</v>
      </c>
      <c r="AP43" s="2">
        <v>0</v>
      </c>
      <c r="AQ43" s="2">
        <v>1.1100000000000001</v>
      </c>
      <c r="AR43" s="2">
        <v>0</v>
      </c>
      <c r="AS43" s="2">
        <v>0</v>
      </c>
      <c r="AT43" s="2">
        <v>93</v>
      </c>
      <c r="AU43" s="2">
        <v>62</v>
      </c>
      <c r="AV43" s="2">
        <v>1</v>
      </c>
      <c r="AW43" s="2">
        <v>1</v>
      </c>
      <c r="AX43" s="2"/>
      <c r="AY43" s="2"/>
      <c r="AZ43" s="2">
        <v>1</v>
      </c>
      <c r="BA43" s="2">
        <v>1</v>
      </c>
      <c r="BB43" s="2">
        <v>1</v>
      </c>
      <c r="BC43" s="2">
        <v>1</v>
      </c>
      <c r="BD43" s="2" t="s">
        <v>3</v>
      </c>
      <c r="BE43" s="2" t="s">
        <v>3</v>
      </c>
      <c r="BF43" s="2" t="s">
        <v>3</v>
      </c>
      <c r="BG43" s="2" t="s">
        <v>3</v>
      </c>
      <c r="BH43" s="2">
        <v>0</v>
      </c>
      <c r="BI43" s="2">
        <v>1</v>
      </c>
      <c r="BJ43" s="2" t="s">
        <v>133</v>
      </c>
      <c r="BK43" s="2"/>
      <c r="BL43" s="2"/>
      <c r="BM43" s="2">
        <v>9001</v>
      </c>
      <c r="BN43" s="2">
        <v>0</v>
      </c>
      <c r="BO43" s="2" t="s">
        <v>3</v>
      </c>
      <c r="BP43" s="2">
        <v>0</v>
      </c>
      <c r="BQ43" s="2">
        <v>2</v>
      </c>
      <c r="BR43" s="2">
        <v>0</v>
      </c>
      <c r="BS43" s="2">
        <v>1</v>
      </c>
      <c r="BT43" s="2">
        <v>1</v>
      </c>
      <c r="BU43" s="2">
        <v>1</v>
      </c>
      <c r="BV43" s="2">
        <v>1</v>
      </c>
      <c r="BW43" s="2">
        <v>1</v>
      </c>
      <c r="BX43" s="2">
        <v>1</v>
      </c>
      <c r="BY43" s="2" t="s">
        <v>3</v>
      </c>
      <c r="BZ43" s="2">
        <v>93</v>
      </c>
      <c r="CA43" s="2">
        <v>62</v>
      </c>
      <c r="CB43" s="2" t="s">
        <v>3</v>
      </c>
      <c r="CC43" s="2"/>
      <c r="CD43" s="2"/>
      <c r="CE43" s="2">
        <v>0</v>
      </c>
      <c r="CF43" s="2">
        <v>0</v>
      </c>
      <c r="CG43" s="2">
        <v>0</v>
      </c>
      <c r="CH43" s="2"/>
      <c r="CI43" s="2"/>
      <c r="CJ43" s="2"/>
      <c r="CK43" s="2"/>
      <c r="CL43" s="2"/>
      <c r="CM43" s="2">
        <v>0</v>
      </c>
      <c r="CN43" s="2" t="s">
        <v>99</v>
      </c>
      <c r="CO43" s="2">
        <v>0</v>
      </c>
      <c r="CP43" s="2">
        <f t="shared" si="22"/>
        <v>330.71</v>
      </c>
      <c r="CQ43" s="2">
        <f>SUMIF(SmtRes!AQ62:'SmtRes'!AQ66,"=1",SmtRes!AA62:'SmtRes'!AA66)</f>
        <v>293.27</v>
      </c>
      <c r="CR43" s="2">
        <f>SUMIF(SmtRes!AQ62:'SmtRes'!AQ66,"=1",SmtRes!AB62:'SmtRes'!AB66)</f>
        <v>36.46</v>
      </c>
      <c r="CS43" s="2">
        <f>SUMIF(SmtRes!AQ62:'SmtRes'!AQ66,"=1",SmtRes!AC62:'SmtRes'!AC66)</f>
        <v>0</v>
      </c>
      <c r="CT43" s="2">
        <f>SUMIF(SmtRes!AQ62:'SmtRes'!AQ66,"=1",SmtRes!AD62:'SmtRes'!AD66)</f>
        <v>417.08</v>
      </c>
      <c r="CU43" s="2">
        <f t="shared" si="23"/>
        <v>0</v>
      </c>
      <c r="CV43" s="2">
        <f>SUMIF(SmtRes!AQ62:'SmtRes'!AQ66,"=1",SmtRes!BU62:'SmtRes'!BU66)</f>
        <v>0.77700000000000002</v>
      </c>
      <c r="CW43" s="2">
        <f>SUMIF(SmtRes!AQ62:'SmtRes'!AQ66,"=1",SmtRes!BV62:'SmtRes'!BV66)</f>
        <v>0</v>
      </c>
      <c r="CX43" s="2">
        <f t="shared" si="24"/>
        <v>0</v>
      </c>
      <c r="CY43" s="2">
        <f t="shared" si="25"/>
        <v>301.38509999999997</v>
      </c>
      <c r="CZ43" s="2">
        <f t="shared" si="26"/>
        <v>200.92340000000002</v>
      </c>
      <c r="DA43" s="2"/>
      <c r="DB43" s="2">
        <v>7</v>
      </c>
      <c r="DC43" s="2" t="s">
        <v>3</v>
      </c>
      <c r="DD43" s="2" t="s">
        <v>100</v>
      </c>
      <c r="DE43" s="2" t="s">
        <v>101</v>
      </c>
      <c r="DF43" s="2" t="s">
        <v>101</v>
      </c>
      <c r="DG43" s="2" t="s">
        <v>101</v>
      </c>
      <c r="DH43" s="2" t="s">
        <v>3</v>
      </c>
      <c r="DI43" s="2" t="s">
        <v>101</v>
      </c>
      <c r="DJ43" s="2" t="s">
        <v>101</v>
      </c>
      <c r="DK43" s="2" t="s">
        <v>3</v>
      </c>
      <c r="DL43" s="2" t="s">
        <v>3</v>
      </c>
      <c r="DM43" s="2" t="s">
        <v>3</v>
      </c>
      <c r="DN43" s="2">
        <v>0</v>
      </c>
      <c r="DO43" s="2">
        <v>0</v>
      </c>
      <c r="DP43" s="2">
        <v>1</v>
      </c>
      <c r="DQ43" s="2">
        <v>1</v>
      </c>
      <c r="DR43" s="2"/>
      <c r="DS43" s="2"/>
      <c r="DT43" s="2"/>
      <c r="DU43" s="2">
        <v>1013</v>
      </c>
      <c r="DV43" s="2" t="s">
        <v>132</v>
      </c>
      <c r="DW43" s="2" t="s">
        <v>132</v>
      </c>
      <c r="DX43" s="2">
        <v>1</v>
      </c>
      <c r="DY43" s="2"/>
      <c r="DZ43" s="2" t="s">
        <v>3</v>
      </c>
      <c r="EA43" s="2" t="s">
        <v>3</v>
      </c>
      <c r="EB43" s="2" t="s">
        <v>3</v>
      </c>
      <c r="EC43" s="2" t="s">
        <v>3</v>
      </c>
      <c r="ED43" s="2"/>
      <c r="EE43" s="2">
        <v>54458924</v>
      </c>
      <c r="EF43" s="2">
        <v>2</v>
      </c>
      <c r="EG43" s="2" t="s">
        <v>35</v>
      </c>
      <c r="EH43" s="2">
        <v>9</v>
      </c>
      <c r="EI43" s="2" t="s">
        <v>134</v>
      </c>
      <c r="EJ43" s="2">
        <v>1</v>
      </c>
      <c r="EK43" s="2">
        <v>9001</v>
      </c>
      <c r="EL43" s="2" t="s">
        <v>134</v>
      </c>
      <c r="EM43" s="2" t="s">
        <v>135</v>
      </c>
      <c r="EN43" s="2"/>
      <c r="EO43" s="2" t="s">
        <v>105</v>
      </c>
      <c r="EP43" s="2"/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1.1100000000000001</v>
      </c>
      <c r="EX43" s="2">
        <v>0</v>
      </c>
      <c r="EY43" s="2">
        <v>0</v>
      </c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>
        <v>0</v>
      </c>
      <c r="FR43" s="2">
        <v>0</v>
      </c>
      <c r="FS43" s="2">
        <v>0</v>
      </c>
      <c r="FT43" s="2"/>
      <c r="FU43" s="2"/>
      <c r="FV43" s="2"/>
      <c r="FW43" s="2"/>
      <c r="FX43" s="2">
        <v>93</v>
      </c>
      <c r="FY43" s="2">
        <v>62</v>
      </c>
      <c r="FZ43" s="2"/>
      <c r="GA43" s="2" t="s">
        <v>3</v>
      </c>
      <c r="GB43" s="2"/>
      <c r="GC43" s="2"/>
      <c r="GD43" s="2">
        <v>1</v>
      </c>
      <c r="GE43" s="2"/>
      <c r="GF43" s="2">
        <v>-1008985274</v>
      </c>
      <c r="GG43" s="2">
        <v>2</v>
      </c>
      <c r="GH43" s="2">
        <v>1</v>
      </c>
      <c r="GI43" s="2">
        <v>-2</v>
      </c>
      <c r="GJ43" s="2">
        <v>0</v>
      </c>
      <c r="GK43" s="2">
        <v>0</v>
      </c>
      <c r="GL43" s="2">
        <f t="shared" si="27"/>
        <v>0</v>
      </c>
      <c r="GM43" s="2">
        <f t="shared" si="28"/>
        <v>833.02</v>
      </c>
      <c r="GN43" s="2">
        <f t="shared" si="29"/>
        <v>833.02</v>
      </c>
      <c r="GO43" s="2">
        <f t="shared" si="30"/>
        <v>0</v>
      </c>
      <c r="GP43" s="2">
        <f t="shared" si="31"/>
        <v>0</v>
      </c>
      <c r="GQ43" s="2"/>
      <c r="GR43" s="2">
        <v>0</v>
      </c>
      <c r="GS43" s="2">
        <v>0</v>
      </c>
      <c r="GT43" s="2">
        <v>0</v>
      </c>
      <c r="GU43" s="2" t="s">
        <v>3</v>
      </c>
      <c r="GV43" s="2">
        <f t="shared" si="32"/>
        <v>0</v>
      </c>
      <c r="GW43" s="2">
        <v>1</v>
      </c>
      <c r="GX43" s="2">
        <f t="shared" si="33"/>
        <v>0</v>
      </c>
      <c r="GY43" s="2"/>
      <c r="GZ43" s="2"/>
      <c r="HA43" s="2">
        <v>0</v>
      </c>
      <c r="HB43" s="2">
        <v>0</v>
      </c>
      <c r="HC43" s="2">
        <f t="shared" si="34"/>
        <v>0</v>
      </c>
      <c r="HD43" s="2"/>
      <c r="HE43" s="2" t="s">
        <v>3</v>
      </c>
      <c r="HF43" s="2" t="s">
        <v>3</v>
      </c>
      <c r="HG43" s="2"/>
      <c r="HH43" s="2"/>
      <c r="HI43" s="2"/>
      <c r="HJ43" s="2"/>
      <c r="HK43" s="2"/>
      <c r="HL43" s="2"/>
      <c r="HM43" s="2" t="s">
        <v>3</v>
      </c>
      <c r="HN43" s="2" t="s">
        <v>136</v>
      </c>
      <c r="HO43" s="2" t="s">
        <v>137</v>
      </c>
      <c r="HP43" s="2" t="s">
        <v>134</v>
      </c>
      <c r="HQ43" s="2" t="s">
        <v>134</v>
      </c>
      <c r="HR43" s="2"/>
      <c r="HS43" s="2">
        <v>0</v>
      </c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>
        <v>0</v>
      </c>
      <c r="IL43" s="2"/>
      <c r="IM43" s="2"/>
      <c r="IN43" s="2"/>
      <c r="IO43" s="2"/>
      <c r="IP43" s="2"/>
      <c r="IQ43" s="2"/>
      <c r="IR43" s="2"/>
      <c r="IS43" s="2"/>
      <c r="IT43" s="2"/>
      <c r="IU43" s="2"/>
    </row>
    <row r="44" spans="1:255" ht="13.15" customHeight="1" x14ac:dyDescent="0.2">
      <c r="A44" s="2">
        <v>17</v>
      </c>
      <c r="B44" s="2">
        <v>1</v>
      </c>
      <c r="C44" s="2">
        <f>ROW(SmtRes!A72)</f>
        <v>72</v>
      </c>
      <c r="D44" s="2">
        <f>ROW(EtalonRes!A74)</f>
        <v>74</v>
      </c>
      <c r="E44" s="2" t="s">
        <v>138</v>
      </c>
      <c r="F44" s="2" t="s">
        <v>130</v>
      </c>
      <c r="G44" s="87" t="s">
        <v>139</v>
      </c>
      <c r="H44" s="87" t="s">
        <v>132</v>
      </c>
      <c r="I44" s="87">
        <v>1</v>
      </c>
      <c r="J44" s="2">
        <v>0</v>
      </c>
      <c r="K44" s="2">
        <v>1</v>
      </c>
      <c r="L44" s="2"/>
      <c r="M44" s="2"/>
      <c r="N44" s="2"/>
      <c r="O44" s="2">
        <f t="shared" si="14"/>
        <v>567.32000000000005</v>
      </c>
      <c r="P44" s="2">
        <f>SUMIF(SmtRes!AQ67:'SmtRes'!AQ72,"=1",SmtRes!DF67:'SmtRes'!DF72)</f>
        <v>23.07</v>
      </c>
      <c r="Q44" s="2">
        <f>SUMIF(SmtRes!AQ67:'SmtRes'!AQ72,"=1",SmtRes!DG67:'SmtRes'!DG72)</f>
        <v>11.85</v>
      </c>
      <c r="R44" s="2">
        <f>SUMIF(SmtRes!AQ67:'SmtRes'!AQ72,"=1",SmtRes!DH67:'SmtRes'!DH72)</f>
        <v>0</v>
      </c>
      <c r="S44" s="2">
        <f>SUMIF(SmtRes!AQ67:'SmtRes'!AQ72,"=1",SmtRes!DI67:'SmtRes'!DI72)</f>
        <v>532.4</v>
      </c>
      <c r="T44" s="2">
        <f t="shared" si="15"/>
        <v>0</v>
      </c>
      <c r="U44" s="2">
        <f>SUMIF(SmtRes!AQ67:'SmtRes'!AQ72,"=1",SmtRes!CV67:'SmtRes'!CV72)</f>
        <v>1.2765</v>
      </c>
      <c r="V44" s="2">
        <f>SUMIF(SmtRes!AQ67:'SmtRes'!AQ72,"=1",SmtRes!CW67:'SmtRes'!CW72)</f>
        <v>0</v>
      </c>
      <c r="W44" s="2">
        <f t="shared" si="16"/>
        <v>0</v>
      </c>
      <c r="X44" s="2">
        <f t="shared" si="17"/>
        <v>445.62</v>
      </c>
      <c r="Y44" s="2">
        <f t="shared" si="18"/>
        <v>280.57</v>
      </c>
      <c r="Z44" s="2"/>
      <c r="AA44" s="2">
        <v>55858619</v>
      </c>
      <c r="AB44" s="2">
        <f t="shared" si="19"/>
        <v>566.46679200000005</v>
      </c>
      <c r="AC44" s="2">
        <f>ROUND((SUM(SmtRes!BQ67:'SmtRes'!BQ72)),6)</f>
        <v>22.214672</v>
      </c>
      <c r="AD44" s="2">
        <f>ROUND((((SUM(SmtRes!BR67:'SmtRes'!BR72))-(0))+AE44),6)</f>
        <v>11.849500000000001</v>
      </c>
      <c r="AE44" s="2">
        <f>ROUND((0),6)</f>
        <v>0</v>
      </c>
      <c r="AF44" s="2">
        <f>ROUND((SUM(SmtRes!BT67:'SmtRes'!BT72)),6)</f>
        <v>532.40261999999996</v>
      </c>
      <c r="AG44" s="2">
        <f t="shared" si="20"/>
        <v>0</v>
      </c>
      <c r="AH44" s="2">
        <f>(SUM(SmtRes!BU67:'SmtRes'!BU72))</f>
        <v>1.2765</v>
      </c>
      <c r="AI44" s="2">
        <f>(0)</f>
        <v>0</v>
      </c>
      <c r="AJ44" s="2">
        <f t="shared" si="21"/>
        <v>0</v>
      </c>
      <c r="AK44" s="2">
        <v>494.65307200000001</v>
      </c>
      <c r="AL44" s="2">
        <v>22.214672</v>
      </c>
      <c r="AM44" s="2">
        <v>9.4796000000000014</v>
      </c>
      <c r="AN44" s="2">
        <v>0</v>
      </c>
      <c r="AO44" s="2">
        <v>462.9588</v>
      </c>
      <c r="AP44" s="2">
        <v>0</v>
      </c>
      <c r="AQ44" s="2">
        <v>1.1100000000000001</v>
      </c>
      <c r="AR44" s="2">
        <v>0</v>
      </c>
      <c r="AS44" s="2">
        <v>0</v>
      </c>
      <c r="AT44" s="2">
        <v>83.7</v>
      </c>
      <c r="AU44" s="2">
        <v>52.7</v>
      </c>
      <c r="AV44" s="2">
        <v>1</v>
      </c>
      <c r="AW44" s="2">
        <v>1</v>
      </c>
      <c r="AX44" s="2"/>
      <c r="AY44" s="2"/>
      <c r="AZ44" s="2">
        <v>1</v>
      </c>
      <c r="BA44" s="2">
        <v>1</v>
      </c>
      <c r="BB44" s="2">
        <v>1</v>
      </c>
      <c r="BC44" s="2">
        <v>1</v>
      </c>
      <c r="BD44" s="2" t="s">
        <v>3</v>
      </c>
      <c r="BE44" s="2" t="s">
        <v>3</v>
      </c>
      <c r="BF44" s="2" t="s">
        <v>3</v>
      </c>
      <c r="BG44" s="2" t="s">
        <v>3</v>
      </c>
      <c r="BH44" s="2">
        <v>0</v>
      </c>
      <c r="BI44" s="2">
        <v>1</v>
      </c>
      <c r="BJ44" s="2" t="s">
        <v>133</v>
      </c>
      <c r="BK44" s="2"/>
      <c r="BL44" s="2"/>
      <c r="BM44" s="2">
        <v>9001</v>
      </c>
      <c r="BN44" s="2">
        <v>0</v>
      </c>
      <c r="BO44" s="2" t="s">
        <v>3</v>
      </c>
      <c r="BP44" s="2">
        <v>0</v>
      </c>
      <c r="BQ44" s="2">
        <v>2</v>
      </c>
      <c r="BR44" s="2">
        <v>0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 t="s">
        <v>3</v>
      </c>
      <c r="BZ44" s="2">
        <v>93</v>
      </c>
      <c r="CA44" s="2">
        <v>62</v>
      </c>
      <c r="CB44" s="2" t="s">
        <v>3</v>
      </c>
      <c r="CC44" s="2"/>
      <c r="CD44" s="2"/>
      <c r="CE44" s="2">
        <v>0</v>
      </c>
      <c r="CF44" s="2">
        <v>0</v>
      </c>
      <c r="CG44" s="2">
        <v>0</v>
      </c>
      <c r="CH44" s="2"/>
      <c r="CI44" s="2"/>
      <c r="CJ44" s="2"/>
      <c r="CK44" s="2"/>
      <c r="CL44" s="2"/>
      <c r="CM44" s="2">
        <v>0</v>
      </c>
      <c r="CN44" s="7" t="s">
        <v>481</v>
      </c>
      <c r="CO44" s="2">
        <v>0</v>
      </c>
      <c r="CP44" s="2">
        <f t="shared" si="22"/>
        <v>567.31999999999994</v>
      </c>
      <c r="CQ44" s="2">
        <f>SUMIF(SmtRes!AQ67:'SmtRes'!AQ72,"=1",SmtRes!AA67:'SmtRes'!AA72)</f>
        <v>293.27</v>
      </c>
      <c r="CR44" s="2">
        <f>SUMIF(SmtRes!AQ67:'SmtRes'!AQ72,"=1",SmtRes!AB67:'SmtRes'!AB72)</f>
        <v>36.46</v>
      </c>
      <c r="CS44" s="2">
        <f>SUMIF(SmtRes!AQ67:'SmtRes'!AQ72,"=1",SmtRes!AC67:'SmtRes'!AC72)</f>
        <v>0</v>
      </c>
      <c r="CT44" s="2">
        <f>SUMIF(SmtRes!AQ67:'SmtRes'!AQ72,"=1",SmtRes!AD67:'SmtRes'!AD72)</f>
        <v>417.08</v>
      </c>
      <c r="CU44" s="2">
        <f t="shared" si="23"/>
        <v>0</v>
      </c>
      <c r="CV44" s="2">
        <f>SUMIF(SmtRes!AQ67:'SmtRes'!AQ72,"=1",SmtRes!BU67:'SmtRes'!BU72)</f>
        <v>1.2765</v>
      </c>
      <c r="CW44" s="2">
        <f>SUMIF(SmtRes!AQ67:'SmtRes'!AQ72,"=1",SmtRes!BV67:'SmtRes'!BV72)</f>
        <v>0</v>
      </c>
      <c r="CX44" s="2">
        <f t="shared" si="24"/>
        <v>0</v>
      </c>
      <c r="CY44" s="2">
        <f t="shared" si="25"/>
        <v>445.61879999999996</v>
      </c>
      <c r="CZ44" s="2">
        <f t="shared" si="26"/>
        <v>280.57479999999998</v>
      </c>
      <c r="DA44" s="2"/>
      <c r="DB44" s="2">
        <v>8</v>
      </c>
      <c r="DC44" s="2" t="s">
        <v>3</v>
      </c>
      <c r="DD44" s="2" t="s">
        <v>3</v>
      </c>
      <c r="DE44" s="2" t="s">
        <v>46</v>
      </c>
      <c r="DF44" s="2" t="s">
        <v>46</v>
      </c>
      <c r="DG44" s="2" t="s">
        <v>47</v>
      </c>
      <c r="DH44" s="2" t="s">
        <v>3</v>
      </c>
      <c r="DI44" s="2" t="s">
        <v>47</v>
      </c>
      <c r="DJ44" s="2" t="s">
        <v>46</v>
      </c>
      <c r="DK44" s="2" t="s">
        <v>3</v>
      </c>
      <c r="DL44" s="2" t="s">
        <v>48</v>
      </c>
      <c r="DM44" s="2" t="s">
        <v>49</v>
      </c>
      <c r="DN44" s="2">
        <v>0</v>
      </c>
      <c r="DO44" s="2">
        <v>0</v>
      </c>
      <c r="DP44" s="2">
        <v>1</v>
      </c>
      <c r="DQ44" s="2">
        <v>1</v>
      </c>
      <c r="DR44" s="2"/>
      <c r="DS44" s="2"/>
      <c r="DT44" s="2"/>
      <c r="DU44" s="2">
        <v>1013</v>
      </c>
      <c r="DV44" s="2" t="s">
        <v>132</v>
      </c>
      <c r="DW44" s="2" t="s">
        <v>132</v>
      </c>
      <c r="DX44" s="2">
        <v>1</v>
      </c>
      <c r="DY44" s="2"/>
      <c r="DZ44" s="2" t="s">
        <v>3</v>
      </c>
      <c r="EA44" s="2" t="s">
        <v>3</v>
      </c>
      <c r="EB44" s="2" t="s">
        <v>3</v>
      </c>
      <c r="EC44" s="2" t="s">
        <v>3</v>
      </c>
      <c r="ED44" s="2"/>
      <c r="EE44" s="2">
        <v>54458924</v>
      </c>
      <c r="EF44" s="2">
        <v>2</v>
      </c>
      <c r="EG44" s="2" t="s">
        <v>35</v>
      </c>
      <c r="EH44" s="2">
        <v>9</v>
      </c>
      <c r="EI44" s="2" t="s">
        <v>134</v>
      </c>
      <c r="EJ44" s="2">
        <v>1</v>
      </c>
      <c r="EK44" s="2">
        <v>9001</v>
      </c>
      <c r="EL44" s="2" t="s">
        <v>134</v>
      </c>
      <c r="EM44" s="2" t="s">
        <v>135</v>
      </c>
      <c r="EN44" s="2"/>
      <c r="EO44" s="2" t="s">
        <v>52</v>
      </c>
      <c r="EP44" s="2"/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1.1100000000000001</v>
      </c>
      <c r="EX44" s="2">
        <v>0</v>
      </c>
      <c r="EY44" s="2">
        <v>0</v>
      </c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>
        <v>0</v>
      </c>
      <c r="FR44" s="2">
        <v>0</v>
      </c>
      <c r="FS44" s="2">
        <v>0</v>
      </c>
      <c r="FT44" s="2"/>
      <c r="FU44" s="2"/>
      <c r="FV44" s="2"/>
      <c r="FW44" s="2"/>
      <c r="FX44" s="2">
        <v>83.7</v>
      </c>
      <c r="FY44" s="2">
        <v>52.7</v>
      </c>
      <c r="FZ44" s="2"/>
      <c r="GA44" s="2" t="s">
        <v>3</v>
      </c>
      <c r="GB44" s="2"/>
      <c r="GC44" s="2"/>
      <c r="GD44" s="2">
        <v>1</v>
      </c>
      <c r="GE44" s="2"/>
      <c r="GF44" s="2">
        <v>2005582880</v>
      </c>
      <c r="GG44" s="2">
        <v>2</v>
      </c>
      <c r="GH44" s="2">
        <v>1</v>
      </c>
      <c r="GI44" s="2">
        <v>-2</v>
      </c>
      <c r="GJ44" s="2">
        <v>0</v>
      </c>
      <c r="GK44" s="2">
        <v>0</v>
      </c>
      <c r="GL44" s="2">
        <f t="shared" si="27"/>
        <v>0</v>
      </c>
      <c r="GM44" s="2">
        <f t="shared" si="28"/>
        <v>1293.51</v>
      </c>
      <c r="GN44" s="2">
        <f t="shared" si="29"/>
        <v>1293.51</v>
      </c>
      <c r="GO44" s="2">
        <f t="shared" si="30"/>
        <v>0</v>
      </c>
      <c r="GP44" s="2">
        <f t="shared" si="31"/>
        <v>0</v>
      </c>
      <c r="GQ44" s="2"/>
      <c r="GR44" s="2">
        <v>0</v>
      </c>
      <c r="GS44" s="2">
        <v>0</v>
      </c>
      <c r="GT44" s="2">
        <v>0</v>
      </c>
      <c r="GU44" s="2" t="s">
        <v>3</v>
      </c>
      <c r="GV44" s="2">
        <f t="shared" si="32"/>
        <v>0</v>
      </c>
      <c r="GW44" s="2">
        <v>1</v>
      </c>
      <c r="GX44" s="2">
        <f t="shared" si="33"/>
        <v>0</v>
      </c>
      <c r="GY44" s="2"/>
      <c r="GZ44" s="2"/>
      <c r="HA44" s="2">
        <v>0</v>
      </c>
      <c r="HB44" s="2">
        <v>0</v>
      </c>
      <c r="HC44" s="2">
        <f t="shared" si="34"/>
        <v>0</v>
      </c>
      <c r="HD44" s="2"/>
      <c r="HE44" s="2" t="s">
        <v>3</v>
      </c>
      <c r="HF44" s="2" t="s">
        <v>3</v>
      </c>
      <c r="HG44" s="2"/>
      <c r="HH44" s="2"/>
      <c r="HI44" s="2"/>
      <c r="HJ44" s="2"/>
      <c r="HK44" s="2"/>
      <c r="HL44" s="2"/>
      <c r="HM44" s="2" t="s">
        <v>3</v>
      </c>
      <c r="HN44" s="2" t="s">
        <v>136</v>
      </c>
      <c r="HO44" s="2" t="s">
        <v>137</v>
      </c>
      <c r="HP44" s="2" t="s">
        <v>134</v>
      </c>
      <c r="HQ44" s="2" t="s">
        <v>134</v>
      </c>
      <c r="HR44" s="2"/>
      <c r="HS44" s="2">
        <v>0</v>
      </c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>
        <v>0</v>
      </c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ht="13.15" customHeight="1" x14ac:dyDescent="0.2">
      <c r="A45" s="2">
        <v>18</v>
      </c>
      <c r="B45" s="2">
        <v>1</v>
      </c>
      <c r="C45" s="2">
        <v>70</v>
      </c>
      <c r="D45" s="2"/>
      <c r="E45" s="2" t="s">
        <v>140</v>
      </c>
      <c r="F45" s="2" t="s">
        <v>141</v>
      </c>
      <c r="G45" s="87" t="s">
        <v>142</v>
      </c>
      <c r="H45" s="87" t="s">
        <v>132</v>
      </c>
      <c r="I45" s="87">
        <f>I44*J45</f>
        <v>1</v>
      </c>
      <c r="J45" s="2">
        <v>1</v>
      </c>
      <c r="K45" s="2">
        <v>1</v>
      </c>
      <c r="L45" s="2"/>
      <c r="M45" s="2"/>
      <c r="N45" s="2"/>
      <c r="O45" s="2">
        <f t="shared" si="14"/>
        <v>3414.34</v>
      </c>
      <c r="P45" s="2">
        <f>ROUND(CQ45*I45,2)</f>
        <v>3414.34</v>
      </c>
      <c r="Q45" s="2">
        <f>ROUND(CR45*I45,2)</f>
        <v>0</v>
      </c>
      <c r="R45" s="2">
        <f>ROUND(CS45*I45,2)</f>
        <v>0</v>
      </c>
      <c r="S45" s="2">
        <f>ROUND(CT45*I45,2)</f>
        <v>0</v>
      </c>
      <c r="T45" s="2">
        <f t="shared" si="15"/>
        <v>0</v>
      </c>
      <c r="U45" s="2">
        <f>ROUND(CV45*I45,7)</f>
        <v>0</v>
      </c>
      <c r="V45" s="2">
        <f>ROUND(CW45*I45,7)</f>
        <v>0</v>
      </c>
      <c r="W45" s="2">
        <f t="shared" si="16"/>
        <v>0</v>
      </c>
      <c r="X45" s="2">
        <f t="shared" si="17"/>
        <v>0</v>
      </c>
      <c r="Y45" s="2">
        <f t="shared" si="18"/>
        <v>0</v>
      </c>
      <c r="Z45" s="2"/>
      <c r="AA45" s="2">
        <v>55858619</v>
      </c>
      <c r="AB45" s="2">
        <f t="shared" si="19"/>
        <v>2291.5</v>
      </c>
      <c r="AC45" s="2">
        <f>ROUND((ES45),6)</f>
        <v>2291.5</v>
      </c>
      <c r="AD45" s="2">
        <f>ROUND((((ET45)-(EU45))+AE45),6)</f>
        <v>0</v>
      </c>
      <c r="AE45" s="2">
        <f>ROUND((EU45),6)</f>
        <v>0</v>
      </c>
      <c r="AF45" s="2">
        <f>ROUND((EV45),6)</f>
        <v>0</v>
      </c>
      <c r="AG45" s="2">
        <f t="shared" si="20"/>
        <v>0</v>
      </c>
      <c r="AH45" s="2">
        <f>(EW45)</f>
        <v>0</v>
      </c>
      <c r="AI45" s="2">
        <f>(EX45)</f>
        <v>0</v>
      </c>
      <c r="AJ45" s="2">
        <f t="shared" si="21"/>
        <v>0</v>
      </c>
      <c r="AK45" s="2">
        <v>2291.5</v>
      </c>
      <c r="AL45" s="2">
        <v>2291.5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93</v>
      </c>
      <c r="AU45" s="2">
        <v>62</v>
      </c>
      <c r="AV45" s="2">
        <v>1</v>
      </c>
      <c r="AW45" s="2">
        <v>1</v>
      </c>
      <c r="AX45" s="2"/>
      <c r="AY45" s="2"/>
      <c r="AZ45" s="2">
        <v>1</v>
      </c>
      <c r="BA45" s="2">
        <v>1</v>
      </c>
      <c r="BB45" s="2">
        <v>1</v>
      </c>
      <c r="BC45" s="2">
        <v>1.49</v>
      </c>
      <c r="BD45" s="2" t="s">
        <v>3</v>
      </c>
      <c r="BE45" s="2" t="s">
        <v>3</v>
      </c>
      <c r="BF45" s="2" t="s">
        <v>3</v>
      </c>
      <c r="BG45" s="2" t="s">
        <v>3</v>
      </c>
      <c r="BH45" s="2">
        <v>3</v>
      </c>
      <c r="BI45" s="2">
        <v>1</v>
      </c>
      <c r="BJ45" s="2" t="s">
        <v>143</v>
      </c>
      <c r="BK45" s="2"/>
      <c r="BL45" s="2"/>
      <c r="BM45" s="2">
        <v>9001</v>
      </c>
      <c r="BN45" s="2">
        <v>0</v>
      </c>
      <c r="BO45" s="2" t="s">
        <v>141</v>
      </c>
      <c r="BP45" s="2">
        <v>1</v>
      </c>
      <c r="BQ45" s="2">
        <v>2</v>
      </c>
      <c r="BR45" s="2">
        <v>0</v>
      </c>
      <c r="BS45" s="2">
        <v>1</v>
      </c>
      <c r="BT45" s="2">
        <v>1</v>
      </c>
      <c r="BU45" s="2">
        <v>1</v>
      </c>
      <c r="BV45" s="2">
        <v>1</v>
      </c>
      <c r="BW45" s="2">
        <v>1</v>
      </c>
      <c r="BX45" s="2">
        <v>1</v>
      </c>
      <c r="BY45" s="2" t="s">
        <v>3</v>
      </c>
      <c r="BZ45" s="2">
        <v>93</v>
      </c>
      <c r="CA45" s="2">
        <v>62</v>
      </c>
      <c r="CB45" s="2" t="s">
        <v>3</v>
      </c>
      <c r="CC45" s="2"/>
      <c r="CD45" s="2"/>
      <c r="CE45" s="2">
        <v>0</v>
      </c>
      <c r="CF45" s="2">
        <v>0</v>
      </c>
      <c r="CG45" s="2">
        <v>0</v>
      </c>
      <c r="CH45" s="2"/>
      <c r="CI45" s="2"/>
      <c r="CJ45" s="2"/>
      <c r="CK45" s="2"/>
      <c r="CL45" s="2"/>
      <c r="CM45" s="2">
        <v>0</v>
      </c>
      <c r="CN45" s="2" t="s">
        <v>3</v>
      </c>
      <c r="CO45" s="2">
        <v>0</v>
      </c>
      <c r="CP45" s="2">
        <f t="shared" si="22"/>
        <v>3414.34</v>
      </c>
      <c r="CQ45" s="2">
        <f>ROUND(AL45*BC45,2)</f>
        <v>3414.34</v>
      </c>
      <c r="CR45" s="2">
        <f>ROUND(AM45*BB45,2)</f>
        <v>0</v>
      </c>
      <c r="CS45" s="2">
        <f>ROUND(AN45*BS45,2)</f>
        <v>0</v>
      </c>
      <c r="CT45" s="2">
        <f>ROUND(AO45*BA45,2)</f>
        <v>0</v>
      </c>
      <c r="CU45" s="2">
        <f t="shared" si="23"/>
        <v>0</v>
      </c>
      <c r="CV45" s="2">
        <f>AH45</f>
        <v>0</v>
      </c>
      <c r="CW45" s="2">
        <f>AI45</f>
        <v>0</v>
      </c>
      <c r="CX45" s="2">
        <f t="shared" si="24"/>
        <v>0</v>
      </c>
      <c r="CY45" s="2">
        <f t="shared" si="25"/>
        <v>0</v>
      </c>
      <c r="CZ45" s="2">
        <f t="shared" si="26"/>
        <v>0</v>
      </c>
      <c r="DA45" s="2"/>
      <c r="DB45" s="2"/>
      <c r="DC45" s="2" t="s">
        <v>3</v>
      </c>
      <c r="DD45" s="2" t="s">
        <v>3</v>
      </c>
      <c r="DE45" s="2" t="s">
        <v>3</v>
      </c>
      <c r="DF45" s="2" t="s">
        <v>3</v>
      </c>
      <c r="DG45" s="2" t="s">
        <v>3</v>
      </c>
      <c r="DH45" s="2" t="s">
        <v>3</v>
      </c>
      <c r="DI45" s="2" t="s">
        <v>3</v>
      </c>
      <c r="DJ45" s="2" t="s">
        <v>3</v>
      </c>
      <c r="DK45" s="2" t="s">
        <v>3</v>
      </c>
      <c r="DL45" s="2" t="s">
        <v>3</v>
      </c>
      <c r="DM45" s="2" t="s">
        <v>3</v>
      </c>
      <c r="DN45" s="2">
        <v>0</v>
      </c>
      <c r="DO45" s="2">
        <v>0</v>
      </c>
      <c r="DP45" s="2">
        <v>1</v>
      </c>
      <c r="DQ45" s="2">
        <v>1</v>
      </c>
      <c r="DR45" s="2"/>
      <c r="DS45" s="2"/>
      <c r="DT45" s="2"/>
      <c r="DU45" s="2">
        <v>1013</v>
      </c>
      <c r="DV45" s="2" t="s">
        <v>132</v>
      </c>
      <c r="DW45" s="2" t="s">
        <v>132</v>
      </c>
      <c r="DX45" s="2">
        <v>1</v>
      </c>
      <c r="DY45" s="2"/>
      <c r="DZ45" s="2" t="s">
        <v>3</v>
      </c>
      <c r="EA45" s="2" t="s">
        <v>3</v>
      </c>
      <c r="EB45" s="2" t="s">
        <v>3</v>
      </c>
      <c r="EC45" s="2" t="s">
        <v>3</v>
      </c>
      <c r="ED45" s="2"/>
      <c r="EE45" s="2">
        <v>54458924</v>
      </c>
      <c r="EF45" s="2">
        <v>2</v>
      </c>
      <c r="EG45" s="2" t="s">
        <v>35</v>
      </c>
      <c r="EH45" s="2">
        <v>9</v>
      </c>
      <c r="EI45" s="2" t="s">
        <v>134</v>
      </c>
      <c r="EJ45" s="2">
        <v>1</v>
      </c>
      <c r="EK45" s="2">
        <v>9001</v>
      </c>
      <c r="EL45" s="2" t="s">
        <v>134</v>
      </c>
      <c r="EM45" s="2" t="s">
        <v>135</v>
      </c>
      <c r="EN45" s="2"/>
      <c r="EO45" s="2" t="s">
        <v>3</v>
      </c>
      <c r="EP45" s="2"/>
      <c r="EQ45" s="2">
        <v>0</v>
      </c>
      <c r="ER45" s="2">
        <v>2291.5</v>
      </c>
      <c r="ES45" s="2">
        <v>2291.5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>
        <v>0</v>
      </c>
      <c r="FR45" s="2">
        <v>0</v>
      </c>
      <c r="FS45" s="2">
        <v>0</v>
      </c>
      <c r="FT45" s="2"/>
      <c r="FU45" s="2"/>
      <c r="FV45" s="2"/>
      <c r="FW45" s="2"/>
      <c r="FX45" s="2">
        <v>93</v>
      </c>
      <c r="FY45" s="2">
        <v>62</v>
      </c>
      <c r="FZ45" s="2"/>
      <c r="GA45" s="2" t="s">
        <v>3</v>
      </c>
      <c r="GB45" s="2"/>
      <c r="GC45" s="2"/>
      <c r="GD45" s="2">
        <v>1</v>
      </c>
      <c r="GE45" s="2"/>
      <c r="GF45" s="2">
        <v>-909976548</v>
      </c>
      <c r="GG45" s="2">
        <v>2</v>
      </c>
      <c r="GH45" s="2">
        <v>1</v>
      </c>
      <c r="GI45" s="2">
        <v>2</v>
      </c>
      <c r="GJ45" s="2">
        <v>0</v>
      </c>
      <c r="GK45" s="2">
        <v>0</v>
      </c>
      <c r="GL45" s="2">
        <f t="shared" si="27"/>
        <v>0</v>
      </c>
      <c r="GM45" s="2">
        <f t="shared" si="28"/>
        <v>3414.34</v>
      </c>
      <c r="GN45" s="2">
        <f t="shared" si="29"/>
        <v>3414.34</v>
      </c>
      <c r="GO45" s="2">
        <f t="shared" si="30"/>
        <v>0</v>
      </c>
      <c r="GP45" s="2">
        <f t="shared" si="31"/>
        <v>0</v>
      </c>
      <c r="GQ45" s="2"/>
      <c r="GR45" s="2">
        <v>0</v>
      </c>
      <c r="GS45" s="2">
        <v>0</v>
      </c>
      <c r="GT45" s="2">
        <v>0</v>
      </c>
      <c r="GU45" s="2" t="s">
        <v>3</v>
      </c>
      <c r="GV45" s="2">
        <f t="shared" si="32"/>
        <v>0</v>
      </c>
      <c r="GW45" s="2">
        <v>1</v>
      </c>
      <c r="GX45" s="2">
        <f t="shared" si="33"/>
        <v>0</v>
      </c>
      <c r="GY45" s="2"/>
      <c r="GZ45" s="2"/>
      <c r="HA45" s="2">
        <v>0</v>
      </c>
      <c r="HB45" s="2">
        <v>0</v>
      </c>
      <c r="HC45" s="2">
        <f t="shared" si="34"/>
        <v>0</v>
      </c>
      <c r="HD45" s="2"/>
      <c r="HE45" s="2" t="s">
        <v>3</v>
      </c>
      <c r="HF45" s="2" t="s">
        <v>3</v>
      </c>
      <c r="HG45" s="2"/>
      <c r="HH45" s="2"/>
      <c r="HI45" s="2"/>
      <c r="HJ45" s="2"/>
      <c r="HK45" s="2"/>
      <c r="HL45" s="2"/>
      <c r="HM45" s="2" t="s">
        <v>3</v>
      </c>
      <c r="HN45" s="2" t="s">
        <v>136</v>
      </c>
      <c r="HO45" s="2" t="s">
        <v>137</v>
      </c>
      <c r="HP45" s="2" t="s">
        <v>134</v>
      </c>
      <c r="HQ45" s="2" t="s">
        <v>134</v>
      </c>
      <c r="HR45" s="2"/>
      <c r="HS45" s="2">
        <v>0</v>
      </c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>
        <v>0</v>
      </c>
      <c r="IL45" s="2"/>
      <c r="IM45" s="2"/>
      <c r="IN45" s="2"/>
      <c r="IO45" s="2"/>
      <c r="IP45" s="2"/>
      <c r="IQ45" s="2"/>
      <c r="IR45" s="2"/>
      <c r="IS45" s="2"/>
      <c r="IT45" s="2"/>
      <c r="IU45" s="2"/>
    </row>
    <row r="46" spans="1:255" ht="13.15" customHeight="1" x14ac:dyDescent="0.2">
      <c r="A46" s="2">
        <v>17</v>
      </c>
      <c r="B46" s="2">
        <v>1</v>
      </c>
      <c r="C46" s="2">
        <f>ROW(SmtRes!A74)</f>
        <v>74</v>
      </c>
      <c r="D46" s="2">
        <f>ROW(EtalonRes!A76)</f>
        <v>76</v>
      </c>
      <c r="E46" s="2" t="s">
        <v>144</v>
      </c>
      <c r="F46" s="2" t="s">
        <v>145</v>
      </c>
      <c r="G46" s="87" t="s">
        <v>146</v>
      </c>
      <c r="H46" s="87" t="s">
        <v>113</v>
      </c>
      <c r="I46" s="87">
        <v>24.8</v>
      </c>
      <c r="J46" s="2">
        <v>0</v>
      </c>
      <c r="K46" s="2">
        <v>24.8</v>
      </c>
      <c r="L46" s="2"/>
      <c r="M46" s="2"/>
      <c r="N46" s="2"/>
      <c r="O46" s="2">
        <f t="shared" si="14"/>
        <v>323.8</v>
      </c>
      <c r="P46" s="2">
        <f>SUMIF(SmtRes!AQ73:'SmtRes'!AQ74,"=1",SmtRes!DF73:'SmtRes'!DF74)</f>
        <v>0</v>
      </c>
      <c r="Q46" s="2">
        <f>SUMIF(SmtRes!AQ73:'SmtRes'!AQ74,"=1",SmtRes!DG73:'SmtRes'!DG74)</f>
        <v>0</v>
      </c>
      <c r="R46" s="2">
        <f>SUMIF(SmtRes!AQ73:'SmtRes'!AQ74,"=1",SmtRes!DH73:'SmtRes'!DH74)</f>
        <v>0</v>
      </c>
      <c r="S46" s="2">
        <f>SUMIF(SmtRes!AQ73:'SmtRes'!AQ74,"=1",SmtRes!DI73:'SmtRes'!DI74)</f>
        <v>323.8</v>
      </c>
      <c r="T46" s="2">
        <f t="shared" si="15"/>
        <v>0</v>
      </c>
      <c r="U46" s="2">
        <f>SUMIF(SmtRes!AQ73:'SmtRes'!AQ74,"=1",SmtRes!CV73:'SmtRes'!CV74)</f>
        <v>0.74399999999999999</v>
      </c>
      <c r="V46" s="2">
        <f>SUMIF(SmtRes!AQ73:'SmtRes'!AQ74,"=1",SmtRes!CW73:'SmtRes'!CW74)</f>
        <v>0</v>
      </c>
      <c r="W46" s="2">
        <f t="shared" si="16"/>
        <v>0</v>
      </c>
      <c r="X46" s="2">
        <f t="shared" si="17"/>
        <v>297.89999999999998</v>
      </c>
      <c r="Y46" s="2">
        <f t="shared" si="18"/>
        <v>168.38</v>
      </c>
      <c r="Z46" s="2"/>
      <c r="AA46" s="2">
        <v>55858619</v>
      </c>
      <c r="AB46" s="2">
        <f t="shared" si="19"/>
        <v>13.0563</v>
      </c>
      <c r="AC46" s="2">
        <f>ROUND((0),6)</f>
        <v>0</v>
      </c>
      <c r="AD46" s="2">
        <f>ROUND((((0)-(0))+AE46),6)</f>
        <v>0</v>
      </c>
      <c r="AE46" s="2">
        <f>ROUND((0),6)</f>
        <v>0</v>
      </c>
      <c r="AF46" s="2">
        <f>ROUND((SUM(SmtRes!BT73:'SmtRes'!BT74)),6)</f>
        <v>13.0563</v>
      </c>
      <c r="AG46" s="2">
        <f t="shared" si="20"/>
        <v>0</v>
      </c>
      <c r="AH46" s="2">
        <f>(SUM(SmtRes!BU73:'SmtRes'!BU74))</f>
        <v>0.03</v>
      </c>
      <c r="AI46" s="2">
        <f>(0)</f>
        <v>0</v>
      </c>
      <c r="AJ46" s="2">
        <f t="shared" si="21"/>
        <v>0</v>
      </c>
      <c r="AK46" s="2">
        <v>13.056299999999998</v>
      </c>
      <c r="AL46" s="2">
        <v>0</v>
      </c>
      <c r="AM46" s="2">
        <v>0</v>
      </c>
      <c r="AN46" s="2">
        <v>0</v>
      </c>
      <c r="AO46" s="2">
        <v>13.056299999999998</v>
      </c>
      <c r="AP46" s="2">
        <v>0</v>
      </c>
      <c r="AQ46" s="2">
        <v>0.03</v>
      </c>
      <c r="AR46" s="2">
        <v>0</v>
      </c>
      <c r="AS46" s="2">
        <v>0</v>
      </c>
      <c r="AT46" s="2">
        <v>92</v>
      </c>
      <c r="AU46" s="2">
        <v>52</v>
      </c>
      <c r="AV46" s="2">
        <v>1</v>
      </c>
      <c r="AW46" s="2">
        <v>1</v>
      </c>
      <c r="AX46" s="2"/>
      <c r="AY46" s="2"/>
      <c r="AZ46" s="2">
        <v>1</v>
      </c>
      <c r="BA46" s="2">
        <v>1</v>
      </c>
      <c r="BB46" s="2">
        <v>1</v>
      </c>
      <c r="BC46" s="2">
        <v>1</v>
      </c>
      <c r="BD46" s="2" t="s">
        <v>3</v>
      </c>
      <c r="BE46" s="2" t="s">
        <v>3</v>
      </c>
      <c r="BF46" s="2" t="s">
        <v>3</v>
      </c>
      <c r="BG46" s="2" t="s">
        <v>3</v>
      </c>
      <c r="BH46" s="2">
        <v>0</v>
      </c>
      <c r="BI46" s="2">
        <v>1</v>
      </c>
      <c r="BJ46" s="2" t="s">
        <v>147</v>
      </c>
      <c r="BK46" s="2"/>
      <c r="BL46" s="2"/>
      <c r="BM46" s="2">
        <v>53001</v>
      </c>
      <c r="BN46" s="2">
        <v>0</v>
      </c>
      <c r="BO46" s="2" t="s">
        <v>3</v>
      </c>
      <c r="BP46" s="2">
        <v>0</v>
      </c>
      <c r="BQ46" s="2">
        <v>6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3</v>
      </c>
      <c r="BZ46" s="2">
        <v>92</v>
      </c>
      <c r="CA46" s="2">
        <v>52</v>
      </c>
      <c r="CB46" s="2" t="s">
        <v>3</v>
      </c>
      <c r="CC46" s="2"/>
      <c r="CD46" s="2"/>
      <c r="CE46" s="2">
        <v>0</v>
      </c>
      <c r="CF46" s="2">
        <v>0</v>
      </c>
      <c r="CG46" s="2">
        <v>0</v>
      </c>
      <c r="CH46" s="2"/>
      <c r="CI46" s="2"/>
      <c r="CJ46" s="2"/>
      <c r="CK46" s="2"/>
      <c r="CL46" s="2"/>
      <c r="CM46" s="2">
        <v>0</v>
      </c>
      <c r="CN46" s="2" t="s">
        <v>3</v>
      </c>
      <c r="CO46" s="2">
        <v>0</v>
      </c>
      <c r="CP46" s="2">
        <f t="shared" si="22"/>
        <v>323.8</v>
      </c>
      <c r="CQ46" s="2">
        <f>SUMIF(SmtRes!AQ73:'SmtRes'!AQ74,"=1",SmtRes!AA73:'SmtRes'!AA74)</f>
        <v>0</v>
      </c>
      <c r="CR46" s="2">
        <f>SUMIF(SmtRes!AQ73:'SmtRes'!AQ74,"=1",SmtRes!AB73:'SmtRes'!AB74)</f>
        <v>0</v>
      </c>
      <c r="CS46" s="2">
        <f>SUMIF(SmtRes!AQ73:'SmtRes'!AQ74,"=1",SmtRes!AC73:'SmtRes'!AC74)</f>
        <v>0</v>
      </c>
      <c r="CT46" s="2">
        <f>SUMIF(SmtRes!AQ73:'SmtRes'!AQ74,"=1",SmtRes!AD73:'SmtRes'!AD74)</f>
        <v>435.21</v>
      </c>
      <c r="CU46" s="2">
        <f t="shared" si="23"/>
        <v>0</v>
      </c>
      <c r="CV46" s="2">
        <f>SUMIF(SmtRes!AQ73:'SmtRes'!AQ74,"=1",SmtRes!BU73:'SmtRes'!BU74)</f>
        <v>0.03</v>
      </c>
      <c r="CW46" s="2">
        <f>SUMIF(SmtRes!AQ73:'SmtRes'!AQ74,"=1",SmtRes!BV73:'SmtRes'!BV74)</f>
        <v>0</v>
      </c>
      <c r="CX46" s="2">
        <f t="shared" si="24"/>
        <v>0</v>
      </c>
      <c r="CY46" s="2">
        <f t="shared" si="25"/>
        <v>297.89600000000002</v>
      </c>
      <c r="CZ46" s="2">
        <f t="shared" si="26"/>
        <v>168.37600000000003</v>
      </c>
      <c r="DA46" s="2"/>
      <c r="DB46" s="2"/>
      <c r="DC46" s="2" t="s">
        <v>3</v>
      </c>
      <c r="DD46" s="2" t="s">
        <v>3</v>
      </c>
      <c r="DE46" s="2" t="s">
        <v>3</v>
      </c>
      <c r="DF46" s="2" t="s">
        <v>3</v>
      </c>
      <c r="DG46" s="2" t="s">
        <v>3</v>
      </c>
      <c r="DH46" s="2" t="s">
        <v>3</v>
      </c>
      <c r="DI46" s="2" t="s">
        <v>3</v>
      </c>
      <c r="DJ46" s="2" t="s">
        <v>3</v>
      </c>
      <c r="DK46" s="2" t="s">
        <v>3</v>
      </c>
      <c r="DL46" s="2" t="s">
        <v>3</v>
      </c>
      <c r="DM46" s="2" t="s">
        <v>3</v>
      </c>
      <c r="DN46" s="2">
        <v>0</v>
      </c>
      <c r="DO46" s="2">
        <v>0</v>
      </c>
      <c r="DP46" s="2">
        <v>1</v>
      </c>
      <c r="DQ46" s="2">
        <v>1</v>
      </c>
      <c r="DR46" s="2"/>
      <c r="DS46" s="2"/>
      <c r="DT46" s="2"/>
      <c r="DU46" s="2">
        <v>1003</v>
      </c>
      <c r="DV46" s="2" t="s">
        <v>113</v>
      </c>
      <c r="DW46" s="2" t="s">
        <v>113</v>
      </c>
      <c r="DX46" s="2">
        <v>1</v>
      </c>
      <c r="DY46" s="2"/>
      <c r="DZ46" s="2" t="s">
        <v>3</v>
      </c>
      <c r="EA46" s="2" t="s">
        <v>3</v>
      </c>
      <c r="EB46" s="2" t="s">
        <v>3</v>
      </c>
      <c r="EC46" s="2" t="s">
        <v>3</v>
      </c>
      <c r="ED46" s="2"/>
      <c r="EE46" s="2">
        <v>54458999</v>
      </c>
      <c r="EF46" s="2">
        <v>6</v>
      </c>
      <c r="EG46" s="2" t="s">
        <v>21</v>
      </c>
      <c r="EH46" s="2">
        <v>87</v>
      </c>
      <c r="EI46" s="2" t="s">
        <v>148</v>
      </c>
      <c r="EJ46" s="2">
        <v>1</v>
      </c>
      <c r="EK46" s="2">
        <v>53001</v>
      </c>
      <c r="EL46" s="2" t="s">
        <v>148</v>
      </c>
      <c r="EM46" s="2" t="s">
        <v>149</v>
      </c>
      <c r="EN46" s="2"/>
      <c r="EO46" s="2" t="s">
        <v>3</v>
      </c>
      <c r="EP46" s="2"/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0.03</v>
      </c>
      <c r="EX46" s="2">
        <v>0</v>
      </c>
      <c r="EY46" s="2">
        <v>0</v>
      </c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>
        <v>0</v>
      </c>
      <c r="FR46" s="2">
        <v>0</v>
      </c>
      <c r="FS46" s="2">
        <v>0</v>
      </c>
      <c r="FT46" s="2"/>
      <c r="FU46" s="2"/>
      <c r="FV46" s="2"/>
      <c r="FW46" s="2"/>
      <c r="FX46" s="2">
        <v>92</v>
      </c>
      <c r="FY46" s="2">
        <v>52</v>
      </c>
      <c r="FZ46" s="2"/>
      <c r="GA46" s="2" t="s">
        <v>3</v>
      </c>
      <c r="GB46" s="2"/>
      <c r="GC46" s="2"/>
      <c r="GD46" s="2">
        <v>1</v>
      </c>
      <c r="GE46" s="2"/>
      <c r="GF46" s="2">
        <v>-275988705</v>
      </c>
      <c r="GG46" s="2">
        <v>2</v>
      </c>
      <c r="GH46" s="2">
        <v>1</v>
      </c>
      <c r="GI46" s="2">
        <v>-2</v>
      </c>
      <c r="GJ46" s="2">
        <v>0</v>
      </c>
      <c r="GK46" s="2">
        <v>0</v>
      </c>
      <c r="GL46" s="2">
        <f t="shared" si="27"/>
        <v>0</v>
      </c>
      <c r="GM46" s="2">
        <f t="shared" si="28"/>
        <v>790.08</v>
      </c>
      <c r="GN46" s="2">
        <f t="shared" si="29"/>
        <v>790.08</v>
      </c>
      <c r="GO46" s="2">
        <f t="shared" si="30"/>
        <v>0</v>
      </c>
      <c r="GP46" s="2">
        <f t="shared" si="31"/>
        <v>0</v>
      </c>
      <c r="GQ46" s="2"/>
      <c r="GR46" s="2">
        <v>0</v>
      </c>
      <c r="GS46" s="2">
        <v>3</v>
      </c>
      <c r="GT46" s="2">
        <v>0</v>
      </c>
      <c r="GU46" s="2" t="s">
        <v>3</v>
      </c>
      <c r="GV46" s="2">
        <f t="shared" si="32"/>
        <v>0</v>
      </c>
      <c r="GW46" s="2">
        <v>1</v>
      </c>
      <c r="GX46" s="2">
        <f t="shared" si="33"/>
        <v>0</v>
      </c>
      <c r="GY46" s="2"/>
      <c r="GZ46" s="2"/>
      <c r="HA46" s="2">
        <v>0</v>
      </c>
      <c r="HB46" s="2">
        <v>0</v>
      </c>
      <c r="HC46" s="2">
        <f t="shared" si="34"/>
        <v>0</v>
      </c>
      <c r="HD46" s="2"/>
      <c r="HE46" s="2" t="s">
        <v>3</v>
      </c>
      <c r="HF46" s="2" t="s">
        <v>3</v>
      </c>
      <c r="HG46" s="2"/>
      <c r="HH46" s="2"/>
      <c r="HI46" s="2"/>
      <c r="HJ46" s="2"/>
      <c r="HK46" s="2"/>
      <c r="HL46" s="2"/>
      <c r="HM46" s="2" t="s">
        <v>3</v>
      </c>
      <c r="HN46" s="2" t="s">
        <v>150</v>
      </c>
      <c r="HO46" s="2" t="s">
        <v>151</v>
      </c>
      <c r="HP46" s="2" t="s">
        <v>148</v>
      </c>
      <c r="HQ46" s="2" t="s">
        <v>148</v>
      </c>
      <c r="HR46" s="2"/>
      <c r="HS46" s="2">
        <v>0</v>
      </c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>
        <v>0</v>
      </c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ht="13.15" customHeight="1" x14ac:dyDescent="0.2">
      <c r="A47" s="2">
        <v>18</v>
      </c>
      <c r="B47" s="2">
        <v>1</v>
      </c>
      <c r="C47" s="2">
        <v>74</v>
      </c>
      <c r="D47" s="2"/>
      <c r="E47" s="2" t="s">
        <v>152</v>
      </c>
      <c r="F47" s="2" t="s">
        <v>153</v>
      </c>
      <c r="G47" s="87" t="s">
        <v>154</v>
      </c>
      <c r="H47" s="87" t="s">
        <v>155</v>
      </c>
      <c r="I47" s="87">
        <f>I46*J47</f>
        <v>2.48</v>
      </c>
      <c r="J47" s="2">
        <v>9.9999999999999992E-2</v>
      </c>
      <c r="K47" s="2">
        <v>0.1</v>
      </c>
      <c r="L47" s="2"/>
      <c r="M47" s="2"/>
      <c r="N47" s="2"/>
      <c r="O47" s="2">
        <f t="shared" si="14"/>
        <v>5760.79</v>
      </c>
      <c r="P47" s="2">
        <f>ROUND(CQ47*I47,2)</f>
        <v>5760.79</v>
      </c>
      <c r="Q47" s="2">
        <f>ROUND(CR47*I47,2)</f>
        <v>0</v>
      </c>
      <c r="R47" s="2">
        <f>ROUND(CS47*I47,2)</f>
        <v>0</v>
      </c>
      <c r="S47" s="2">
        <f>ROUND(CT47*I47,2)</f>
        <v>0</v>
      </c>
      <c r="T47" s="2">
        <f t="shared" si="15"/>
        <v>0</v>
      </c>
      <c r="U47" s="2">
        <f>ROUND(CV47*I47,7)</f>
        <v>0</v>
      </c>
      <c r="V47" s="2">
        <f>ROUND(CW47*I47,7)</f>
        <v>0</v>
      </c>
      <c r="W47" s="2">
        <f t="shared" si="16"/>
        <v>0</v>
      </c>
      <c r="X47" s="2">
        <f t="shared" si="17"/>
        <v>0</v>
      </c>
      <c r="Y47" s="2">
        <f t="shared" si="18"/>
        <v>0</v>
      </c>
      <c r="Z47" s="2"/>
      <c r="AA47" s="2">
        <v>55858619</v>
      </c>
      <c r="AB47" s="2">
        <f t="shared" si="19"/>
        <v>1451.81</v>
      </c>
      <c r="AC47" s="2">
        <f>ROUND((ES47),6)</f>
        <v>1451.81</v>
      </c>
      <c r="AD47" s="2">
        <f>ROUND((((ET47)-(EU47))+AE47),6)</f>
        <v>0</v>
      </c>
      <c r="AE47" s="2">
        <f>ROUND((EU47),6)</f>
        <v>0</v>
      </c>
      <c r="AF47" s="2">
        <f>ROUND((EV47),6)</f>
        <v>0</v>
      </c>
      <c r="AG47" s="2">
        <f t="shared" si="20"/>
        <v>0</v>
      </c>
      <c r="AH47" s="2">
        <f>(EW47)</f>
        <v>0</v>
      </c>
      <c r="AI47" s="2">
        <f>(EX47)</f>
        <v>0</v>
      </c>
      <c r="AJ47" s="2">
        <f t="shared" si="21"/>
        <v>0</v>
      </c>
      <c r="AK47" s="2">
        <v>1451.81</v>
      </c>
      <c r="AL47" s="2">
        <v>1451.81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92</v>
      </c>
      <c r="AU47" s="2">
        <v>52</v>
      </c>
      <c r="AV47" s="2">
        <v>1</v>
      </c>
      <c r="AW47" s="2">
        <v>1</v>
      </c>
      <c r="AX47" s="2"/>
      <c r="AY47" s="2"/>
      <c r="AZ47" s="2">
        <v>1</v>
      </c>
      <c r="BA47" s="2">
        <v>1</v>
      </c>
      <c r="BB47" s="2">
        <v>1</v>
      </c>
      <c r="BC47" s="2">
        <v>1.6</v>
      </c>
      <c r="BD47" s="2" t="s">
        <v>3</v>
      </c>
      <c r="BE47" s="2" t="s">
        <v>3</v>
      </c>
      <c r="BF47" s="2" t="s">
        <v>3</v>
      </c>
      <c r="BG47" s="2" t="s">
        <v>3</v>
      </c>
      <c r="BH47" s="2">
        <v>3</v>
      </c>
      <c r="BI47" s="2">
        <v>1</v>
      </c>
      <c r="BJ47" s="2" t="s">
        <v>156</v>
      </c>
      <c r="BK47" s="2"/>
      <c r="BL47" s="2"/>
      <c r="BM47" s="2">
        <v>53001</v>
      </c>
      <c r="BN47" s="2">
        <v>0</v>
      </c>
      <c r="BO47" s="2" t="s">
        <v>153</v>
      </c>
      <c r="BP47" s="2">
        <v>1</v>
      </c>
      <c r="BQ47" s="2">
        <v>6</v>
      </c>
      <c r="BR47" s="2">
        <v>0</v>
      </c>
      <c r="BS47" s="2">
        <v>1</v>
      </c>
      <c r="BT47" s="2">
        <v>1</v>
      </c>
      <c r="BU47" s="2">
        <v>1</v>
      </c>
      <c r="BV47" s="2">
        <v>1</v>
      </c>
      <c r="BW47" s="2">
        <v>1</v>
      </c>
      <c r="BX47" s="2">
        <v>1</v>
      </c>
      <c r="BY47" s="2" t="s">
        <v>3</v>
      </c>
      <c r="BZ47" s="2">
        <v>92</v>
      </c>
      <c r="CA47" s="2">
        <v>52</v>
      </c>
      <c r="CB47" s="2" t="s">
        <v>3</v>
      </c>
      <c r="CC47" s="2"/>
      <c r="CD47" s="2"/>
      <c r="CE47" s="2">
        <v>0</v>
      </c>
      <c r="CF47" s="2">
        <v>0</v>
      </c>
      <c r="CG47" s="2">
        <v>0</v>
      </c>
      <c r="CH47" s="2"/>
      <c r="CI47" s="2"/>
      <c r="CJ47" s="2"/>
      <c r="CK47" s="2"/>
      <c r="CL47" s="2"/>
      <c r="CM47" s="2">
        <v>0</v>
      </c>
      <c r="CN47" s="2" t="s">
        <v>3</v>
      </c>
      <c r="CO47" s="2">
        <v>0</v>
      </c>
      <c r="CP47" s="2">
        <f t="shared" si="22"/>
        <v>5760.79</v>
      </c>
      <c r="CQ47" s="2">
        <f>ROUND(AL47*BC47,2)</f>
        <v>2322.9</v>
      </c>
      <c r="CR47" s="2">
        <f>ROUND(AM47*BB47,2)</f>
        <v>0</v>
      </c>
      <c r="CS47" s="2">
        <f>ROUND(AN47*BS47,2)</f>
        <v>0</v>
      </c>
      <c r="CT47" s="2">
        <f>ROUND(AO47*BA47,2)</f>
        <v>0</v>
      </c>
      <c r="CU47" s="2">
        <f t="shared" si="23"/>
        <v>0</v>
      </c>
      <c r="CV47" s="2">
        <f>AH47</f>
        <v>0</v>
      </c>
      <c r="CW47" s="2">
        <f>AI47</f>
        <v>0</v>
      </c>
      <c r="CX47" s="2">
        <f t="shared" si="24"/>
        <v>0</v>
      </c>
      <c r="CY47" s="2">
        <f t="shared" si="25"/>
        <v>0</v>
      </c>
      <c r="CZ47" s="2">
        <f t="shared" si="26"/>
        <v>0</v>
      </c>
      <c r="DA47" s="2"/>
      <c r="DB47" s="2"/>
      <c r="DC47" s="2" t="s">
        <v>3</v>
      </c>
      <c r="DD47" s="2" t="s">
        <v>3</v>
      </c>
      <c r="DE47" s="2" t="s">
        <v>3</v>
      </c>
      <c r="DF47" s="2" t="s">
        <v>3</v>
      </c>
      <c r="DG47" s="2" t="s">
        <v>3</v>
      </c>
      <c r="DH47" s="2" t="s">
        <v>3</v>
      </c>
      <c r="DI47" s="2" t="s">
        <v>3</v>
      </c>
      <c r="DJ47" s="2" t="s">
        <v>3</v>
      </c>
      <c r="DK47" s="2" t="s">
        <v>3</v>
      </c>
      <c r="DL47" s="2" t="s">
        <v>3</v>
      </c>
      <c r="DM47" s="2" t="s">
        <v>3</v>
      </c>
      <c r="DN47" s="2">
        <v>0</v>
      </c>
      <c r="DO47" s="2">
        <v>0</v>
      </c>
      <c r="DP47" s="2">
        <v>1</v>
      </c>
      <c r="DQ47" s="2">
        <v>1</v>
      </c>
      <c r="DR47" s="2"/>
      <c r="DS47" s="2"/>
      <c r="DT47" s="2"/>
      <c r="DU47" s="2">
        <v>1003</v>
      </c>
      <c r="DV47" s="2" t="s">
        <v>155</v>
      </c>
      <c r="DW47" s="2" t="s">
        <v>155</v>
      </c>
      <c r="DX47" s="2">
        <v>10</v>
      </c>
      <c r="DY47" s="2"/>
      <c r="DZ47" s="2" t="s">
        <v>3</v>
      </c>
      <c r="EA47" s="2" t="s">
        <v>3</v>
      </c>
      <c r="EB47" s="2" t="s">
        <v>3</v>
      </c>
      <c r="EC47" s="2" t="s">
        <v>3</v>
      </c>
      <c r="ED47" s="2"/>
      <c r="EE47" s="2">
        <v>54458999</v>
      </c>
      <c r="EF47" s="2">
        <v>6</v>
      </c>
      <c r="EG47" s="2" t="s">
        <v>21</v>
      </c>
      <c r="EH47" s="2">
        <v>87</v>
      </c>
      <c r="EI47" s="2" t="s">
        <v>148</v>
      </c>
      <c r="EJ47" s="2">
        <v>1</v>
      </c>
      <c r="EK47" s="2">
        <v>53001</v>
      </c>
      <c r="EL47" s="2" t="s">
        <v>148</v>
      </c>
      <c r="EM47" s="2" t="s">
        <v>149</v>
      </c>
      <c r="EN47" s="2"/>
      <c r="EO47" s="2" t="s">
        <v>3</v>
      </c>
      <c r="EP47" s="2"/>
      <c r="EQ47" s="2">
        <v>0</v>
      </c>
      <c r="ER47" s="2">
        <v>1451.81</v>
      </c>
      <c r="ES47" s="2">
        <v>1451.81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>
        <v>0</v>
      </c>
      <c r="FR47" s="2">
        <v>0</v>
      </c>
      <c r="FS47" s="2">
        <v>0</v>
      </c>
      <c r="FT47" s="2"/>
      <c r="FU47" s="2"/>
      <c r="FV47" s="2"/>
      <c r="FW47" s="2"/>
      <c r="FX47" s="2">
        <v>92</v>
      </c>
      <c r="FY47" s="2">
        <v>52</v>
      </c>
      <c r="FZ47" s="2"/>
      <c r="GA47" s="2" t="s">
        <v>3</v>
      </c>
      <c r="GB47" s="2"/>
      <c r="GC47" s="2"/>
      <c r="GD47" s="2">
        <v>1</v>
      </c>
      <c r="GE47" s="2"/>
      <c r="GF47" s="2">
        <v>-878733736</v>
      </c>
      <c r="GG47" s="2">
        <v>2</v>
      </c>
      <c r="GH47" s="2">
        <v>1</v>
      </c>
      <c r="GI47" s="2">
        <v>2</v>
      </c>
      <c r="GJ47" s="2">
        <v>0</v>
      </c>
      <c r="GK47" s="2">
        <v>0</v>
      </c>
      <c r="GL47" s="2">
        <f t="shared" si="27"/>
        <v>0</v>
      </c>
      <c r="GM47" s="2">
        <f t="shared" si="28"/>
        <v>5760.79</v>
      </c>
      <c r="GN47" s="2">
        <f t="shared" si="29"/>
        <v>5760.79</v>
      </c>
      <c r="GO47" s="2">
        <f t="shared" si="30"/>
        <v>0</v>
      </c>
      <c r="GP47" s="2">
        <f t="shared" si="31"/>
        <v>0</v>
      </c>
      <c r="GQ47" s="2"/>
      <c r="GR47" s="2">
        <v>0</v>
      </c>
      <c r="GS47" s="2">
        <v>3</v>
      </c>
      <c r="GT47" s="2">
        <v>0</v>
      </c>
      <c r="GU47" s="2" t="s">
        <v>3</v>
      </c>
      <c r="GV47" s="2">
        <f t="shared" si="32"/>
        <v>0</v>
      </c>
      <c r="GW47" s="2">
        <v>1</v>
      </c>
      <c r="GX47" s="2">
        <f t="shared" si="33"/>
        <v>0</v>
      </c>
      <c r="GY47" s="2"/>
      <c r="GZ47" s="2"/>
      <c r="HA47" s="2">
        <v>0</v>
      </c>
      <c r="HB47" s="2">
        <v>0</v>
      </c>
      <c r="HC47" s="2">
        <f t="shared" si="34"/>
        <v>0</v>
      </c>
      <c r="HD47" s="2"/>
      <c r="HE47" s="2" t="s">
        <v>3</v>
      </c>
      <c r="HF47" s="2" t="s">
        <v>3</v>
      </c>
      <c r="HG47" s="2"/>
      <c r="HH47" s="2"/>
      <c r="HI47" s="2"/>
      <c r="HJ47" s="2"/>
      <c r="HK47" s="2"/>
      <c r="HL47" s="2"/>
      <c r="HM47" s="2" t="s">
        <v>3</v>
      </c>
      <c r="HN47" s="2" t="s">
        <v>150</v>
      </c>
      <c r="HO47" s="2" t="s">
        <v>151</v>
      </c>
      <c r="HP47" s="2" t="s">
        <v>148</v>
      </c>
      <c r="HQ47" s="2" t="s">
        <v>148</v>
      </c>
      <c r="HR47" s="2"/>
      <c r="HS47" s="2">
        <v>0</v>
      </c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>
        <v>0</v>
      </c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 spans="1:255" ht="13.15" customHeight="1" x14ac:dyDescent="0.2">
      <c r="A48" s="2">
        <v>17</v>
      </c>
      <c r="B48" s="2">
        <v>1</v>
      </c>
      <c r="C48" s="2">
        <f>ROW(SmtRes!A82)</f>
        <v>82</v>
      </c>
      <c r="D48" s="2">
        <f>ROW(EtalonRes!A84)</f>
        <v>84</v>
      </c>
      <c r="E48" s="2" t="s">
        <v>157</v>
      </c>
      <c r="F48" s="2" t="s">
        <v>158</v>
      </c>
      <c r="G48" s="87" t="s">
        <v>159</v>
      </c>
      <c r="H48" s="87" t="s">
        <v>160</v>
      </c>
      <c r="I48" s="87">
        <f>ROUND(10/100,7)</f>
        <v>0.1</v>
      </c>
      <c r="J48" s="2">
        <v>0</v>
      </c>
      <c r="K48" s="2">
        <f>ROUND(10/100,7)</f>
        <v>0.1</v>
      </c>
      <c r="L48" s="2"/>
      <c r="M48" s="2"/>
      <c r="N48" s="2"/>
      <c r="O48" s="2">
        <f t="shared" si="14"/>
        <v>320.23</v>
      </c>
      <c r="P48" s="2">
        <f>SUMIF(SmtRes!AQ75:'SmtRes'!AQ82,"=1",SmtRes!DF75:'SmtRes'!DF82)</f>
        <v>0</v>
      </c>
      <c r="Q48" s="2">
        <f>SUMIF(SmtRes!AQ75:'SmtRes'!AQ82,"=1",SmtRes!DG75:'SmtRes'!DG82)</f>
        <v>24.72</v>
      </c>
      <c r="R48" s="2">
        <f>SUMIF(SmtRes!AQ75:'SmtRes'!AQ82,"=1",SmtRes!DH75:'SmtRes'!DH82)</f>
        <v>15.57</v>
      </c>
      <c r="S48" s="2">
        <f>SUMIF(SmtRes!AQ75:'SmtRes'!AQ82,"=1",SmtRes!DI75:'SmtRes'!DI82)</f>
        <v>279.94</v>
      </c>
      <c r="T48" s="2">
        <f t="shared" si="15"/>
        <v>0</v>
      </c>
      <c r="U48" s="2">
        <f>SUMIF(SmtRes!AQ75:'SmtRes'!AQ82,"=1",SmtRes!CV75:'SmtRes'!CV82)</f>
        <v>0.74099999999999999</v>
      </c>
      <c r="V48" s="2">
        <f>SUMIF(SmtRes!AQ75:'SmtRes'!AQ82,"=1",SmtRes!CW75:'SmtRes'!CW82)</f>
        <v>3.9E-2</v>
      </c>
      <c r="W48" s="2">
        <f t="shared" si="16"/>
        <v>0</v>
      </c>
      <c r="X48" s="2">
        <f t="shared" si="17"/>
        <v>330.97</v>
      </c>
      <c r="Y48" s="2">
        <f t="shared" si="18"/>
        <v>192.08</v>
      </c>
      <c r="Z48" s="2"/>
      <c r="AA48" s="2">
        <v>55858619</v>
      </c>
      <c r="AB48" s="2">
        <f t="shared" si="19"/>
        <v>3040.6949</v>
      </c>
      <c r="AC48" s="2">
        <f>ROUND((0),6)</f>
        <v>0</v>
      </c>
      <c r="AD48" s="2">
        <f>ROUND((((SUM(SmtRes!BR75:'SmtRes'!BR82))-(SUM(SmtRes!BS75:'SmtRes'!BS82)))+AE48),6)</f>
        <v>241.27099999999999</v>
      </c>
      <c r="AE48" s="2">
        <f>ROUND((SUM(SmtRes!BS75:'SmtRes'!BS82)),6)</f>
        <v>155.67910000000001</v>
      </c>
      <c r="AF48" s="2">
        <f>ROUND((SUM(SmtRes!BT75:'SmtRes'!BT82)),6)</f>
        <v>2799.4238999999998</v>
      </c>
      <c r="AG48" s="2">
        <f t="shared" si="20"/>
        <v>0</v>
      </c>
      <c r="AH48" s="2">
        <f>(SUM(SmtRes!BU75:'SmtRes'!BU82))</f>
        <v>7.41</v>
      </c>
      <c r="AI48" s="2">
        <f>(SUM(SmtRes!BV75:'SmtRes'!BV82))</f>
        <v>0.39</v>
      </c>
      <c r="AJ48" s="2">
        <f t="shared" si="21"/>
        <v>0</v>
      </c>
      <c r="AK48" s="2">
        <v>3196.3740000000003</v>
      </c>
      <c r="AL48" s="2">
        <v>0</v>
      </c>
      <c r="AM48" s="2">
        <v>241.27100000000002</v>
      </c>
      <c r="AN48" s="2">
        <v>155.67910000000001</v>
      </c>
      <c r="AO48" s="2">
        <v>2799.4239000000002</v>
      </c>
      <c r="AP48" s="2">
        <v>0</v>
      </c>
      <c r="AQ48" s="2">
        <v>7.41</v>
      </c>
      <c r="AR48" s="2">
        <v>0.39</v>
      </c>
      <c r="AS48" s="2">
        <v>0</v>
      </c>
      <c r="AT48" s="2">
        <v>112</v>
      </c>
      <c r="AU48" s="2">
        <v>65</v>
      </c>
      <c r="AV48" s="2">
        <v>1</v>
      </c>
      <c r="AW48" s="2">
        <v>1</v>
      </c>
      <c r="AX48" s="2"/>
      <c r="AY48" s="2"/>
      <c r="AZ48" s="2">
        <v>1</v>
      </c>
      <c r="BA48" s="2">
        <v>1</v>
      </c>
      <c r="BB48" s="2">
        <v>1</v>
      </c>
      <c r="BC48" s="2">
        <v>1</v>
      </c>
      <c r="BD48" s="2" t="s">
        <v>3</v>
      </c>
      <c r="BE48" s="2" t="s">
        <v>3</v>
      </c>
      <c r="BF48" s="2" t="s">
        <v>3</v>
      </c>
      <c r="BG48" s="2" t="s">
        <v>3</v>
      </c>
      <c r="BH48" s="2">
        <v>0</v>
      </c>
      <c r="BI48" s="2">
        <v>1</v>
      </c>
      <c r="BJ48" s="2" t="s">
        <v>161</v>
      </c>
      <c r="BK48" s="2"/>
      <c r="BL48" s="2"/>
      <c r="BM48" s="2">
        <v>11001</v>
      </c>
      <c r="BN48" s="2">
        <v>0</v>
      </c>
      <c r="BO48" s="2" t="s">
        <v>3</v>
      </c>
      <c r="BP48" s="2">
        <v>0</v>
      </c>
      <c r="BQ48" s="2">
        <v>2</v>
      </c>
      <c r="BR48" s="2">
        <v>0</v>
      </c>
      <c r="BS48" s="2">
        <v>1</v>
      </c>
      <c r="BT48" s="2">
        <v>1</v>
      </c>
      <c r="BU48" s="2">
        <v>1</v>
      </c>
      <c r="BV48" s="2">
        <v>1</v>
      </c>
      <c r="BW48" s="2">
        <v>1</v>
      </c>
      <c r="BX48" s="2">
        <v>1</v>
      </c>
      <c r="BY48" s="2" t="s">
        <v>3</v>
      </c>
      <c r="BZ48" s="2">
        <v>112</v>
      </c>
      <c r="CA48" s="2">
        <v>65</v>
      </c>
      <c r="CB48" s="2" t="s">
        <v>3</v>
      </c>
      <c r="CC48" s="2"/>
      <c r="CD48" s="2"/>
      <c r="CE48" s="2">
        <v>0</v>
      </c>
      <c r="CF48" s="2">
        <v>0</v>
      </c>
      <c r="CG48" s="2">
        <v>0</v>
      </c>
      <c r="CH48" s="2"/>
      <c r="CI48" s="2"/>
      <c r="CJ48" s="2"/>
      <c r="CK48" s="2"/>
      <c r="CL48" s="2"/>
      <c r="CM48" s="2">
        <v>0</v>
      </c>
      <c r="CN48" s="2" t="s">
        <v>3</v>
      </c>
      <c r="CO48" s="2">
        <v>0</v>
      </c>
      <c r="CP48" s="2">
        <f t="shared" si="22"/>
        <v>320.22999999999996</v>
      </c>
      <c r="CQ48" s="2">
        <f>SUMIF(SmtRes!AQ75:'SmtRes'!AQ82,"=1",SmtRes!AA75:'SmtRes'!AA82)</f>
        <v>0</v>
      </c>
      <c r="CR48" s="2">
        <f>SUMIF(SmtRes!AQ75:'SmtRes'!AQ82,"=1",SmtRes!AB75:'SmtRes'!AB82)</f>
        <v>751.76</v>
      </c>
      <c r="CS48" s="2">
        <f>SUMIF(SmtRes!AQ75:'SmtRes'!AQ82,"=1",SmtRes!AC75:'SmtRes'!AC82)</f>
        <v>764.64</v>
      </c>
      <c r="CT48" s="2">
        <f>SUMIF(SmtRes!AQ75:'SmtRes'!AQ82,"=1",SmtRes!AD75:'SmtRes'!AD82)</f>
        <v>377.79</v>
      </c>
      <c r="CU48" s="2">
        <f t="shared" si="23"/>
        <v>0</v>
      </c>
      <c r="CV48" s="2">
        <f>SUMIF(SmtRes!AQ75:'SmtRes'!AQ82,"=1",SmtRes!BU75:'SmtRes'!BU82)</f>
        <v>7.41</v>
      </c>
      <c r="CW48" s="2">
        <f>SUMIF(SmtRes!AQ75:'SmtRes'!AQ82,"=1",SmtRes!BV75:'SmtRes'!BV82)</f>
        <v>0.39</v>
      </c>
      <c r="CX48" s="2">
        <f t="shared" si="24"/>
        <v>0</v>
      </c>
      <c r="CY48" s="2">
        <f t="shared" si="25"/>
        <v>330.97119999999995</v>
      </c>
      <c r="CZ48" s="2">
        <f t="shared" si="26"/>
        <v>192.08149999999998</v>
      </c>
      <c r="DA48" s="2"/>
      <c r="DB48" s="2"/>
      <c r="DC48" s="2" t="s">
        <v>3</v>
      </c>
      <c r="DD48" s="2" t="s">
        <v>3</v>
      </c>
      <c r="DE48" s="2" t="s">
        <v>3</v>
      </c>
      <c r="DF48" s="2" t="s">
        <v>3</v>
      </c>
      <c r="DG48" s="2" t="s">
        <v>3</v>
      </c>
      <c r="DH48" s="2" t="s">
        <v>3</v>
      </c>
      <c r="DI48" s="2" t="s">
        <v>3</v>
      </c>
      <c r="DJ48" s="2" t="s">
        <v>3</v>
      </c>
      <c r="DK48" s="2" t="s">
        <v>3</v>
      </c>
      <c r="DL48" s="2" t="s">
        <v>3</v>
      </c>
      <c r="DM48" s="2" t="s">
        <v>3</v>
      </c>
      <c r="DN48" s="2">
        <v>0</v>
      </c>
      <c r="DO48" s="2">
        <v>0</v>
      </c>
      <c r="DP48" s="2">
        <v>1</v>
      </c>
      <c r="DQ48" s="2">
        <v>1</v>
      </c>
      <c r="DR48" s="2"/>
      <c r="DS48" s="2"/>
      <c r="DT48" s="2"/>
      <c r="DU48" s="2">
        <v>1013</v>
      </c>
      <c r="DV48" s="2" t="s">
        <v>160</v>
      </c>
      <c r="DW48" s="2" t="s">
        <v>160</v>
      </c>
      <c r="DX48" s="2">
        <v>1</v>
      </c>
      <c r="DY48" s="2"/>
      <c r="DZ48" s="2" t="s">
        <v>3</v>
      </c>
      <c r="EA48" s="2" t="s">
        <v>3</v>
      </c>
      <c r="EB48" s="2" t="s">
        <v>3</v>
      </c>
      <c r="EC48" s="2" t="s">
        <v>3</v>
      </c>
      <c r="ED48" s="2"/>
      <c r="EE48" s="2">
        <v>54458926</v>
      </c>
      <c r="EF48" s="2">
        <v>2</v>
      </c>
      <c r="EG48" s="2" t="s">
        <v>35</v>
      </c>
      <c r="EH48" s="2">
        <v>11</v>
      </c>
      <c r="EI48" s="2" t="s">
        <v>22</v>
      </c>
      <c r="EJ48" s="2">
        <v>1</v>
      </c>
      <c r="EK48" s="2">
        <v>11001</v>
      </c>
      <c r="EL48" s="2" t="s">
        <v>22</v>
      </c>
      <c r="EM48" s="2" t="s">
        <v>63</v>
      </c>
      <c r="EN48" s="2"/>
      <c r="EO48" s="2" t="s">
        <v>3</v>
      </c>
      <c r="EP48" s="2"/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7.41</v>
      </c>
      <c r="EX48" s="2">
        <v>0.39</v>
      </c>
      <c r="EY48" s="2">
        <v>0</v>
      </c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>
        <v>0</v>
      </c>
      <c r="FR48" s="2">
        <v>0</v>
      </c>
      <c r="FS48" s="2">
        <v>0</v>
      </c>
      <c r="FT48" s="2"/>
      <c r="FU48" s="2"/>
      <c r="FV48" s="2"/>
      <c r="FW48" s="2"/>
      <c r="FX48" s="2">
        <v>112</v>
      </c>
      <c r="FY48" s="2">
        <v>65</v>
      </c>
      <c r="FZ48" s="2"/>
      <c r="GA48" s="2" t="s">
        <v>3</v>
      </c>
      <c r="GB48" s="2"/>
      <c r="GC48" s="2"/>
      <c r="GD48" s="2">
        <v>1</v>
      </c>
      <c r="GE48" s="2"/>
      <c r="GF48" s="2">
        <v>1293849037</v>
      </c>
      <c r="GG48" s="2">
        <v>2</v>
      </c>
      <c r="GH48" s="2">
        <v>1</v>
      </c>
      <c r="GI48" s="2">
        <v>-2</v>
      </c>
      <c r="GJ48" s="2">
        <v>0</v>
      </c>
      <c r="GK48" s="2">
        <v>0</v>
      </c>
      <c r="GL48" s="2">
        <f t="shared" si="27"/>
        <v>0</v>
      </c>
      <c r="GM48" s="2">
        <f t="shared" si="28"/>
        <v>843.28</v>
      </c>
      <c r="GN48" s="2">
        <f t="shared" si="29"/>
        <v>843.28</v>
      </c>
      <c r="GO48" s="2">
        <f t="shared" si="30"/>
        <v>0</v>
      </c>
      <c r="GP48" s="2">
        <f t="shared" si="31"/>
        <v>0</v>
      </c>
      <c r="GQ48" s="2"/>
      <c r="GR48" s="2">
        <v>0</v>
      </c>
      <c r="GS48" s="2">
        <v>0</v>
      </c>
      <c r="GT48" s="2">
        <v>0</v>
      </c>
      <c r="GU48" s="2" t="s">
        <v>3</v>
      </c>
      <c r="GV48" s="2">
        <f t="shared" si="32"/>
        <v>0</v>
      </c>
      <c r="GW48" s="2">
        <v>1</v>
      </c>
      <c r="GX48" s="2">
        <f t="shared" si="33"/>
        <v>0</v>
      </c>
      <c r="GY48" s="2"/>
      <c r="GZ48" s="2"/>
      <c r="HA48" s="2">
        <v>0</v>
      </c>
      <c r="HB48" s="2">
        <v>0</v>
      </c>
      <c r="HC48" s="2">
        <f t="shared" si="34"/>
        <v>0</v>
      </c>
      <c r="HD48" s="2"/>
      <c r="HE48" s="2" t="s">
        <v>3</v>
      </c>
      <c r="HF48" s="2" t="s">
        <v>3</v>
      </c>
      <c r="HG48" s="2"/>
      <c r="HH48" s="2"/>
      <c r="HI48" s="2"/>
      <c r="HJ48" s="2"/>
      <c r="HK48" s="2"/>
      <c r="HL48" s="2"/>
      <c r="HM48" s="2" t="s">
        <v>3</v>
      </c>
      <c r="HN48" s="2" t="s">
        <v>64</v>
      </c>
      <c r="HO48" s="2" t="s">
        <v>65</v>
      </c>
      <c r="HP48" s="2" t="s">
        <v>22</v>
      </c>
      <c r="HQ48" s="2" t="s">
        <v>22</v>
      </c>
      <c r="HR48" s="2"/>
      <c r="HS48" s="2">
        <v>0</v>
      </c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>
        <v>0</v>
      </c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55" ht="13.15" customHeight="1" x14ac:dyDescent="0.2">
      <c r="A49" s="2">
        <v>18</v>
      </c>
      <c r="B49" s="2">
        <v>1</v>
      </c>
      <c r="C49" s="2">
        <v>80</v>
      </c>
      <c r="D49" s="2"/>
      <c r="E49" s="2" t="s">
        <v>162</v>
      </c>
      <c r="F49" s="2" t="s">
        <v>163</v>
      </c>
      <c r="G49" s="87" t="s">
        <v>164</v>
      </c>
      <c r="H49" s="87" t="s">
        <v>69</v>
      </c>
      <c r="I49" s="87">
        <f>I48*J49</f>
        <v>2.5</v>
      </c>
      <c r="J49" s="2">
        <v>25</v>
      </c>
      <c r="K49" s="2">
        <v>25</v>
      </c>
      <c r="L49" s="2"/>
      <c r="M49" s="2"/>
      <c r="N49" s="2"/>
      <c r="O49" s="2">
        <f t="shared" si="14"/>
        <v>4085.83</v>
      </c>
      <c r="P49" s="2">
        <f>ROUND(CQ49*I49,2)</f>
        <v>4085.83</v>
      </c>
      <c r="Q49" s="2">
        <f>ROUND(CR49*I49,2)</f>
        <v>0</v>
      </c>
      <c r="R49" s="2">
        <f>ROUND(CS49*I49,2)</f>
        <v>0</v>
      </c>
      <c r="S49" s="2">
        <f>ROUND(CT49*I49,2)</f>
        <v>0</v>
      </c>
      <c r="T49" s="2">
        <f t="shared" si="15"/>
        <v>0</v>
      </c>
      <c r="U49" s="2">
        <f>ROUND(CV49*I49,7)</f>
        <v>0</v>
      </c>
      <c r="V49" s="2">
        <f>ROUND(CW49*I49,7)</f>
        <v>0</v>
      </c>
      <c r="W49" s="2">
        <f t="shared" si="16"/>
        <v>0</v>
      </c>
      <c r="X49" s="2">
        <f t="shared" si="17"/>
        <v>0</v>
      </c>
      <c r="Y49" s="2">
        <f t="shared" si="18"/>
        <v>0</v>
      </c>
      <c r="Z49" s="2"/>
      <c r="AA49" s="2">
        <v>55858619</v>
      </c>
      <c r="AB49" s="2">
        <f t="shared" si="19"/>
        <v>1373.39</v>
      </c>
      <c r="AC49" s="2">
        <f>ROUND((ES49),6)</f>
        <v>1373.39</v>
      </c>
      <c r="AD49" s="2">
        <f>ROUND((((ET49)-(EU49))+AE49),6)</f>
        <v>0</v>
      </c>
      <c r="AE49" s="2">
        <f t="shared" ref="AE49:AF51" si="41">ROUND((EU49),6)</f>
        <v>0</v>
      </c>
      <c r="AF49" s="2">
        <f t="shared" si="41"/>
        <v>0</v>
      </c>
      <c r="AG49" s="2">
        <f t="shared" si="20"/>
        <v>0</v>
      </c>
      <c r="AH49" s="2">
        <f t="shared" ref="AH49:AI51" si="42">(EW49)</f>
        <v>0</v>
      </c>
      <c r="AI49" s="2">
        <f t="shared" si="42"/>
        <v>0</v>
      </c>
      <c r="AJ49" s="2">
        <f t="shared" si="21"/>
        <v>0</v>
      </c>
      <c r="AK49" s="2">
        <v>1373.39</v>
      </c>
      <c r="AL49" s="2">
        <v>1373.39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112</v>
      </c>
      <c r="AU49" s="2">
        <v>65</v>
      </c>
      <c r="AV49" s="2">
        <v>1</v>
      </c>
      <c r="AW49" s="2">
        <v>1</v>
      </c>
      <c r="AX49" s="2"/>
      <c r="AY49" s="2"/>
      <c r="AZ49" s="2">
        <v>1</v>
      </c>
      <c r="BA49" s="2">
        <v>1</v>
      </c>
      <c r="BB49" s="2">
        <v>1</v>
      </c>
      <c r="BC49" s="2">
        <v>1.19</v>
      </c>
      <c r="BD49" s="2" t="s">
        <v>3</v>
      </c>
      <c r="BE49" s="2" t="s">
        <v>3</v>
      </c>
      <c r="BF49" s="2" t="s">
        <v>3</v>
      </c>
      <c r="BG49" s="2" t="s">
        <v>3</v>
      </c>
      <c r="BH49" s="2">
        <v>3</v>
      </c>
      <c r="BI49" s="2">
        <v>1</v>
      </c>
      <c r="BJ49" s="2" t="s">
        <v>165</v>
      </c>
      <c r="BK49" s="2"/>
      <c r="BL49" s="2"/>
      <c r="BM49" s="2">
        <v>11001</v>
      </c>
      <c r="BN49" s="2">
        <v>0</v>
      </c>
      <c r="BO49" s="2" t="s">
        <v>163</v>
      </c>
      <c r="BP49" s="2">
        <v>1</v>
      </c>
      <c r="BQ49" s="2">
        <v>2</v>
      </c>
      <c r="BR49" s="2">
        <v>0</v>
      </c>
      <c r="BS49" s="2">
        <v>1</v>
      </c>
      <c r="BT49" s="2">
        <v>1</v>
      </c>
      <c r="BU49" s="2">
        <v>1</v>
      </c>
      <c r="BV49" s="2">
        <v>1</v>
      </c>
      <c r="BW49" s="2">
        <v>1</v>
      </c>
      <c r="BX49" s="2">
        <v>1</v>
      </c>
      <c r="BY49" s="2" t="s">
        <v>3</v>
      </c>
      <c r="BZ49" s="2">
        <v>112</v>
      </c>
      <c r="CA49" s="2">
        <v>65</v>
      </c>
      <c r="CB49" s="2" t="s">
        <v>3</v>
      </c>
      <c r="CC49" s="2"/>
      <c r="CD49" s="2"/>
      <c r="CE49" s="2">
        <v>0</v>
      </c>
      <c r="CF49" s="2">
        <v>0</v>
      </c>
      <c r="CG49" s="2">
        <v>0</v>
      </c>
      <c r="CH49" s="2"/>
      <c r="CI49" s="2"/>
      <c r="CJ49" s="2"/>
      <c r="CK49" s="2"/>
      <c r="CL49" s="2"/>
      <c r="CM49" s="2">
        <v>0</v>
      </c>
      <c r="CN49" s="2" t="s">
        <v>3</v>
      </c>
      <c r="CO49" s="2">
        <v>0</v>
      </c>
      <c r="CP49" s="2">
        <f t="shared" si="22"/>
        <v>4085.83</v>
      </c>
      <c r="CQ49" s="2">
        <f>ROUND(AL49*BC49,2)</f>
        <v>1634.33</v>
      </c>
      <c r="CR49" s="2">
        <f>ROUND(AM49*BB49,2)</f>
        <v>0</v>
      </c>
      <c r="CS49" s="2">
        <f>ROUND(AN49*BS49,2)</f>
        <v>0</v>
      </c>
      <c r="CT49" s="2">
        <f>ROUND(AO49*BA49,2)</f>
        <v>0</v>
      </c>
      <c r="CU49" s="2">
        <f t="shared" si="23"/>
        <v>0</v>
      </c>
      <c r="CV49" s="2">
        <f t="shared" ref="CV49:CW51" si="43">AH49</f>
        <v>0</v>
      </c>
      <c r="CW49" s="2">
        <f t="shared" si="43"/>
        <v>0</v>
      </c>
      <c r="CX49" s="2">
        <f t="shared" si="24"/>
        <v>0</v>
      </c>
      <c r="CY49" s="2">
        <f t="shared" si="25"/>
        <v>0</v>
      </c>
      <c r="CZ49" s="2">
        <f t="shared" si="26"/>
        <v>0</v>
      </c>
      <c r="DA49" s="2"/>
      <c r="DB49" s="2"/>
      <c r="DC49" s="2" t="s">
        <v>3</v>
      </c>
      <c r="DD49" s="2" t="s">
        <v>3</v>
      </c>
      <c r="DE49" s="2" t="s">
        <v>3</v>
      </c>
      <c r="DF49" s="2" t="s">
        <v>3</v>
      </c>
      <c r="DG49" s="2" t="s">
        <v>3</v>
      </c>
      <c r="DH49" s="2" t="s">
        <v>3</v>
      </c>
      <c r="DI49" s="2" t="s">
        <v>3</v>
      </c>
      <c r="DJ49" s="2" t="s">
        <v>3</v>
      </c>
      <c r="DK49" s="2" t="s">
        <v>3</v>
      </c>
      <c r="DL49" s="2" t="s">
        <v>3</v>
      </c>
      <c r="DM49" s="2" t="s">
        <v>3</v>
      </c>
      <c r="DN49" s="2">
        <v>0</v>
      </c>
      <c r="DO49" s="2">
        <v>0</v>
      </c>
      <c r="DP49" s="2">
        <v>1</v>
      </c>
      <c r="DQ49" s="2">
        <v>1</v>
      </c>
      <c r="DR49" s="2"/>
      <c r="DS49" s="2"/>
      <c r="DT49" s="2"/>
      <c r="DU49" s="2">
        <v>1005</v>
      </c>
      <c r="DV49" s="2" t="s">
        <v>69</v>
      </c>
      <c r="DW49" s="2" t="s">
        <v>69</v>
      </c>
      <c r="DX49" s="2">
        <v>1</v>
      </c>
      <c r="DY49" s="2"/>
      <c r="DZ49" s="2" t="s">
        <v>3</v>
      </c>
      <c r="EA49" s="2" t="s">
        <v>3</v>
      </c>
      <c r="EB49" s="2" t="s">
        <v>3</v>
      </c>
      <c r="EC49" s="2" t="s">
        <v>3</v>
      </c>
      <c r="ED49" s="2"/>
      <c r="EE49" s="2">
        <v>54458926</v>
      </c>
      <c r="EF49" s="2">
        <v>2</v>
      </c>
      <c r="EG49" s="2" t="s">
        <v>35</v>
      </c>
      <c r="EH49" s="2">
        <v>11</v>
      </c>
      <c r="EI49" s="2" t="s">
        <v>22</v>
      </c>
      <c r="EJ49" s="2">
        <v>1</v>
      </c>
      <c r="EK49" s="2">
        <v>11001</v>
      </c>
      <c r="EL49" s="2" t="s">
        <v>22</v>
      </c>
      <c r="EM49" s="2" t="s">
        <v>63</v>
      </c>
      <c r="EN49" s="2"/>
      <c r="EO49" s="2" t="s">
        <v>3</v>
      </c>
      <c r="EP49" s="2"/>
      <c r="EQ49" s="2">
        <v>0</v>
      </c>
      <c r="ER49" s="2">
        <v>1373.39</v>
      </c>
      <c r="ES49" s="2">
        <v>1373.39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>
        <v>0</v>
      </c>
      <c r="FR49" s="2">
        <v>0</v>
      </c>
      <c r="FS49" s="2">
        <v>0</v>
      </c>
      <c r="FT49" s="2"/>
      <c r="FU49" s="2"/>
      <c r="FV49" s="2"/>
      <c r="FW49" s="2"/>
      <c r="FX49" s="2">
        <v>112</v>
      </c>
      <c r="FY49" s="2">
        <v>65</v>
      </c>
      <c r="FZ49" s="2"/>
      <c r="GA49" s="2" t="s">
        <v>3</v>
      </c>
      <c r="GB49" s="2"/>
      <c r="GC49" s="2"/>
      <c r="GD49" s="2">
        <v>1</v>
      </c>
      <c r="GE49" s="2"/>
      <c r="GF49" s="2">
        <v>-2108692517</v>
      </c>
      <c r="GG49" s="2">
        <v>2</v>
      </c>
      <c r="GH49" s="2">
        <v>1</v>
      </c>
      <c r="GI49" s="2">
        <v>2</v>
      </c>
      <c r="GJ49" s="2">
        <v>0</v>
      </c>
      <c r="GK49" s="2">
        <v>0</v>
      </c>
      <c r="GL49" s="2">
        <f t="shared" si="27"/>
        <v>0</v>
      </c>
      <c r="GM49" s="2">
        <f t="shared" si="28"/>
        <v>4085.83</v>
      </c>
      <c r="GN49" s="2">
        <f t="shared" si="29"/>
        <v>4085.83</v>
      </c>
      <c r="GO49" s="2">
        <f t="shared" si="30"/>
        <v>0</v>
      </c>
      <c r="GP49" s="2">
        <f t="shared" si="31"/>
        <v>0</v>
      </c>
      <c r="GQ49" s="2"/>
      <c r="GR49" s="2">
        <v>0</v>
      </c>
      <c r="GS49" s="2">
        <v>0</v>
      </c>
      <c r="GT49" s="2">
        <v>0</v>
      </c>
      <c r="GU49" s="2" t="s">
        <v>3</v>
      </c>
      <c r="GV49" s="2">
        <f t="shared" si="32"/>
        <v>0</v>
      </c>
      <c r="GW49" s="2">
        <v>1</v>
      </c>
      <c r="GX49" s="2">
        <f t="shared" si="33"/>
        <v>0</v>
      </c>
      <c r="GY49" s="2"/>
      <c r="GZ49" s="2"/>
      <c r="HA49" s="2">
        <v>0</v>
      </c>
      <c r="HB49" s="2">
        <v>0</v>
      </c>
      <c r="HC49" s="2">
        <f t="shared" si="34"/>
        <v>0</v>
      </c>
      <c r="HD49" s="2"/>
      <c r="HE49" s="2" t="s">
        <v>3</v>
      </c>
      <c r="HF49" s="2" t="s">
        <v>3</v>
      </c>
      <c r="HG49" s="2"/>
      <c r="HH49" s="2"/>
      <c r="HI49" s="2"/>
      <c r="HJ49" s="2"/>
      <c r="HK49" s="2"/>
      <c r="HL49" s="2"/>
      <c r="HM49" s="2" t="s">
        <v>3</v>
      </c>
      <c r="HN49" s="2" t="s">
        <v>64</v>
      </c>
      <c r="HO49" s="2" t="s">
        <v>65</v>
      </c>
      <c r="HP49" s="2" t="s">
        <v>22</v>
      </c>
      <c r="HQ49" s="2" t="s">
        <v>22</v>
      </c>
      <c r="HR49" s="2"/>
      <c r="HS49" s="2">
        <v>0</v>
      </c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>
        <v>0</v>
      </c>
      <c r="IL49" s="2"/>
      <c r="IM49" s="2"/>
      <c r="IN49" s="2"/>
      <c r="IO49" s="2"/>
      <c r="IP49" s="2"/>
      <c r="IQ49" s="2"/>
      <c r="IR49" s="2"/>
      <c r="IS49" s="2"/>
      <c r="IT49" s="2"/>
      <c r="IU49" s="2"/>
    </row>
    <row r="50" spans="1:255" ht="13.15" customHeight="1" x14ac:dyDescent="0.2">
      <c r="A50" s="2">
        <v>18</v>
      </c>
      <c r="B50" s="2">
        <v>1</v>
      </c>
      <c r="C50" s="2">
        <v>81</v>
      </c>
      <c r="D50" s="2"/>
      <c r="E50" s="2" t="s">
        <v>166</v>
      </c>
      <c r="F50" s="2" t="s">
        <v>167</v>
      </c>
      <c r="G50" s="87" t="s">
        <v>168</v>
      </c>
      <c r="H50" s="87" t="s">
        <v>82</v>
      </c>
      <c r="I50" s="87">
        <f>I48*J50</f>
        <v>0.8</v>
      </c>
      <c r="J50" s="2">
        <v>8</v>
      </c>
      <c r="K50" s="2">
        <v>8</v>
      </c>
      <c r="L50" s="2"/>
      <c r="M50" s="2"/>
      <c r="N50" s="2"/>
      <c r="O50" s="2">
        <f t="shared" si="14"/>
        <v>278.98</v>
      </c>
      <c r="P50" s="2">
        <f>ROUND(CQ50*I50,2)</f>
        <v>278.98</v>
      </c>
      <c r="Q50" s="2">
        <f>ROUND(CR50*I50,2)</f>
        <v>0</v>
      </c>
      <c r="R50" s="2">
        <f>ROUND(CS50*I50,2)</f>
        <v>0</v>
      </c>
      <c r="S50" s="2">
        <f>ROUND(CT50*I50,2)</f>
        <v>0</v>
      </c>
      <c r="T50" s="2">
        <f t="shared" si="15"/>
        <v>0</v>
      </c>
      <c r="U50" s="2">
        <f>ROUND(CV50*I50,7)</f>
        <v>0</v>
      </c>
      <c r="V50" s="2">
        <f>ROUND(CW50*I50,7)</f>
        <v>0</v>
      </c>
      <c r="W50" s="2">
        <f t="shared" si="16"/>
        <v>0</v>
      </c>
      <c r="X50" s="2">
        <f t="shared" si="17"/>
        <v>0</v>
      </c>
      <c r="Y50" s="2">
        <f t="shared" si="18"/>
        <v>0</v>
      </c>
      <c r="Z50" s="2"/>
      <c r="AA50" s="2">
        <v>55858619</v>
      </c>
      <c r="AB50" s="2">
        <f t="shared" si="19"/>
        <v>223.54</v>
      </c>
      <c r="AC50" s="2">
        <f>ROUND((ES50),6)</f>
        <v>223.54</v>
      </c>
      <c r="AD50" s="2">
        <f>ROUND((((ET50)-(EU50))+AE50),6)</f>
        <v>0</v>
      </c>
      <c r="AE50" s="2">
        <f t="shared" si="41"/>
        <v>0</v>
      </c>
      <c r="AF50" s="2">
        <f t="shared" si="41"/>
        <v>0</v>
      </c>
      <c r="AG50" s="2">
        <f t="shared" si="20"/>
        <v>0</v>
      </c>
      <c r="AH50" s="2">
        <f t="shared" si="42"/>
        <v>0</v>
      </c>
      <c r="AI50" s="2">
        <f t="shared" si="42"/>
        <v>0</v>
      </c>
      <c r="AJ50" s="2">
        <f t="shared" si="21"/>
        <v>0</v>
      </c>
      <c r="AK50" s="2">
        <v>223.54</v>
      </c>
      <c r="AL50" s="2">
        <v>223.54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112</v>
      </c>
      <c r="AU50" s="2">
        <v>65</v>
      </c>
      <c r="AV50" s="2">
        <v>1</v>
      </c>
      <c r="AW50" s="2">
        <v>1</v>
      </c>
      <c r="AX50" s="2"/>
      <c r="AY50" s="2"/>
      <c r="AZ50" s="2">
        <v>1</v>
      </c>
      <c r="BA50" s="2">
        <v>1</v>
      </c>
      <c r="BB50" s="2">
        <v>1</v>
      </c>
      <c r="BC50" s="2">
        <v>1.56</v>
      </c>
      <c r="BD50" s="2" t="s">
        <v>3</v>
      </c>
      <c r="BE50" s="2" t="s">
        <v>3</v>
      </c>
      <c r="BF50" s="2" t="s">
        <v>3</v>
      </c>
      <c r="BG50" s="2" t="s">
        <v>3</v>
      </c>
      <c r="BH50" s="2">
        <v>3</v>
      </c>
      <c r="BI50" s="2">
        <v>1</v>
      </c>
      <c r="BJ50" s="2" t="s">
        <v>169</v>
      </c>
      <c r="BK50" s="2"/>
      <c r="BL50" s="2"/>
      <c r="BM50" s="2">
        <v>11001</v>
      </c>
      <c r="BN50" s="2">
        <v>0</v>
      </c>
      <c r="BO50" s="2" t="s">
        <v>167</v>
      </c>
      <c r="BP50" s="2">
        <v>1</v>
      </c>
      <c r="BQ50" s="2">
        <v>2</v>
      </c>
      <c r="BR50" s="2">
        <v>0</v>
      </c>
      <c r="BS50" s="2">
        <v>1</v>
      </c>
      <c r="BT50" s="2">
        <v>1</v>
      </c>
      <c r="BU50" s="2">
        <v>1</v>
      </c>
      <c r="BV50" s="2">
        <v>1</v>
      </c>
      <c r="BW50" s="2">
        <v>1</v>
      </c>
      <c r="BX50" s="2">
        <v>1</v>
      </c>
      <c r="BY50" s="2" t="s">
        <v>3</v>
      </c>
      <c r="BZ50" s="2">
        <v>112</v>
      </c>
      <c r="CA50" s="2">
        <v>65</v>
      </c>
      <c r="CB50" s="2" t="s">
        <v>3</v>
      </c>
      <c r="CC50" s="2"/>
      <c r="CD50" s="2"/>
      <c r="CE50" s="2">
        <v>0</v>
      </c>
      <c r="CF50" s="2">
        <v>0</v>
      </c>
      <c r="CG50" s="2">
        <v>0</v>
      </c>
      <c r="CH50" s="2"/>
      <c r="CI50" s="2"/>
      <c r="CJ50" s="2"/>
      <c r="CK50" s="2"/>
      <c r="CL50" s="2"/>
      <c r="CM50" s="2">
        <v>0</v>
      </c>
      <c r="CN50" s="2" t="s">
        <v>3</v>
      </c>
      <c r="CO50" s="2">
        <v>0</v>
      </c>
      <c r="CP50" s="2">
        <f t="shared" si="22"/>
        <v>278.98</v>
      </c>
      <c r="CQ50" s="2">
        <f>ROUND(AL50*BC50,2)</f>
        <v>348.72</v>
      </c>
      <c r="CR50" s="2">
        <f>ROUND(AM50*BB50,2)</f>
        <v>0</v>
      </c>
      <c r="CS50" s="2">
        <f>ROUND(AN50*BS50,2)</f>
        <v>0</v>
      </c>
      <c r="CT50" s="2">
        <f>ROUND(AO50*BA50,2)</f>
        <v>0</v>
      </c>
      <c r="CU50" s="2">
        <f t="shared" si="23"/>
        <v>0</v>
      </c>
      <c r="CV50" s="2">
        <f t="shared" si="43"/>
        <v>0</v>
      </c>
      <c r="CW50" s="2">
        <f t="shared" si="43"/>
        <v>0</v>
      </c>
      <c r="CX50" s="2">
        <f t="shared" si="24"/>
        <v>0</v>
      </c>
      <c r="CY50" s="2">
        <f t="shared" si="25"/>
        <v>0</v>
      </c>
      <c r="CZ50" s="2">
        <f t="shared" si="26"/>
        <v>0</v>
      </c>
      <c r="DA50" s="2"/>
      <c r="DB50" s="2"/>
      <c r="DC50" s="2" t="s">
        <v>3</v>
      </c>
      <c r="DD50" s="2" t="s">
        <v>3</v>
      </c>
      <c r="DE50" s="2" t="s">
        <v>3</v>
      </c>
      <c r="DF50" s="2" t="s">
        <v>3</v>
      </c>
      <c r="DG50" s="2" t="s">
        <v>3</v>
      </c>
      <c r="DH50" s="2" t="s">
        <v>3</v>
      </c>
      <c r="DI50" s="2" t="s">
        <v>3</v>
      </c>
      <c r="DJ50" s="2" t="s">
        <v>3</v>
      </c>
      <c r="DK50" s="2" t="s">
        <v>3</v>
      </c>
      <c r="DL50" s="2" t="s">
        <v>3</v>
      </c>
      <c r="DM50" s="2" t="s">
        <v>3</v>
      </c>
      <c r="DN50" s="2">
        <v>0</v>
      </c>
      <c r="DO50" s="2">
        <v>0</v>
      </c>
      <c r="DP50" s="2">
        <v>1</v>
      </c>
      <c r="DQ50" s="2">
        <v>1</v>
      </c>
      <c r="DR50" s="2"/>
      <c r="DS50" s="2"/>
      <c r="DT50" s="2"/>
      <c r="DU50" s="2">
        <v>1009</v>
      </c>
      <c r="DV50" s="2" t="s">
        <v>82</v>
      </c>
      <c r="DW50" s="2" t="s">
        <v>82</v>
      </c>
      <c r="DX50" s="2">
        <v>1</v>
      </c>
      <c r="DY50" s="2"/>
      <c r="DZ50" s="2" t="s">
        <v>3</v>
      </c>
      <c r="EA50" s="2" t="s">
        <v>3</v>
      </c>
      <c r="EB50" s="2" t="s">
        <v>3</v>
      </c>
      <c r="EC50" s="2" t="s">
        <v>3</v>
      </c>
      <c r="ED50" s="2"/>
      <c r="EE50" s="2">
        <v>54458926</v>
      </c>
      <c r="EF50" s="2">
        <v>2</v>
      </c>
      <c r="EG50" s="2" t="s">
        <v>35</v>
      </c>
      <c r="EH50" s="2">
        <v>11</v>
      </c>
      <c r="EI50" s="2" t="s">
        <v>22</v>
      </c>
      <c r="EJ50" s="2">
        <v>1</v>
      </c>
      <c r="EK50" s="2">
        <v>11001</v>
      </c>
      <c r="EL50" s="2" t="s">
        <v>22</v>
      </c>
      <c r="EM50" s="2" t="s">
        <v>63</v>
      </c>
      <c r="EN50" s="2"/>
      <c r="EO50" s="2" t="s">
        <v>3</v>
      </c>
      <c r="EP50" s="2"/>
      <c r="EQ50" s="2">
        <v>0</v>
      </c>
      <c r="ER50" s="2">
        <v>223.54</v>
      </c>
      <c r="ES50" s="2">
        <v>223.54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>
        <v>0</v>
      </c>
      <c r="FR50" s="2">
        <v>0</v>
      </c>
      <c r="FS50" s="2">
        <v>0</v>
      </c>
      <c r="FT50" s="2"/>
      <c r="FU50" s="2"/>
      <c r="FV50" s="2"/>
      <c r="FW50" s="2"/>
      <c r="FX50" s="2">
        <v>112</v>
      </c>
      <c r="FY50" s="2">
        <v>65</v>
      </c>
      <c r="FZ50" s="2"/>
      <c r="GA50" s="2" t="s">
        <v>3</v>
      </c>
      <c r="GB50" s="2"/>
      <c r="GC50" s="2"/>
      <c r="GD50" s="2">
        <v>1</v>
      </c>
      <c r="GE50" s="2"/>
      <c r="GF50" s="2">
        <v>41432369</v>
      </c>
      <c r="GG50" s="2">
        <v>2</v>
      </c>
      <c r="GH50" s="2">
        <v>1</v>
      </c>
      <c r="GI50" s="2">
        <v>2</v>
      </c>
      <c r="GJ50" s="2">
        <v>0</v>
      </c>
      <c r="GK50" s="2">
        <v>0</v>
      </c>
      <c r="GL50" s="2">
        <f t="shared" si="27"/>
        <v>0</v>
      </c>
      <c r="GM50" s="2">
        <f t="shared" si="28"/>
        <v>278.98</v>
      </c>
      <c r="GN50" s="2">
        <f t="shared" si="29"/>
        <v>278.98</v>
      </c>
      <c r="GO50" s="2">
        <f t="shared" si="30"/>
        <v>0</v>
      </c>
      <c r="GP50" s="2">
        <f t="shared" si="31"/>
        <v>0</v>
      </c>
      <c r="GQ50" s="2"/>
      <c r="GR50" s="2">
        <v>0</v>
      </c>
      <c r="GS50" s="2">
        <v>0</v>
      </c>
      <c r="GT50" s="2">
        <v>0</v>
      </c>
      <c r="GU50" s="2" t="s">
        <v>3</v>
      </c>
      <c r="GV50" s="2">
        <f t="shared" si="32"/>
        <v>0</v>
      </c>
      <c r="GW50" s="2">
        <v>1</v>
      </c>
      <c r="GX50" s="2">
        <f t="shared" si="33"/>
        <v>0</v>
      </c>
      <c r="GY50" s="2"/>
      <c r="GZ50" s="2"/>
      <c r="HA50" s="2">
        <v>0</v>
      </c>
      <c r="HB50" s="2">
        <v>0</v>
      </c>
      <c r="HC50" s="2">
        <f t="shared" si="34"/>
        <v>0</v>
      </c>
      <c r="HD50" s="2"/>
      <c r="HE50" s="2" t="s">
        <v>3</v>
      </c>
      <c r="HF50" s="2" t="s">
        <v>3</v>
      </c>
      <c r="HG50" s="2"/>
      <c r="HH50" s="2"/>
      <c r="HI50" s="2"/>
      <c r="HJ50" s="2"/>
      <c r="HK50" s="2"/>
      <c r="HL50" s="2"/>
      <c r="HM50" s="2" t="s">
        <v>3</v>
      </c>
      <c r="HN50" s="2" t="s">
        <v>64</v>
      </c>
      <c r="HO50" s="2" t="s">
        <v>65</v>
      </c>
      <c r="HP50" s="2" t="s">
        <v>22</v>
      </c>
      <c r="HQ50" s="2" t="s">
        <v>22</v>
      </c>
      <c r="HR50" s="2"/>
      <c r="HS50" s="2">
        <v>0</v>
      </c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>
        <v>0</v>
      </c>
      <c r="IL50" s="2"/>
      <c r="IM50" s="2"/>
      <c r="IN50" s="2"/>
      <c r="IO50" s="2"/>
      <c r="IP50" s="2"/>
      <c r="IQ50" s="2"/>
      <c r="IR50" s="2"/>
      <c r="IS50" s="2"/>
      <c r="IT50" s="2"/>
      <c r="IU50" s="2"/>
    </row>
    <row r="51" spans="1:255" ht="13.15" customHeight="1" x14ac:dyDescent="0.2">
      <c r="A51" s="2">
        <v>18</v>
      </c>
      <c r="B51" s="2">
        <v>1</v>
      </c>
      <c r="C51" s="2">
        <v>82</v>
      </c>
      <c r="D51" s="2"/>
      <c r="E51" s="2" t="s">
        <v>170</v>
      </c>
      <c r="F51" s="2" t="s">
        <v>171</v>
      </c>
      <c r="G51" s="87" t="s">
        <v>172</v>
      </c>
      <c r="H51" s="87" t="s">
        <v>29</v>
      </c>
      <c r="I51" s="87">
        <f>I48*J51</f>
        <v>2.5000000000000001E-4</v>
      </c>
      <c r="J51" s="2">
        <v>2.5000000000000001E-3</v>
      </c>
      <c r="K51" s="2">
        <v>2.5000000000000001E-3</v>
      </c>
      <c r="L51" s="2"/>
      <c r="M51" s="2"/>
      <c r="N51" s="2"/>
      <c r="O51" s="2">
        <f t="shared" si="14"/>
        <v>61.26</v>
      </c>
      <c r="P51" s="2">
        <f>ROUND(CQ51*I51,2)</f>
        <v>61.26</v>
      </c>
      <c r="Q51" s="2">
        <f>ROUND(CR51*I51,2)</f>
        <v>0</v>
      </c>
      <c r="R51" s="2">
        <f>ROUND(CS51*I51,2)</f>
        <v>0</v>
      </c>
      <c r="S51" s="2">
        <f>ROUND(CT51*I51,2)</f>
        <v>0</v>
      </c>
      <c r="T51" s="2">
        <f t="shared" si="15"/>
        <v>0</v>
      </c>
      <c r="U51" s="2">
        <f>ROUND(CV51*I51,7)</f>
        <v>0</v>
      </c>
      <c r="V51" s="2">
        <f>ROUND(CW51*I51,7)</f>
        <v>0</v>
      </c>
      <c r="W51" s="2">
        <f t="shared" si="16"/>
        <v>0</v>
      </c>
      <c r="X51" s="2">
        <f t="shared" si="17"/>
        <v>0</v>
      </c>
      <c r="Y51" s="2">
        <f t="shared" si="18"/>
        <v>0</v>
      </c>
      <c r="Z51" s="2"/>
      <c r="AA51" s="2">
        <v>55858619</v>
      </c>
      <c r="AB51" s="2">
        <f t="shared" si="19"/>
        <v>178871.85</v>
      </c>
      <c r="AC51" s="2">
        <f>ROUND((ES51),6)</f>
        <v>178871.85</v>
      </c>
      <c r="AD51" s="2">
        <f>ROUND((((ET51)-(EU51))+AE51),6)</f>
        <v>0</v>
      </c>
      <c r="AE51" s="2">
        <f t="shared" si="41"/>
        <v>0</v>
      </c>
      <c r="AF51" s="2">
        <f t="shared" si="41"/>
        <v>0</v>
      </c>
      <c r="AG51" s="2">
        <f t="shared" si="20"/>
        <v>0</v>
      </c>
      <c r="AH51" s="2">
        <f t="shared" si="42"/>
        <v>0</v>
      </c>
      <c r="AI51" s="2">
        <f t="shared" si="42"/>
        <v>0</v>
      </c>
      <c r="AJ51" s="2">
        <f t="shared" si="21"/>
        <v>0</v>
      </c>
      <c r="AK51" s="2">
        <v>178871.85</v>
      </c>
      <c r="AL51" s="2">
        <v>178871.85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112</v>
      </c>
      <c r="AU51" s="2">
        <v>65</v>
      </c>
      <c r="AV51" s="2">
        <v>1</v>
      </c>
      <c r="AW51" s="2">
        <v>1</v>
      </c>
      <c r="AX51" s="2"/>
      <c r="AY51" s="2"/>
      <c r="AZ51" s="2">
        <v>1</v>
      </c>
      <c r="BA51" s="2">
        <v>1</v>
      </c>
      <c r="BB51" s="2">
        <v>1</v>
      </c>
      <c r="BC51" s="2">
        <v>1.37</v>
      </c>
      <c r="BD51" s="2" t="s">
        <v>3</v>
      </c>
      <c r="BE51" s="2" t="s">
        <v>3</v>
      </c>
      <c r="BF51" s="2" t="s">
        <v>3</v>
      </c>
      <c r="BG51" s="2" t="s">
        <v>3</v>
      </c>
      <c r="BH51" s="2">
        <v>3</v>
      </c>
      <c r="BI51" s="2">
        <v>1</v>
      </c>
      <c r="BJ51" s="2" t="s">
        <v>173</v>
      </c>
      <c r="BK51" s="2"/>
      <c r="BL51" s="2"/>
      <c r="BM51" s="2">
        <v>11001</v>
      </c>
      <c r="BN51" s="2">
        <v>0</v>
      </c>
      <c r="BO51" s="2" t="s">
        <v>171</v>
      </c>
      <c r="BP51" s="2">
        <v>1</v>
      </c>
      <c r="BQ51" s="2">
        <v>2</v>
      </c>
      <c r="BR51" s="2">
        <v>0</v>
      </c>
      <c r="BS51" s="2">
        <v>1</v>
      </c>
      <c r="BT51" s="2">
        <v>1</v>
      </c>
      <c r="BU51" s="2">
        <v>1</v>
      </c>
      <c r="BV51" s="2">
        <v>1</v>
      </c>
      <c r="BW51" s="2">
        <v>1</v>
      </c>
      <c r="BX51" s="2">
        <v>1</v>
      </c>
      <c r="BY51" s="2" t="s">
        <v>3</v>
      </c>
      <c r="BZ51" s="2">
        <v>112</v>
      </c>
      <c r="CA51" s="2">
        <v>65</v>
      </c>
      <c r="CB51" s="2" t="s">
        <v>3</v>
      </c>
      <c r="CC51" s="2"/>
      <c r="CD51" s="2"/>
      <c r="CE51" s="2">
        <v>0</v>
      </c>
      <c r="CF51" s="2">
        <v>0</v>
      </c>
      <c r="CG51" s="2">
        <v>0</v>
      </c>
      <c r="CH51" s="2"/>
      <c r="CI51" s="2"/>
      <c r="CJ51" s="2"/>
      <c r="CK51" s="2"/>
      <c r="CL51" s="2"/>
      <c r="CM51" s="2">
        <v>0</v>
      </c>
      <c r="CN51" s="2" t="s">
        <v>3</v>
      </c>
      <c r="CO51" s="2">
        <v>0</v>
      </c>
      <c r="CP51" s="2">
        <f t="shared" si="22"/>
        <v>61.26</v>
      </c>
      <c r="CQ51" s="2">
        <f>ROUND(AL51*BC51,2)</f>
        <v>245054.43</v>
      </c>
      <c r="CR51" s="2">
        <f>ROUND(AM51*BB51,2)</f>
        <v>0</v>
      </c>
      <c r="CS51" s="2">
        <f>ROUND(AN51*BS51,2)</f>
        <v>0</v>
      </c>
      <c r="CT51" s="2">
        <f>ROUND(AO51*BA51,2)</f>
        <v>0</v>
      </c>
      <c r="CU51" s="2">
        <f t="shared" si="23"/>
        <v>0</v>
      </c>
      <c r="CV51" s="2">
        <f t="shared" si="43"/>
        <v>0</v>
      </c>
      <c r="CW51" s="2">
        <f t="shared" si="43"/>
        <v>0</v>
      </c>
      <c r="CX51" s="2">
        <f t="shared" si="24"/>
        <v>0</v>
      </c>
      <c r="CY51" s="2">
        <f t="shared" si="25"/>
        <v>0</v>
      </c>
      <c r="CZ51" s="2">
        <f t="shared" si="26"/>
        <v>0</v>
      </c>
      <c r="DA51" s="2"/>
      <c r="DB51" s="2"/>
      <c r="DC51" s="2" t="s">
        <v>3</v>
      </c>
      <c r="DD51" s="2" t="s">
        <v>3</v>
      </c>
      <c r="DE51" s="2" t="s">
        <v>3</v>
      </c>
      <c r="DF51" s="2" t="s">
        <v>3</v>
      </c>
      <c r="DG51" s="2" t="s">
        <v>3</v>
      </c>
      <c r="DH51" s="2" t="s">
        <v>3</v>
      </c>
      <c r="DI51" s="2" t="s">
        <v>3</v>
      </c>
      <c r="DJ51" s="2" t="s">
        <v>3</v>
      </c>
      <c r="DK51" s="2" t="s">
        <v>3</v>
      </c>
      <c r="DL51" s="2" t="s">
        <v>3</v>
      </c>
      <c r="DM51" s="2" t="s">
        <v>3</v>
      </c>
      <c r="DN51" s="2">
        <v>0</v>
      </c>
      <c r="DO51" s="2">
        <v>0</v>
      </c>
      <c r="DP51" s="2">
        <v>1</v>
      </c>
      <c r="DQ51" s="2">
        <v>1</v>
      </c>
      <c r="DR51" s="2"/>
      <c r="DS51" s="2"/>
      <c r="DT51" s="2"/>
      <c r="DU51" s="2">
        <v>1009</v>
      </c>
      <c r="DV51" s="2" t="s">
        <v>29</v>
      </c>
      <c r="DW51" s="2" t="s">
        <v>29</v>
      </c>
      <c r="DX51" s="2">
        <v>1000</v>
      </c>
      <c r="DY51" s="2"/>
      <c r="DZ51" s="2" t="s">
        <v>3</v>
      </c>
      <c r="EA51" s="2" t="s">
        <v>3</v>
      </c>
      <c r="EB51" s="2" t="s">
        <v>3</v>
      </c>
      <c r="EC51" s="2" t="s">
        <v>3</v>
      </c>
      <c r="ED51" s="2"/>
      <c r="EE51" s="2">
        <v>54458926</v>
      </c>
      <c r="EF51" s="2">
        <v>2</v>
      </c>
      <c r="EG51" s="2" t="s">
        <v>35</v>
      </c>
      <c r="EH51" s="2">
        <v>11</v>
      </c>
      <c r="EI51" s="2" t="s">
        <v>22</v>
      </c>
      <c r="EJ51" s="2">
        <v>1</v>
      </c>
      <c r="EK51" s="2">
        <v>11001</v>
      </c>
      <c r="EL51" s="2" t="s">
        <v>22</v>
      </c>
      <c r="EM51" s="2" t="s">
        <v>63</v>
      </c>
      <c r="EN51" s="2"/>
      <c r="EO51" s="2" t="s">
        <v>3</v>
      </c>
      <c r="EP51" s="2"/>
      <c r="EQ51" s="2">
        <v>0</v>
      </c>
      <c r="ER51" s="2">
        <v>178871.85</v>
      </c>
      <c r="ES51" s="2">
        <v>178871.85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>
        <v>0</v>
      </c>
      <c r="FR51" s="2">
        <v>0</v>
      </c>
      <c r="FS51" s="2">
        <v>0</v>
      </c>
      <c r="FT51" s="2"/>
      <c r="FU51" s="2"/>
      <c r="FV51" s="2"/>
      <c r="FW51" s="2"/>
      <c r="FX51" s="2">
        <v>112</v>
      </c>
      <c r="FY51" s="2">
        <v>65</v>
      </c>
      <c r="FZ51" s="2"/>
      <c r="GA51" s="2" t="s">
        <v>3</v>
      </c>
      <c r="GB51" s="2"/>
      <c r="GC51" s="2"/>
      <c r="GD51" s="2">
        <v>1</v>
      </c>
      <c r="GE51" s="2"/>
      <c r="GF51" s="2">
        <v>-191797650</v>
      </c>
      <c r="GG51" s="2">
        <v>2</v>
      </c>
      <c r="GH51" s="2">
        <v>1</v>
      </c>
      <c r="GI51" s="2">
        <v>2</v>
      </c>
      <c r="GJ51" s="2">
        <v>0</v>
      </c>
      <c r="GK51" s="2">
        <v>0</v>
      </c>
      <c r="GL51" s="2">
        <f t="shared" si="27"/>
        <v>0</v>
      </c>
      <c r="GM51" s="2">
        <f t="shared" si="28"/>
        <v>61.26</v>
      </c>
      <c r="GN51" s="2">
        <f t="shared" si="29"/>
        <v>61.26</v>
      </c>
      <c r="GO51" s="2">
        <f t="shared" si="30"/>
        <v>0</v>
      </c>
      <c r="GP51" s="2">
        <f t="shared" si="31"/>
        <v>0</v>
      </c>
      <c r="GQ51" s="2"/>
      <c r="GR51" s="2">
        <v>0</v>
      </c>
      <c r="GS51" s="2">
        <v>0</v>
      </c>
      <c r="GT51" s="2">
        <v>0</v>
      </c>
      <c r="GU51" s="2" t="s">
        <v>3</v>
      </c>
      <c r="GV51" s="2">
        <f t="shared" si="32"/>
        <v>0</v>
      </c>
      <c r="GW51" s="2">
        <v>1</v>
      </c>
      <c r="GX51" s="2">
        <f t="shared" si="33"/>
        <v>0</v>
      </c>
      <c r="GY51" s="2"/>
      <c r="GZ51" s="2"/>
      <c r="HA51" s="2">
        <v>0</v>
      </c>
      <c r="HB51" s="2">
        <v>0</v>
      </c>
      <c r="HC51" s="2">
        <f t="shared" si="34"/>
        <v>0</v>
      </c>
      <c r="HD51" s="2"/>
      <c r="HE51" s="2" t="s">
        <v>3</v>
      </c>
      <c r="HF51" s="2" t="s">
        <v>3</v>
      </c>
      <c r="HG51" s="2"/>
      <c r="HH51" s="2"/>
      <c r="HI51" s="2"/>
      <c r="HJ51" s="2"/>
      <c r="HK51" s="2"/>
      <c r="HL51" s="2"/>
      <c r="HM51" s="2" t="s">
        <v>3</v>
      </c>
      <c r="HN51" s="2" t="s">
        <v>64</v>
      </c>
      <c r="HO51" s="2" t="s">
        <v>65</v>
      </c>
      <c r="HP51" s="2" t="s">
        <v>22</v>
      </c>
      <c r="HQ51" s="2" t="s">
        <v>22</v>
      </c>
      <c r="HR51" s="2"/>
      <c r="HS51" s="2">
        <v>0</v>
      </c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>
        <v>0</v>
      </c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13.15" customHeight="1" x14ac:dyDescent="0.2">
      <c r="A52" s="2">
        <v>17</v>
      </c>
      <c r="B52" s="2">
        <v>1</v>
      </c>
      <c r="C52" s="2">
        <f>ROW(SmtRes!A83)</f>
        <v>83</v>
      </c>
      <c r="D52" s="2">
        <f>ROW(EtalonRes!A85)</f>
        <v>85</v>
      </c>
      <c r="E52" s="2" t="s">
        <v>174</v>
      </c>
      <c r="F52" s="2" t="s">
        <v>175</v>
      </c>
      <c r="G52" s="2" t="s">
        <v>176</v>
      </c>
      <c r="H52" s="2" t="s">
        <v>19</v>
      </c>
      <c r="I52" s="2">
        <f>ROUND(30/100,7)</f>
        <v>0.3</v>
      </c>
      <c r="J52" s="2">
        <v>0</v>
      </c>
      <c r="K52" s="2">
        <f>ROUND(30/100,7)</f>
        <v>0.3</v>
      </c>
      <c r="L52" s="2"/>
      <c r="M52" s="2"/>
      <c r="N52" s="2"/>
      <c r="O52" s="2">
        <f t="shared" si="14"/>
        <v>2539.91</v>
      </c>
      <c r="P52" s="2">
        <f>SUMIF(SmtRes!AQ83:'SmtRes'!AQ83,"=1",SmtRes!DF83:'SmtRes'!DF83)</f>
        <v>0</v>
      </c>
      <c r="Q52" s="2">
        <f>SUMIF(SmtRes!AQ83:'SmtRes'!AQ83,"=1",SmtRes!DG83:'SmtRes'!DG83)</f>
        <v>0</v>
      </c>
      <c r="R52" s="2">
        <f>SUMIF(SmtRes!AQ83:'SmtRes'!AQ83,"=1",SmtRes!DH83:'SmtRes'!DH83)</f>
        <v>0</v>
      </c>
      <c r="S52" s="2">
        <f>SUMIF(SmtRes!AQ83:'SmtRes'!AQ83,"=1",SmtRes!DI83:'SmtRes'!DI83)</f>
        <v>2539.91</v>
      </c>
      <c r="T52" s="2">
        <f t="shared" si="15"/>
        <v>0</v>
      </c>
      <c r="U52" s="2">
        <f>SUMIF(SmtRes!AQ83:'SmtRes'!AQ83,"=1",SmtRes!CV83:'SmtRes'!CV83)</f>
        <v>7.71</v>
      </c>
      <c r="V52" s="2">
        <f>SUMIF(SmtRes!AQ83:'SmtRes'!AQ83,"=1",SmtRes!CW83:'SmtRes'!CW83)</f>
        <v>0</v>
      </c>
      <c r="W52" s="2">
        <f t="shared" si="16"/>
        <v>0</v>
      </c>
      <c r="X52" s="2">
        <f t="shared" si="17"/>
        <v>2285.92</v>
      </c>
      <c r="Y52" s="2">
        <f t="shared" si="18"/>
        <v>1168.3599999999999</v>
      </c>
      <c r="Z52" s="2"/>
      <c r="AA52" s="2">
        <v>55858619</v>
      </c>
      <c r="AB52" s="2">
        <f t="shared" si="19"/>
        <v>8466.3510000000006</v>
      </c>
      <c r="AC52" s="2">
        <f>ROUND((0),6)</f>
        <v>0</v>
      </c>
      <c r="AD52" s="2">
        <f>ROUND((((0)-(0))+AE52),6)</f>
        <v>0</v>
      </c>
      <c r="AE52" s="2">
        <f>ROUND((0),6)</f>
        <v>0</v>
      </c>
      <c r="AF52" s="2">
        <f>ROUND((SUM(SmtRes!BT83:'SmtRes'!BT83)),6)</f>
        <v>8466.3510000000006</v>
      </c>
      <c r="AG52" s="2">
        <f t="shared" si="20"/>
        <v>0</v>
      </c>
      <c r="AH52" s="2">
        <f>(SUM(SmtRes!BU83:'SmtRes'!BU83))</f>
        <v>25.7</v>
      </c>
      <c r="AI52" s="2">
        <f>(0)</f>
        <v>0</v>
      </c>
      <c r="AJ52" s="2">
        <f t="shared" si="21"/>
        <v>0</v>
      </c>
      <c r="AK52" s="2">
        <v>8466.3510000000006</v>
      </c>
      <c r="AL52" s="2">
        <v>0</v>
      </c>
      <c r="AM52" s="2">
        <v>0</v>
      </c>
      <c r="AN52" s="2">
        <v>0</v>
      </c>
      <c r="AO52" s="2">
        <v>8466.3510000000006</v>
      </c>
      <c r="AP52" s="2">
        <v>0</v>
      </c>
      <c r="AQ52" s="2">
        <v>25.7</v>
      </c>
      <c r="AR52" s="2">
        <v>0</v>
      </c>
      <c r="AS52" s="2">
        <v>0</v>
      </c>
      <c r="AT52" s="2">
        <v>90</v>
      </c>
      <c r="AU52" s="2">
        <v>46</v>
      </c>
      <c r="AV52" s="2">
        <v>1</v>
      </c>
      <c r="AW52" s="2">
        <v>1</v>
      </c>
      <c r="AX52" s="2"/>
      <c r="AY52" s="2"/>
      <c r="AZ52" s="2">
        <v>1</v>
      </c>
      <c r="BA52" s="2">
        <v>1</v>
      </c>
      <c r="BB52" s="2">
        <v>1</v>
      </c>
      <c r="BC52" s="2">
        <v>1</v>
      </c>
      <c r="BD52" s="2" t="s">
        <v>3</v>
      </c>
      <c r="BE52" s="2" t="s">
        <v>3</v>
      </c>
      <c r="BF52" s="2" t="s">
        <v>3</v>
      </c>
      <c r="BG52" s="2" t="s">
        <v>3</v>
      </c>
      <c r="BH52" s="2">
        <v>0</v>
      </c>
      <c r="BI52" s="2">
        <v>1</v>
      </c>
      <c r="BJ52" s="2" t="s">
        <v>177</v>
      </c>
      <c r="BK52" s="2"/>
      <c r="BL52" s="2"/>
      <c r="BM52" s="2">
        <v>62001</v>
      </c>
      <c r="BN52" s="2">
        <v>0</v>
      </c>
      <c r="BO52" s="2" t="s">
        <v>3</v>
      </c>
      <c r="BP52" s="2">
        <v>0</v>
      </c>
      <c r="BQ52" s="2">
        <v>6</v>
      </c>
      <c r="BR52" s="2">
        <v>0</v>
      </c>
      <c r="BS52" s="2">
        <v>1</v>
      </c>
      <c r="BT52" s="2">
        <v>1</v>
      </c>
      <c r="BU52" s="2">
        <v>1</v>
      </c>
      <c r="BV52" s="2">
        <v>1</v>
      </c>
      <c r="BW52" s="2">
        <v>1</v>
      </c>
      <c r="BX52" s="2">
        <v>1</v>
      </c>
      <c r="BY52" s="2" t="s">
        <v>3</v>
      </c>
      <c r="BZ52" s="2">
        <v>90</v>
      </c>
      <c r="CA52" s="2">
        <v>46</v>
      </c>
      <c r="CB52" s="2" t="s">
        <v>3</v>
      </c>
      <c r="CC52" s="2"/>
      <c r="CD52" s="2"/>
      <c r="CE52" s="2">
        <v>0</v>
      </c>
      <c r="CF52" s="2">
        <v>0</v>
      </c>
      <c r="CG52" s="2">
        <v>0</v>
      </c>
      <c r="CH52" s="2"/>
      <c r="CI52" s="2"/>
      <c r="CJ52" s="2"/>
      <c r="CK52" s="2"/>
      <c r="CL52" s="2"/>
      <c r="CM52" s="2">
        <v>0</v>
      </c>
      <c r="CN52" s="2" t="s">
        <v>3</v>
      </c>
      <c r="CO52" s="2">
        <v>0</v>
      </c>
      <c r="CP52" s="2">
        <f t="shared" si="22"/>
        <v>2539.91</v>
      </c>
      <c r="CQ52" s="2">
        <f>SUMIF(SmtRes!AQ83:'SmtRes'!AQ83,"=1",SmtRes!AA83:'SmtRes'!AA83)</f>
        <v>0</v>
      </c>
      <c r="CR52" s="2">
        <f>SUMIF(SmtRes!AQ83:'SmtRes'!AQ83,"=1",SmtRes!AB83:'SmtRes'!AB83)</f>
        <v>0</v>
      </c>
      <c r="CS52" s="2">
        <f>SUMIF(SmtRes!AQ83:'SmtRes'!AQ83,"=1",SmtRes!AC83:'SmtRes'!AC83)</f>
        <v>0</v>
      </c>
      <c r="CT52" s="2">
        <f>SUMIF(SmtRes!AQ83:'SmtRes'!AQ83,"=1",SmtRes!AD83:'SmtRes'!AD83)</f>
        <v>329.43</v>
      </c>
      <c r="CU52" s="2">
        <f t="shared" si="23"/>
        <v>0</v>
      </c>
      <c r="CV52" s="2">
        <f>SUMIF(SmtRes!AQ83:'SmtRes'!AQ83,"=1",SmtRes!BU83:'SmtRes'!BU83)</f>
        <v>25.7</v>
      </c>
      <c r="CW52" s="2">
        <f>SUMIF(SmtRes!AQ83:'SmtRes'!AQ83,"=1",SmtRes!BV83:'SmtRes'!BV83)</f>
        <v>0</v>
      </c>
      <c r="CX52" s="2">
        <f t="shared" si="24"/>
        <v>0</v>
      </c>
      <c r="CY52" s="2">
        <f t="shared" si="25"/>
        <v>2285.9189999999999</v>
      </c>
      <c r="CZ52" s="2">
        <f t="shared" si="26"/>
        <v>1168.3585999999998</v>
      </c>
      <c r="DA52" s="2"/>
      <c r="DB52" s="2"/>
      <c r="DC52" s="2" t="s">
        <v>3</v>
      </c>
      <c r="DD52" s="2" t="s">
        <v>3</v>
      </c>
      <c r="DE52" s="2" t="s">
        <v>3</v>
      </c>
      <c r="DF52" s="2" t="s">
        <v>3</v>
      </c>
      <c r="DG52" s="2" t="s">
        <v>3</v>
      </c>
      <c r="DH52" s="2" t="s">
        <v>3</v>
      </c>
      <c r="DI52" s="2" t="s">
        <v>3</v>
      </c>
      <c r="DJ52" s="2" t="s">
        <v>3</v>
      </c>
      <c r="DK52" s="2" t="s">
        <v>3</v>
      </c>
      <c r="DL52" s="2" t="s">
        <v>3</v>
      </c>
      <c r="DM52" s="2" t="s">
        <v>3</v>
      </c>
      <c r="DN52" s="2">
        <v>0</v>
      </c>
      <c r="DO52" s="2">
        <v>0</v>
      </c>
      <c r="DP52" s="2">
        <v>1</v>
      </c>
      <c r="DQ52" s="2">
        <v>1</v>
      </c>
      <c r="DR52" s="2"/>
      <c r="DS52" s="2"/>
      <c r="DT52" s="2"/>
      <c r="DU52" s="2">
        <v>1005</v>
      </c>
      <c r="DV52" s="2" t="s">
        <v>19</v>
      </c>
      <c r="DW52" s="2" t="s">
        <v>19</v>
      </c>
      <c r="DX52" s="2">
        <v>100</v>
      </c>
      <c r="DY52" s="2"/>
      <c r="DZ52" s="2" t="s">
        <v>3</v>
      </c>
      <c r="EA52" s="2" t="s">
        <v>3</v>
      </c>
      <c r="EB52" s="2" t="s">
        <v>3</v>
      </c>
      <c r="EC52" s="2" t="s">
        <v>3</v>
      </c>
      <c r="ED52" s="2"/>
      <c r="EE52" s="2">
        <v>54459008</v>
      </c>
      <c r="EF52" s="2">
        <v>6</v>
      </c>
      <c r="EG52" s="2" t="s">
        <v>21</v>
      </c>
      <c r="EH52" s="2">
        <v>96</v>
      </c>
      <c r="EI52" s="2" t="s">
        <v>178</v>
      </c>
      <c r="EJ52" s="2">
        <v>1</v>
      </c>
      <c r="EK52" s="2">
        <v>62001</v>
      </c>
      <c r="EL52" s="2" t="s">
        <v>178</v>
      </c>
      <c r="EM52" s="2" t="s">
        <v>179</v>
      </c>
      <c r="EN52" s="2"/>
      <c r="EO52" s="2" t="s">
        <v>3</v>
      </c>
      <c r="EP52" s="2"/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25.7</v>
      </c>
      <c r="EX52" s="2">
        <v>0</v>
      </c>
      <c r="EY52" s="2">
        <v>0</v>
      </c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>
        <v>0</v>
      </c>
      <c r="FR52" s="2">
        <v>0</v>
      </c>
      <c r="FS52" s="2">
        <v>0</v>
      </c>
      <c r="FT52" s="2"/>
      <c r="FU52" s="2"/>
      <c r="FV52" s="2"/>
      <c r="FW52" s="2"/>
      <c r="FX52" s="2">
        <v>90</v>
      </c>
      <c r="FY52" s="2">
        <v>46</v>
      </c>
      <c r="FZ52" s="2"/>
      <c r="GA52" s="2" t="s">
        <v>3</v>
      </c>
      <c r="GB52" s="2"/>
      <c r="GC52" s="2"/>
      <c r="GD52" s="2">
        <v>1</v>
      </c>
      <c r="GE52" s="2"/>
      <c r="GF52" s="2">
        <v>-1008200494</v>
      </c>
      <c r="GG52" s="2">
        <v>2</v>
      </c>
      <c r="GH52" s="2">
        <v>1</v>
      </c>
      <c r="GI52" s="2">
        <v>-2</v>
      </c>
      <c r="GJ52" s="2">
        <v>0</v>
      </c>
      <c r="GK52" s="2">
        <v>0</v>
      </c>
      <c r="GL52" s="2">
        <f t="shared" si="27"/>
        <v>0</v>
      </c>
      <c r="GM52" s="2">
        <f t="shared" si="28"/>
        <v>5994.19</v>
      </c>
      <c r="GN52" s="2">
        <f t="shared" si="29"/>
        <v>5994.19</v>
      </c>
      <c r="GO52" s="2">
        <f t="shared" si="30"/>
        <v>0</v>
      </c>
      <c r="GP52" s="2">
        <f t="shared" si="31"/>
        <v>0</v>
      </c>
      <c r="GQ52" s="2"/>
      <c r="GR52" s="2">
        <v>0</v>
      </c>
      <c r="GS52" s="2">
        <v>0</v>
      </c>
      <c r="GT52" s="2">
        <v>0</v>
      </c>
      <c r="GU52" s="2" t="s">
        <v>3</v>
      </c>
      <c r="GV52" s="2">
        <f t="shared" si="32"/>
        <v>0</v>
      </c>
      <c r="GW52" s="2">
        <v>1</v>
      </c>
      <c r="GX52" s="2">
        <f t="shared" si="33"/>
        <v>0</v>
      </c>
      <c r="GY52" s="2"/>
      <c r="GZ52" s="2"/>
      <c r="HA52" s="2">
        <v>0</v>
      </c>
      <c r="HB52" s="2">
        <v>0</v>
      </c>
      <c r="HC52" s="2">
        <f t="shared" si="34"/>
        <v>0</v>
      </c>
      <c r="HD52" s="2"/>
      <c r="HE52" s="2" t="s">
        <v>3</v>
      </c>
      <c r="HF52" s="2" t="s">
        <v>3</v>
      </c>
      <c r="HG52" s="2"/>
      <c r="HH52" s="2"/>
      <c r="HI52" s="2"/>
      <c r="HJ52" s="2"/>
      <c r="HK52" s="2"/>
      <c r="HL52" s="2"/>
      <c r="HM52" s="2" t="s">
        <v>3</v>
      </c>
      <c r="HN52" s="2" t="s">
        <v>180</v>
      </c>
      <c r="HO52" s="2" t="s">
        <v>181</v>
      </c>
      <c r="HP52" s="2" t="s">
        <v>178</v>
      </c>
      <c r="HQ52" s="2" t="s">
        <v>178</v>
      </c>
      <c r="HR52" s="2"/>
      <c r="HS52" s="2">
        <v>0</v>
      </c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>
        <v>0</v>
      </c>
      <c r="IL52" s="2"/>
      <c r="IM52" s="2"/>
      <c r="IN52" s="2"/>
      <c r="IO52" s="2"/>
      <c r="IP52" s="2"/>
      <c r="IQ52" s="2"/>
      <c r="IR52" s="2"/>
      <c r="IS52" s="2"/>
      <c r="IT52" s="2"/>
      <c r="IU52" s="2"/>
    </row>
    <row r="53" spans="1:255" ht="13.15" customHeight="1" x14ac:dyDescent="0.2">
      <c r="A53" s="2">
        <v>17</v>
      </c>
      <c r="B53" s="2">
        <v>1</v>
      </c>
      <c r="C53" s="2">
        <f>ROW(SmtRes!A89)</f>
        <v>89</v>
      </c>
      <c r="D53" s="2">
        <f>ROW(EtalonRes!A91)</f>
        <v>91</v>
      </c>
      <c r="E53" s="2" t="s">
        <v>182</v>
      </c>
      <c r="F53" s="2" t="s">
        <v>183</v>
      </c>
      <c r="G53" s="2" t="s">
        <v>184</v>
      </c>
      <c r="H53" s="2" t="s">
        <v>19</v>
      </c>
      <c r="I53" s="2">
        <f>ROUND(30/100,7)</f>
        <v>0.3</v>
      </c>
      <c r="J53" s="2">
        <v>0</v>
      </c>
      <c r="K53" s="2">
        <f>ROUND(30/100,7)</f>
        <v>0.3</v>
      </c>
      <c r="L53" s="2"/>
      <c r="M53" s="2"/>
      <c r="N53" s="2"/>
      <c r="O53" s="2">
        <f t="shared" si="14"/>
        <v>658.04</v>
      </c>
      <c r="P53" s="2">
        <f>SUMIF(SmtRes!AQ84:'SmtRes'!AQ89,"=1",SmtRes!DF84:'SmtRes'!DF89)</f>
        <v>2.68</v>
      </c>
      <c r="Q53" s="2">
        <f>SUMIF(SmtRes!AQ84:'SmtRes'!AQ89,"=1",SmtRes!DG84:'SmtRes'!DG89)</f>
        <v>2.78</v>
      </c>
      <c r="R53" s="2">
        <f>SUMIF(SmtRes!AQ84:'SmtRes'!AQ89,"=1",SmtRes!DH84:'SmtRes'!DH89)</f>
        <v>2.87</v>
      </c>
      <c r="S53" s="2">
        <f>SUMIF(SmtRes!AQ84:'SmtRes'!AQ89,"=1",SmtRes!DI84:'SmtRes'!DI89)</f>
        <v>649.71</v>
      </c>
      <c r="T53" s="2">
        <f t="shared" si="15"/>
        <v>0</v>
      </c>
      <c r="U53" s="2">
        <f>SUMIF(SmtRes!AQ84:'SmtRes'!AQ89,"=1",SmtRes!CV84:'SmtRes'!CV89)</f>
        <v>1.60425</v>
      </c>
      <c r="V53" s="2">
        <f>SUMIF(SmtRes!AQ84:'SmtRes'!AQ89,"=1",SmtRes!CW84:'SmtRes'!CW89)</f>
        <v>7.4999999999999997E-3</v>
      </c>
      <c r="W53" s="2">
        <f t="shared" si="16"/>
        <v>0</v>
      </c>
      <c r="X53" s="2">
        <f t="shared" si="17"/>
        <v>587.32000000000005</v>
      </c>
      <c r="Y53" s="2">
        <f t="shared" si="18"/>
        <v>271.8</v>
      </c>
      <c r="Z53" s="2"/>
      <c r="AA53" s="2">
        <v>55858619</v>
      </c>
      <c r="AB53" s="2">
        <f t="shared" si="19"/>
        <v>2180.2709</v>
      </c>
      <c r="AC53" s="2">
        <f>ROUND((SUM(SmtRes!BQ84:'SmtRes'!BQ89)),6)</f>
        <v>5.6109999999999998</v>
      </c>
      <c r="AD53" s="2">
        <f>ROUND((((SUM(SmtRes!BR84:'SmtRes'!BR89))-(SUM(SmtRes!BS84:'SmtRes'!BS89)))+AE53),6)</f>
        <v>8.9758750000000003</v>
      </c>
      <c r="AE53" s="2">
        <f>ROUND((SUM(SmtRes!BS84:'SmtRes'!BS89)),6)</f>
        <v>9.5579999999999998</v>
      </c>
      <c r="AF53" s="2">
        <f>ROUND((SUM(SmtRes!BT84:'SmtRes'!BT89)),6)</f>
        <v>2165.684025</v>
      </c>
      <c r="AG53" s="2">
        <f t="shared" si="20"/>
        <v>0</v>
      </c>
      <c r="AH53" s="2">
        <f>(SUM(SmtRes!BU84:'SmtRes'!BU89))</f>
        <v>5.3475000000000001</v>
      </c>
      <c r="AI53" s="2">
        <f>(SUM(SmtRes!BV84:'SmtRes'!BV89))</f>
        <v>2.5000000000000001E-2</v>
      </c>
      <c r="AJ53" s="2">
        <f t="shared" si="21"/>
        <v>0</v>
      </c>
      <c r="AK53" s="2">
        <v>1903.6416000000002</v>
      </c>
      <c r="AL53" s="2">
        <v>5.6110000000000007</v>
      </c>
      <c r="AM53" s="2">
        <v>7.1806999999999999</v>
      </c>
      <c r="AN53" s="2">
        <v>7.6463999999999999</v>
      </c>
      <c r="AO53" s="2">
        <v>1883.2035000000001</v>
      </c>
      <c r="AP53" s="2">
        <v>0</v>
      </c>
      <c r="AQ53" s="2">
        <v>4.6500000000000004</v>
      </c>
      <c r="AR53" s="2">
        <v>0.02</v>
      </c>
      <c r="AS53" s="2">
        <v>0</v>
      </c>
      <c r="AT53" s="2">
        <v>90</v>
      </c>
      <c r="AU53" s="2">
        <v>41.65</v>
      </c>
      <c r="AV53" s="2">
        <v>1</v>
      </c>
      <c r="AW53" s="2">
        <v>1</v>
      </c>
      <c r="AX53" s="2"/>
      <c r="AY53" s="2"/>
      <c r="AZ53" s="2">
        <v>1</v>
      </c>
      <c r="BA53" s="2">
        <v>1</v>
      </c>
      <c r="BB53" s="2">
        <v>1</v>
      </c>
      <c r="BC53" s="2">
        <v>1</v>
      </c>
      <c r="BD53" s="2" t="s">
        <v>3</v>
      </c>
      <c r="BE53" s="2" t="s">
        <v>3</v>
      </c>
      <c r="BF53" s="2" t="s">
        <v>3</v>
      </c>
      <c r="BG53" s="2" t="s">
        <v>3</v>
      </c>
      <c r="BH53" s="2">
        <v>0</v>
      </c>
      <c r="BI53" s="2">
        <v>1</v>
      </c>
      <c r="BJ53" s="2" t="s">
        <v>185</v>
      </c>
      <c r="BK53" s="2"/>
      <c r="BL53" s="2"/>
      <c r="BM53" s="2">
        <v>15001</v>
      </c>
      <c r="BN53" s="2">
        <v>0</v>
      </c>
      <c r="BO53" s="2" t="s">
        <v>3</v>
      </c>
      <c r="BP53" s="2">
        <v>0</v>
      </c>
      <c r="BQ53" s="2">
        <v>2</v>
      </c>
      <c r="BR53" s="2">
        <v>0</v>
      </c>
      <c r="BS53" s="2">
        <v>1</v>
      </c>
      <c r="BT53" s="2">
        <v>1</v>
      </c>
      <c r="BU53" s="2">
        <v>1</v>
      </c>
      <c r="BV53" s="2">
        <v>1</v>
      </c>
      <c r="BW53" s="2">
        <v>1</v>
      </c>
      <c r="BX53" s="2">
        <v>1</v>
      </c>
      <c r="BY53" s="2" t="s">
        <v>3</v>
      </c>
      <c r="BZ53" s="2">
        <v>100</v>
      </c>
      <c r="CA53" s="2">
        <v>49</v>
      </c>
      <c r="CB53" s="2" t="s">
        <v>3</v>
      </c>
      <c r="CC53" s="2"/>
      <c r="CD53" s="2"/>
      <c r="CE53" s="2">
        <v>0</v>
      </c>
      <c r="CF53" s="2">
        <v>0</v>
      </c>
      <c r="CG53" s="2">
        <v>0</v>
      </c>
      <c r="CH53" s="2"/>
      <c r="CI53" s="2"/>
      <c r="CJ53" s="2"/>
      <c r="CK53" s="2"/>
      <c r="CL53" s="2"/>
      <c r="CM53" s="2">
        <v>0</v>
      </c>
      <c r="CN53" s="7" t="s">
        <v>481</v>
      </c>
      <c r="CO53" s="2">
        <v>0</v>
      </c>
      <c r="CP53" s="2">
        <f t="shared" si="22"/>
        <v>658.04000000000008</v>
      </c>
      <c r="CQ53" s="2">
        <f>SUMIF(SmtRes!AQ84:'SmtRes'!AQ89,"=1",SmtRes!AA84:'SmtRes'!AA89)</f>
        <v>89.21</v>
      </c>
      <c r="CR53" s="2">
        <f>SUMIF(SmtRes!AQ84:'SmtRes'!AQ89,"=1",SmtRes!AB84:'SmtRes'!AB89)</f>
        <v>741.58</v>
      </c>
      <c r="CS53" s="2">
        <f>SUMIF(SmtRes!AQ84:'SmtRes'!AQ89,"=1",SmtRes!AC84:'SmtRes'!AC89)</f>
        <v>764.64</v>
      </c>
      <c r="CT53" s="2">
        <f>SUMIF(SmtRes!AQ84:'SmtRes'!AQ89,"=1",SmtRes!AD84:'SmtRes'!AD89)</f>
        <v>404.99</v>
      </c>
      <c r="CU53" s="2">
        <f t="shared" si="23"/>
        <v>0</v>
      </c>
      <c r="CV53" s="2">
        <f>SUMIF(SmtRes!AQ84:'SmtRes'!AQ89,"=1",SmtRes!BU84:'SmtRes'!BU89)</f>
        <v>5.3475000000000001</v>
      </c>
      <c r="CW53" s="2">
        <f>SUMIF(SmtRes!AQ84:'SmtRes'!AQ89,"=1",SmtRes!BV84:'SmtRes'!BV89)</f>
        <v>2.5000000000000001E-2</v>
      </c>
      <c r="CX53" s="2">
        <f t="shared" si="24"/>
        <v>0</v>
      </c>
      <c r="CY53" s="2">
        <f t="shared" si="25"/>
        <v>587.322</v>
      </c>
      <c r="CZ53" s="2">
        <f t="shared" si="26"/>
        <v>271.79957000000002</v>
      </c>
      <c r="DA53" s="2"/>
      <c r="DB53" s="2">
        <v>9</v>
      </c>
      <c r="DC53" s="2" t="s">
        <v>3</v>
      </c>
      <c r="DD53" s="2" t="s">
        <v>3</v>
      </c>
      <c r="DE53" s="2" t="s">
        <v>46</v>
      </c>
      <c r="DF53" s="2" t="s">
        <v>46</v>
      </c>
      <c r="DG53" s="2" t="s">
        <v>47</v>
      </c>
      <c r="DH53" s="2" t="s">
        <v>3</v>
      </c>
      <c r="DI53" s="2" t="s">
        <v>47</v>
      </c>
      <c r="DJ53" s="2" t="s">
        <v>46</v>
      </c>
      <c r="DK53" s="2" t="s">
        <v>3</v>
      </c>
      <c r="DL53" s="2" t="s">
        <v>48</v>
      </c>
      <c r="DM53" s="2" t="s">
        <v>49</v>
      </c>
      <c r="DN53" s="2">
        <v>0</v>
      </c>
      <c r="DO53" s="2">
        <v>0</v>
      </c>
      <c r="DP53" s="2">
        <v>1</v>
      </c>
      <c r="DQ53" s="2">
        <v>1</v>
      </c>
      <c r="DR53" s="2"/>
      <c r="DS53" s="2"/>
      <c r="DT53" s="2"/>
      <c r="DU53" s="2">
        <v>1005</v>
      </c>
      <c r="DV53" s="2" t="s">
        <v>19</v>
      </c>
      <c r="DW53" s="2" t="s">
        <v>19</v>
      </c>
      <c r="DX53" s="2">
        <v>100</v>
      </c>
      <c r="DY53" s="2"/>
      <c r="DZ53" s="2" t="s">
        <v>3</v>
      </c>
      <c r="EA53" s="2" t="s">
        <v>3</v>
      </c>
      <c r="EB53" s="2" t="s">
        <v>3</v>
      </c>
      <c r="EC53" s="2" t="s">
        <v>3</v>
      </c>
      <c r="ED53" s="2"/>
      <c r="EE53" s="2">
        <v>54458951</v>
      </c>
      <c r="EF53" s="2">
        <v>2</v>
      </c>
      <c r="EG53" s="2" t="s">
        <v>35</v>
      </c>
      <c r="EH53" s="2">
        <v>15</v>
      </c>
      <c r="EI53" s="2" t="s">
        <v>186</v>
      </c>
      <c r="EJ53" s="2">
        <v>1</v>
      </c>
      <c r="EK53" s="2">
        <v>15001</v>
      </c>
      <c r="EL53" s="2" t="s">
        <v>186</v>
      </c>
      <c r="EM53" s="2" t="s">
        <v>187</v>
      </c>
      <c r="EN53" s="2"/>
      <c r="EO53" s="2" t="s">
        <v>52</v>
      </c>
      <c r="EP53" s="2"/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4.6500000000000004</v>
      </c>
      <c r="EX53" s="2">
        <v>0.02</v>
      </c>
      <c r="EY53" s="2">
        <v>0</v>
      </c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>
        <v>0</v>
      </c>
      <c r="FR53" s="2">
        <v>0</v>
      </c>
      <c r="FS53" s="2">
        <v>0</v>
      </c>
      <c r="FT53" s="2"/>
      <c r="FU53" s="2"/>
      <c r="FV53" s="2"/>
      <c r="FW53" s="2"/>
      <c r="FX53" s="2">
        <v>90</v>
      </c>
      <c r="FY53" s="2">
        <v>41.65</v>
      </c>
      <c r="FZ53" s="2"/>
      <c r="GA53" s="2" t="s">
        <v>3</v>
      </c>
      <c r="GB53" s="2"/>
      <c r="GC53" s="2"/>
      <c r="GD53" s="2">
        <v>1</v>
      </c>
      <c r="GE53" s="2"/>
      <c r="GF53" s="2">
        <v>309816639</v>
      </c>
      <c r="GG53" s="2">
        <v>2</v>
      </c>
      <c r="GH53" s="2">
        <v>1</v>
      </c>
      <c r="GI53" s="2">
        <v>-2</v>
      </c>
      <c r="GJ53" s="2">
        <v>0</v>
      </c>
      <c r="GK53" s="2">
        <v>0</v>
      </c>
      <c r="GL53" s="2">
        <f t="shared" si="27"/>
        <v>0</v>
      </c>
      <c r="GM53" s="2">
        <f t="shared" si="28"/>
        <v>1517.16</v>
      </c>
      <c r="GN53" s="2">
        <f t="shared" si="29"/>
        <v>1517.16</v>
      </c>
      <c r="GO53" s="2">
        <f t="shared" si="30"/>
        <v>0</v>
      </c>
      <c r="GP53" s="2">
        <f t="shared" si="31"/>
        <v>0</v>
      </c>
      <c r="GQ53" s="2"/>
      <c r="GR53" s="2">
        <v>0</v>
      </c>
      <c r="GS53" s="2">
        <v>0</v>
      </c>
      <c r="GT53" s="2">
        <v>0</v>
      </c>
      <c r="GU53" s="2" t="s">
        <v>3</v>
      </c>
      <c r="GV53" s="2">
        <f t="shared" si="32"/>
        <v>0</v>
      </c>
      <c r="GW53" s="2">
        <v>1</v>
      </c>
      <c r="GX53" s="2">
        <f t="shared" si="33"/>
        <v>0</v>
      </c>
      <c r="GY53" s="2"/>
      <c r="GZ53" s="2"/>
      <c r="HA53" s="2">
        <v>0</v>
      </c>
      <c r="HB53" s="2">
        <v>0</v>
      </c>
      <c r="HC53" s="2">
        <f t="shared" si="34"/>
        <v>0</v>
      </c>
      <c r="HD53" s="2"/>
      <c r="HE53" s="2" t="s">
        <v>3</v>
      </c>
      <c r="HF53" s="2" t="s">
        <v>3</v>
      </c>
      <c r="HG53" s="2"/>
      <c r="HH53" s="2"/>
      <c r="HI53" s="2"/>
      <c r="HJ53" s="2"/>
      <c r="HK53" s="2"/>
      <c r="HL53" s="2"/>
      <c r="HM53" s="2" t="s">
        <v>3</v>
      </c>
      <c r="HN53" s="2" t="s">
        <v>188</v>
      </c>
      <c r="HO53" s="2" t="s">
        <v>189</v>
      </c>
      <c r="HP53" s="2" t="s">
        <v>186</v>
      </c>
      <c r="HQ53" s="2" t="s">
        <v>186</v>
      </c>
      <c r="HR53" s="2"/>
      <c r="HS53" s="2">
        <v>0</v>
      </c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>
        <v>0</v>
      </c>
      <c r="IL53" s="2"/>
      <c r="IM53" s="2"/>
      <c r="IN53" s="2"/>
      <c r="IO53" s="2"/>
      <c r="IP53" s="2"/>
      <c r="IQ53" s="2"/>
      <c r="IR53" s="2"/>
      <c r="IS53" s="2"/>
      <c r="IT53" s="2"/>
      <c r="IU53" s="2"/>
    </row>
    <row r="54" spans="1:255" ht="13.15" customHeight="1" x14ac:dyDescent="0.2">
      <c r="A54" s="2">
        <v>18</v>
      </c>
      <c r="B54" s="2">
        <v>1</v>
      </c>
      <c r="C54" s="2">
        <v>89</v>
      </c>
      <c r="D54" s="2"/>
      <c r="E54" s="2" t="s">
        <v>190</v>
      </c>
      <c r="F54" s="2" t="s">
        <v>191</v>
      </c>
      <c r="G54" s="2" t="s">
        <v>192</v>
      </c>
      <c r="H54" s="2" t="s">
        <v>82</v>
      </c>
      <c r="I54" s="2">
        <f>I53*J54</f>
        <v>3.0900000000000003</v>
      </c>
      <c r="J54" s="2">
        <v>10.3</v>
      </c>
      <c r="K54" s="2">
        <v>10.3</v>
      </c>
      <c r="L54" s="2"/>
      <c r="M54" s="2"/>
      <c r="N54" s="2"/>
      <c r="O54" s="2">
        <f t="shared" si="14"/>
        <v>278.72000000000003</v>
      </c>
      <c r="P54" s="2">
        <f>ROUND(CQ54*I54,2)</f>
        <v>278.72000000000003</v>
      </c>
      <c r="Q54" s="2">
        <f>ROUND(CR54*I54,2)</f>
        <v>0</v>
      </c>
      <c r="R54" s="2">
        <f>ROUND(CS54*I54,2)</f>
        <v>0</v>
      </c>
      <c r="S54" s="2">
        <f>ROUND(CT54*I54,2)</f>
        <v>0</v>
      </c>
      <c r="T54" s="2">
        <f t="shared" si="15"/>
        <v>0</v>
      </c>
      <c r="U54" s="2">
        <f>ROUND(CV54*I54,7)</f>
        <v>0</v>
      </c>
      <c r="V54" s="2">
        <f>ROUND(CW54*I54,7)</f>
        <v>0</v>
      </c>
      <c r="W54" s="2">
        <f t="shared" si="16"/>
        <v>0</v>
      </c>
      <c r="X54" s="2">
        <f t="shared" si="17"/>
        <v>0</v>
      </c>
      <c r="Y54" s="2">
        <f t="shared" si="18"/>
        <v>0</v>
      </c>
      <c r="Z54" s="2"/>
      <c r="AA54" s="2">
        <v>55858619</v>
      </c>
      <c r="AB54" s="2">
        <f t="shared" si="19"/>
        <v>65.84</v>
      </c>
      <c r="AC54" s="2">
        <f>ROUND((ES54),6)</f>
        <v>65.84</v>
      </c>
      <c r="AD54" s="2">
        <f>ROUND((((ET54)-(EU54))+AE54),6)</f>
        <v>0</v>
      </c>
      <c r="AE54" s="2">
        <f>ROUND((EU54),6)</f>
        <v>0</v>
      </c>
      <c r="AF54" s="2">
        <f>ROUND((EV54),6)</f>
        <v>0</v>
      </c>
      <c r="AG54" s="2">
        <f t="shared" si="20"/>
        <v>0</v>
      </c>
      <c r="AH54" s="2">
        <f>(EW54)</f>
        <v>0</v>
      </c>
      <c r="AI54" s="2">
        <f>(EX54)</f>
        <v>0</v>
      </c>
      <c r="AJ54" s="2">
        <f t="shared" si="21"/>
        <v>0</v>
      </c>
      <c r="AK54" s="2">
        <v>65.84</v>
      </c>
      <c r="AL54" s="2">
        <v>65.84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100</v>
      </c>
      <c r="AU54" s="2">
        <v>49</v>
      </c>
      <c r="AV54" s="2">
        <v>1</v>
      </c>
      <c r="AW54" s="2">
        <v>1</v>
      </c>
      <c r="AX54" s="2"/>
      <c r="AY54" s="2"/>
      <c r="AZ54" s="2">
        <v>1</v>
      </c>
      <c r="BA54" s="2">
        <v>1</v>
      </c>
      <c r="BB54" s="2">
        <v>1</v>
      </c>
      <c r="BC54" s="2">
        <v>1.37</v>
      </c>
      <c r="BD54" s="2" t="s">
        <v>3</v>
      </c>
      <c r="BE54" s="2" t="s">
        <v>3</v>
      </c>
      <c r="BF54" s="2" t="s">
        <v>3</v>
      </c>
      <c r="BG54" s="2" t="s">
        <v>3</v>
      </c>
      <c r="BH54" s="2">
        <v>3</v>
      </c>
      <c r="BI54" s="2">
        <v>1</v>
      </c>
      <c r="BJ54" s="2" t="s">
        <v>193</v>
      </c>
      <c r="BK54" s="2"/>
      <c r="BL54" s="2"/>
      <c r="BM54" s="2">
        <v>15001</v>
      </c>
      <c r="BN54" s="2">
        <v>0</v>
      </c>
      <c r="BO54" s="2" t="s">
        <v>191</v>
      </c>
      <c r="BP54" s="2">
        <v>1</v>
      </c>
      <c r="BQ54" s="2">
        <v>2</v>
      </c>
      <c r="BR54" s="2">
        <v>0</v>
      </c>
      <c r="BS54" s="2">
        <v>1</v>
      </c>
      <c r="BT54" s="2">
        <v>1</v>
      </c>
      <c r="BU54" s="2">
        <v>1</v>
      </c>
      <c r="BV54" s="2">
        <v>1</v>
      </c>
      <c r="BW54" s="2">
        <v>1</v>
      </c>
      <c r="BX54" s="2">
        <v>1</v>
      </c>
      <c r="BY54" s="2" t="s">
        <v>3</v>
      </c>
      <c r="BZ54" s="2">
        <v>100</v>
      </c>
      <c r="CA54" s="2">
        <v>49</v>
      </c>
      <c r="CB54" s="2" t="s">
        <v>3</v>
      </c>
      <c r="CC54" s="2"/>
      <c r="CD54" s="2"/>
      <c r="CE54" s="2">
        <v>0</v>
      </c>
      <c r="CF54" s="2">
        <v>0</v>
      </c>
      <c r="CG54" s="2">
        <v>0</v>
      </c>
      <c r="CH54" s="2"/>
      <c r="CI54" s="2"/>
      <c r="CJ54" s="2"/>
      <c r="CK54" s="2"/>
      <c r="CL54" s="2"/>
      <c r="CM54" s="2">
        <v>0</v>
      </c>
      <c r="CN54" s="2" t="s">
        <v>3</v>
      </c>
      <c r="CO54" s="2">
        <v>0</v>
      </c>
      <c r="CP54" s="2">
        <f t="shared" si="22"/>
        <v>278.72000000000003</v>
      </c>
      <c r="CQ54" s="2">
        <f>ROUND(AL54*BC54,2)</f>
        <v>90.2</v>
      </c>
      <c r="CR54" s="2">
        <f>ROUND(AM54*BB54,2)</f>
        <v>0</v>
      </c>
      <c r="CS54" s="2">
        <f>ROUND(AN54*BS54,2)</f>
        <v>0</v>
      </c>
      <c r="CT54" s="2">
        <f>ROUND(AO54*BA54,2)</f>
        <v>0</v>
      </c>
      <c r="CU54" s="2">
        <f t="shared" si="23"/>
        <v>0</v>
      </c>
      <c r="CV54" s="2">
        <f>AH54</f>
        <v>0</v>
      </c>
      <c r="CW54" s="2">
        <f>AI54</f>
        <v>0</v>
      </c>
      <c r="CX54" s="2">
        <f t="shared" si="24"/>
        <v>0</v>
      </c>
      <c r="CY54" s="2">
        <f t="shared" si="25"/>
        <v>0</v>
      </c>
      <c r="CZ54" s="2">
        <f t="shared" si="26"/>
        <v>0</v>
      </c>
      <c r="DA54" s="2"/>
      <c r="DB54" s="2"/>
      <c r="DC54" s="2" t="s">
        <v>3</v>
      </c>
      <c r="DD54" s="2" t="s">
        <v>3</v>
      </c>
      <c r="DE54" s="2" t="s">
        <v>3</v>
      </c>
      <c r="DF54" s="2" t="s">
        <v>3</v>
      </c>
      <c r="DG54" s="2" t="s">
        <v>3</v>
      </c>
      <c r="DH54" s="2" t="s">
        <v>3</v>
      </c>
      <c r="DI54" s="2" t="s">
        <v>3</v>
      </c>
      <c r="DJ54" s="2" t="s">
        <v>3</v>
      </c>
      <c r="DK54" s="2" t="s">
        <v>3</v>
      </c>
      <c r="DL54" s="2" t="s">
        <v>3</v>
      </c>
      <c r="DM54" s="2" t="s">
        <v>3</v>
      </c>
      <c r="DN54" s="2">
        <v>0</v>
      </c>
      <c r="DO54" s="2">
        <v>0</v>
      </c>
      <c r="DP54" s="2">
        <v>1</v>
      </c>
      <c r="DQ54" s="2">
        <v>1</v>
      </c>
      <c r="DR54" s="2"/>
      <c r="DS54" s="2"/>
      <c r="DT54" s="2"/>
      <c r="DU54" s="2">
        <v>1009</v>
      </c>
      <c r="DV54" s="2" t="s">
        <v>82</v>
      </c>
      <c r="DW54" s="2" t="s">
        <v>82</v>
      </c>
      <c r="DX54" s="2">
        <v>1</v>
      </c>
      <c r="DY54" s="2"/>
      <c r="DZ54" s="2" t="s">
        <v>3</v>
      </c>
      <c r="EA54" s="2" t="s">
        <v>3</v>
      </c>
      <c r="EB54" s="2" t="s">
        <v>3</v>
      </c>
      <c r="EC54" s="2" t="s">
        <v>3</v>
      </c>
      <c r="ED54" s="2"/>
      <c r="EE54" s="2">
        <v>54458951</v>
      </c>
      <c r="EF54" s="2">
        <v>2</v>
      </c>
      <c r="EG54" s="2" t="s">
        <v>35</v>
      </c>
      <c r="EH54" s="2">
        <v>15</v>
      </c>
      <c r="EI54" s="2" t="s">
        <v>186</v>
      </c>
      <c r="EJ54" s="2">
        <v>1</v>
      </c>
      <c r="EK54" s="2">
        <v>15001</v>
      </c>
      <c r="EL54" s="2" t="s">
        <v>186</v>
      </c>
      <c r="EM54" s="2" t="s">
        <v>187</v>
      </c>
      <c r="EN54" s="2"/>
      <c r="EO54" s="2" t="s">
        <v>3</v>
      </c>
      <c r="EP54" s="2"/>
      <c r="EQ54" s="2">
        <v>0</v>
      </c>
      <c r="ER54" s="2">
        <v>65.84</v>
      </c>
      <c r="ES54" s="2">
        <v>65.84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>
        <v>0</v>
      </c>
      <c r="FR54" s="2">
        <v>0</v>
      </c>
      <c r="FS54" s="2">
        <v>0</v>
      </c>
      <c r="FT54" s="2"/>
      <c r="FU54" s="2"/>
      <c r="FV54" s="2"/>
      <c r="FW54" s="2"/>
      <c r="FX54" s="2">
        <v>100</v>
      </c>
      <c r="FY54" s="2">
        <v>49</v>
      </c>
      <c r="FZ54" s="2"/>
      <c r="GA54" s="2" t="s">
        <v>3</v>
      </c>
      <c r="GB54" s="2"/>
      <c r="GC54" s="2"/>
      <c r="GD54" s="2">
        <v>1</v>
      </c>
      <c r="GE54" s="2"/>
      <c r="GF54" s="2">
        <v>-1982032948</v>
      </c>
      <c r="GG54" s="2">
        <v>2</v>
      </c>
      <c r="GH54" s="2">
        <v>1</v>
      </c>
      <c r="GI54" s="2">
        <v>2</v>
      </c>
      <c r="GJ54" s="2">
        <v>0</v>
      </c>
      <c r="GK54" s="2">
        <v>0</v>
      </c>
      <c r="GL54" s="2">
        <f t="shared" si="27"/>
        <v>0</v>
      </c>
      <c r="GM54" s="2">
        <f t="shared" si="28"/>
        <v>278.72000000000003</v>
      </c>
      <c r="GN54" s="2">
        <f t="shared" si="29"/>
        <v>278.72000000000003</v>
      </c>
      <c r="GO54" s="2">
        <f t="shared" si="30"/>
        <v>0</v>
      </c>
      <c r="GP54" s="2">
        <f t="shared" si="31"/>
        <v>0</v>
      </c>
      <c r="GQ54" s="2"/>
      <c r="GR54" s="2">
        <v>0</v>
      </c>
      <c r="GS54" s="2">
        <v>0</v>
      </c>
      <c r="GT54" s="2">
        <v>0</v>
      </c>
      <c r="GU54" s="2" t="s">
        <v>3</v>
      </c>
      <c r="GV54" s="2">
        <f t="shared" si="32"/>
        <v>0</v>
      </c>
      <c r="GW54" s="2">
        <v>1</v>
      </c>
      <c r="GX54" s="2">
        <f t="shared" si="33"/>
        <v>0</v>
      </c>
      <c r="GY54" s="2"/>
      <c r="GZ54" s="2"/>
      <c r="HA54" s="2">
        <v>0</v>
      </c>
      <c r="HB54" s="2">
        <v>0</v>
      </c>
      <c r="HC54" s="2">
        <f t="shared" si="34"/>
        <v>0</v>
      </c>
      <c r="HD54" s="2"/>
      <c r="HE54" s="2" t="s">
        <v>3</v>
      </c>
      <c r="HF54" s="2" t="s">
        <v>3</v>
      </c>
      <c r="HG54" s="2"/>
      <c r="HH54" s="2"/>
      <c r="HI54" s="2"/>
      <c r="HJ54" s="2"/>
      <c r="HK54" s="2"/>
      <c r="HL54" s="2"/>
      <c r="HM54" s="2" t="s">
        <v>3</v>
      </c>
      <c r="HN54" s="2" t="s">
        <v>188</v>
      </c>
      <c r="HO54" s="2" t="s">
        <v>189</v>
      </c>
      <c r="HP54" s="2" t="s">
        <v>186</v>
      </c>
      <c r="HQ54" s="2" t="s">
        <v>186</v>
      </c>
      <c r="HR54" s="2"/>
      <c r="HS54" s="2">
        <v>0</v>
      </c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>
        <v>0</v>
      </c>
      <c r="IL54" s="2"/>
      <c r="IM54" s="2"/>
      <c r="IN54" s="2"/>
      <c r="IO54" s="2"/>
      <c r="IP54" s="2"/>
      <c r="IQ54" s="2"/>
      <c r="IR54" s="2"/>
      <c r="IS54" s="2"/>
      <c r="IT54" s="2"/>
      <c r="IU54" s="2"/>
    </row>
    <row r="55" spans="1:255" ht="13.15" customHeight="1" x14ac:dyDescent="0.2">
      <c r="A55" s="2">
        <v>17</v>
      </c>
      <c r="B55" s="2">
        <v>1</v>
      </c>
      <c r="C55" s="2">
        <f>ROW(SmtRes!A97)</f>
        <v>97</v>
      </c>
      <c r="D55" s="2">
        <f>ROW(EtalonRes!A99)</f>
        <v>99</v>
      </c>
      <c r="E55" s="2" t="s">
        <v>194</v>
      </c>
      <c r="F55" s="2" t="s">
        <v>195</v>
      </c>
      <c r="G55" s="2" t="s">
        <v>196</v>
      </c>
      <c r="H55" s="2" t="s">
        <v>19</v>
      </c>
      <c r="I55" s="2">
        <f>ROUND(30/100,7)</f>
        <v>0.3</v>
      </c>
      <c r="J55" s="2">
        <v>0</v>
      </c>
      <c r="K55" s="2">
        <f>ROUND(30/100,7)</f>
        <v>0.3</v>
      </c>
      <c r="L55" s="2"/>
      <c r="M55" s="2"/>
      <c r="N55" s="2"/>
      <c r="O55" s="2">
        <f t="shared" si="14"/>
        <v>5976.45</v>
      </c>
      <c r="P55" s="2">
        <f>SUMIF(SmtRes!AQ90:'SmtRes'!AQ97,"=1",SmtRes!DF90:'SmtRes'!DF97)</f>
        <v>829.06</v>
      </c>
      <c r="Q55" s="2">
        <f>SUMIF(SmtRes!AQ90:'SmtRes'!AQ97,"=1",SmtRes!DG90:'SmtRes'!DG97)</f>
        <v>38.75</v>
      </c>
      <c r="R55" s="2">
        <f>SUMIF(SmtRes!AQ90:'SmtRes'!AQ97,"=1",SmtRes!DH90:'SmtRes'!DH97)</f>
        <v>25.48</v>
      </c>
      <c r="S55" s="2">
        <f>SUMIF(SmtRes!AQ90:'SmtRes'!AQ97,"=1",SmtRes!DI90:'SmtRes'!DI97)</f>
        <v>5083.16</v>
      </c>
      <c r="T55" s="2">
        <f t="shared" si="15"/>
        <v>0</v>
      </c>
      <c r="U55" s="2">
        <f>SUMIF(SmtRes!AQ90:'SmtRes'!AQ97,"=1",SmtRes!CV90:'SmtRes'!CV97)</f>
        <v>13.455</v>
      </c>
      <c r="V55" s="2">
        <f>SUMIF(SmtRes!AQ90:'SmtRes'!AQ97,"=1",SmtRes!CW90:'SmtRes'!CW97)</f>
        <v>6.3750000000000001E-2</v>
      </c>
      <c r="W55" s="2">
        <f t="shared" si="16"/>
        <v>0</v>
      </c>
      <c r="X55" s="2">
        <f t="shared" si="17"/>
        <v>4597.78</v>
      </c>
      <c r="Y55" s="2">
        <f t="shared" si="18"/>
        <v>2127.75</v>
      </c>
      <c r="Z55" s="2"/>
      <c r="AA55" s="2">
        <v>55858619</v>
      </c>
      <c r="AB55" s="2">
        <f t="shared" si="19"/>
        <v>18823.393765000001</v>
      </c>
      <c r="AC55" s="2">
        <f>ROUND((SUM(SmtRes!BQ90:'SmtRes'!BQ97)),6)</f>
        <v>1750.9386400000001</v>
      </c>
      <c r="AD55" s="2">
        <f>ROUND((((SUM(SmtRes!BR90:'SmtRes'!BR97))-(SUM(SmtRes!BS90:'SmtRes'!BS97)))+AE55),6)</f>
        <v>128.57362499999999</v>
      </c>
      <c r="AE55" s="2">
        <f>ROUND((SUM(SmtRes!BS90:'SmtRes'!BS97)),6)</f>
        <v>84.926874999999995</v>
      </c>
      <c r="AF55" s="2">
        <f>ROUND((SUM(SmtRes!BT90:'SmtRes'!BT97)),6)</f>
        <v>16943.8815</v>
      </c>
      <c r="AG55" s="2">
        <f t="shared" si="20"/>
        <v>0</v>
      </c>
      <c r="AH55" s="2">
        <f>(SUM(SmtRes!BU90:'SmtRes'!BU97))</f>
        <v>44.849999999999994</v>
      </c>
      <c r="AI55" s="2">
        <f>(SUM(SmtRes!BV90:'SmtRes'!BV97))</f>
        <v>0.21249999999999999</v>
      </c>
      <c r="AJ55" s="2">
        <f t="shared" si="21"/>
        <v>0</v>
      </c>
      <c r="AK55" s="2">
        <v>16655.549040000002</v>
      </c>
      <c r="AL55" s="2">
        <v>1750.9386399999999</v>
      </c>
      <c r="AM55" s="2">
        <v>102.85889999999999</v>
      </c>
      <c r="AN55" s="2">
        <v>67.941500000000005</v>
      </c>
      <c r="AO55" s="2">
        <v>14733.810000000001</v>
      </c>
      <c r="AP55" s="2">
        <v>0</v>
      </c>
      <c r="AQ55" s="2">
        <v>39</v>
      </c>
      <c r="AR55" s="2">
        <v>0.16999999999999998</v>
      </c>
      <c r="AS55" s="2">
        <v>0</v>
      </c>
      <c r="AT55" s="2">
        <v>90</v>
      </c>
      <c r="AU55" s="2">
        <v>41.65</v>
      </c>
      <c r="AV55" s="2">
        <v>1</v>
      </c>
      <c r="AW55" s="2">
        <v>1</v>
      </c>
      <c r="AX55" s="2"/>
      <c r="AY55" s="2"/>
      <c r="AZ55" s="2">
        <v>1</v>
      </c>
      <c r="BA55" s="2">
        <v>1</v>
      </c>
      <c r="BB55" s="2">
        <v>1</v>
      </c>
      <c r="BC55" s="2">
        <v>1</v>
      </c>
      <c r="BD55" s="2" t="s">
        <v>3</v>
      </c>
      <c r="BE55" s="2" t="s">
        <v>3</v>
      </c>
      <c r="BF55" s="2" t="s">
        <v>3</v>
      </c>
      <c r="BG55" s="2" t="s">
        <v>3</v>
      </c>
      <c r="BH55" s="2">
        <v>0</v>
      </c>
      <c r="BI55" s="2">
        <v>1</v>
      </c>
      <c r="BJ55" s="2" t="s">
        <v>197</v>
      </c>
      <c r="BK55" s="2"/>
      <c r="BL55" s="2"/>
      <c r="BM55" s="2">
        <v>15001</v>
      </c>
      <c r="BN55" s="2">
        <v>0</v>
      </c>
      <c r="BO55" s="2" t="s">
        <v>3</v>
      </c>
      <c r="BP55" s="2">
        <v>0</v>
      </c>
      <c r="BQ55" s="2">
        <v>2</v>
      </c>
      <c r="BR55" s="2">
        <v>0</v>
      </c>
      <c r="BS55" s="2">
        <v>1</v>
      </c>
      <c r="BT55" s="2">
        <v>1</v>
      </c>
      <c r="BU55" s="2">
        <v>1</v>
      </c>
      <c r="BV55" s="2">
        <v>1</v>
      </c>
      <c r="BW55" s="2">
        <v>1</v>
      </c>
      <c r="BX55" s="2">
        <v>1</v>
      </c>
      <c r="BY55" s="2" t="s">
        <v>3</v>
      </c>
      <c r="BZ55" s="2">
        <v>100</v>
      </c>
      <c r="CA55" s="2">
        <v>49</v>
      </c>
      <c r="CB55" s="2" t="s">
        <v>3</v>
      </c>
      <c r="CC55" s="2"/>
      <c r="CD55" s="2"/>
      <c r="CE55" s="2">
        <v>0</v>
      </c>
      <c r="CF55" s="2">
        <v>0</v>
      </c>
      <c r="CG55" s="2">
        <v>0</v>
      </c>
      <c r="CH55" s="2"/>
      <c r="CI55" s="2"/>
      <c r="CJ55" s="2"/>
      <c r="CK55" s="2"/>
      <c r="CL55" s="2"/>
      <c r="CM55" s="2">
        <v>0</v>
      </c>
      <c r="CN55" s="7" t="s">
        <v>481</v>
      </c>
      <c r="CO55" s="2">
        <v>0</v>
      </c>
      <c r="CP55" s="2">
        <f t="shared" si="22"/>
        <v>5976.4499999999989</v>
      </c>
      <c r="CQ55" s="2">
        <f>SUMIF(SmtRes!AQ90:'SmtRes'!AQ97,"=1",SmtRes!AA90:'SmtRes'!AA97)</f>
        <v>42223.450000000004</v>
      </c>
      <c r="CR55" s="2">
        <f>SUMIF(SmtRes!AQ90:'SmtRes'!AQ97,"=1",SmtRes!AB90:'SmtRes'!AB97)</f>
        <v>741.58</v>
      </c>
      <c r="CS55" s="2">
        <f>SUMIF(SmtRes!AQ90:'SmtRes'!AQ97,"=1",SmtRes!AC90:'SmtRes'!AC97)</f>
        <v>764.64</v>
      </c>
      <c r="CT55" s="2">
        <f>SUMIF(SmtRes!AQ90:'SmtRes'!AQ97,"=1",SmtRes!AD90:'SmtRes'!AD97)</f>
        <v>377.79</v>
      </c>
      <c r="CU55" s="2">
        <f t="shared" si="23"/>
        <v>0</v>
      </c>
      <c r="CV55" s="2">
        <f>SUMIF(SmtRes!AQ90:'SmtRes'!AQ97,"=1",SmtRes!BU90:'SmtRes'!BU97)</f>
        <v>44.849999999999994</v>
      </c>
      <c r="CW55" s="2">
        <f>SUMIF(SmtRes!AQ90:'SmtRes'!AQ97,"=1",SmtRes!BV90:'SmtRes'!BV97)</f>
        <v>0.21249999999999999</v>
      </c>
      <c r="CX55" s="2">
        <f t="shared" si="24"/>
        <v>0</v>
      </c>
      <c r="CY55" s="2">
        <f t="shared" si="25"/>
        <v>4597.7759999999998</v>
      </c>
      <c r="CZ55" s="2">
        <f t="shared" si="26"/>
        <v>2127.7485599999995</v>
      </c>
      <c r="DA55" s="2"/>
      <c r="DB55" s="2">
        <v>10</v>
      </c>
      <c r="DC55" s="2" t="s">
        <v>3</v>
      </c>
      <c r="DD55" s="2" t="s">
        <v>3</v>
      </c>
      <c r="DE55" s="2" t="s">
        <v>46</v>
      </c>
      <c r="DF55" s="2" t="s">
        <v>46</v>
      </c>
      <c r="DG55" s="2" t="s">
        <v>47</v>
      </c>
      <c r="DH55" s="2" t="s">
        <v>3</v>
      </c>
      <c r="DI55" s="2" t="s">
        <v>47</v>
      </c>
      <c r="DJ55" s="2" t="s">
        <v>46</v>
      </c>
      <c r="DK55" s="2" t="s">
        <v>3</v>
      </c>
      <c r="DL55" s="2" t="s">
        <v>48</v>
      </c>
      <c r="DM55" s="2" t="s">
        <v>49</v>
      </c>
      <c r="DN55" s="2">
        <v>0</v>
      </c>
      <c r="DO55" s="2">
        <v>0</v>
      </c>
      <c r="DP55" s="2">
        <v>1</v>
      </c>
      <c r="DQ55" s="2">
        <v>1</v>
      </c>
      <c r="DR55" s="2"/>
      <c r="DS55" s="2"/>
      <c r="DT55" s="2"/>
      <c r="DU55" s="2">
        <v>1005</v>
      </c>
      <c r="DV55" s="2" t="s">
        <v>19</v>
      </c>
      <c r="DW55" s="2" t="s">
        <v>19</v>
      </c>
      <c r="DX55" s="2">
        <v>100</v>
      </c>
      <c r="DY55" s="2"/>
      <c r="DZ55" s="2" t="s">
        <v>3</v>
      </c>
      <c r="EA55" s="2" t="s">
        <v>3</v>
      </c>
      <c r="EB55" s="2" t="s">
        <v>3</v>
      </c>
      <c r="EC55" s="2" t="s">
        <v>3</v>
      </c>
      <c r="ED55" s="2"/>
      <c r="EE55" s="2">
        <v>54458951</v>
      </c>
      <c r="EF55" s="2">
        <v>2</v>
      </c>
      <c r="EG55" s="2" t="s">
        <v>35</v>
      </c>
      <c r="EH55" s="2">
        <v>15</v>
      </c>
      <c r="EI55" s="2" t="s">
        <v>186</v>
      </c>
      <c r="EJ55" s="2">
        <v>1</v>
      </c>
      <c r="EK55" s="2">
        <v>15001</v>
      </c>
      <c r="EL55" s="2" t="s">
        <v>186</v>
      </c>
      <c r="EM55" s="2" t="s">
        <v>187</v>
      </c>
      <c r="EN55" s="2"/>
      <c r="EO55" s="2" t="s">
        <v>52</v>
      </c>
      <c r="EP55" s="2"/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39</v>
      </c>
      <c r="EX55" s="2">
        <v>0.17</v>
      </c>
      <c r="EY55" s="2">
        <v>0</v>
      </c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>
        <v>0</v>
      </c>
      <c r="FR55" s="2">
        <v>0</v>
      </c>
      <c r="FS55" s="2">
        <v>0</v>
      </c>
      <c r="FT55" s="2"/>
      <c r="FU55" s="2"/>
      <c r="FV55" s="2"/>
      <c r="FW55" s="2"/>
      <c r="FX55" s="2">
        <v>90</v>
      </c>
      <c r="FY55" s="2">
        <v>41.65</v>
      </c>
      <c r="FZ55" s="2"/>
      <c r="GA55" s="2" t="s">
        <v>3</v>
      </c>
      <c r="GB55" s="2"/>
      <c r="GC55" s="2"/>
      <c r="GD55" s="2">
        <v>1</v>
      </c>
      <c r="GE55" s="2"/>
      <c r="GF55" s="2">
        <v>-1298178824</v>
      </c>
      <c r="GG55" s="2">
        <v>2</v>
      </c>
      <c r="GH55" s="2">
        <v>1</v>
      </c>
      <c r="GI55" s="2">
        <v>-2</v>
      </c>
      <c r="GJ55" s="2">
        <v>0</v>
      </c>
      <c r="GK55" s="2">
        <v>0</v>
      </c>
      <c r="GL55" s="2">
        <f t="shared" si="27"/>
        <v>0</v>
      </c>
      <c r="GM55" s="2">
        <f t="shared" si="28"/>
        <v>12701.98</v>
      </c>
      <c r="GN55" s="2">
        <f t="shared" si="29"/>
        <v>12701.98</v>
      </c>
      <c r="GO55" s="2">
        <f t="shared" si="30"/>
        <v>0</v>
      </c>
      <c r="GP55" s="2">
        <f t="shared" si="31"/>
        <v>0</v>
      </c>
      <c r="GQ55" s="2"/>
      <c r="GR55" s="2">
        <v>0</v>
      </c>
      <c r="GS55" s="2">
        <v>0</v>
      </c>
      <c r="GT55" s="2">
        <v>0</v>
      </c>
      <c r="GU55" s="2" t="s">
        <v>3</v>
      </c>
      <c r="GV55" s="2">
        <f t="shared" si="32"/>
        <v>0</v>
      </c>
      <c r="GW55" s="2">
        <v>1</v>
      </c>
      <c r="GX55" s="2">
        <f t="shared" si="33"/>
        <v>0</v>
      </c>
      <c r="GY55" s="2"/>
      <c r="GZ55" s="2"/>
      <c r="HA55" s="2">
        <v>0</v>
      </c>
      <c r="HB55" s="2">
        <v>0</v>
      </c>
      <c r="HC55" s="2">
        <f t="shared" si="34"/>
        <v>0</v>
      </c>
      <c r="HD55" s="2"/>
      <c r="HE55" s="2" t="s">
        <v>3</v>
      </c>
      <c r="HF55" s="2" t="s">
        <v>3</v>
      </c>
      <c r="HG55" s="2"/>
      <c r="HH55" s="2"/>
      <c r="HI55" s="2"/>
      <c r="HJ55" s="2"/>
      <c r="HK55" s="2"/>
      <c r="HL55" s="2"/>
      <c r="HM55" s="2" t="s">
        <v>3</v>
      </c>
      <c r="HN55" s="2" t="s">
        <v>188</v>
      </c>
      <c r="HO55" s="2" t="s">
        <v>189</v>
      </c>
      <c r="HP55" s="2" t="s">
        <v>186</v>
      </c>
      <c r="HQ55" s="2" t="s">
        <v>186</v>
      </c>
      <c r="HR55" s="2"/>
      <c r="HS55" s="2">
        <v>0</v>
      </c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>
        <v>0</v>
      </c>
      <c r="IL55" s="2"/>
      <c r="IM55" s="2"/>
      <c r="IN55" s="2"/>
      <c r="IO55" s="2"/>
      <c r="IP55" s="2"/>
      <c r="IQ55" s="2"/>
      <c r="IR55" s="2"/>
      <c r="IS55" s="2"/>
      <c r="IT55" s="2"/>
      <c r="IU55" s="2"/>
    </row>
    <row r="56" spans="1:255" ht="13.15" customHeight="1" x14ac:dyDescent="0.2">
      <c r="A56" s="2">
        <v>18</v>
      </c>
      <c r="B56" s="2">
        <v>1</v>
      </c>
      <c r="C56" s="2">
        <v>96</v>
      </c>
      <c r="D56" s="2"/>
      <c r="E56" s="2" t="s">
        <v>198</v>
      </c>
      <c r="F56" s="2" t="s">
        <v>199</v>
      </c>
      <c r="G56" s="2" t="s">
        <v>200</v>
      </c>
      <c r="H56" s="2" t="s">
        <v>29</v>
      </c>
      <c r="I56" s="2">
        <f>I55*J56</f>
        <v>1.89E-2</v>
      </c>
      <c r="J56" s="2">
        <v>6.3E-2</v>
      </c>
      <c r="K56" s="2">
        <v>6.3E-2</v>
      </c>
      <c r="L56" s="2"/>
      <c r="M56" s="2"/>
      <c r="N56" s="2"/>
      <c r="O56" s="2">
        <f t="shared" si="14"/>
        <v>3065.23</v>
      </c>
      <c r="P56" s="2">
        <f>ROUND(CQ56*I56,2)</f>
        <v>3065.23</v>
      </c>
      <c r="Q56" s="2">
        <f>ROUND(CR56*I56,2)</f>
        <v>0</v>
      </c>
      <c r="R56" s="2">
        <f>ROUND(CS56*I56,2)</f>
        <v>0</v>
      </c>
      <c r="S56" s="2">
        <f>ROUND(CT56*I56,2)</f>
        <v>0</v>
      </c>
      <c r="T56" s="2">
        <f t="shared" si="15"/>
        <v>0</v>
      </c>
      <c r="U56" s="2">
        <f>ROUND(CV56*I56,7)</f>
        <v>0</v>
      </c>
      <c r="V56" s="2">
        <f>ROUND(CW56*I56,7)</f>
        <v>0</v>
      </c>
      <c r="W56" s="2">
        <f t="shared" si="16"/>
        <v>0</v>
      </c>
      <c r="X56" s="2">
        <f t="shared" si="17"/>
        <v>0</v>
      </c>
      <c r="Y56" s="2">
        <f t="shared" si="18"/>
        <v>0</v>
      </c>
      <c r="Z56" s="2"/>
      <c r="AA56" s="2">
        <v>55858619</v>
      </c>
      <c r="AB56" s="2">
        <f t="shared" si="19"/>
        <v>87665.56</v>
      </c>
      <c r="AC56" s="2">
        <f>ROUND((ES56),6)</f>
        <v>87665.56</v>
      </c>
      <c r="AD56" s="2">
        <f>ROUND((((ET56)-(EU56))+AE56),6)</f>
        <v>0</v>
      </c>
      <c r="AE56" s="2">
        <f>ROUND((EU56),6)</f>
        <v>0</v>
      </c>
      <c r="AF56" s="2">
        <f>ROUND((EV56),6)</f>
        <v>0</v>
      </c>
      <c r="AG56" s="2">
        <f t="shared" si="20"/>
        <v>0</v>
      </c>
      <c r="AH56" s="2">
        <f>(EW56)</f>
        <v>0</v>
      </c>
      <c r="AI56" s="2">
        <f>(EX56)</f>
        <v>0</v>
      </c>
      <c r="AJ56" s="2">
        <f t="shared" si="21"/>
        <v>0</v>
      </c>
      <c r="AK56" s="2">
        <v>87665.56</v>
      </c>
      <c r="AL56" s="2">
        <v>87665.56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100</v>
      </c>
      <c r="AU56" s="2">
        <v>49</v>
      </c>
      <c r="AV56" s="2">
        <v>1</v>
      </c>
      <c r="AW56" s="2">
        <v>1</v>
      </c>
      <c r="AX56" s="2"/>
      <c r="AY56" s="2"/>
      <c r="AZ56" s="2">
        <v>1</v>
      </c>
      <c r="BA56" s="2">
        <v>1</v>
      </c>
      <c r="BB56" s="2">
        <v>1</v>
      </c>
      <c r="BC56" s="2">
        <v>1.85</v>
      </c>
      <c r="BD56" s="2" t="s">
        <v>3</v>
      </c>
      <c r="BE56" s="2" t="s">
        <v>3</v>
      </c>
      <c r="BF56" s="2" t="s">
        <v>3</v>
      </c>
      <c r="BG56" s="2" t="s">
        <v>3</v>
      </c>
      <c r="BH56" s="2">
        <v>3</v>
      </c>
      <c r="BI56" s="2">
        <v>1</v>
      </c>
      <c r="BJ56" s="2" t="s">
        <v>201</v>
      </c>
      <c r="BK56" s="2"/>
      <c r="BL56" s="2"/>
      <c r="BM56" s="2">
        <v>15001</v>
      </c>
      <c r="BN56" s="2">
        <v>0</v>
      </c>
      <c r="BO56" s="2" t="s">
        <v>199</v>
      </c>
      <c r="BP56" s="2">
        <v>1</v>
      </c>
      <c r="BQ56" s="2">
        <v>2</v>
      </c>
      <c r="BR56" s="2">
        <v>0</v>
      </c>
      <c r="BS56" s="2">
        <v>1</v>
      </c>
      <c r="BT56" s="2">
        <v>1</v>
      </c>
      <c r="BU56" s="2">
        <v>1</v>
      </c>
      <c r="BV56" s="2">
        <v>1</v>
      </c>
      <c r="BW56" s="2">
        <v>1</v>
      </c>
      <c r="BX56" s="2">
        <v>1</v>
      </c>
      <c r="BY56" s="2" t="s">
        <v>3</v>
      </c>
      <c r="BZ56" s="2">
        <v>100</v>
      </c>
      <c r="CA56" s="2">
        <v>49</v>
      </c>
      <c r="CB56" s="2" t="s">
        <v>3</v>
      </c>
      <c r="CC56" s="2"/>
      <c r="CD56" s="2"/>
      <c r="CE56" s="2">
        <v>0</v>
      </c>
      <c r="CF56" s="2">
        <v>0</v>
      </c>
      <c r="CG56" s="2">
        <v>0</v>
      </c>
      <c r="CH56" s="2"/>
      <c r="CI56" s="2"/>
      <c r="CJ56" s="2"/>
      <c r="CK56" s="2"/>
      <c r="CL56" s="2"/>
      <c r="CM56" s="2">
        <v>0</v>
      </c>
      <c r="CN56" s="2" t="s">
        <v>3</v>
      </c>
      <c r="CO56" s="2">
        <v>0</v>
      </c>
      <c r="CP56" s="2">
        <f t="shared" si="22"/>
        <v>3065.23</v>
      </c>
      <c r="CQ56" s="2">
        <f>ROUND(AL56*BC56,2)</f>
        <v>162181.29</v>
      </c>
      <c r="CR56" s="2">
        <f>ROUND(AM56*BB56,2)</f>
        <v>0</v>
      </c>
      <c r="CS56" s="2">
        <f>ROUND(AN56*BS56,2)</f>
        <v>0</v>
      </c>
      <c r="CT56" s="2">
        <f>ROUND(AO56*BA56,2)</f>
        <v>0</v>
      </c>
      <c r="CU56" s="2">
        <f t="shared" si="23"/>
        <v>0</v>
      </c>
      <c r="CV56" s="2">
        <f>AH56</f>
        <v>0</v>
      </c>
      <c r="CW56" s="2">
        <f>AI56</f>
        <v>0</v>
      </c>
      <c r="CX56" s="2">
        <f t="shared" si="24"/>
        <v>0</v>
      </c>
      <c r="CY56" s="2">
        <f t="shared" si="25"/>
        <v>0</v>
      </c>
      <c r="CZ56" s="2">
        <f t="shared" si="26"/>
        <v>0</v>
      </c>
      <c r="DA56" s="2"/>
      <c r="DB56" s="2"/>
      <c r="DC56" s="2" t="s">
        <v>3</v>
      </c>
      <c r="DD56" s="2" t="s">
        <v>3</v>
      </c>
      <c r="DE56" s="2" t="s">
        <v>3</v>
      </c>
      <c r="DF56" s="2" t="s">
        <v>3</v>
      </c>
      <c r="DG56" s="2" t="s">
        <v>3</v>
      </c>
      <c r="DH56" s="2" t="s">
        <v>3</v>
      </c>
      <c r="DI56" s="2" t="s">
        <v>3</v>
      </c>
      <c r="DJ56" s="2" t="s">
        <v>3</v>
      </c>
      <c r="DK56" s="2" t="s">
        <v>3</v>
      </c>
      <c r="DL56" s="2" t="s">
        <v>3</v>
      </c>
      <c r="DM56" s="2" t="s">
        <v>3</v>
      </c>
      <c r="DN56" s="2">
        <v>0</v>
      </c>
      <c r="DO56" s="2">
        <v>0</v>
      </c>
      <c r="DP56" s="2">
        <v>1</v>
      </c>
      <c r="DQ56" s="2">
        <v>1</v>
      </c>
      <c r="DR56" s="2"/>
      <c r="DS56" s="2"/>
      <c r="DT56" s="2"/>
      <c r="DU56" s="2">
        <v>1009</v>
      </c>
      <c r="DV56" s="2" t="s">
        <v>29</v>
      </c>
      <c r="DW56" s="2" t="s">
        <v>29</v>
      </c>
      <c r="DX56" s="2">
        <v>1000</v>
      </c>
      <c r="DY56" s="2"/>
      <c r="DZ56" s="2" t="s">
        <v>3</v>
      </c>
      <c r="EA56" s="2" t="s">
        <v>3</v>
      </c>
      <c r="EB56" s="2" t="s">
        <v>3</v>
      </c>
      <c r="EC56" s="2" t="s">
        <v>3</v>
      </c>
      <c r="ED56" s="2"/>
      <c r="EE56" s="2">
        <v>54458951</v>
      </c>
      <c r="EF56" s="2">
        <v>2</v>
      </c>
      <c r="EG56" s="2" t="s">
        <v>35</v>
      </c>
      <c r="EH56" s="2">
        <v>15</v>
      </c>
      <c r="EI56" s="2" t="s">
        <v>186</v>
      </c>
      <c r="EJ56" s="2">
        <v>1</v>
      </c>
      <c r="EK56" s="2">
        <v>15001</v>
      </c>
      <c r="EL56" s="2" t="s">
        <v>186</v>
      </c>
      <c r="EM56" s="2" t="s">
        <v>187</v>
      </c>
      <c r="EN56" s="2"/>
      <c r="EO56" s="2" t="s">
        <v>3</v>
      </c>
      <c r="EP56" s="2"/>
      <c r="EQ56" s="2">
        <v>0</v>
      </c>
      <c r="ER56" s="2">
        <v>87665.56</v>
      </c>
      <c r="ES56" s="2">
        <v>87665.56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>
        <v>0</v>
      </c>
      <c r="FR56" s="2">
        <v>0</v>
      </c>
      <c r="FS56" s="2">
        <v>0</v>
      </c>
      <c r="FT56" s="2"/>
      <c r="FU56" s="2"/>
      <c r="FV56" s="2"/>
      <c r="FW56" s="2"/>
      <c r="FX56" s="2">
        <v>100</v>
      </c>
      <c r="FY56" s="2">
        <v>49</v>
      </c>
      <c r="FZ56" s="2"/>
      <c r="GA56" s="2" t="s">
        <v>3</v>
      </c>
      <c r="GB56" s="2"/>
      <c r="GC56" s="2"/>
      <c r="GD56" s="2">
        <v>1</v>
      </c>
      <c r="GE56" s="2"/>
      <c r="GF56" s="2">
        <v>1390565826</v>
      </c>
      <c r="GG56" s="2">
        <v>2</v>
      </c>
      <c r="GH56" s="2">
        <v>1</v>
      </c>
      <c r="GI56" s="2">
        <v>2</v>
      </c>
      <c r="GJ56" s="2">
        <v>0</v>
      </c>
      <c r="GK56" s="2">
        <v>0</v>
      </c>
      <c r="GL56" s="2">
        <f t="shared" si="27"/>
        <v>0</v>
      </c>
      <c r="GM56" s="2">
        <f t="shared" si="28"/>
        <v>3065.23</v>
      </c>
      <c r="GN56" s="2">
        <f t="shared" si="29"/>
        <v>3065.23</v>
      </c>
      <c r="GO56" s="2">
        <f t="shared" si="30"/>
        <v>0</v>
      </c>
      <c r="GP56" s="2">
        <f t="shared" si="31"/>
        <v>0</v>
      </c>
      <c r="GQ56" s="2"/>
      <c r="GR56" s="2">
        <v>0</v>
      </c>
      <c r="GS56" s="2">
        <v>0</v>
      </c>
      <c r="GT56" s="2">
        <v>0</v>
      </c>
      <c r="GU56" s="2" t="s">
        <v>3</v>
      </c>
      <c r="GV56" s="2">
        <f t="shared" si="32"/>
        <v>0</v>
      </c>
      <c r="GW56" s="2">
        <v>1</v>
      </c>
      <c r="GX56" s="2">
        <f t="shared" si="33"/>
        <v>0</v>
      </c>
      <c r="GY56" s="2"/>
      <c r="GZ56" s="2"/>
      <c r="HA56" s="2">
        <v>0</v>
      </c>
      <c r="HB56" s="2">
        <v>0</v>
      </c>
      <c r="HC56" s="2">
        <f t="shared" si="34"/>
        <v>0</v>
      </c>
      <c r="HD56" s="2"/>
      <c r="HE56" s="2" t="s">
        <v>3</v>
      </c>
      <c r="HF56" s="2" t="s">
        <v>3</v>
      </c>
      <c r="HG56" s="2"/>
      <c r="HH56" s="2"/>
      <c r="HI56" s="2"/>
      <c r="HJ56" s="2"/>
      <c r="HK56" s="2"/>
      <c r="HL56" s="2"/>
      <c r="HM56" s="2" t="s">
        <v>3</v>
      </c>
      <c r="HN56" s="2" t="s">
        <v>188</v>
      </c>
      <c r="HO56" s="2" t="s">
        <v>189</v>
      </c>
      <c r="HP56" s="2" t="s">
        <v>186</v>
      </c>
      <c r="HQ56" s="2" t="s">
        <v>186</v>
      </c>
      <c r="HR56" s="2"/>
      <c r="HS56" s="2">
        <v>0</v>
      </c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>
        <v>0</v>
      </c>
      <c r="IL56" s="2"/>
      <c r="IM56" s="2"/>
      <c r="IN56" s="2"/>
      <c r="IO56" s="2"/>
      <c r="IP56" s="2"/>
      <c r="IQ56" s="2"/>
      <c r="IR56" s="2"/>
      <c r="IS56" s="2"/>
      <c r="IT56" s="2"/>
      <c r="IU56" s="2"/>
    </row>
    <row r="57" spans="1:255" ht="13.15" customHeight="1" x14ac:dyDescent="0.2"/>
    <row r="58" spans="1:255" x14ac:dyDescent="0.2">
      <c r="A58" s="3">
        <v>51</v>
      </c>
      <c r="B58" s="3">
        <f>B20</f>
        <v>1</v>
      </c>
      <c r="C58" s="3">
        <f>A20</f>
        <v>3</v>
      </c>
      <c r="D58" s="3">
        <f>ROW(A20)</f>
        <v>20</v>
      </c>
      <c r="E58" s="3"/>
      <c r="F58" s="3" t="str">
        <f>IF(F20&lt;&gt;"",F20,"")</f>
        <v>Новая локальная смета</v>
      </c>
      <c r="G58" s="3" t="str">
        <f>IF(G20&lt;&gt;"",G20,"")</f>
        <v>Новая локальная смета</v>
      </c>
      <c r="H58" s="3">
        <v>0</v>
      </c>
      <c r="I58" s="3"/>
      <c r="J58" s="3"/>
      <c r="K58" s="3"/>
      <c r="L58" s="3"/>
      <c r="M58" s="3"/>
      <c r="N58" s="3"/>
      <c r="O58" s="3">
        <f t="shared" ref="O58:T58" si="44">ROUND(AB58,2)</f>
        <v>735342.95</v>
      </c>
      <c r="P58" s="3">
        <f t="shared" si="44"/>
        <v>614527.97</v>
      </c>
      <c r="Q58" s="3">
        <f t="shared" si="44"/>
        <v>8163.72</v>
      </c>
      <c r="R58" s="3">
        <f t="shared" si="44"/>
        <v>1460.85</v>
      </c>
      <c r="S58" s="3">
        <f t="shared" si="44"/>
        <v>111190.41</v>
      </c>
      <c r="T58" s="3">
        <f t="shared" si="44"/>
        <v>0</v>
      </c>
      <c r="U58" s="3">
        <f>AH58</f>
        <v>301.85435999999999</v>
      </c>
      <c r="V58" s="3">
        <f>AI58</f>
        <v>3.6470050000000005</v>
      </c>
      <c r="W58" s="3">
        <f>ROUND(AJ58,2)</f>
        <v>0</v>
      </c>
      <c r="X58" s="3">
        <f>ROUND(AK58,2)</f>
        <v>109984.47</v>
      </c>
      <c r="Y58" s="3">
        <f>ROUND(AL58,2)</f>
        <v>62105.279999999999</v>
      </c>
      <c r="Z58" s="3"/>
      <c r="AA58" s="3"/>
      <c r="AB58" s="3">
        <f>ROUND(SUMIF(AA24:AA56,"=55858619",O24:O56),2)</f>
        <v>735342.95</v>
      </c>
      <c r="AC58" s="3">
        <f>ROUND(SUMIF(AA24:AA56,"=55858619",P24:P56),2)</f>
        <v>614527.97</v>
      </c>
      <c r="AD58" s="3">
        <f>ROUND(SUMIF(AA24:AA56,"=55858619",Q24:Q56),2)</f>
        <v>8163.72</v>
      </c>
      <c r="AE58" s="3">
        <f>ROUND(SUMIF(AA24:AA56,"=55858619",R24:R56),2)</f>
        <v>1460.85</v>
      </c>
      <c r="AF58" s="3">
        <f>ROUND(SUMIF(AA24:AA56,"=55858619",S24:S56),2)</f>
        <v>111190.41</v>
      </c>
      <c r="AG58" s="3">
        <f>ROUND(SUMIF(AA24:AA56,"=55858619",T24:T56),2)</f>
        <v>0</v>
      </c>
      <c r="AH58" s="3">
        <f>SUMIF(AA24:AA56,"=55858619",U24:U56)</f>
        <v>301.85435999999999</v>
      </c>
      <c r="AI58" s="3">
        <f>SUMIF(AA24:AA56,"=55858619",V24:V56)</f>
        <v>3.6470050000000005</v>
      </c>
      <c r="AJ58" s="3">
        <f>ROUND(SUMIF(AA24:AA56,"=55858619",W24:W56),2)</f>
        <v>0</v>
      </c>
      <c r="AK58" s="3">
        <f>ROUND(SUMIF(AA24:AA56,"=55858619",X24:X56),2)</f>
        <v>109984.47</v>
      </c>
      <c r="AL58" s="3">
        <f>ROUND(SUMIF(AA24:AA56,"=55858619",Y24:Y56),2)</f>
        <v>62105.279999999999</v>
      </c>
      <c r="AM58" s="3"/>
      <c r="AN58" s="3"/>
      <c r="AO58" s="3">
        <f t="shared" ref="AO58:BD58" si="45">ROUND(BX58,2)</f>
        <v>0</v>
      </c>
      <c r="AP58" s="3">
        <f t="shared" si="45"/>
        <v>0</v>
      </c>
      <c r="AQ58" s="3">
        <f t="shared" si="45"/>
        <v>0</v>
      </c>
      <c r="AR58" s="3">
        <f t="shared" si="45"/>
        <v>907432.7</v>
      </c>
      <c r="AS58" s="3">
        <f t="shared" si="45"/>
        <v>907432.7</v>
      </c>
      <c r="AT58" s="3">
        <f t="shared" si="45"/>
        <v>0</v>
      </c>
      <c r="AU58" s="3">
        <f t="shared" si="45"/>
        <v>0</v>
      </c>
      <c r="AV58" s="3">
        <f t="shared" si="45"/>
        <v>614527.97</v>
      </c>
      <c r="AW58" s="3">
        <f t="shared" si="45"/>
        <v>614527.97</v>
      </c>
      <c r="AX58" s="3">
        <f t="shared" si="45"/>
        <v>0</v>
      </c>
      <c r="AY58" s="3">
        <f t="shared" si="45"/>
        <v>614527.97</v>
      </c>
      <c r="AZ58" s="3">
        <f t="shared" si="45"/>
        <v>0</v>
      </c>
      <c r="BA58" s="3">
        <f t="shared" si="45"/>
        <v>0</v>
      </c>
      <c r="BB58" s="3">
        <f t="shared" si="45"/>
        <v>0</v>
      </c>
      <c r="BC58" s="3">
        <f t="shared" si="45"/>
        <v>0</v>
      </c>
      <c r="BD58" s="3">
        <f t="shared" si="45"/>
        <v>0</v>
      </c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>
        <f>ROUND(SUMIF(AA24:AA56,"=55858619",FQ24:FQ56),2)</f>
        <v>0</v>
      </c>
      <c r="BY58" s="3">
        <f>ROUND(SUMIF(AA24:AA56,"=55858619",FR24:FR56),2)</f>
        <v>0</v>
      </c>
      <c r="BZ58" s="3">
        <f>ROUND(SUMIF(AA24:AA56,"=55858619",GL24:GL56),2)</f>
        <v>0</v>
      </c>
      <c r="CA58" s="3">
        <f>ROUND(SUMIF(AA24:AA56,"=55858619",GM24:GM56),2)</f>
        <v>907432.7</v>
      </c>
      <c r="CB58" s="3">
        <f>ROUND(SUMIF(AA24:AA56,"=55858619",GN24:GN56),2)</f>
        <v>907432.7</v>
      </c>
      <c r="CC58" s="3">
        <f>ROUND(SUMIF(AA24:AA56,"=55858619",GO24:GO56),2)</f>
        <v>0</v>
      </c>
      <c r="CD58" s="3">
        <f>ROUND(SUMIF(AA24:AA56,"=55858619",GP24:GP56),2)</f>
        <v>0</v>
      </c>
      <c r="CE58" s="3">
        <f>AC58-BX58</f>
        <v>614527.97</v>
      </c>
      <c r="CF58" s="3">
        <f>AC58-BY58</f>
        <v>614527.97</v>
      </c>
      <c r="CG58" s="3">
        <f>BX58-BZ58</f>
        <v>0</v>
      </c>
      <c r="CH58" s="3">
        <f>AC58-BX58-BY58+BZ58</f>
        <v>614527.97</v>
      </c>
      <c r="CI58" s="3">
        <f>BY58-BZ58</f>
        <v>0</v>
      </c>
      <c r="CJ58" s="3">
        <f>ROUND(SUMIF(AA24:AA56,"=55858619",GX24:GX56),2)</f>
        <v>0</v>
      </c>
      <c r="CK58" s="3">
        <f>ROUND(SUMIF(AA24:AA56,"=55858619",GY24:GY56),2)</f>
        <v>0</v>
      </c>
      <c r="CL58" s="3">
        <f>ROUND(SUMIF(AA24:AA56,"=55858619",GZ24:GZ56),2)</f>
        <v>0</v>
      </c>
      <c r="CM58" s="3">
        <f>ROUND(SUMIF(AA24:AA56,"=55858619",HD24:HD56),2)</f>
        <v>0</v>
      </c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>
        <v>0</v>
      </c>
    </row>
    <row r="60" spans="1:255" x14ac:dyDescent="0.2">
      <c r="A60" s="5">
        <v>50</v>
      </c>
      <c r="B60" s="5">
        <v>0</v>
      </c>
      <c r="C60" s="5">
        <v>0</v>
      </c>
      <c r="D60" s="5">
        <v>1</v>
      </c>
      <c r="E60" s="5">
        <v>201</v>
      </c>
      <c r="F60" s="5">
        <f>ROUND(Source!O58,O60)</f>
        <v>735342.95</v>
      </c>
      <c r="G60" s="5" t="s">
        <v>202</v>
      </c>
      <c r="H60" s="5" t="s">
        <v>203</v>
      </c>
      <c r="I60" s="5"/>
      <c r="J60" s="5"/>
      <c r="K60" s="5">
        <v>201</v>
      </c>
      <c r="L60" s="5">
        <v>1</v>
      </c>
      <c r="M60" s="5">
        <v>3</v>
      </c>
      <c r="N60" s="5" t="s">
        <v>3</v>
      </c>
      <c r="O60" s="5">
        <v>2</v>
      </c>
      <c r="P60" s="5"/>
      <c r="Q60" s="5"/>
      <c r="R60" s="5"/>
      <c r="S60" s="5"/>
      <c r="T60" s="5"/>
      <c r="U60" s="5"/>
      <c r="V60" s="5"/>
      <c r="W60" s="5">
        <v>735342.95</v>
      </c>
      <c r="X60" s="5">
        <v>1</v>
      </c>
      <c r="Y60" s="5">
        <v>735342.95</v>
      </c>
      <c r="Z60" s="5"/>
      <c r="AA60" s="5"/>
      <c r="AB60" s="5"/>
    </row>
    <row r="61" spans="1:255" x14ac:dyDescent="0.2">
      <c r="A61" s="5">
        <v>50</v>
      </c>
      <c r="B61" s="5">
        <v>0</v>
      </c>
      <c r="C61" s="5">
        <v>0</v>
      </c>
      <c r="D61" s="5">
        <v>1</v>
      </c>
      <c r="E61" s="5">
        <v>202</v>
      </c>
      <c r="F61" s="5">
        <f>ROUND(Source!P58,O61)</f>
        <v>614527.97</v>
      </c>
      <c r="G61" s="5" t="s">
        <v>204</v>
      </c>
      <c r="H61" s="5" t="s">
        <v>205</v>
      </c>
      <c r="I61" s="5"/>
      <c r="J61" s="5"/>
      <c r="K61" s="5">
        <v>202</v>
      </c>
      <c r="L61" s="5">
        <v>2</v>
      </c>
      <c r="M61" s="5">
        <v>3</v>
      </c>
      <c r="N61" s="5" t="s">
        <v>3</v>
      </c>
      <c r="O61" s="5">
        <v>2</v>
      </c>
      <c r="P61" s="5"/>
      <c r="Q61" s="5"/>
      <c r="R61" s="5"/>
      <c r="S61" s="5"/>
      <c r="T61" s="5"/>
      <c r="U61" s="5"/>
      <c r="V61" s="5"/>
      <c r="W61" s="5">
        <v>614527.97</v>
      </c>
      <c r="X61" s="5">
        <v>1</v>
      </c>
      <c r="Y61" s="5">
        <v>614527.97</v>
      </c>
      <c r="Z61" s="5"/>
      <c r="AA61" s="5"/>
      <c r="AB61" s="5"/>
    </row>
    <row r="62" spans="1:255" x14ac:dyDescent="0.2">
      <c r="A62" s="5">
        <v>50</v>
      </c>
      <c r="B62" s="5">
        <v>0</v>
      </c>
      <c r="C62" s="5">
        <v>0</v>
      </c>
      <c r="D62" s="5">
        <v>1</v>
      </c>
      <c r="E62" s="5">
        <v>222</v>
      </c>
      <c r="F62" s="5">
        <f>ROUND(Source!AO58,O62)</f>
        <v>0</v>
      </c>
      <c r="G62" s="5" t="s">
        <v>206</v>
      </c>
      <c r="H62" s="5" t="s">
        <v>207</v>
      </c>
      <c r="I62" s="5"/>
      <c r="J62" s="5"/>
      <c r="K62" s="5">
        <v>222</v>
      </c>
      <c r="L62" s="5">
        <v>3</v>
      </c>
      <c r="M62" s="5">
        <v>3</v>
      </c>
      <c r="N62" s="5" t="s">
        <v>3</v>
      </c>
      <c r="O62" s="5">
        <v>2</v>
      </c>
      <c r="P62" s="5"/>
      <c r="Q62" s="5"/>
      <c r="R62" s="5"/>
      <c r="S62" s="5"/>
      <c r="T62" s="5"/>
      <c r="U62" s="5"/>
      <c r="V62" s="5"/>
      <c r="W62" s="5">
        <v>0</v>
      </c>
      <c r="X62" s="5">
        <v>1</v>
      </c>
      <c r="Y62" s="5">
        <v>0</v>
      </c>
      <c r="Z62" s="5"/>
      <c r="AA62" s="5"/>
      <c r="AB62" s="5"/>
    </row>
    <row r="63" spans="1:255" x14ac:dyDescent="0.2">
      <c r="A63" s="5">
        <v>50</v>
      </c>
      <c r="B63" s="5">
        <v>0</v>
      </c>
      <c r="C63" s="5">
        <v>0</v>
      </c>
      <c r="D63" s="5">
        <v>1</v>
      </c>
      <c r="E63" s="5">
        <v>225</v>
      </c>
      <c r="F63" s="5">
        <f>ROUND(Source!AV58,O63)</f>
        <v>614527.97</v>
      </c>
      <c r="G63" s="5" t="s">
        <v>208</v>
      </c>
      <c r="H63" s="5" t="s">
        <v>209</v>
      </c>
      <c r="I63" s="5"/>
      <c r="J63" s="5"/>
      <c r="K63" s="5">
        <v>225</v>
      </c>
      <c r="L63" s="5">
        <v>4</v>
      </c>
      <c r="M63" s="5">
        <v>3</v>
      </c>
      <c r="N63" s="5" t="s">
        <v>3</v>
      </c>
      <c r="O63" s="5">
        <v>2</v>
      </c>
      <c r="P63" s="5"/>
      <c r="Q63" s="5"/>
      <c r="R63" s="5"/>
      <c r="S63" s="5"/>
      <c r="T63" s="5"/>
      <c r="U63" s="5"/>
      <c r="V63" s="5"/>
      <c r="W63" s="5">
        <v>614527.97</v>
      </c>
      <c r="X63" s="5">
        <v>1</v>
      </c>
      <c r="Y63" s="5">
        <v>614527.97</v>
      </c>
      <c r="Z63" s="5"/>
      <c r="AA63" s="5"/>
      <c r="AB63" s="5"/>
    </row>
    <row r="64" spans="1:255" x14ac:dyDescent="0.2">
      <c r="A64" s="5">
        <v>50</v>
      </c>
      <c r="B64" s="5">
        <v>0</v>
      </c>
      <c r="C64" s="5">
        <v>0</v>
      </c>
      <c r="D64" s="5">
        <v>1</v>
      </c>
      <c r="E64" s="5">
        <v>226</v>
      </c>
      <c r="F64" s="5">
        <f>ROUND(Source!AW58,O64)</f>
        <v>614527.97</v>
      </c>
      <c r="G64" s="5" t="s">
        <v>210</v>
      </c>
      <c r="H64" s="5" t="s">
        <v>211</v>
      </c>
      <c r="I64" s="5"/>
      <c r="J64" s="5"/>
      <c r="K64" s="5">
        <v>226</v>
      </c>
      <c r="L64" s="5">
        <v>5</v>
      </c>
      <c r="M64" s="5">
        <v>3</v>
      </c>
      <c r="N64" s="5" t="s">
        <v>3</v>
      </c>
      <c r="O64" s="5">
        <v>2</v>
      </c>
      <c r="P64" s="5"/>
      <c r="Q64" s="5"/>
      <c r="R64" s="5"/>
      <c r="S64" s="5"/>
      <c r="T64" s="5"/>
      <c r="U64" s="5"/>
      <c r="V64" s="5"/>
      <c r="W64" s="5">
        <v>614527.97</v>
      </c>
      <c r="X64" s="5">
        <v>1</v>
      </c>
      <c r="Y64" s="5">
        <v>614527.97</v>
      </c>
      <c r="Z64" s="5"/>
      <c r="AA64" s="5"/>
      <c r="AB64" s="5"/>
    </row>
    <row r="65" spans="1:28" x14ac:dyDescent="0.2">
      <c r="A65" s="5">
        <v>50</v>
      </c>
      <c r="B65" s="5">
        <v>0</v>
      </c>
      <c r="C65" s="5">
        <v>0</v>
      </c>
      <c r="D65" s="5">
        <v>1</v>
      </c>
      <c r="E65" s="5">
        <v>227</v>
      </c>
      <c r="F65" s="5">
        <f>ROUND(Source!AX58,O65)</f>
        <v>0</v>
      </c>
      <c r="G65" s="5" t="s">
        <v>212</v>
      </c>
      <c r="H65" s="5" t="s">
        <v>213</v>
      </c>
      <c r="I65" s="5"/>
      <c r="J65" s="5"/>
      <c r="K65" s="5">
        <v>227</v>
      </c>
      <c r="L65" s="5">
        <v>6</v>
      </c>
      <c r="M65" s="5">
        <v>3</v>
      </c>
      <c r="N65" s="5" t="s">
        <v>3</v>
      </c>
      <c r="O65" s="5">
        <v>2</v>
      </c>
      <c r="P65" s="5"/>
      <c r="Q65" s="5"/>
      <c r="R65" s="5"/>
      <c r="S65" s="5"/>
      <c r="T65" s="5"/>
      <c r="U65" s="5"/>
      <c r="V65" s="5"/>
      <c r="W65" s="5">
        <v>0</v>
      </c>
      <c r="X65" s="5">
        <v>1</v>
      </c>
      <c r="Y65" s="5">
        <v>0</v>
      </c>
      <c r="Z65" s="5"/>
      <c r="AA65" s="5"/>
      <c r="AB65" s="5"/>
    </row>
    <row r="66" spans="1:28" x14ac:dyDescent="0.2">
      <c r="A66" s="5">
        <v>50</v>
      </c>
      <c r="B66" s="5">
        <v>0</v>
      </c>
      <c r="C66" s="5">
        <v>0</v>
      </c>
      <c r="D66" s="5">
        <v>1</v>
      </c>
      <c r="E66" s="5">
        <v>228</v>
      </c>
      <c r="F66" s="5">
        <f>ROUND(Source!AY58,O66)</f>
        <v>614527.97</v>
      </c>
      <c r="G66" s="5" t="s">
        <v>214</v>
      </c>
      <c r="H66" s="5" t="s">
        <v>215</v>
      </c>
      <c r="I66" s="5"/>
      <c r="J66" s="5"/>
      <c r="K66" s="5">
        <v>228</v>
      </c>
      <c r="L66" s="5">
        <v>7</v>
      </c>
      <c r="M66" s="5">
        <v>3</v>
      </c>
      <c r="N66" s="5" t="s">
        <v>3</v>
      </c>
      <c r="O66" s="5">
        <v>2</v>
      </c>
      <c r="P66" s="5"/>
      <c r="Q66" s="5"/>
      <c r="R66" s="5"/>
      <c r="S66" s="5"/>
      <c r="T66" s="5"/>
      <c r="U66" s="5"/>
      <c r="V66" s="5"/>
      <c r="W66" s="5">
        <v>614527.97</v>
      </c>
      <c r="X66" s="5">
        <v>1</v>
      </c>
      <c r="Y66" s="5">
        <v>614527.97</v>
      </c>
      <c r="Z66" s="5"/>
      <c r="AA66" s="5"/>
      <c r="AB66" s="5"/>
    </row>
    <row r="67" spans="1:28" x14ac:dyDescent="0.2">
      <c r="A67" s="5">
        <v>50</v>
      </c>
      <c r="B67" s="5">
        <v>0</v>
      </c>
      <c r="C67" s="5">
        <v>0</v>
      </c>
      <c r="D67" s="5">
        <v>1</v>
      </c>
      <c r="E67" s="5">
        <v>216</v>
      </c>
      <c r="F67" s="5">
        <f>ROUND(Source!AP58,O67)</f>
        <v>0</v>
      </c>
      <c r="G67" s="5" t="s">
        <v>216</v>
      </c>
      <c r="H67" s="5" t="s">
        <v>217</v>
      </c>
      <c r="I67" s="5"/>
      <c r="J67" s="5"/>
      <c r="K67" s="5">
        <v>216</v>
      </c>
      <c r="L67" s="5">
        <v>8</v>
      </c>
      <c r="M67" s="5">
        <v>3</v>
      </c>
      <c r="N67" s="5" t="s">
        <v>3</v>
      </c>
      <c r="O67" s="5">
        <v>2</v>
      </c>
      <c r="P67" s="5"/>
      <c r="Q67" s="5"/>
      <c r="R67" s="5"/>
      <c r="S67" s="5"/>
      <c r="T67" s="5"/>
      <c r="U67" s="5"/>
      <c r="V67" s="5"/>
      <c r="W67" s="5">
        <v>0</v>
      </c>
      <c r="X67" s="5">
        <v>1</v>
      </c>
      <c r="Y67" s="5">
        <v>0</v>
      </c>
      <c r="Z67" s="5"/>
      <c r="AA67" s="5"/>
      <c r="AB67" s="5"/>
    </row>
    <row r="68" spans="1:28" x14ac:dyDescent="0.2">
      <c r="A68" s="5">
        <v>50</v>
      </c>
      <c r="B68" s="5">
        <v>0</v>
      </c>
      <c r="C68" s="5">
        <v>0</v>
      </c>
      <c r="D68" s="5">
        <v>1</v>
      </c>
      <c r="E68" s="5">
        <v>223</v>
      </c>
      <c r="F68" s="5">
        <f>ROUND(Source!AQ58,O68)</f>
        <v>0</v>
      </c>
      <c r="G68" s="5" t="s">
        <v>218</v>
      </c>
      <c r="H68" s="5" t="s">
        <v>219</v>
      </c>
      <c r="I68" s="5"/>
      <c r="J68" s="5"/>
      <c r="K68" s="5">
        <v>223</v>
      </c>
      <c r="L68" s="5">
        <v>9</v>
      </c>
      <c r="M68" s="5">
        <v>3</v>
      </c>
      <c r="N68" s="5" t="s">
        <v>3</v>
      </c>
      <c r="O68" s="5">
        <v>2</v>
      </c>
      <c r="P68" s="5"/>
      <c r="Q68" s="5"/>
      <c r="R68" s="5"/>
      <c r="S68" s="5"/>
      <c r="T68" s="5"/>
      <c r="U68" s="5"/>
      <c r="V68" s="5"/>
      <c r="W68" s="5">
        <v>0</v>
      </c>
      <c r="X68" s="5">
        <v>1</v>
      </c>
      <c r="Y68" s="5">
        <v>0</v>
      </c>
      <c r="Z68" s="5"/>
      <c r="AA68" s="5"/>
      <c r="AB68" s="5"/>
    </row>
    <row r="69" spans="1:28" x14ac:dyDescent="0.2">
      <c r="A69" s="5">
        <v>50</v>
      </c>
      <c r="B69" s="5">
        <v>0</v>
      </c>
      <c r="C69" s="5">
        <v>0</v>
      </c>
      <c r="D69" s="5">
        <v>1</v>
      </c>
      <c r="E69" s="5">
        <v>229</v>
      </c>
      <c r="F69" s="5">
        <f>ROUND(Source!AZ58,O69)</f>
        <v>0</v>
      </c>
      <c r="G69" s="5" t="s">
        <v>220</v>
      </c>
      <c r="H69" s="5" t="s">
        <v>221</v>
      </c>
      <c r="I69" s="5"/>
      <c r="J69" s="5"/>
      <c r="K69" s="5">
        <v>229</v>
      </c>
      <c r="L69" s="5">
        <v>10</v>
      </c>
      <c r="M69" s="5">
        <v>3</v>
      </c>
      <c r="N69" s="5" t="s">
        <v>3</v>
      </c>
      <c r="O69" s="5">
        <v>2</v>
      </c>
      <c r="P69" s="5"/>
      <c r="Q69" s="5"/>
      <c r="R69" s="5"/>
      <c r="S69" s="5"/>
      <c r="T69" s="5"/>
      <c r="U69" s="5"/>
      <c r="V69" s="5"/>
      <c r="W69" s="5">
        <v>0</v>
      </c>
      <c r="X69" s="5">
        <v>1</v>
      </c>
      <c r="Y69" s="5">
        <v>0</v>
      </c>
      <c r="Z69" s="5"/>
      <c r="AA69" s="5"/>
      <c r="AB69" s="5"/>
    </row>
    <row r="70" spans="1:28" x14ac:dyDescent="0.2">
      <c r="A70" s="5">
        <v>50</v>
      </c>
      <c r="B70" s="5">
        <v>0</v>
      </c>
      <c r="C70" s="5">
        <v>0</v>
      </c>
      <c r="D70" s="5">
        <v>1</v>
      </c>
      <c r="E70" s="5">
        <v>203</v>
      </c>
      <c r="F70" s="5">
        <f>ROUND(Source!Q58,O70)</f>
        <v>8163.72</v>
      </c>
      <c r="G70" s="5" t="s">
        <v>222</v>
      </c>
      <c r="H70" s="5" t="s">
        <v>223</v>
      </c>
      <c r="I70" s="5"/>
      <c r="J70" s="5"/>
      <c r="K70" s="5">
        <v>203</v>
      </c>
      <c r="L70" s="5">
        <v>11</v>
      </c>
      <c r="M70" s="5">
        <v>3</v>
      </c>
      <c r="N70" s="5" t="s">
        <v>3</v>
      </c>
      <c r="O70" s="5">
        <v>2</v>
      </c>
      <c r="P70" s="5"/>
      <c r="Q70" s="5"/>
      <c r="R70" s="5"/>
      <c r="S70" s="5"/>
      <c r="T70" s="5"/>
      <c r="U70" s="5"/>
      <c r="V70" s="5"/>
      <c r="W70" s="5">
        <v>8163.7200000000012</v>
      </c>
      <c r="X70" s="5">
        <v>1</v>
      </c>
      <c r="Y70" s="5">
        <v>8163.7200000000012</v>
      </c>
      <c r="Z70" s="5"/>
      <c r="AA70" s="5"/>
      <c r="AB70" s="5"/>
    </row>
    <row r="71" spans="1:28" x14ac:dyDescent="0.2">
      <c r="A71" s="5">
        <v>50</v>
      </c>
      <c r="B71" s="5">
        <v>0</v>
      </c>
      <c r="C71" s="5">
        <v>0</v>
      </c>
      <c r="D71" s="5">
        <v>1</v>
      </c>
      <c r="E71" s="5">
        <v>231</v>
      </c>
      <c r="F71" s="5">
        <f>ROUND(Source!BB58,O71)</f>
        <v>0</v>
      </c>
      <c r="G71" s="5" t="s">
        <v>224</v>
      </c>
      <c r="H71" s="5" t="s">
        <v>225</v>
      </c>
      <c r="I71" s="5"/>
      <c r="J71" s="5"/>
      <c r="K71" s="5">
        <v>231</v>
      </c>
      <c r="L71" s="5">
        <v>12</v>
      </c>
      <c r="M71" s="5">
        <v>3</v>
      </c>
      <c r="N71" s="5" t="s">
        <v>3</v>
      </c>
      <c r="O71" s="5">
        <v>2</v>
      </c>
      <c r="P71" s="5"/>
      <c r="Q71" s="5"/>
      <c r="R71" s="5"/>
      <c r="S71" s="5"/>
      <c r="T71" s="5"/>
      <c r="U71" s="5"/>
      <c r="V71" s="5"/>
      <c r="W71" s="5">
        <v>0</v>
      </c>
      <c r="X71" s="5">
        <v>1</v>
      </c>
      <c r="Y71" s="5">
        <v>0</v>
      </c>
      <c r="Z71" s="5"/>
      <c r="AA71" s="5"/>
      <c r="AB71" s="5"/>
    </row>
    <row r="72" spans="1:28" x14ac:dyDescent="0.2">
      <c r="A72" s="5">
        <v>50</v>
      </c>
      <c r="B72" s="5">
        <v>0</v>
      </c>
      <c r="C72" s="5">
        <v>0</v>
      </c>
      <c r="D72" s="5">
        <v>1</v>
      </c>
      <c r="E72" s="5">
        <v>204</v>
      </c>
      <c r="F72" s="5">
        <f>ROUND(Source!R58,O72)</f>
        <v>1460.85</v>
      </c>
      <c r="G72" s="5" t="s">
        <v>226</v>
      </c>
      <c r="H72" s="5" t="s">
        <v>227</v>
      </c>
      <c r="I72" s="5"/>
      <c r="J72" s="5"/>
      <c r="K72" s="5">
        <v>204</v>
      </c>
      <c r="L72" s="5">
        <v>13</v>
      </c>
      <c r="M72" s="5">
        <v>3</v>
      </c>
      <c r="N72" s="5" t="s">
        <v>3</v>
      </c>
      <c r="O72" s="5">
        <v>2</v>
      </c>
      <c r="P72" s="5"/>
      <c r="Q72" s="5"/>
      <c r="R72" s="5"/>
      <c r="S72" s="5"/>
      <c r="T72" s="5"/>
      <c r="U72" s="5"/>
      <c r="V72" s="5"/>
      <c r="W72" s="5">
        <v>1460.8499999999997</v>
      </c>
      <c r="X72" s="5">
        <v>1</v>
      </c>
      <c r="Y72" s="5">
        <v>1460.8499999999997</v>
      </c>
      <c r="Z72" s="5"/>
      <c r="AA72" s="5"/>
      <c r="AB72" s="5"/>
    </row>
    <row r="73" spans="1:28" x14ac:dyDescent="0.2">
      <c r="A73" s="5">
        <v>50</v>
      </c>
      <c r="B73" s="5">
        <v>0</v>
      </c>
      <c r="C73" s="5">
        <v>0</v>
      </c>
      <c r="D73" s="5">
        <v>1</v>
      </c>
      <c r="E73" s="5">
        <v>205</v>
      </c>
      <c r="F73" s="5">
        <f>ROUND(Source!S58,O73)</f>
        <v>111190.41</v>
      </c>
      <c r="G73" s="5" t="s">
        <v>228</v>
      </c>
      <c r="H73" s="5" t="s">
        <v>229</v>
      </c>
      <c r="I73" s="5"/>
      <c r="J73" s="5"/>
      <c r="K73" s="5">
        <v>205</v>
      </c>
      <c r="L73" s="5">
        <v>14</v>
      </c>
      <c r="M73" s="5">
        <v>3</v>
      </c>
      <c r="N73" s="5" t="s">
        <v>3</v>
      </c>
      <c r="O73" s="5">
        <v>2</v>
      </c>
      <c r="P73" s="5"/>
      <c r="Q73" s="5"/>
      <c r="R73" s="5"/>
      <c r="S73" s="5"/>
      <c r="T73" s="5"/>
      <c r="U73" s="5"/>
      <c r="V73" s="5"/>
      <c r="W73" s="5">
        <v>111190.41</v>
      </c>
      <c r="X73" s="5">
        <v>1</v>
      </c>
      <c r="Y73" s="5">
        <v>111190.41</v>
      </c>
      <c r="Z73" s="5"/>
      <c r="AA73" s="5"/>
      <c r="AB73" s="5"/>
    </row>
    <row r="74" spans="1:28" x14ac:dyDescent="0.2">
      <c r="A74" s="5">
        <v>50</v>
      </c>
      <c r="B74" s="5">
        <v>0</v>
      </c>
      <c r="C74" s="5">
        <v>0</v>
      </c>
      <c r="D74" s="5">
        <v>1</v>
      </c>
      <c r="E74" s="5">
        <v>232</v>
      </c>
      <c r="F74" s="5">
        <f>ROUND(Source!BC58,O74)</f>
        <v>0</v>
      </c>
      <c r="G74" s="5" t="s">
        <v>230</v>
      </c>
      <c r="H74" s="5" t="s">
        <v>231</v>
      </c>
      <c r="I74" s="5"/>
      <c r="J74" s="5"/>
      <c r="K74" s="5">
        <v>232</v>
      </c>
      <c r="L74" s="5">
        <v>15</v>
      </c>
      <c r="M74" s="5">
        <v>3</v>
      </c>
      <c r="N74" s="5" t="s">
        <v>3</v>
      </c>
      <c r="O74" s="5">
        <v>2</v>
      </c>
      <c r="P74" s="5"/>
      <c r="Q74" s="5"/>
      <c r="R74" s="5"/>
      <c r="S74" s="5"/>
      <c r="T74" s="5"/>
      <c r="U74" s="5"/>
      <c r="V74" s="5"/>
      <c r="W74" s="5">
        <v>0</v>
      </c>
      <c r="X74" s="5">
        <v>1</v>
      </c>
      <c r="Y74" s="5">
        <v>0</v>
      </c>
      <c r="Z74" s="5"/>
      <c r="AA74" s="5"/>
      <c r="AB74" s="5"/>
    </row>
    <row r="75" spans="1:28" x14ac:dyDescent="0.2">
      <c r="A75" s="5">
        <v>50</v>
      </c>
      <c r="B75" s="5">
        <v>0</v>
      </c>
      <c r="C75" s="5">
        <v>0</v>
      </c>
      <c r="D75" s="5">
        <v>1</v>
      </c>
      <c r="E75" s="5">
        <v>214</v>
      </c>
      <c r="F75" s="5">
        <f>ROUND(Source!AS58,O75)</f>
        <v>907432.7</v>
      </c>
      <c r="G75" s="5" t="s">
        <v>232</v>
      </c>
      <c r="H75" s="5" t="s">
        <v>233</v>
      </c>
      <c r="I75" s="5"/>
      <c r="J75" s="5"/>
      <c r="K75" s="5">
        <v>214</v>
      </c>
      <c r="L75" s="5">
        <v>16</v>
      </c>
      <c r="M75" s="5">
        <v>3</v>
      </c>
      <c r="N75" s="5" t="s">
        <v>3</v>
      </c>
      <c r="O75" s="5">
        <v>2</v>
      </c>
      <c r="P75" s="5"/>
      <c r="Q75" s="5"/>
      <c r="R75" s="5"/>
      <c r="S75" s="5"/>
      <c r="T75" s="5"/>
      <c r="U75" s="5"/>
      <c r="V75" s="5"/>
      <c r="W75" s="5">
        <v>907432.7</v>
      </c>
      <c r="X75" s="5">
        <v>1</v>
      </c>
      <c r="Y75" s="5">
        <v>907432.7</v>
      </c>
      <c r="Z75" s="5"/>
      <c r="AA75" s="5"/>
      <c r="AB75" s="5"/>
    </row>
    <row r="76" spans="1:28" x14ac:dyDescent="0.2">
      <c r="A76" s="5">
        <v>50</v>
      </c>
      <c r="B76" s="5">
        <v>0</v>
      </c>
      <c r="C76" s="5">
        <v>0</v>
      </c>
      <c r="D76" s="5">
        <v>1</v>
      </c>
      <c r="E76" s="5">
        <v>215</v>
      </c>
      <c r="F76" s="5">
        <f>ROUND(Source!AT58,O76)</f>
        <v>0</v>
      </c>
      <c r="G76" s="5" t="s">
        <v>234</v>
      </c>
      <c r="H76" s="5" t="s">
        <v>235</v>
      </c>
      <c r="I76" s="5"/>
      <c r="J76" s="5"/>
      <c r="K76" s="5">
        <v>215</v>
      </c>
      <c r="L76" s="5">
        <v>17</v>
      </c>
      <c r="M76" s="5">
        <v>3</v>
      </c>
      <c r="N76" s="5" t="s">
        <v>3</v>
      </c>
      <c r="O76" s="5">
        <v>2</v>
      </c>
      <c r="P76" s="5"/>
      <c r="Q76" s="5"/>
      <c r="R76" s="5"/>
      <c r="S76" s="5"/>
      <c r="T76" s="5"/>
      <c r="U76" s="5"/>
      <c r="V76" s="5"/>
      <c r="W76" s="5">
        <v>0</v>
      </c>
      <c r="X76" s="5">
        <v>1</v>
      </c>
      <c r="Y76" s="5">
        <v>0</v>
      </c>
      <c r="Z76" s="5"/>
      <c r="AA76" s="5"/>
      <c r="AB76" s="5"/>
    </row>
    <row r="77" spans="1:28" x14ac:dyDescent="0.2">
      <c r="A77" s="5">
        <v>50</v>
      </c>
      <c r="B77" s="5">
        <v>0</v>
      </c>
      <c r="C77" s="5">
        <v>0</v>
      </c>
      <c r="D77" s="5">
        <v>1</v>
      </c>
      <c r="E77" s="5">
        <v>217</v>
      </c>
      <c r="F77" s="5">
        <f>ROUND(Source!AU58,O77)</f>
        <v>0</v>
      </c>
      <c r="G77" s="5" t="s">
        <v>236</v>
      </c>
      <c r="H77" s="5" t="s">
        <v>237</v>
      </c>
      <c r="I77" s="5"/>
      <c r="J77" s="5"/>
      <c r="K77" s="5">
        <v>217</v>
      </c>
      <c r="L77" s="5">
        <v>18</v>
      </c>
      <c r="M77" s="5">
        <v>3</v>
      </c>
      <c r="N77" s="5" t="s">
        <v>3</v>
      </c>
      <c r="O77" s="5">
        <v>2</v>
      </c>
      <c r="P77" s="5"/>
      <c r="Q77" s="5"/>
      <c r="R77" s="5"/>
      <c r="S77" s="5"/>
      <c r="T77" s="5"/>
      <c r="U77" s="5"/>
      <c r="V77" s="5"/>
      <c r="W77" s="5">
        <v>0</v>
      </c>
      <c r="X77" s="5">
        <v>1</v>
      </c>
      <c r="Y77" s="5">
        <v>0</v>
      </c>
      <c r="Z77" s="5"/>
      <c r="AA77" s="5"/>
      <c r="AB77" s="5"/>
    </row>
    <row r="78" spans="1:28" x14ac:dyDescent="0.2">
      <c r="A78" s="5">
        <v>50</v>
      </c>
      <c r="B78" s="5">
        <v>0</v>
      </c>
      <c r="C78" s="5">
        <v>0</v>
      </c>
      <c r="D78" s="5">
        <v>1</v>
      </c>
      <c r="E78" s="5">
        <v>230</v>
      </c>
      <c r="F78" s="5">
        <f>ROUND(Source!BA58,O78)</f>
        <v>0</v>
      </c>
      <c r="G78" s="5" t="s">
        <v>238</v>
      </c>
      <c r="H78" s="5" t="s">
        <v>239</v>
      </c>
      <c r="I78" s="5"/>
      <c r="J78" s="5"/>
      <c r="K78" s="5">
        <v>230</v>
      </c>
      <c r="L78" s="5">
        <v>19</v>
      </c>
      <c r="M78" s="5">
        <v>3</v>
      </c>
      <c r="N78" s="5" t="s">
        <v>3</v>
      </c>
      <c r="O78" s="5">
        <v>2</v>
      </c>
      <c r="P78" s="5"/>
      <c r="Q78" s="5"/>
      <c r="R78" s="5"/>
      <c r="S78" s="5"/>
      <c r="T78" s="5"/>
      <c r="U78" s="5"/>
      <c r="V78" s="5"/>
      <c r="W78" s="5">
        <v>0</v>
      </c>
      <c r="X78" s="5">
        <v>1</v>
      </c>
      <c r="Y78" s="5">
        <v>0</v>
      </c>
      <c r="Z78" s="5"/>
      <c r="AA78" s="5"/>
      <c r="AB78" s="5"/>
    </row>
    <row r="79" spans="1:28" x14ac:dyDescent="0.2">
      <c r="A79" s="5">
        <v>50</v>
      </c>
      <c r="B79" s="5">
        <v>0</v>
      </c>
      <c r="C79" s="5">
        <v>0</v>
      </c>
      <c r="D79" s="5">
        <v>1</v>
      </c>
      <c r="E79" s="5">
        <v>206</v>
      </c>
      <c r="F79" s="5">
        <f>ROUND(Source!T58,O79)</f>
        <v>0</v>
      </c>
      <c r="G79" s="5" t="s">
        <v>240</v>
      </c>
      <c r="H79" s="5" t="s">
        <v>241</v>
      </c>
      <c r="I79" s="5"/>
      <c r="J79" s="5"/>
      <c r="K79" s="5">
        <v>206</v>
      </c>
      <c r="L79" s="5">
        <v>20</v>
      </c>
      <c r="M79" s="5">
        <v>3</v>
      </c>
      <c r="N79" s="5" t="s">
        <v>3</v>
      </c>
      <c r="O79" s="5">
        <v>2</v>
      </c>
      <c r="P79" s="5"/>
      <c r="Q79" s="5"/>
      <c r="R79" s="5"/>
      <c r="S79" s="5"/>
      <c r="T79" s="5"/>
      <c r="U79" s="5"/>
      <c r="V79" s="5"/>
      <c r="W79" s="5">
        <v>0</v>
      </c>
      <c r="X79" s="5">
        <v>1</v>
      </c>
      <c r="Y79" s="5">
        <v>0</v>
      </c>
      <c r="Z79" s="5"/>
      <c r="AA79" s="5"/>
      <c r="AB79" s="5"/>
    </row>
    <row r="80" spans="1:28" x14ac:dyDescent="0.2">
      <c r="A80" s="5">
        <v>50</v>
      </c>
      <c r="B80" s="5">
        <v>0</v>
      </c>
      <c r="C80" s="5">
        <v>0</v>
      </c>
      <c r="D80" s="5">
        <v>1</v>
      </c>
      <c r="E80" s="5">
        <v>207</v>
      </c>
      <c r="F80" s="5">
        <f>ROUND(Source!U58,O80)</f>
        <v>301.85435999999999</v>
      </c>
      <c r="G80" s="5" t="s">
        <v>242</v>
      </c>
      <c r="H80" s="5" t="s">
        <v>243</v>
      </c>
      <c r="I80" s="5"/>
      <c r="J80" s="5"/>
      <c r="K80" s="5">
        <v>207</v>
      </c>
      <c r="L80" s="5">
        <v>21</v>
      </c>
      <c r="M80" s="5">
        <v>3</v>
      </c>
      <c r="N80" s="5" t="s">
        <v>3</v>
      </c>
      <c r="O80" s="5">
        <v>7</v>
      </c>
      <c r="P80" s="5"/>
      <c r="Q80" s="5"/>
      <c r="R80" s="5"/>
      <c r="S80" s="5"/>
      <c r="T80" s="5"/>
      <c r="U80" s="5"/>
      <c r="V80" s="5"/>
      <c r="W80" s="5">
        <v>301.85435999999999</v>
      </c>
      <c r="X80" s="5">
        <v>1</v>
      </c>
      <c r="Y80" s="5">
        <v>301.85435999999999</v>
      </c>
      <c r="Z80" s="5"/>
      <c r="AA80" s="5"/>
      <c r="AB80" s="5"/>
    </row>
    <row r="81" spans="1:28" x14ac:dyDescent="0.2">
      <c r="A81" s="5">
        <v>50</v>
      </c>
      <c r="B81" s="5">
        <v>0</v>
      </c>
      <c r="C81" s="5">
        <v>0</v>
      </c>
      <c r="D81" s="5">
        <v>1</v>
      </c>
      <c r="E81" s="5">
        <v>208</v>
      </c>
      <c r="F81" s="5">
        <f>ROUND(Source!V58,O81)</f>
        <v>3.6470050000000001</v>
      </c>
      <c r="G81" s="5" t="s">
        <v>244</v>
      </c>
      <c r="H81" s="5" t="s">
        <v>245</v>
      </c>
      <c r="I81" s="5"/>
      <c r="J81" s="5"/>
      <c r="K81" s="5">
        <v>208</v>
      </c>
      <c r="L81" s="5">
        <v>22</v>
      </c>
      <c r="M81" s="5">
        <v>3</v>
      </c>
      <c r="N81" s="5" t="s">
        <v>3</v>
      </c>
      <c r="O81" s="5">
        <v>7</v>
      </c>
      <c r="P81" s="5"/>
      <c r="Q81" s="5"/>
      <c r="R81" s="5"/>
      <c r="S81" s="5"/>
      <c r="T81" s="5"/>
      <c r="U81" s="5"/>
      <c r="V81" s="5"/>
      <c r="W81" s="5">
        <v>3.6470050000000001</v>
      </c>
      <c r="X81" s="5">
        <v>1</v>
      </c>
      <c r="Y81" s="5">
        <v>3.6470050000000001</v>
      </c>
      <c r="Z81" s="5"/>
      <c r="AA81" s="5"/>
      <c r="AB81" s="5"/>
    </row>
    <row r="82" spans="1:28" x14ac:dyDescent="0.2">
      <c r="A82" s="5">
        <v>50</v>
      </c>
      <c r="B82" s="5">
        <v>0</v>
      </c>
      <c r="C82" s="5">
        <v>0</v>
      </c>
      <c r="D82" s="5">
        <v>1</v>
      </c>
      <c r="E82" s="5">
        <v>209</v>
      </c>
      <c r="F82" s="5">
        <f>ROUND(Source!W58,O82)</f>
        <v>0</v>
      </c>
      <c r="G82" s="5" t="s">
        <v>246</v>
      </c>
      <c r="H82" s="5" t="s">
        <v>247</v>
      </c>
      <c r="I82" s="5"/>
      <c r="J82" s="5"/>
      <c r="K82" s="5">
        <v>209</v>
      </c>
      <c r="L82" s="5">
        <v>23</v>
      </c>
      <c r="M82" s="5">
        <v>3</v>
      </c>
      <c r="N82" s="5" t="s">
        <v>3</v>
      </c>
      <c r="O82" s="5">
        <v>2</v>
      </c>
      <c r="P82" s="5"/>
      <c r="Q82" s="5"/>
      <c r="R82" s="5"/>
      <c r="S82" s="5"/>
      <c r="T82" s="5"/>
      <c r="U82" s="5"/>
      <c r="V82" s="5"/>
      <c r="W82" s="5">
        <v>0</v>
      </c>
      <c r="X82" s="5">
        <v>1</v>
      </c>
      <c r="Y82" s="5">
        <v>0</v>
      </c>
      <c r="Z82" s="5"/>
      <c r="AA82" s="5"/>
      <c r="AB82" s="5"/>
    </row>
    <row r="83" spans="1:28" x14ac:dyDescent="0.2">
      <c r="A83" s="5">
        <v>50</v>
      </c>
      <c r="B83" s="5">
        <v>0</v>
      </c>
      <c r="C83" s="5">
        <v>0</v>
      </c>
      <c r="D83" s="5">
        <v>1</v>
      </c>
      <c r="E83" s="5">
        <v>233</v>
      </c>
      <c r="F83" s="5">
        <f>ROUND(Source!BD58,O83)</f>
        <v>0</v>
      </c>
      <c r="G83" s="5" t="s">
        <v>248</v>
      </c>
      <c r="H83" s="5" t="s">
        <v>249</v>
      </c>
      <c r="I83" s="5"/>
      <c r="J83" s="5"/>
      <c r="K83" s="5">
        <v>233</v>
      </c>
      <c r="L83" s="5">
        <v>24</v>
      </c>
      <c r="M83" s="5">
        <v>3</v>
      </c>
      <c r="N83" s="5" t="s">
        <v>3</v>
      </c>
      <c r="O83" s="5">
        <v>2</v>
      </c>
      <c r="P83" s="5"/>
      <c r="Q83" s="5"/>
      <c r="R83" s="5"/>
      <c r="S83" s="5"/>
      <c r="T83" s="5"/>
      <c r="U83" s="5"/>
      <c r="V83" s="5"/>
      <c r="W83" s="5">
        <v>0</v>
      </c>
      <c r="X83" s="5">
        <v>1</v>
      </c>
      <c r="Y83" s="5">
        <v>0</v>
      </c>
      <c r="Z83" s="5"/>
      <c r="AA83" s="5"/>
      <c r="AB83" s="5"/>
    </row>
    <row r="84" spans="1:28" x14ac:dyDescent="0.2">
      <c r="A84" s="5">
        <v>50</v>
      </c>
      <c r="B84" s="5">
        <v>0</v>
      </c>
      <c r="C84" s="5">
        <v>0</v>
      </c>
      <c r="D84" s="5">
        <v>1</v>
      </c>
      <c r="E84" s="5">
        <v>210</v>
      </c>
      <c r="F84" s="5">
        <f>ROUND(Source!X58,O84)</f>
        <v>109984.47</v>
      </c>
      <c r="G84" s="5" t="s">
        <v>250</v>
      </c>
      <c r="H84" s="5" t="s">
        <v>251</v>
      </c>
      <c r="I84" s="5"/>
      <c r="J84" s="5"/>
      <c r="K84" s="5">
        <v>210</v>
      </c>
      <c r="L84" s="5">
        <v>25</v>
      </c>
      <c r="M84" s="5">
        <v>3</v>
      </c>
      <c r="N84" s="5" t="s">
        <v>3</v>
      </c>
      <c r="O84" s="5">
        <v>2</v>
      </c>
      <c r="P84" s="5"/>
      <c r="Q84" s="5"/>
      <c r="R84" s="5"/>
      <c r="S84" s="5"/>
      <c r="T84" s="5"/>
      <c r="U84" s="5"/>
      <c r="V84" s="5"/>
      <c r="W84" s="5">
        <v>109984.47</v>
      </c>
      <c r="X84" s="5">
        <v>1</v>
      </c>
      <c r="Y84" s="5">
        <v>109984.47</v>
      </c>
      <c r="Z84" s="5"/>
      <c r="AA84" s="5"/>
      <c r="AB84" s="5"/>
    </row>
    <row r="85" spans="1:28" x14ac:dyDescent="0.2">
      <c r="A85" s="5">
        <v>50</v>
      </c>
      <c r="B85" s="5">
        <v>0</v>
      </c>
      <c r="C85" s="5">
        <v>0</v>
      </c>
      <c r="D85" s="5">
        <v>1</v>
      </c>
      <c r="E85" s="5">
        <v>211</v>
      </c>
      <c r="F85" s="5">
        <f>ROUND(Source!Y58,O85)</f>
        <v>62105.279999999999</v>
      </c>
      <c r="G85" s="5" t="s">
        <v>252</v>
      </c>
      <c r="H85" s="5" t="s">
        <v>253</v>
      </c>
      <c r="I85" s="5"/>
      <c r="J85" s="5"/>
      <c r="K85" s="5">
        <v>211</v>
      </c>
      <c r="L85" s="5">
        <v>26</v>
      </c>
      <c r="M85" s="5">
        <v>3</v>
      </c>
      <c r="N85" s="5" t="s">
        <v>3</v>
      </c>
      <c r="O85" s="5">
        <v>2</v>
      </c>
      <c r="P85" s="5"/>
      <c r="Q85" s="5"/>
      <c r="R85" s="5"/>
      <c r="S85" s="5"/>
      <c r="T85" s="5"/>
      <c r="U85" s="5"/>
      <c r="V85" s="5"/>
      <c r="W85" s="5">
        <v>62105.279999999999</v>
      </c>
      <c r="X85" s="5">
        <v>1</v>
      </c>
      <c r="Y85" s="5">
        <v>62105.279999999999</v>
      </c>
      <c r="Z85" s="5"/>
      <c r="AA85" s="5"/>
      <c r="AB85" s="5"/>
    </row>
    <row r="86" spans="1:28" x14ac:dyDescent="0.2">
      <c r="A86" s="5">
        <v>50</v>
      </c>
      <c r="B86" s="5">
        <v>0</v>
      </c>
      <c r="C86" s="5">
        <v>0</v>
      </c>
      <c r="D86" s="5">
        <v>1</v>
      </c>
      <c r="E86" s="5">
        <v>224</v>
      </c>
      <c r="F86" s="5">
        <f>ROUND(Source!AR58,O86)</f>
        <v>907432.7</v>
      </c>
      <c r="G86" s="5" t="s">
        <v>254</v>
      </c>
      <c r="H86" s="5" t="s">
        <v>255</v>
      </c>
      <c r="I86" s="5"/>
      <c r="J86" s="5"/>
      <c r="K86" s="5">
        <v>224</v>
      </c>
      <c r="L86" s="5">
        <v>27</v>
      </c>
      <c r="M86" s="5">
        <v>3</v>
      </c>
      <c r="N86" s="5" t="s">
        <v>3</v>
      </c>
      <c r="O86" s="5">
        <v>2</v>
      </c>
      <c r="P86" s="5"/>
      <c r="Q86" s="5"/>
      <c r="R86" s="5"/>
      <c r="S86" s="5"/>
      <c r="T86" s="5"/>
      <c r="U86" s="5"/>
      <c r="V86" s="5"/>
      <c r="W86" s="5">
        <v>907432.7</v>
      </c>
      <c r="X86" s="5">
        <v>1</v>
      </c>
      <c r="Y86" s="5">
        <v>907432.7</v>
      </c>
      <c r="Z86" s="5"/>
      <c r="AA86" s="5"/>
      <c r="AB86" s="5"/>
    </row>
    <row r="87" spans="1:28" x14ac:dyDescent="0.2">
      <c r="A87" s="5">
        <v>50</v>
      </c>
      <c r="B87" s="5">
        <v>1</v>
      </c>
      <c r="C87" s="5">
        <v>0</v>
      </c>
      <c r="D87" s="5">
        <v>2</v>
      </c>
      <c r="E87" s="5">
        <v>0</v>
      </c>
      <c r="F87" s="5">
        <f>ROUND(F73,O87)</f>
        <v>111190.41</v>
      </c>
      <c r="G87" s="5" t="s">
        <v>256</v>
      </c>
      <c r="H87" s="5" t="s">
        <v>257</v>
      </c>
      <c r="I87" s="5"/>
      <c r="J87" s="5"/>
      <c r="K87" s="5">
        <v>212</v>
      </c>
      <c r="L87" s="5">
        <v>28</v>
      </c>
      <c r="M87" s="5">
        <v>0</v>
      </c>
      <c r="N87" s="5" t="s">
        <v>3</v>
      </c>
      <c r="O87" s="5">
        <v>2</v>
      </c>
      <c r="P87" s="5"/>
      <c r="Q87" s="5"/>
      <c r="R87" s="5"/>
      <c r="S87" s="5"/>
      <c r="T87" s="5"/>
      <c r="U87" s="5"/>
      <c r="V87" s="5"/>
      <c r="W87" s="5">
        <v>111190.41</v>
      </c>
      <c r="X87" s="5">
        <v>1</v>
      </c>
      <c r="Y87" s="5">
        <v>111190.41</v>
      </c>
      <c r="Z87" s="5"/>
      <c r="AA87" s="5"/>
      <c r="AB87" s="5"/>
    </row>
    <row r="88" spans="1:28" x14ac:dyDescent="0.2">
      <c r="A88" s="5">
        <v>50</v>
      </c>
      <c r="B88" s="5">
        <v>1</v>
      </c>
      <c r="C88" s="5">
        <v>0</v>
      </c>
      <c r="D88" s="5">
        <v>2</v>
      </c>
      <c r="E88" s="5">
        <v>0</v>
      </c>
      <c r="F88" s="5">
        <f>ROUND(F70,O88)</f>
        <v>8163.72</v>
      </c>
      <c r="G88" s="5" t="s">
        <v>258</v>
      </c>
      <c r="H88" s="5" t="s">
        <v>259</v>
      </c>
      <c r="I88" s="5"/>
      <c r="J88" s="5"/>
      <c r="K88" s="5">
        <v>212</v>
      </c>
      <c r="L88" s="5">
        <v>29</v>
      </c>
      <c r="M88" s="5">
        <v>0</v>
      </c>
      <c r="N88" s="5" t="s">
        <v>3</v>
      </c>
      <c r="O88" s="5">
        <v>2</v>
      </c>
      <c r="P88" s="5"/>
      <c r="Q88" s="5"/>
      <c r="R88" s="5"/>
      <c r="S88" s="5"/>
      <c r="T88" s="5"/>
      <c r="U88" s="5"/>
      <c r="V88" s="5"/>
      <c r="W88" s="5">
        <v>8163.72</v>
      </c>
      <c r="X88" s="5">
        <v>1</v>
      </c>
      <c r="Y88" s="5">
        <v>8163.72</v>
      </c>
      <c r="Z88" s="5"/>
      <c r="AA88" s="5"/>
      <c r="AB88" s="5"/>
    </row>
    <row r="89" spans="1:28" x14ac:dyDescent="0.2">
      <c r="A89" s="5">
        <v>50</v>
      </c>
      <c r="B89" s="5">
        <v>1</v>
      </c>
      <c r="C89" s="5">
        <v>0</v>
      </c>
      <c r="D89" s="5">
        <v>2</v>
      </c>
      <c r="E89" s="5">
        <v>0</v>
      </c>
      <c r="F89" s="5">
        <f>ROUND(F64,O89)</f>
        <v>614527.97</v>
      </c>
      <c r="G89" s="5" t="s">
        <v>260</v>
      </c>
      <c r="H89" s="5" t="s">
        <v>261</v>
      </c>
      <c r="I89" s="5"/>
      <c r="J89" s="5"/>
      <c r="K89" s="5">
        <v>212</v>
      </c>
      <c r="L89" s="5">
        <v>30</v>
      </c>
      <c r="M89" s="5">
        <v>0</v>
      </c>
      <c r="N89" s="5" t="s">
        <v>3</v>
      </c>
      <c r="O89" s="5">
        <v>2</v>
      </c>
      <c r="P89" s="5"/>
      <c r="Q89" s="5"/>
      <c r="R89" s="5"/>
      <c r="S89" s="5"/>
      <c r="T89" s="5"/>
      <c r="U89" s="5"/>
      <c r="V89" s="5"/>
      <c r="W89" s="5">
        <v>614527.97</v>
      </c>
      <c r="X89" s="5">
        <v>1</v>
      </c>
      <c r="Y89" s="5">
        <v>614527.97</v>
      </c>
      <c r="Z89" s="5"/>
      <c r="AA89" s="5"/>
      <c r="AB89" s="5"/>
    </row>
    <row r="90" spans="1:28" x14ac:dyDescent="0.2">
      <c r="A90" s="5">
        <v>50</v>
      </c>
      <c r="B90" s="5">
        <v>0</v>
      </c>
      <c r="C90" s="5">
        <v>0</v>
      </c>
      <c r="D90" s="5">
        <v>2</v>
      </c>
      <c r="E90" s="5">
        <v>0</v>
      </c>
      <c r="F90" s="5">
        <f>ROUND(F67,O90)</f>
        <v>0</v>
      </c>
      <c r="G90" s="5" t="s">
        <v>262</v>
      </c>
      <c r="H90" s="5" t="s">
        <v>263</v>
      </c>
      <c r="I90" s="5"/>
      <c r="J90" s="5"/>
      <c r="K90" s="5">
        <v>212</v>
      </c>
      <c r="L90" s="5">
        <v>31</v>
      </c>
      <c r="M90" s="5">
        <v>1</v>
      </c>
      <c r="N90" s="5" t="s">
        <v>3</v>
      </c>
      <c r="O90" s="5">
        <v>2</v>
      </c>
      <c r="P90" s="5"/>
      <c r="Q90" s="5"/>
      <c r="R90" s="5"/>
      <c r="S90" s="5"/>
      <c r="T90" s="5"/>
      <c r="U90" s="5"/>
      <c r="V90" s="5"/>
      <c r="W90" s="5">
        <v>0</v>
      </c>
      <c r="X90" s="5">
        <v>1</v>
      </c>
      <c r="Y90" s="5">
        <v>0</v>
      </c>
      <c r="Z90" s="5"/>
      <c r="AA90" s="5"/>
      <c r="AB90" s="5"/>
    </row>
    <row r="91" spans="1:28" x14ac:dyDescent="0.2">
      <c r="A91" s="5">
        <v>50</v>
      </c>
      <c r="B91" s="5">
        <v>1</v>
      </c>
      <c r="C91" s="5">
        <v>0</v>
      </c>
      <c r="D91" s="5">
        <v>2</v>
      </c>
      <c r="E91" s="5">
        <v>0</v>
      </c>
      <c r="F91" s="5">
        <f>ROUND(F84,O91)</f>
        <v>109984.47</v>
      </c>
      <c r="G91" s="5" t="s">
        <v>264</v>
      </c>
      <c r="H91" s="5" t="s">
        <v>250</v>
      </c>
      <c r="I91" s="5"/>
      <c r="J91" s="5"/>
      <c r="K91" s="5">
        <v>212</v>
      </c>
      <c r="L91" s="5">
        <v>32</v>
      </c>
      <c r="M91" s="5">
        <v>0</v>
      </c>
      <c r="N91" s="5" t="s">
        <v>3</v>
      </c>
      <c r="O91" s="5">
        <v>2</v>
      </c>
      <c r="P91" s="5"/>
      <c r="Q91" s="5"/>
      <c r="R91" s="5"/>
      <c r="S91" s="5"/>
      <c r="T91" s="5"/>
      <c r="U91" s="5"/>
      <c r="V91" s="5"/>
      <c r="W91" s="5">
        <v>109984.47</v>
      </c>
      <c r="X91" s="5">
        <v>1</v>
      </c>
      <c r="Y91" s="5">
        <v>109984.47</v>
      </c>
      <c r="Z91" s="5"/>
      <c r="AA91" s="5"/>
      <c r="AB91" s="5"/>
    </row>
    <row r="92" spans="1:28" x14ac:dyDescent="0.2">
      <c r="A92" s="5">
        <v>50</v>
      </c>
      <c r="B92" s="5">
        <v>1</v>
      </c>
      <c r="C92" s="5">
        <v>0</v>
      </c>
      <c r="D92" s="5">
        <v>2</v>
      </c>
      <c r="E92" s="5">
        <v>0</v>
      </c>
      <c r="F92" s="5">
        <f>ROUND(F85,O92)</f>
        <v>62105.279999999999</v>
      </c>
      <c r="G92" s="5" t="s">
        <v>265</v>
      </c>
      <c r="H92" s="5" t="s">
        <v>266</v>
      </c>
      <c r="I92" s="5"/>
      <c r="J92" s="5"/>
      <c r="K92" s="5">
        <v>212</v>
      </c>
      <c r="L92" s="5">
        <v>33</v>
      </c>
      <c r="M92" s="5">
        <v>0</v>
      </c>
      <c r="N92" s="5" t="s">
        <v>3</v>
      </c>
      <c r="O92" s="5">
        <v>2</v>
      </c>
      <c r="P92" s="5"/>
      <c r="Q92" s="5"/>
      <c r="R92" s="5"/>
      <c r="S92" s="5"/>
      <c r="T92" s="5"/>
      <c r="U92" s="5"/>
      <c r="V92" s="5"/>
      <c r="W92" s="5">
        <v>62105.279999999999</v>
      </c>
      <c r="X92" s="5">
        <v>1</v>
      </c>
      <c r="Y92" s="5">
        <v>62105.279999999999</v>
      </c>
      <c r="Z92" s="5"/>
      <c r="AA92" s="5"/>
      <c r="AB92" s="5"/>
    </row>
    <row r="93" spans="1:28" x14ac:dyDescent="0.2">
      <c r="A93" s="5">
        <v>50</v>
      </c>
      <c r="B93" s="5">
        <v>0</v>
      </c>
      <c r="C93" s="5">
        <v>0</v>
      </c>
      <c r="D93" s="5">
        <v>2</v>
      </c>
      <c r="E93" s="5">
        <v>0</v>
      </c>
      <c r="F93" s="5">
        <f>ROUND(F83,O93)</f>
        <v>0</v>
      </c>
      <c r="G93" s="5" t="s">
        <v>267</v>
      </c>
      <c r="H93" s="5" t="s">
        <v>249</v>
      </c>
      <c r="I93" s="5"/>
      <c r="J93" s="5"/>
      <c r="K93" s="5">
        <v>212</v>
      </c>
      <c r="L93" s="5">
        <v>34</v>
      </c>
      <c r="M93" s="5">
        <v>1</v>
      </c>
      <c r="N93" s="5" t="s">
        <v>3</v>
      </c>
      <c r="O93" s="5">
        <v>2</v>
      </c>
      <c r="P93" s="5"/>
      <c r="Q93" s="5"/>
      <c r="R93" s="5"/>
      <c r="S93" s="5"/>
      <c r="T93" s="5"/>
      <c r="U93" s="5"/>
      <c r="V93" s="5"/>
      <c r="W93" s="5">
        <v>0</v>
      </c>
      <c r="X93" s="5">
        <v>1</v>
      </c>
      <c r="Y93" s="5">
        <v>0</v>
      </c>
      <c r="Z93" s="5"/>
      <c r="AA93" s="5"/>
      <c r="AB93" s="5"/>
    </row>
    <row r="94" spans="1:28" x14ac:dyDescent="0.2">
      <c r="A94" s="5">
        <v>50</v>
      </c>
      <c r="B94" s="5">
        <v>1</v>
      </c>
      <c r="C94" s="5">
        <v>0</v>
      </c>
      <c r="D94" s="5">
        <v>2</v>
      </c>
      <c r="E94" s="5">
        <v>0</v>
      </c>
      <c r="F94" s="5">
        <f>ROUND(F86,O94)</f>
        <v>907432.7</v>
      </c>
      <c r="G94" s="5" t="s">
        <v>268</v>
      </c>
      <c r="H94" s="5" t="s">
        <v>254</v>
      </c>
      <c r="I94" s="5"/>
      <c r="J94" s="5"/>
      <c r="K94" s="5">
        <v>212</v>
      </c>
      <c r="L94" s="5">
        <v>35</v>
      </c>
      <c r="M94" s="5">
        <v>0</v>
      </c>
      <c r="N94" s="5" t="s">
        <v>3</v>
      </c>
      <c r="O94" s="5">
        <v>2</v>
      </c>
      <c r="P94" s="5"/>
      <c r="Q94" s="5"/>
      <c r="R94" s="5"/>
      <c r="S94" s="5"/>
      <c r="T94" s="5"/>
      <c r="U94" s="5"/>
      <c r="V94" s="5"/>
      <c r="W94" s="5">
        <v>907432.7</v>
      </c>
      <c r="X94" s="5">
        <v>1</v>
      </c>
      <c r="Y94" s="5">
        <v>907432.7</v>
      </c>
      <c r="Z94" s="5"/>
      <c r="AA94" s="5"/>
      <c r="AB94" s="5"/>
    </row>
    <row r="95" spans="1:28" x14ac:dyDescent="0.2">
      <c r="A95" s="5">
        <v>50</v>
      </c>
      <c r="B95" s="5">
        <v>1</v>
      </c>
      <c r="C95" s="5">
        <v>0</v>
      </c>
      <c r="D95" s="5">
        <v>2</v>
      </c>
      <c r="E95" s="5">
        <v>0</v>
      </c>
      <c r="F95" s="5">
        <f>ROUND(F94*0.02,O95)</f>
        <v>18148.650000000001</v>
      </c>
      <c r="G95" s="5" t="s">
        <v>16</v>
      </c>
      <c r="H95" s="5" t="s">
        <v>269</v>
      </c>
      <c r="I95" s="5"/>
      <c r="J95" s="5"/>
      <c r="K95" s="5">
        <v>212</v>
      </c>
      <c r="L95" s="5">
        <v>36</v>
      </c>
      <c r="M95" s="5">
        <v>0</v>
      </c>
      <c r="N95" s="5" t="s">
        <v>3</v>
      </c>
      <c r="O95" s="5">
        <v>2</v>
      </c>
      <c r="P95" s="5"/>
      <c r="Q95" s="5"/>
      <c r="R95" s="5"/>
      <c r="S95" s="5"/>
      <c r="T95" s="5"/>
      <c r="U95" s="5"/>
      <c r="V95" s="5"/>
      <c r="W95" s="5">
        <v>18148.650000000001</v>
      </c>
      <c r="X95" s="5">
        <v>1</v>
      </c>
      <c r="Y95" s="5">
        <v>18148.650000000001</v>
      </c>
      <c r="Z95" s="5"/>
      <c r="AA95" s="5"/>
      <c r="AB95" s="5"/>
    </row>
    <row r="96" spans="1:28" x14ac:dyDescent="0.2">
      <c r="A96" s="5">
        <v>50</v>
      </c>
      <c r="B96" s="5">
        <v>1</v>
      </c>
      <c r="C96" s="5">
        <v>0</v>
      </c>
      <c r="D96" s="5">
        <v>2</v>
      </c>
      <c r="E96" s="5">
        <v>0</v>
      </c>
      <c r="F96" s="5">
        <f>ROUND(F94+F95,O96)</f>
        <v>925581.35</v>
      </c>
      <c r="G96" s="5" t="s">
        <v>30</v>
      </c>
      <c r="H96" s="5" t="s">
        <v>270</v>
      </c>
      <c r="I96" s="5"/>
      <c r="J96" s="5"/>
      <c r="K96" s="5">
        <v>212</v>
      </c>
      <c r="L96" s="5">
        <v>37</v>
      </c>
      <c r="M96" s="5">
        <v>0</v>
      </c>
      <c r="N96" s="5" t="s">
        <v>3</v>
      </c>
      <c r="O96" s="5">
        <v>2</v>
      </c>
      <c r="P96" s="5"/>
      <c r="Q96" s="5"/>
      <c r="R96" s="5"/>
      <c r="S96" s="5"/>
      <c r="T96" s="5"/>
      <c r="U96" s="5"/>
      <c r="V96" s="5"/>
      <c r="W96" s="5">
        <v>925581.35</v>
      </c>
      <c r="X96" s="5">
        <v>1</v>
      </c>
      <c r="Y96" s="5">
        <v>925581.35</v>
      </c>
      <c r="Z96" s="5"/>
      <c r="AA96" s="5"/>
      <c r="AB96" s="5"/>
    </row>
    <row r="97" spans="1:206" x14ac:dyDescent="0.2">
      <c r="A97" s="5">
        <v>50</v>
      </c>
      <c r="B97" s="5">
        <v>1</v>
      </c>
      <c r="C97" s="5">
        <v>0</v>
      </c>
      <c r="D97" s="5">
        <v>2</v>
      </c>
      <c r="E97" s="5">
        <v>0</v>
      </c>
      <c r="F97" s="5">
        <f>ROUND(F96*0.22,O97)</f>
        <v>203627.9</v>
      </c>
      <c r="G97" s="5" t="s">
        <v>271</v>
      </c>
      <c r="H97" s="5" t="s">
        <v>272</v>
      </c>
      <c r="I97" s="5"/>
      <c r="J97" s="5"/>
      <c r="K97" s="5">
        <v>212</v>
      </c>
      <c r="L97" s="5">
        <v>38</v>
      </c>
      <c r="M97" s="5">
        <v>0</v>
      </c>
      <c r="N97" s="5" t="s">
        <v>3</v>
      </c>
      <c r="O97" s="5">
        <v>2</v>
      </c>
      <c r="P97" s="5"/>
      <c r="Q97" s="5"/>
      <c r="R97" s="5"/>
      <c r="S97" s="5"/>
      <c r="T97" s="5"/>
      <c r="U97" s="5"/>
      <c r="V97" s="5"/>
      <c r="W97" s="5">
        <v>203627.9</v>
      </c>
      <c r="X97" s="5">
        <v>1</v>
      </c>
      <c r="Y97" s="5">
        <v>203627.9</v>
      </c>
      <c r="Z97" s="5"/>
      <c r="AA97" s="5"/>
      <c r="AB97" s="5"/>
    </row>
    <row r="98" spans="1:206" x14ac:dyDescent="0.2">
      <c r="A98" s="5">
        <v>50</v>
      </c>
      <c r="B98" s="5">
        <v>1</v>
      </c>
      <c r="C98" s="5">
        <v>0</v>
      </c>
      <c r="D98" s="5">
        <v>2</v>
      </c>
      <c r="E98" s="5">
        <v>213</v>
      </c>
      <c r="F98" s="5">
        <f>ROUND(F96+F97,O98)</f>
        <v>1129209.25</v>
      </c>
      <c r="G98" s="5" t="s">
        <v>273</v>
      </c>
      <c r="H98" s="5" t="s">
        <v>274</v>
      </c>
      <c r="I98" s="5"/>
      <c r="J98" s="5"/>
      <c r="K98" s="5">
        <v>212</v>
      </c>
      <c r="L98" s="5">
        <v>39</v>
      </c>
      <c r="M98" s="5">
        <v>0</v>
      </c>
      <c r="N98" s="5" t="s">
        <v>3</v>
      </c>
      <c r="O98" s="5">
        <v>2</v>
      </c>
      <c r="P98" s="5"/>
      <c r="Q98" s="5"/>
      <c r="R98" s="5"/>
      <c r="S98" s="5"/>
      <c r="T98" s="5"/>
      <c r="U98" s="5"/>
      <c r="V98" s="5"/>
      <c r="W98" s="5">
        <v>1129209.25</v>
      </c>
      <c r="X98" s="5">
        <v>1</v>
      </c>
      <c r="Y98" s="5">
        <v>1129209.25</v>
      </c>
      <c r="Z98" s="5"/>
      <c r="AA98" s="5"/>
      <c r="AB98" s="5"/>
    </row>
    <row r="99" spans="1:206" x14ac:dyDescent="0.2">
      <c r="A99" s="5">
        <v>50</v>
      </c>
      <c r="B99" s="5">
        <v>1</v>
      </c>
      <c r="C99" s="5">
        <v>0</v>
      </c>
      <c r="D99" s="5">
        <v>2</v>
      </c>
      <c r="E99" s="5">
        <v>0</v>
      </c>
      <c r="F99" s="5">
        <v>1129828.18</v>
      </c>
      <c r="G99" s="5" t="s">
        <v>41</v>
      </c>
      <c r="H99" s="5" t="s">
        <v>275</v>
      </c>
      <c r="I99" s="5"/>
      <c r="J99" s="5"/>
      <c r="K99" s="5">
        <v>212</v>
      </c>
      <c r="L99" s="5">
        <v>40</v>
      </c>
      <c r="M99" s="5">
        <v>0</v>
      </c>
      <c r="N99" s="5" t="s">
        <v>3</v>
      </c>
      <c r="O99" s="5">
        <v>-1</v>
      </c>
      <c r="P99" s="5"/>
      <c r="Q99" s="5"/>
      <c r="R99" s="5"/>
      <c r="S99" s="5"/>
      <c r="T99" s="5"/>
      <c r="U99" s="5"/>
      <c r="V99" s="5"/>
      <c r="W99" s="5">
        <v>1129828.18</v>
      </c>
      <c r="X99" s="5">
        <v>1</v>
      </c>
      <c r="Y99" s="5">
        <v>1129828.18</v>
      </c>
      <c r="Z99" s="5"/>
      <c r="AA99" s="5"/>
      <c r="AB99" s="5"/>
    </row>
    <row r="100" spans="1:206" x14ac:dyDescent="0.2">
      <c r="A100" s="5">
        <v>50</v>
      </c>
      <c r="B100" s="5">
        <v>1</v>
      </c>
      <c r="C100" s="5">
        <v>0</v>
      </c>
      <c r="D100" s="5">
        <v>2</v>
      </c>
      <c r="E100" s="5">
        <v>0</v>
      </c>
      <c r="F100" s="5">
        <f>ROUND(F98-F99,O100)</f>
        <v>-618.92999999999995</v>
      </c>
      <c r="G100" s="5" t="s">
        <v>59</v>
      </c>
      <c r="H100" s="5" t="s">
        <v>276</v>
      </c>
      <c r="I100" s="5"/>
      <c r="J100" s="5"/>
      <c r="K100" s="5">
        <v>212</v>
      </c>
      <c r="L100" s="5">
        <v>41</v>
      </c>
      <c r="M100" s="5">
        <v>0</v>
      </c>
      <c r="N100" s="5" t="s">
        <v>3</v>
      </c>
      <c r="O100" s="5">
        <v>2</v>
      </c>
      <c r="P100" s="5"/>
      <c r="Q100" s="5"/>
      <c r="R100" s="5"/>
      <c r="S100" s="5"/>
      <c r="T100" s="5"/>
      <c r="U100" s="5"/>
      <c r="V100" s="5"/>
      <c r="W100" s="5">
        <v>-618.92999999999995</v>
      </c>
      <c r="X100" s="5">
        <v>1</v>
      </c>
      <c r="Y100" s="5">
        <v>-618.92999999999995</v>
      </c>
      <c r="Z100" s="5"/>
      <c r="AA100" s="5"/>
      <c r="AB100" s="5"/>
    </row>
    <row r="102" spans="1:206" x14ac:dyDescent="0.2">
      <c r="A102" s="3">
        <v>51</v>
      </c>
      <c r="B102" s="3">
        <f>B12</f>
        <v>169</v>
      </c>
      <c r="C102" s="3">
        <f>A12</f>
        <v>1</v>
      </c>
      <c r="D102" s="3">
        <f>ROW(A12)</f>
        <v>12</v>
      </c>
      <c r="E102" s="3"/>
      <c r="F102" s="3" t="str">
        <f>IF(F12&lt;&gt;"",F12,"")</f>
        <v>Новый объект</v>
      </c>
      <c r="G102" s="3" t="str">
        <f>IF(G12&lt;&gt;"",G12,"")</f>
        <v>Ремонт входной группы ОПС 428017 Чебоксары</v>
      </c>
      <c r="H102" s="3">
        <v>0</v>
      </c>
      <c r="I102" s="3"/>
      <c r="J102" s="3"/>
      <c r="K102" s="3"/>
      <c r="L102" s="3"/>
      <c r="M102" s="3"/>
      <c r="N102" s="3"/>
      <c r="O102" s="3">
        <f t="shared" ref="O102:T102" si="46">ROUND(O58,2)</f>
        <v>735342.95</v>
      </c>
      <c r="P102" s="3">
        <f t="shared" si="46"/>
        <v>614527.97</v>
      </c>
      <c r="Q102" s="3">
        <f t="shared" si="46"/>
        <v>8163.72</v>
      </c>
      <c r="R102" s="3">
        <f t="shared" si="46"/>
        <v>1460.85</v>
      </c>
      <c r="S102" s="3">
        <f t="shared" si="46"/>
        <v>111190.41</v>
      </c>
      <c r="T102" s="3">
        <f t="shared" si="46"/>
        <v>0</v>
      </c>
      <c r="U102" s="3">
        <f>U58</f>
        <v>301.85435999999999</v>
      </c>
      <c r="V102" s="3">
        <f>V58</f>
        <v>3.6470050000000005</v>
      </c>
      <c r="W102" s="3">
        <f>ROUND(W58,2)</f>
        <v>0</v>
      </c>
      <c r="X102" s="3">
        <f>ROUND(X58,2)</f>
        <v>109984.47</v>
      </c>
      <c r="Y102" s="3">
        <f>ROUND(Y58,2)</f>
        <v>62105.279999999999</v>
      </c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>
        <f t="shared" ref="AO102:BD102" si="47">ROUND(AO58,2)</f>
        <v>0</v>
      </c>
      <c r="AP102" s="3">
        <f t="shared" si="47"/>
        <v>0</v>
      </c>
      <c r="AQ102" s="3">
        <f t="shared" si="47"/>
        <v>0</v>
      </c>
      <c r="AR102" s="3">
        <f t="shared" si="47"/>
        <v>907432.7</v>
      </c>
      <c r="AS102" s="3">
        <f t="shared" si="47"/>
        <v>907432.7</v>
      </c>
      <c r="AT102" s="3">
        <f t="shared" si="47"/>
        <v>0</v>
      </c>
      <c r="AU102" s="3">
        <f t="shared" si="47"/>
        <v>0</v>
      </c>
      <c r="AV102" s="3">
        <f t="shared" si="47"/>
        <v>614527.97</v>
      </c>
      <c r="AW102" s="3">
        <f t="shared" si="47"/>
        <v>614527.97</v>
      </c>
      <c r="AX102" s="3">
        <f t="shared" si="47"/>
        <v>0</v>
      </c>
      <c r="AY102" s="3">
        <f t="shared" si="47"/>
        <v>614527.97</v>
      </c>
      <c r="AZ102" s="3">
        <f t="shared" si="47"/>
        <v>0</v>
      </c>
      <c r="BA102" s="3">
        <f t="shared" si="47"/>
        <v>0</v>
      </c>
      <c r="BB102" s="3">
        <f t="shared" si="47"/>
        <v>0</v>
      </c>
      <c r="BC102" s="3">
        <f t="shared" si="47"/>
        <v>0</v>
      </c>
      <c r="BD102" s="3">
        <f t="shared" si="47"/>
        <v>0</v>
      </c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>
        <v>0</v>
      </c>
    </row>
    <row r="104" spans="1:206" x14ac:dyDescent="0.2">
      <c r="A104" s="5">
        <v>50</v>
      </c>
      <c r="B104" s="5">
        <v>0</v>
      </c>
      <c r="C104" s="5">
        <v>0</v>
      </c>
      <c r="D104" s="5">
        <v>1</v>
      </c>
      <c r="E104" s="5">
        <v>201</v>
      </c>
      <c r="F104" s="5">
        <f>ROUND(Source!O102,O104)</f>
        <v>735342.95</v>
      </c>
      <c r="G104" s="5" t="s">
        <v>202</v>
      </c>
      <c r="H104" s="5" t="s">
        <v>203</v>
      </c>
      <c r="I104" s="5"/>
      <c r="J104" s="5"/>
      <c r="K104" s="5">
        <v>201</v>
      </c>
      <c r="L104" s="5">
        <v>1</v>
      </c>
      <c r="M104" s="5">
        <v>3</v>
      </c>
      <c r="N104" s="5" t="s">
        <v>3</v>
      </c>
      <c r="O104" s="5">
        <v>2</v>
      </c>
      <c r="P104" s="5"/>
      <c r="Q104" s="5"/>
      <c r="R104" s="5"/>
      <c r="S104" s="5"/>
      <c r="T104" s="5"/>
      <c r="U104" s="5"/>
      <c r="V104" s="5"/>
      <c r="W104" s="5">
        <v>735342.95</v>
      </c>
      <c r="X104" s="5">
        <v>1</v>
      </c>
      <c r="Y104" s="5">
        <v>735342.95</v>
      </c>
      <c r="Z104" s="5"/>
      <c r="AA104" s="5"/>
      <c r="AB104" s="5"/>
    </row>
    <row r="105" spans="1:206" x14ac:dyDescent="0.2">
      <c r="A105" s="5">
        <v>50</v>
      </c>
      <c r="B105" s="5">
        <v>0</v>
      </c>
      <c r="C105" s="5">
        <v>0</v>
      </c>
      <c r="D105" s="5">
        <v>1</v>
      </c>
      <c r="E105" s="5">
        <v>202</v>
      </c>
      <c r="F105" s="5">
        <f>ROUND(Source!P102,O105)</f>
        <v>614527.97</v>
      </c>
      <c r="G105" s="5" t="s">
        <v>204</v>
      </c>
      <c r="H105" s="5" t="s">
        <v>205</v>
      </c>
      <c r="I105" s="5"/>
      <c r="J105" s="5"/>
      <c r="K105" s="5">
        <v>202</v>
      </c>
      <c r="L105" s="5">
        <v>2</v>
      </c>
      <c r="M105" s="5">
        <v>3</v>
      </c>
      <c r="N105" s="5" t="s">
        <v>3</v>
      </c>
      <c r="O105" s="5">
        <v>2</v>
      </c>
      <c r="P105" s="5"/>
      <c r="Q105" s="5"/>
      <c r="R105" s="5"/>
      <c r="S105" s="5"/>
      <c r="T105" s="5"/>
      <c r="U105" s="5"/>
      <c r="V105" s="5"/>
      <c r="W105" s="5">
        <v>614527.97</v>
      </c>
      <c r="X105" s="5">
        <v>1</v>
      </c>
      <c r="Y105" s="5">
        <v>614527.97</v>
      </c>
      <c r="Z105" s="5"/>
      <c r="AA105" s="5"/>
      <c r="AB105" s="5"/>
    </row>
    <row r="106" spans="1:206" x14ac:dyDescent="0.2">
      <c r="A106" s="5">
        <v>50</v>
      </c>
      <c r="B106" s="5">
        <v>0</v>
      </c>
      <c r="C106" s="5">
        <v>0</v>
      </c>
      <c r="D106" s="5">
        <v>1</v>
      </c>
      <c r="E106" s="5">
        <v>222</v>
      </c>
      <c r="F106" s="5">
        <f>ROUND(Source!AO102,O106)</f>
        <v>0</v>
      </c>
      <c r="G106" s="5" t="s">
        <v>206</v>
      </c>
      <c r="H106" s="5" t="s">
        <v>207</v>
      </c>
      <c r="I106" s="5"/>
      <c r="J106" s="5"/>
      <c r="K106" s="5">
        <v>222</v>
      </c>
      <c r="L106" s="5">
        <v>3</v>
      </c>
      <c r="M106" s="5">
        <v>3</v>
      </c>
      <c r="N106" s="5" t="s">
        <v>3</v>
      </c>
      <c r="O106" s="5">
        <v>2</v>
      </c>
      <c r="P106" s="5"/>
      <c r="Q106" s="5"/>
      <c r="R106" s="5"/>
      <c r="S106" s="5"/>
      <c r="T106" s="5"/>
      <c r="U106" s="5"/>
      <c r="V106" s="5"/>
      <c r="W106" s="5">
        <v>0</v>
      </c>
      <c r="X106" s="5">
        <v>1</v>
      </c>
      <c r="Y106" s="5">
        <v>0</v>
      </c>
      <c r="Z106" s="5"/>
      <c r="AA106" s="5"/>
      <c r="AB106" s="5"/>
    </row>
    <row r="107" spans="1:206" x14ac:dyDescent="0.2">
      <c r="A107" s="5">
        <v>50</v>
      </c>
      <c r="B107" s="5">
        <v>0</v>
      </c>
      <c r="C107" s="5">
        <v>0</v>
      </c>
      <c r="D107" s="5">
        <v>1</v>
      </c>
      <c r="E107" s="5">
        <v>225</v>
      </c>
      <c r="F107" s="5">
        <f>ROUND(Source!AV102,O107)</f>
        <v>614527.97</v>
      </c>
      <c r="G107" s="5" t="s">
        <v>208</v>
      </c>
      <c r="H107" s="5" t="s">
        <v>209</v>
      </c>
      <c r="I107" s="5"/>
      <c r="J107" s="5"/>
      <c r="K107" s="5">
        <v>225</v>
      </c>
      <c r="L107" s="5">
        <v>4</v>
      </c>
      <c r="M107" s="5">
        <v>3</v>
      </c>
      <c r="N107" s="5" t="s">
        <v>3</v>
      </c>
      <c r="O107" s="5">
        <v>2</v>
      </c>
      <c r="P107" s="5"/>
      <c r="Q107" s="5"/>
      <c r="R107" s="5"/>
      <c r="S107" s="5"/>
      <c r="T107" s="5"/>
      <c r="U107" s="5"/>
      <c r="V107" s="5"/>
      <c r="W107" s="5">
        <v>614527.97</v>
      </c>
      <c r="X107" s="5">
        <v>1</v>
      </c>
      <c r="Y107" s="5">
        <v>614527.97</v>
      </c>
      <c r="Z107" s="5"/>
      <c r="AA107" s="5"/>
      <c r="AB107" s="5"/>
    </row>
    <row r="108" spans="1:206" x14ac:dyDescent="0.2">
      <c r="A108" s="5">
        <v>50</v>
      </c>
      <c r="B108" s="5">
        <v>0</v>
      </c>
      <c r="C108" s="5">
        <v>0</v>
      </c>
      <c r="D108" s="5">
        <v>1</v>
      </c>
      <c r="E108" s="5">
        <v>226</v>
      </c>
      <c r="F108" s="5">
        <f>ROUND(Source!AW102,O108)</f>
        <v>614527.97</v>
      </c>
      <c r="G108" s="5" t="s">
        <v>210</v>
      </c>
      <c r="H108" s="5" t="s">
        <v>211</v>
      </c>
      <c r="I108" s="5"/>
      <c r="J108" s="5"/>
      <c r="K108" s="5">
        <v>226</v>
      </c>
      <c r="L108" s="5">
        <v>5</v>
      </c>
      <c r="M108" s="5">
        <v>3</v>
      </c>
      <c r="N108" s="5" t="s">
        <v>3</v>
      </c>
      <c r="O108" s="5">
        <v>2</v>
      </c>
      <c r="P108" s="5"/>
      <c r="Q108" s="5"/>
      <c r="R108" s="5"/>
      <c r="S108" s="5"/>
      <c r="T108" s="5"/>
      <c r="U108" s="5"/>
      <c r="V108" s="5"/>
      <c r="W108" s="5">
        <v>614527.97</v>
      </c>
      <c r="X108" s="5">
        <v>1</v>
      </c>
      <c r="Y108" s="5">
        <v>614527.97</v>
      </c>
      <c r="Z108" s="5"/>
      <c r="AA108" s="5"/>
      <c r="AB108" s="5"/>
    </row>
    <row r="109" spans="1:206" x14ac:dyDescent="0.2">
      <c r="A109" s="5">
        <v>50</v>
      </c>
      <c r="B109" s="5">
        <v>0</v>
      </c>
      <c r="C109" s="5">
        <v>0</v>
      </c>
      <c r="D109" s="5">
        <v>1</v>
      </c>
      <c r="E109" s="5">
        <v>227</v>
      </c>
      <c r="F109" s="5">
        <f>ROUND(Source!AX102,O109)</f>
        <v>0</v>
      </c>
      <c r="G109" s="5" t="s">
        <v>212</v>
      </c>
      <c r="H109" s="5" t="s">
        <v>213</v>
      </c>
      <c r="I109" s="5"/>
      <c r="J109" s="5"/>
      <c r="K109" s="5">
        <v>227</v>
      </c>
      <c r="L109" s="5">
        <v>6</v>
      </c>
      <c r="M109" s="5">
        <v>3</v>
      </c>
      <c r="N109" s="5" t="s">
        <v>3</v>
      </c>
      <c r="O109" s="5">
        <v>2</v>
      </c>
      <c r="P109" s="5"/>
      <c r="Q109" s="5"/>
      <c r="R109" s="5"/>
      <c r="S109" s="5"/>
      <c r="T109" s="5"/>
      <c r="U109" s="5"/>
      <c r="V109" s="5"/>
      <c r="W109" s="5">
        <v>0</v>
      </c>
      <c r="X109" s="5">
        <v>1</v>
      </c>
      <c r="Y109" s="5">
        <v>0</v>
      </c>
      <c r="Z109" s="5"/>
      <c r="AA109" s="5"/>
      <c r="AB109" s="5"/>
    </row>
    <row r="110" spans="1:206" x14ac:dyDescent="0.2">
      <c r="A110" s="5">
        <v>50</v>
      </c>
      <c r="B110" s="5">
        <v>0</v>
      </c>
      <c r="C110" s="5">
        <v>0</v>
      </c>
      <c r="D110" s="5">
        <v>1</v>
      </c>
      <c r="E110" s="5">
        <v>228</v>
      </c>
      <c r="F110" s="5">
        <f>ROUND(Source!AY102,O110)</f>
        <v>614527.97</v>
      </c>
      <c r="G110" s="5" t="s">
        <v>214</v>
      </c>
      <c r="H110" s="5" t="s">
        <v>215</v>
      </c>
      <c r="I110" s="5"/>
      <c r="J110" s="5"/>
      <c r="K110" s="5">
        <v>228</v>
      </c>
      <c r="L110" s="5">
        <v>7</v>
      </c>
      <c r="M110" s="5">
        <v>3</v>
      </c>
      <c r="N110" s="5" t="s">
        <v>3</v>
      </c>
      <c r="O110" s="5">
        <v>2</v>
      </c>
      <c r="P110" s="5"/>
      <c r="Q110" s="5"/>
      <c r="R110" s="5"/>
      <c r="S110" s="5"/>
      <c r="T110" s="5"/>
      <c r="U110" s="5"/>
      <c r="V110" s="5"/>
      <c r="W110" s="5">
        <v>614527.97</v>
      </c>
      <c r="X110" s="5">
        <v>1</v>
      </c>
      <c r="Y110" s="5">
        <v>614527.97</v>
      </c>
      <c r="Z110" s="5"/>
      <c r="AA110" s="5"/>
      <c r="AB110" s="5"/>
    </row>
    <row r="111" spans="1:206" x14ac:dyDescent="0.2">
      <c r="A111" s="5">
        <v>50</v>
      </c>
      <c r="B111" s="5">
        <v>0</v>
      </c>
      <c r="C111" s="5">
        <v>0</v>
      </c>
      <c r="D111" s="5">
        <v>1</v>
      </c>
      <c r="E111" s="5">
        <v>216</v>
      </c>
      <c r="F111" s="5">
        <f>ROUND(Source!AP102,O111)</f>
        <v>0</v>
      </c>
      <c r="G111" s="5" t="s">
        <v>216</v>
      </c>
      <c r="H111" s="5" t="s">
        <v>217</v>
      </c>
      <c r="I111" s="5"/>
      <c r="J111" s="5"/>
      <c r="K111" s="5">
        <v>216</v>
      </c>
      <c r="L111" s="5">
        <v>8</v>
      </c>
      <c r="M111" s="5">
        <v>3</v>
      </c>
      <c r="N111" s="5" t="s">
        <v>3</v>
      </c>
      <c r="O111" s="5">
        <v>2</v>
      </c>
      <c r="P111" s="5"/>
      <c r="Q111" s="5"/>
      <c r="R111" s="5"/>
      <c r="S111" s="5"/>
      <c r="T111" s="5"/>
      <c r="U111" s="5"/>
      <c r="V111" s="5"/>
      <c r="W111" s="5">
        <v>0</v>
      </c>
      <c r="X111" s="5">
        <v>1</v>
      </c>
      <c r="Y111" s="5">
        <v>0</v>
      </c>
      <c r="Z111" s="5"/>
      <c r="AA111" s="5"/>
      <c r="AB111" s="5"/>
    </row>
    <row r="112" spans="1:206" x14ac:dyDescent="0.2">
      <c r="A112" s="5">
        <v>50</v>
      </c>
      <c r="B112" s="5">
        <v>0</v>
      </c>
      <c r="C112" s="5">
        <v>0</v>
      </c>
      <c r="D112" s="5">
        <v>1</v>
      </c>
      <c r="E112" s="5">
        <v>223</v>
      </c>
      <c r="F112" s="5">
        <f>ROUND(Source!AQ102,O112)</f>
        <v>0</v>
      </c>
      <c r="G112" s="5" t="s">
        <v>218</v>
      </c>
      <c r="H112" s="5" t="s">
        <v>219</v>
      </c>
      <c r="I112" s="5"/>
      <c r="J112" s="5"/>
      <c r="K112" s="5">
        <v>223</v>
      </c>
      <c r="L112" s="5">
        <v>9</v>
      </c>
      <c r="M112" s="5">
        <v>3</v>
      </c>
      <c r="N112" s="5" t="s">
        <v>3</v>
      </c>
      <c r="O112" s="5">
        <v>2</v>
      </c>
      <c r="P112" s="5"/>
      <c r="Q112" s="5"/>
      <c r="R112" s="5"/>
      <c r="S112" s="5"/>
      <c r="T112" s="5"/>
      <c r="U112" s="5"/>
      <c r="V112" s="5"/>
      <c r="W112" s="5">
        <v>0</v>
      </c>
      <c r="X112" s="5">
        <v>1</v>
      </c>
      <c r="Y112" s="5">
        <v>0</v>
      </c>
      <c r="Z112" s="5"/>
      <c r="AA112" s="5"/>
      <c r="AB112" s="5"/>
    </row>
    <row r="113" spans="1:28" x14ac:dyDescent="0.2">
      <c r="A113" s="5">
        <v>50</v>
      </c>
      <c r="B113" s="5">
        <v>0</v>
      </c>
      <c r="C113" s="5">
        <v>0</v>
      </c>
      <c r="D113" s="5">
        <v>1</v>
      </c>
      <c r="E113" s="5">
        <v>229</v>
      </c>
      <c r="F113" s="5">
        <f>ROUND(Source!AZ102,O113)</f>
        <v>0</v>
      </c>
      <c r="G113" s="5" t="s">
        <v>220</v>
      </c>
      <c r="H113" s="5" t="s">
        <v>221</v>
      </c>
      <c r="I113" s="5"/>
      <c r="J113" s="5"/>
      <c r="K113" s="5">
        <v>229</v>
      </c>
      <c r="L113" s="5">
        <v>10</v>
      </c>
      <c r="M113" s="5">
        <v>3</v>
      </c>
      <c r="N113" s="5" t="s">
        <v>3</v>
      </c>
      <c r="O113" s="5">
        <v>2</v>
      </c>
      <c r="P113" s="5"/>
      <c r="Q113" s="5"/>
      <c r="R113" s="5"/>
      <c r="S113" s="5"/>
      <c r="T113" s="5"/>
      <c r="U113" s="5"/>
      <c r="V113" s="5"/>
      <c r="W113" s="5">
        <v>0</v>
      </c>
      <c r="X113" s="5">
        <v>1</v>
      </c>
      <c r="Y113" s="5">
        <v>0</v>
      </c>
      <c r="Z113" s="5"/>
      <c r="AA113" s="5"/>
      <c r="AB113" s="5"/>
    </row>
    <row r="114" spans="1:28" x14ac:dyDescent="0.2">
      <c r="A114" s="5">
        <v>50</v>
      </c>
      <c r="B114" s="5">
        <v>0</v>
      </c>
      <c r="C114" s="5">
        <v>0</v>
      </c>
      <c r="D114" s="5">
        <v>1</v>
      </c>
      <c r="E114" s="5">
        <v>203</v>
      </c>
      <c r="F114" s="5">
        <f>ROUND(Source!Q102,O114)</f>
        <v>8163.72</v>
      </c>
      <c r="G114" s="5" t="s">
        <v>222</v>
      </c>
      <c r="H114" s="5" t="s">
        <v>223</v>
      </c>
      <c r="I114" s="5"/>
      <c r="J114" s="5"/>
      <c r="K114" s="5">
        <v>203</v>
      </c>
      <c r="L114" s="5">
        <v>11</v>
      </c>
      <c r="M114" s="5">
        <v>3</v>
      </c>
      <c r="N114" s="5" t="s">
        <v>3</v>
      </c>
      <c r="O114" s="5">
        <v>2</v>
      </c>
      <c r="P114" s="5"/>
      <c r="Q114" s="5"/>
      <c r="R114" s="5"/>
      <c r="S114" s="5"/>
      <c r="T114" s="5"/>
      <c r="U114" s="5"/>
      <c r="V114" s="5"/>
      <c r="W114" s="5">
        <v>8163.7200000000012</v>
      </c>
      <c r="X114" s="5">
        <v>1</v>
      </c>
      <c r="Y114" s="5">
        <v>8163.7200000000012</v>
      </c>
      <c r="Z114" s="5"/>
      <c r="AA114" s="5"/>
      <c r="AB114" s="5"/>
    </row>
    <row r="115" spans="1:28" x14ac:dyDescent="0.2">
      <c r="A115" s="5">
        <v>50</v>
      </c>
      <c r="B115" s="5">
        <v>0</v>
      </c>
      <c r="C115" s="5">
        <v>0</v>
      </c>
      <c r="D115" s="5">
        <v>1</v>
      </c>
      <c r="E115" s="5">
        <v>231</v>
      </c>
      <c r="F115" s="5">
        <f>ROUND(Source!BB102,O115)</f>
        <v>0</v>
      </c>
      <c r="G115" s="5" t="s">
        <v>224</v>
      </c>
      <c r="H115" s="5" t="s">
        <v>225</v>
      </c>
      <c r="I115" s="5"/>
      <c r="J115" s="5"/>
      <c r="K115" s="5">
        <v>231</v>
      </c>
      <c r="L115" s="5">
        <v>12</v>
      </c>
      <c r="M115" s="5">
        <v>3</v>
      </c>
      <c r="N115" s="5" t="s">
        <v>3</v>
      </c>
      <c r="O115" s="5">
        <v>2</v>
      </c>
      <c r="P115" s="5"/>
      <c r="Q115" s="5"/>
      <c r="R115" s="5"/>
      <c r="S115" s="5"/>
      <c r="T115" s="5"/>
      <c r="U115" s="5"/>
      <c r="V115" s="5"/>
      <c r="W115" s="5">
        <v>0</v>
      </c>
      <c r="X115" s="5">
        <v>1</v>
      </c>
      <c r="Y115" s="5">
        <v>0</v>
      </c>
      <c r="Z115" s="5"/>
      <c r="AA115" s="5"/>
      <c r="AB115" s="5"/>
    </row>
    <row r="116" spans="1:28" x14ac:dyDescent="0.2">
      <c r="A116" s="5">
        <v>50</v>
      </c>
      <c r="B116" s="5">
        <v>0</v>
      </c>
      <c r="C116" s="5">
        <v>0</v>
      </c>
      <c r="D116" s="5">
        <v>1</v>
      </c>
      <c r="E116" s="5">
        <v>204</v>
      </c>
      <c r="F116" s="5">
        <f>ROUND(Source!R102,O116)</f>
        <v>1460.85</v>
      </c>
      <c r="G116" s="5" t="s">
        <v>226</v>
      </c>
      <c r="H116" s="5" t="s">
        <v>227</v>
      </c>
      <c r="I116" s="5"/>
      <c r="J116" s="5"/>
      <c r="K116" s="5">
        <v>204</v>
      </c>
      <c r="L116" s="5">
        <v>13</v>
      </c>
      <c r="M116" s="5">
        <v>3</v>
      </c>
      <c r="N116" s="5" t="s">
        <v>3</v>
      </c>
      <c r="O116" s="5">
        <v>2</v>
      </c>
      <c r="P116" s="5"/>
      <c r="Q116" s="5"/>
      <c r="R116" s="5"/>
      <c r="S116" s="5"/>
      <c r="T116" s="5"/>
      <c r="U116" s="5"/>
      <c r="V116" s="5"/>
      <c r="W116" s="5">
        <v>1460.8499999999997</v>
      </c>
      <c r="X116" s="5">
        <v>1</v>
      </c>
      <c r="Y116" s="5">
        <v>1460.8499999999997</v>
      </c>
      <c r="Z116" s="5"/>
      <c r="AA116" s="5"/>
      <c r="AB116" s="5"/>
    </row>
    <row r="117" spans="1:28" x14ac:dyDescent="0.2">
      <c r="A117" s="5">
        <v>50</v>
      </c>
      <c r="B117" s="5">
        <v>0</v>
      </c>
      <c r="C117" s="5">
        <v>0</v>
      </c>
      <c r="D117" s="5">
        <v>1</v>
      </c>
      <c r="E117" s="5">
        <v>205</v>
      </c>
      <c r="F117" s="5">
        <f>ROUND(Source!S102,O117)</f>
        <v>111190.41</v>
      </c>
      <c r="G117" s="5" t="s">
        <v>228</v>
      </c>
      <c r="H117" s="5" t="s">
        <v>229</v>
      </c>
      <c r="I117" s="5"/>
      <c r="J117" s="5"/>
      <c r="K117" s="5">
        <v>205</v>
      </c>
      <c r="L117" s="5">
        <v>14</v>
      </c>
      <c r="M117" s="5">
        <v>3</v>
      </c>
      <c r="N117" s="5" t="s">
        <v>3</v>
      </c>
      <c r="O117" s="5">
        <v>2</v>
      </c>
      <c r="P117" s="5"/>
      <c r="Q117" s="5"/>
      <c r="R117" s="5"/>
      <c r="S117" s="5"/>
      <c r="T117" s="5"/>
      <c r="U117" s="5"/>
      <c r="V117" s="5"/>
      <c r="W117" s="5">
        <v>111190.41</v>
      </c>
      <c r="X117" s="5">
        <v>1</v>
      </c>
      <c r="Y117" s="5">
        <v>111190.41</v>
      </c>
      <c r="Z117" s="5"/>
      <c r="AA117" s="5"/>
      <c r="AB117" s="5"/>
    </row>
    <row r="118" spans="1:28" x14ac:dyDescent="0.2">
      <c r="A118" s="5">
        <v>50</v>
      </c>
      <c r="B118" s="5">
        <v>0</v>
      </c>
      <c r="C118" s="5">
        <v>0</v>
      </c>
      <c r="D118" s="5">
        <v>1</v>
      </c>
      <c r="E118" s="5">
        <v>232</v>
      </c>
      <c r="F118" s="5">
        <f>ROUND(Source!BC102,O118)</f>
        <v>0</v>
      </c>
      <c r="G118" s="5" t="s">
        <v>230</v>
      </c>
      <c r="H118" s="5" t="s">
        <v>231</v>
      </c>
      <c r="I118" s="5"/>
      <c r="J118" s="5"/>
      <c r="K118" s="5">
        <v>232</v>
      </c>
      <c r="L118" s="5">
        <v>15</v>
      </c>
      <c r="M118" s="5">
        <v>3</v>
      </c>
      <c r="N118" s="5" t="s">
        <v>3</v>
      </c>
      <c r="O118" s="5">
        <v>2</v>
      </c>
      <c r="P118" s="5"/>
      <c r="Q118" s="5"/>
      <c r="R118" s="5"/>
      <c r="S118" s="5"/>
      <c r="T118" s="5"/>
      <c r="U118" s="5"/>
      <c r="V118" s="5"/>
      <c r="W118" s="5">
        <v>0</v>
      </c>
      <c r="X118" s="5">
        <v>1</v>
      </c>
      <c r="Y118" s="5">
        <v>0</v>
      </c>
      <c r="Z118" s="5"/>
      <c r="AA118" s="5"/>
      <c r="AB118" s="5"/>
    </row>
    <row r="119" spans="1:28" x14ac:dyDescent="0.2">
      <c r="A119" s="5">
        <v>50</v>
      </c>
      <c r="B119" s="5">
        <v>0</v>
      </c>
      <c r="C119" s="5">
        <v>0</v>
      </c>
      <c r="D119" s="5">
        <v>1</v>
      </c>
      <c r="E119" s="5">
        <v>214</v>
      </c>
      <c r="F119" s="5">
        <f>ROUND(Source!AS102,O119)</f>
        <v>907432.7</v>
      </c>
      <c r="G119" s="5" t="s">
        <v>232</v>
      </c>
      <c r="H119" s="5" t="s">
        <v>233</v>
      </c>
      <c r="I119" s="5"/>
      <c r="J119" s="5"/>
      <c r="K119" s="5">
        <v>214</v>
      </c>
      <c r="L119" s="5">
        <v>16</v>
      </c>
      <c r="M119" s="5">
        <v>3</v>
      </c>
      <c r="N119" s="5" t="s">
        <v>3</v>
      </c>
      <c r="O119" s="5">
        <v>2</v>
      </c>
      <c r="P119" s="5"/>
      <c r="Q119" s="5"/>
      <c r="R119" s="5"/>
      <c r="S119" s="5"/>
      <c r="T119" s="5"/>
      <c r="U119" s="5"/>
      <c r="V119" s="5"/>
      <c r="W119" s="5">
        <v>907432.7</v>
      </c>
      <c r="X119" s="5">
        <v>1</v>
      </c>
      <c r="Y119" s="5">
        <v>907432.7</v>
      </c>
      <c r="Z119" s="5"/>
      <c r="AA119" s="5"/>
      <c r="AB119" s="5"/>
    </row>
    <row r="120" spans="1:28" x14ac:dyDescent="0.2">
      <c r="A120" s="5">
        <v>50</v>
      </c>
      <c r="B120" s="5">
        <v>0</v>
      </c>
      <c r="C120" s="5">
        <v>0</v>
      </c>
      <c r="D120" s="5">
        <v>1</v>
      </c>
      <c r="E120" s="5">
        <v>215</v>
      </c>
      <c r="F120" s="5">
        <f>ROUND(Source!AT102,O120)</f>
        <v>0</v>
      </c>
      <c r="G120" s="5" t="s">
        <v>234</v>
      </c>
      <c r="H120" s="5" t="s">
        <v>235</v>
      </c>
      <c r="I120" s="5"/>
      <c r="J120" s="5"/>
      <c r="K120" s="5">
        <v>215</v>
      </c>
      <c r="L120" s="5">
        <v>17</v>
      </c>
      <c r="M120" s="5">
        <v>3</v>
      </c>
      <c r="N120" s="5" t="s">
        <v>3</v>
      </c>
      <c r="O120" s="5">
        <v>2</v>
      </c>
      <c r="P120" s="5"/>
      <c r="Q120" s="5"/>
      <c r="R120" s="5"/>
      <c r="S120" s="5"/>
      <c r="T120" s="5"/>
      <c r="U120" s="5"/>
      <c r="V120" s="5"/>
      <c r="W120" s="5">
        <v>0</v>
      </c>
      <c r="X120" s="5">
        <v>1</v>
      </c>
      <c r="Y120" s="5">
        <v>0</v>
      </c>
      <c r="Z120" s="5"/>
      <c r="AA120" s="5"/>
      <c r="AB120" s="5"/>
    </row>
    <row r="121" spans="1:28" x14ac:dyDescent="0.2">
      <c r="A121" s="5">
        <v>50</v>
      </c>
      <c r="B121" s="5">
        <v>0</v>
      </c>
      <c r="C121" s="5">
        <v>0</v>
      </c>
      <c r="D121" s="5">
        <v>1</v>
      </c>
      <c r="E121" s="5">
        <v>217</v>
      </c>
      <c r="F121" s="5">
        <f>ROUND(Source!AU102,O121)</f>
        <v>0</v>
      </c>
      <c r="G121" s="5" t="s">
        <v>236</v>
      </c>
      <c r="H121" s="5" t="s">
        <v>237</v>
      </c>
      <c r="I121" s="5"/>
      <c r="J121" s="5"/>
      <c r="K121" s="5">
        <v>217</v>
      </c>
      <c r="L121" s="5">
        <v>18</v>
      </c>
      <c r="M121" s="5">
        <v>3</v>
      </c>
      <c r="N121" s="5" t="s">
        <v>3</v>
      </c>
      <c r="O121" s="5">
        <v>2</v>
      </c>
      <c r="P121" s="5"/>
      <c r="Q121" s="5"/>
      <c r="R121" s="5"/>
      <c r="S121" s="5"/>
      <c r="T121" s="5"/>
      <c r="U121" s="5"/>
      <c r="V121" s="5"/>
      <c r="W121" s="5">
        <v>0</v>
      </c>
      <c r="X121" s="5">
        <v>1</v>
      </c>
      <c r="Y121" s="5">
        <v>0</v>
      </c>
      <c r="Z121" s="5"/>
      <c r="AA121" s="5"/>
      <c r="AB121" s="5"/>
    </row>
    <row r="122" spans="1:28" x14ac:dyDescent="0.2">
      <c r="A122" s="5">
        <v>50</v>
      </c>
      <c r="B122" s="5">
        <v>0</v>
      </c>
      <c r="C122" s="5">
        <v>0</v>
      </c>
      <c r="D122" s="5">
        <v>1</v>
      </c>
      <c r="E122" s="5">
        <v>230</v>
      </c>
      <c r="F122" s="5">
        <f>ROUND(Source!BA102,O122)</f>
        <v>0</v>
      </c>
      <c r="G122" s="5" t="s">
        <v>238</v>
      </c>
      <c r="H122" s="5" t="s">
        <v>239</v>
      </c>
      <c r="I122" s="5"/>
      <c r="J122" s="5"/>
      <c r="K122" s="5">
        <v>230</v>
      </c>
      <c r="L122" s="5">
        <v>19</v>
      </c>
      <c r="M122" s="5">
        <v>3</v>
      </c>
      <c r="N122" s="5" t="s">
        <v>3</v>
      </c>
      <c r="O122" s="5">
        <v>2</v>
      </c>
      <c r="P122" s="5"/>
      <c r="Q122" s="5"/>
      <c r="R122" s="5"/>
      <c r="S122" s="5"/>
      <c r="T122" s="5"/>
      <c r="U122" s="5"/>
      <c r="V122" s="5"/>
      <c r="W122" s="5">
        <v>0</v>
      </c>
      <c r="X122" s="5">
        <v>1</v>
      </c>
      <c r="Y122" s="5">
        <v>0</v>
      </c>
      <c r="Z122" s="5"/>
      <c r="AA122" s="5"/>
      <c r="AB122" s="5"/>
    </row>
    <row r="123" spans="1:28" x14ac:dyDescent="0.2">
      <c r="A123" s="5">
        <v>50</v>
      </c>
      <c r="B123" s="5">
        <v>0</v>
      </c>
      <c r="C123" s="5">
        <v>0</v>
      </c>
      <c r="D123" s="5">
        <v>1</v>
      </c>
      <c r="E123" s="5">
        <v>206</v>
      </c>
      <c r="F123" s="5">
        <f>ROUND(Source!T102,O123)</f>
        <v>0</v>
      </c>
      <c r="G123" s="5" t="s">
        <v>240</v>
      </c>
      <c r="H123" s="5" t="s">
        <v>241</v>
      </c>
      <c r="I123" s="5"/>
      <c r="J123" s="5"/>
      <c r="K123" s="5">
        <v>206</v>
      </c>
      <c r="L123" s="5">
        <v>20</v>
      </c>
      <c r="M123" s="5">
        <v>3</v>
      </c>
      <c r="N123" s="5" t="s">
        <v>3</v>
      </c>
      <c r="O123" s="5">
        <v>2</v>
      </c>
      <c r="P123" s="5"/>
      <c r="Q123" s="5"/>
      <c r="R123" s="5"/>
      <c r="S123" s="5"/>
      <c r="T123" s="5"/>
      <c r="U123" s="5"/>
      <c r="V123" s="5"/>
      <c r="W123" s="5">
        <v>0</v>
      </c>
      <c r="X123" s="5">
        <v>1</v>
      </c>
      <c r="Y123" s="5">
        <v>0</v>
      </c>
      <c r="Z123" s="5"/>
      <c r="AA123" s="5"/>
      <c r="AB123" s="5"/>
    </row>
    <row r="124" spans="1:28" x14ac:dyDescent="0.2">
      <c r="A124" s="5">
        <v>50</v>
      </c>
      <c r="B124" s="5">
        <v>0</v>
      </c>
      <c r="C124" s="5">
        <v>0</v>
      </c>
      <c r="D124" s="5">
        <v>1</v>
      </c>
      <c r="E124" s="5">
        <v>207</v>
      </c>
      <c r="F124" s="5">
        <f>ROUND(Source!U102,O124)</f>
        <v>301.85435999999999</v>
      </c>
      <c r="G124" s="5" t="s">
        <v>242</v>
      </c>
      <c r="H124" s="5" t="s">
        <v>243</v>
      </c>
      <c r="I124" s="5"/>
      <c r="J124" s="5"/>
      <c r="K124" s="5">
        <v>207</v>
      </c>
      <c r="L124" s="5">
        <v>21</v>
      </c>
      <c r="M124" s="5">
        <v>3</v>
      </c>
      <c r="N124" s="5" t="s">
        <v>3</v>
      </c>
      <c r="O124" s="5">
        <v>7</v>
      </c>
      <c r="P124" s="5"/>
      <c r="Q124" s="5"/>
      <c r="R124" s="5"/>
      <c r="S124" s="5"/>
      <c r="T124" s="5"/>
      <c r="U124" s="5"/>
      <c r="V124" s="5"/>
      <c r="W124" s="5">
        <v>301.85435999999999</v>
      </c>
      <c r="X124" s="5">
        <v>1</v>
      </c>
      <c r="Y124" s="5">
        <v>301.85435999999999</v>
      </c>
      <c r="Z124" s="5"/>
      <c r="AA124" s="5"/>
      <c r="AB124" s="5"/>
    </row>
    <row r="125" spans="1:28" x14ac:dyDescent="0.2">
      <c r="A125" s="5">
        <v>50</v>
      </c>
      <c r="B125" s="5">
        <v>0</v>
      </c>
      <c r="C125" s="5">
        <v>0</v>
      </c>
      <c r="D125" s="5">
        <v>1</v>
      </c>
      <c r="E125" s="5">
        <v>208</v>
      </c>
      <c r="F125" s="5">
        <f>ROUND(Source!V102,O125)</f>
        <v>3.6470050000000001</v>
      </c>
      <c r="G125" s="5" t="s">
        <v>244</v>
      </c>
      <c r="H125" s="5" t="s">
        <v>245</v>
      </c>
      <c r="I125" s="5"/>
      <c r="J125" s="5"/>
      <c r="K125" s="5">
        <v>208</v>
      </c>
      <c r="L125" s="5">
        <v>22</v>
      </c>
      <c r="M125" s="5">
        <v>3</v>
      </c>
      <c r="N125" s="5" t="s">
        <v>3</v>
      </c>
      <c r="O125" s="5">
        <v>7</v>
      </c>
      <c r="P125" s="5"/>
      <c r="Q125" s="5"/>
      <c r="R125" s="5"/>
      <c r="S125" s="5"/>
      <c r="T125" s="5"/>
      <c r="U125" s="5"/>
      <c r="V125" s="5"/>
      <c r="W125" s="5">
        <v>3.6470050000000001</v>
      </c>
      <c r="X125" s="5">
        <v>1</v>
      </c>
      <c r="Y125" s="5">
        <v>3.6470050000000001</v>
      </c>
      <c r="Z125" s="5"/>
      <c r="AA125" s="5"/>
      <c r="AB125" s="5"/>
    </row>
    <row r="126" spans="1:28" x14ac:dyDescent="0.2">
      <c r="A126" s="5">
        <v>50</v>
      </c>
      <c r="B126" s="5">
        <v>0</v>
      </c>
      <c r="C126" s="5">
        <v>0</v>
      </c>
      <c r="D126" s="5">
        <v>1</v>
      </c>
      <c r="E126" s="5">
        <v>209</v>
      </c>
      <c r="F126" s="5">
        <f>ROUND(Source!W102,O126)</f>
        <v>0</v>
      </c>
      <c r="G126" s="5" t="s">
        <v>246</v>
      </c>
      <c r="H126" s="5" t="s">
        <v>247</v>
      </c>
      <c r="I126" s="5"/>
      <c r="J126" s="5"/>
      <c r="K126" s="5">
        <v>209</v>
      </c>
      <c r="L126" s="5">
        <v>23</v>
      </c>
      <c r="M126" s="5">
        <v>3</v>
      </c>
      <c r="N126" s="5" t="s">
        <v>3</v>
      </c>
      <c r="O126" s="5">
        <v>2</v>
      </c>
      <c r="P126" s="5"/>
      <c r="Q126" s="5"/>
      <c r="R126" s="5"/>
      <c r="S126" s="5"/>
      <c r="T126" s="5"/>
      <c r="U126" s="5"/>
      <c r="V126" s="5"/>
      <c r="W126" s="5">
        <v>0</v>
      </c>
      <c r="X126" s="5">
        <v>1</v>
      </c>
      <c r="Y126" s="5">
        <v>0</v>
      </c>
      <c r="Z126" s="5"/>
      <c r="AA126" s="5"/>
      <c r="AB126" s="5"/>
    </row>
    <row r="127" spans="1:28" x14ac:dyDescent="0.2">
      <c r="A127" s="5">
        <v>50</v>
      </c>
      <c r="B127" s="5">
        <v>0</v>
      </c>
      <c r="C127" s="5">
        <v>0</v>
      </c>
      <c r="D127" s="5">
        <v>1</v>
      </c>
      <c r="E127" s="5">
        <v>233</v>
      </c>
      <c r="F127" s="5">
        <f>ROUND(Source!BD102,O127)</f>
        <v>0</v>
      </c>
      <c r="G127" s="5" t="s">
        <v>248</v>
      </c>
      <c r="H127" s="5" t="s">
        <v>249</v>
      </c>
      <c r="I127" s="5"/>
      <c r="J127" s="5"/>
      <c r="K127" s="5">
        <v>233</v>
      </c>
      <c r="L127" s="5">
        <v>24</v>
      </c>
      <c r="M127" s="5">
        <v>3</v>
      </c>
      <c r="N127" s="5" t="s">
        <v>3</v>
      </c>
      <c r="O127" s="5">
        <v>2</v>
      </c>
      <c r="P127" s="5"/>
      <c r="Q127" s="5"/>
      <c r="R127" s="5"/>
      <c r="S127" s="5"/>
      <c r="T127" s="5"/>
      <c r="U127" s="5"/>
      <c r="V127" s="5"/>
      <c r="W127" s="5">
        <v>0</v>
      </c>
      <c r="X127" s="5">
        <v>1</v>
      </c>
      <c r="Y127" s="5">
        <v>0</v>
      </c>
      <c r="Z127" s="5"/>
      <c r="AA127" s="5"/>
      <c r="AB127" s="5"/>
    </row>
    <row r="128" spans="1:28" x14ac:dyDescent="0.2">
      <c r="A128" s="5">
        <v>50</v>
      </c>
      <c r="B128" s="5">
        <v>0</v>
      </c>
      <c r="C128" s="5">
        <v>0</v>
      </c>
      <c r="D128" s="5">
        <v>1</v>
      </c>
      <c r="E128" s="5">
        <v>210</v>
      </c>
      <c r="F128" s="5">
        <f>ROUND(Source!X102,O128)</f>
        <v>109984.47</v>
      </c>
      <c r="G128" s="5" t="s">
        <v>250</v>
      </c>
      <c r="H128" s="5" t="s">
        <v>251</v>
      </c>
      <c r="I128" s="5"/>
      <c r="J128" s="5"/>
      <c r="K128" s="5">
        <v>210</v>
      </c>
      <c r="L128" s="5">
        <v>25</v>
      </c>
      <c r="M128" s="5">
        <v>3</v>
      </c>
      <c r="N128" s="5" t="s">
        <v>3</v>
      </c>
      <c r="O128" s="5">
        <v>2</v>
      </c>
      <c r="P128" s="5"/>
      <c r="Q128" s="5"/>
      <c r="R128" s="5"/>
      <c r="S128" s="5"/>
      <c r="T128" s="5"/>
      <c r="U128" s="5"/>
      <c r="V128" s="5"/>
      <c r="W128" s="5">
        <v>109984.47</v>
      </c>
      <c r="X128" s="5">
        <v>1</v>
      </c>
      <c r="Y128" s="5">
        <v>109984.47</v>
      </c>
      <c r="Z128" s="5"/>
      <c r="AA128" s="5"/>
      <c r="AB128" s="5"/>
    </row>
    <row r="129" spans="1:28" x14ac:dyDescent="0.2">
      <c r="A129" s="5">
        <v>50</v>
      </c>
      <c r="B129" s="5">
        <v>0</v>
      </c>
      <c r="C129" s="5">
        <v>0</v>
      </c>
      <c r="D129" s="5">
        <v>1</v>
      </c>
      <c r="E129" s="5">
        <v>211</v>
      </c>
      <c r="F129" s="5">
        <f>ROUND(Source!Y102,O129)</f>
        <v>62105.279999999999</v>
      </c>
      <c r="G129" s="5" t="s">
        <v>252</v>
      </c>
      <c r="H129" s="5" t="s">
        <v>253</v>
      </c>
      <c r="I129" s="5"/>
      <c r="J129" s="5"/>
      <c r="K129" s="5">
        <v>211</v>
      </c>
      <c r="L129" s="5">
        <v>26</v>
      </c>
      <c r="M129" s="5">
        <v>3</v>
      </c>
      <c r="N129" s="5" t="s">
        <v>3</v>
      </c>
      <c r="O129" s="5">
        <v>2</v>
      </c>
      <c r="P129" s="5"/>
      <c r="Q129" s="5"/>
      <c r="R129" s="5"/>
      <c r="S129" s="5"/>
      <c r="T129" s="5"/>
      <c r="U129" s="5"/>
      <c r="V129" s="5"/>
      <c r="W129" s="5">
        <v>62105.279999999999</v>
      </c>
      <c r="X129" s="5">
        <v>1</v>
      </c>
      <c r="Y129" s="5">
        <v>62105.279999999999</v>
      </c>
      <c r="Z129" s="5"/>
      <c r="AA129" s="5"/>
      <c r="AB129" s="5"/>
    </row>
    <row r="130" spans="1:28" x14ac:dyDescent="0.2">
      <c r="A130" s="5">
        <v>50</v>
      </c>
      <c r="B130" s="5">
        <v>0</v>
      </c>
      <c r="C130" s="5">
        <v>0</v>
      </c>
      <c r="D130" s="5">
        <v>1</v>
      </c>
      <c r="E130" s="5">
        <v>224</v>
      </c>
      <c r="F130" s="5">
        <f>ROUND(Source!AR102,O130)</f>
        <v>907432.7</v>
      </c>
      <c r="G130" s="5" t="s">
        <v>254</v>
      </c>
      <c r="H130" s="5" t="s">
        <v>255</v>
      </c>
      <c r="I130" s="5"/>
      <c r="J130" s="5"/>
      <c r="K130" s="5">
        <v>224</v>
      </c>
      <c r="L130" s="5">
        <v>27</v>
      </c>
      <c r="M130" s="5">
        <v>3</v>
      </c>
      <c r="N130" s="5" t="s">
        <v>3</v>
      </c>
      <c r="O130" s="5">
        <v>2</v>
      </c>
      <c r="P130" s="5"/>
      <c r="Q130" s="5"/>
      <c r="R130" s="5"/>
      <c r="S130" s="5"/>
      <c r="T130" s="5"/>
      <c r="U130" s="5"/>
      <c r="V130" s="5"/>
      <c r="W130" s="5">
        <v>907432.7</v>
      </c>
      <c r="X130" s="5">
        <v>1</v>
      </c>
      <c r="Y130" s="5">
        <v>907432.7</v>
      </c>
      <c r="Z130" s="5"/>
      <c r="AA130" s="5"/>
      <c r="AB130" s="5"/>
    </row>
    <row r="131" spans="1:28" x14ac:dyDescent="0.2">
      <c r="A131" s="5">
        <v>50</v>
      </c>
      <c r="B131" s="5">
        <v>1</v>
      </c>
      <c r="C131" s="5">
        <v>0</v>
      </c>
      <c r="D131" s="5">
        <v>2</v>
      </c>
      <c r="E131" s="5">
        <v>0</v>
      </c>
      <c r="F131" s="5">
        <f>ROUND(F117,O131)</f>
        <v>111190.41</v>
      </c>
      <c r="G131" s="5" t="s">
        <v>256</v>
      </c>
      <c r="H131" s="5" t="s">
        <v>257</v>
      </c>
      <c r="I131" s="5"/>
      <c r="J131" s="5"/>
      <c r="K131" s="5">
        <v>212</v>
      </c>
      <c r="L131" s="5">
        <v>28</v>
      </c>
      <c r="M131" s="5">
        <v>0</v>
      </c>
      <c r="N131" s="5" t="s">
        <v>3</v>
      </c>
      <c r="O131" s="5">
        <v>2</v>
      </c>
      <c r="P131" s="5"/>
      <c r="Q131" s="5"/>
      <c r="R131" s="5"/>
      <c r="S131" s="5"/>
      <c r="T131" s="5"/>
      <c r="U131" s="5"/>
      <c r="V131" s="5"/>
      <c r="W131" s="5">
        <v>111190.41</v>
      </c>
      <c r="X131" s="5">
        <v>1</v>
      </c>
      <c r="Y131" s="5">
        <v>111190.41</v>
      </c>
      <c r="Z131" s="5"/>
      <c r="AA131" s="5"/>
      <c r="AB131" s="5"/>
    </row>
    <row r="132" spans="1:28" x14ac:dyDescent="0.2">
      <c r="A132" s="5">
        <v>50</v>
      </c>
      <c r="B132" s="5">
        <v>1</v>
      </c>
      <c r="C132" s="5">
        <v>0</v>
      </c>
      <c r="D132" s="5">
        <v>2</v>
      </c>
      <c r="E132" s="5">
        <v>0</v>
      </c>
      <c r="F132" s="5">
        <f>ROUND(F114,O132)</f>
        <v>8163.72</v>
      </c>
      <c r="G132" s="5" t="s">
        <v>258</v>
      </c>
      <c r="H132" s="5" t="s">
        <v>259</v>
      </c>
      <c r="I132" s="5"/>
      <c r="J132" s="5"/>
      <c r="K132" s="5">
        <v>212</v>
      </c>
      <c r="L132" s="5">
        <v>29</v>
      </c>
      <c r="M132" s="5">
        <v>0</v>
      </c>
      <c r="N132" s="5" t="s">
        <v>3</v>
      </c>
      <c r="O132" s="5">
        <v>2</v>
      </c>
      <c r="P132" s="5"/>
      <c r="Q132" s="5"/>
      <c r="R132" s="5"/>
      <c r="S132" s="5"/>
      <c r="T132" s="5"/>
      <c r="U132" s="5"/>
      <c r="V132" s="5"/>
      <c r="W132" s="5">
        <v>8163.72</v>
      </c>
      <c r="X132" s="5">
        <v>1</v>
      </c>
      <c r="Y132" s="5">
        <v>8163.72</v>
      </c>
      <c r="Z132" s="5"/>
      <c r="AA132" s="5"/>
      <c r="AB132" s="5"/>
    </row>
    <row r="133" spans="1:28" x14ac:dyDescent="0.2">
      <c r="A133" s="5">
        <v>50</v>
      </c>
      <c r="B133" s="5">
        <v>1</v>
      </c>
      <c r="C133" s="5">
        <v>0</v>
      </c>
      <c r="D133" s="5">
        <v>2</v>
      </c>
      <c r="E133" s="5">
        <v>0</v>
      </c>
      <c r="F133" s="5">
        <f>ROUND(F108,O133)</f>
        <v>614527.97</v>
      </c>
      <c r="G133" s="5" t="s">
        <v>260</v>
      </c>
      <c r="H133" s="5" t="s">
        <v>261</v>
      </c>
      <c r="I133" s="5"/>
      <c r="J133" s="5"/>
      <c r="K133" s="5">
        <v>212</v>
      </c>
      <c r="L133" s="5">
        <v>30</v>
      </c>
      <c r="M133" s="5">
        <v>0</v>
      </c>
      <c r="N133" s="5" t="s">
        <v>3</v>
      </c>
      <c r="O133" s="5">
        <v>2</v>
      </c>
      <c r="P133" s="5"/>
      <c r="Q133" s="5"/>
      <c r="R133" s="5"/>
      <c r="S133" s="5"/>
      <c r="T133" s="5"/>
      <c r="U133" s="5"/>
      <c r="V133" s="5"/>
      <c r="W133" s="5">
        <v>614527.97</v>
      </c>
      <c r="X133" s="5">
        <v>1</v>
      </c>
      <c r="Y133" s="5">
        <v>614527.97</v>
      </c>
      <c r="Z133" s="5"/>
      <c r="AA133" s="5"/>
      <c r="AB133" s="5"/>
    </row>
    <row r="134" spans="1:28" x14ac:dyDescent="0.2">
      <c r="A134" s="5">
        <v>50</v>
      </c>
      <c r="B134" s="5">
        <v>0</v>
      </c>
      <c r="C134" s="5">
        <v>0</v>
      </c>
      <c r="D134" s="5">
        <v>2</v>
      </c>
      <c r="E134" s="5">
        <v>0</v>
      </c>
      <c r="F134" s="5">
        <f>ROUND(F111,O134)</f>
        <v>0</v>
      </c>
      <c r="G134" s="5" t="s">
        <v>262</v>
      </c>
      <c r="H134" s="5" t="s">
        <v>263</v>
      </c>
      <c r="I134" s="5"/>
      <c r="J134" s="5"/>
      <c r="K134" s="5">
        <v>212</v>
      </c>
      <c r="L134" s="5">
        <v>31</v>
      </c>
      <c r="M134" s="5">
        <v>1</v>
      </c>
      <c r="N134" s="5" t="s">
        <v>3</v>
      </c>
      <c r="O134" s="5">
        <v>2</v>
      </c>
      <c r="P134" s="5"/>
      <c r="Q134" s="5"/>
      <c r="R134" s="5"/>
      <c r="S134" s="5"/>
      <c r="T134" s="5"/>
      <c r="U134" s="5"/>
      <c r="V134" s="5"/>
      <c r="W134" s="5">
        <v>0</v>
      </c>
      <c r="X134" s="5">
        <v>1</v>
      </c>
      <c r="Y134" s="5">
        <v>0</v>
      </c>
      <c r="Z134" s="5"/>
      <c r="AA134" s="5"/>
      <c r="AB134" s="5"/>
    </row>
    <row r="135" spans="1:28" x14ac:dyDescent="0.2">
      <c r="A135" s="5">
        <v>50</v>
      </c>
      <c r="B135" s="5">
        <v>1</v>
      </c>
      <c r="C135" s="5">
        <v>0</v>
      </c>
      <c r="D135" s="5">
        <v>2</v>
      </c>
      <c r="E135" s="5">
        <v>0</v>
      </c>
      <c r="F135" s="5">
        <f>ROUND(F128,O135)</f>
        <v>109984.47</v>
      </c>
      <c r="G135" s="5" t="s">
        <v>264</v>
      </c>
      <c r="H135" s="5" t="s">
        <v>250</v>
      </c>
      <c r="I135" s="5"/>
      <c r="J135" s="5"/>
      <c r="K135" s="5">
        <v>212</v>
      </c>
      <c r="L135" s="5">
        <v>32</v>
      </c>
      <c r="M135" s="5">
        <v>0</v>
      </c>
      <c r="N135" s="5" t="s">
        <v>3</v>
      </c>
      <c r="O135" s="5">
        <v>2</v>
      </c>
      <c r="P135" s="5"/>
      <c r="Q135" s="5"/>
      <c r="R135" s="5"/>
      <c r="S135" s="5"/>
      <c r="T135" s="5"/>
      <c r="U135" s="5"/>
      <c r="V135" s="5"/>
      <c r="W135" s="5">
        <v>109984.47</v>
      </c>
      <c r="X135" s="5">
        <v>1</v>
      </c>
      <c r="Y135" s="5">
        <v>109984.47</v>
      </c>
      <c r="Z135" s="5"/>
      <c r="AA135" s="5"/>
      <c r="AB135" s="5"/>
    </row>
    <row r="136" spans="1:28" x14ac:dyDescent="0.2">
      <c r="A136" s="5">
        <v>50</v>
      </c>
      <c r="B136" s="5">
        <v>1</v>
      </c>
      <c r="C136" s="5">
        <v>0</v>
      </c>
      <c r="D136" s="5">
        <v>2</v>
      </c>
      <c r="E136" s="5">
        <v>0</v>
      </c>
      <c r="F136" s="5">
        <f>ROUND(F129,O136)</f>
        <v>62105.279999999999</v>
      </c>
      <c r="G136" s="5" t="s">
        <v>265</v>
      </c>
      <c r="H136" s="5" t="s">
        <v>266</v>
      </c>
      <c r="I136" s="5"/>
      <c r="J136" s="5"/>
      <c r="K136" s="5">
        <v>212</v>
      </c>
      <c r="L136" s="5">
        <v>33</v>
      </c>
      <c r="M136" s="5">
        <v>0</v>
      </c>
      <c r="N136" s="5" t="s">
        <v>3</v>
      </c>
      <c r="O136" s="5">
        <v>2</v>
      </c>
      <c r="P136" s="5"/>
      <c r="Q136" s="5"/>
      <c r="R136" s="5"/>
      <c r="S136" s="5"/>
      <c r="T136" s="5"/>
      <c r="U136" s="5"/>
      <c r="V136" s="5"/>
      <c r="W136" s="5">
        <v>62105.279999999999</v>
      </c>
      <c r="X136" s="5">
        <v>1</v>
      </c>
      <c r="Y136" s="5">
        <v>62105.279999999999</v>
      </c>
      <c r="Z136" s="5"/>
      <c r="AA136" s="5"/>
      <c r="AB136" s="5"/>
    </row>
    <row r="137" spans="1:28" x14ac:dyDescent="0.2">
      <c r="A137" s="5">
        <v>50</v>
      </c>
      <c r="B137" s="5">
        <v>0</v>
      </c>
      <c r="C137" s="5">
        <v>0</v>
      </c>
      <c r="D137" s="5">
        <v>2</v>
      </c>
      <c r="E137" s="5">
        <v>0</v>
      </c>
      <c r="F137" s="5">
        <f>ROUND(F127,O137)</f>
        <v>0</v>
      </c>
      <c r="G137" s="5" t="s">
        <v>267</v>
      </c>
      <c r="H137" s="5" t="s">
        <v>249</v>
      </c>
      <c r="I137" s="5"/>
      <c r="J137" s="5"/>
      <c r="K137" s="5">
        <v>212</v>
      </c>
      <c r="L137" s="5">
        <v>34</v>
      </c>
      <c r="M137" s="5">
        <v>1</v>
      </c>
      <c r="N137" s="5" t="s">
        <v>3</v>
      </c>
      <c r="O137" s="5">
        <v>2</v>
      </c>
      <c r="P137" s="5"/>
      <c r="Q137" s="5"/>
      <c r="R137" s="5"/>
      <c r="S137" s="5"/>
      <c r="T137" s="5"/>
      <c r="U137" s="5"/>
      <c r="V137" s="5"/>
      <c r="W137" s="5">
        <v>0</v>
      </c>
      <c r="X137" s="5">
        <v>1</v>
      </c>
      <c r="Y137" s="5">
        <v>0</v>
      </c>
      <c r="Z137" s="5"/>
      <c r="AA137" s="5"/>
      <c r="AB137" s="5"/>
    </row>
    <row r="138" spans="1:28" x14ac:dyDescent="0.2">
      <c r="A138" s="5">
        <v>50</v>
      </c>
      <c r="B138" s="5">
        <v>1</v>
      </c>
      <c r="C138" s="5">
        <v>0</v>
      </c>
      <c r="D138" s="5">
        <v>2</v>
      </c>
      <c r="E138" s="5">
        <v>0</v>
      </c>
      <c r="F138" s="5">
        <f>ROUND(F130,O138)</f>
        <v>907432.7</v>
      </c>
      <c r="G138" s="5" t="s">
        <v>268</v>
      </c>
      <c r="H138" s="5" t="s">
        <v>254</v>
      </c>
      <c r="I138" s="5"/>
      <c r="J138" s="5"/>
      <c r="K138" s="5">
        <v>212</v>
      </c>
      <c r="L138" s="5">
        <v>35</v>
      </c>
      <c r="M138" s="5">
        <v>0</v>
      </c>
      <c r="N138" s="5" t="s">
        <v>3</v>
      </c>
      <c r="O138" s="5">
        <v>2</v>
      </c>
      <c r="P138" s="5"/>
      <c r="Q138" s="5"/>
      <c r="R138" s="5"/>
      <c r="S138" s="5"/>
      <c r="T138" s="5"/>
      <c r="U138" s="5"/>
      <c r="V138" s="5"/>
      <c r="W138" s="5">
        <v>907432.7</v>
      </c>
      <c r="X138" s="5">
        <v>1</v>
      </c>
      <c r="Y138" s="5">
        <v>907432.7</v>
      </c>
      <c r="Z138" s="5"/>
      <c r="AA138" s="5"/>
      <c r="AB138" s="5"/>
    </row>
    <row r="139" spans="1:28" x14ac:dyDescent="0.2">
      <c r="A139" s="5">
        <v>50</v>
      </c>
      <c r="B139" s="5">
        <v>1</v>
      </c>
      <c r="C139" s="5">
        <v>0</v>
      </c>
      <c r="D139" s="5">
        <v>2</v>
      </c>
      <c r="E139" s="5">
        <v>0</v>
      </c>
      <c r="F139" s="5">
        <f>ROUND(F138*0.2,O139)</f>
        <v>181486.54</v>
      </c>
      <c r="G139" s="5" t="s">
        <v>271</v>
      </c>
      <c r="H139" s="5" t="s">
        <v>277</v>
      </c>
      <c r="I139" s="5"/>
      <c r="J139" s="5"/>
      <c r="K139" s="5">
        <v>212</v>
      </c>
      <c r="L139" s="5">
        <v>36</v>
      </c>
      <c r="M139" s="5">
        <v>0</v>
      </c>
      <c r="N139" s="5" t="s">
        <v>3</v>
      </c>
      <c r="O139" s="5">
        <v>2</v>
      </c>
      <c r="P139" s="5"/>
      <c r="Q139" s="5"/>
      <c r="R139" s="5"/>
      <c r="S139" s="5"/>
      <c r="T139" s="5"/>
      <c r="U139" s="5"/>
      <c r="V139" s="5"/>
      <c r="W139" s="5">
        <v>181486.54</v>
      </c>
      <c r="X139" s="5">
        <v>1</v>
      </c>
      <c r="Y139" s="5">
        <v>181486.54</v>
      </c>
      <c r="Z139" s="5"/>
      <c r="AA139" s="5"/>
      <c r="AB139" s="5"/>
    </row>
    <row r="140" spans="1:28" x14ac:dyDescent="0.2">
      <c r="A140" s="5">
        <v>50</v>
      </c>
      <c r="B140" s="5">
        <v>1</v>
      </c>
      <c r="C140" s="5">
        <v>0</v>
      </c>
      <c r="D140" s="5">
        <v>2</v>
      </c>
      <c r="E140" s="5">
        <v>213</v>
      </c>
      <c r="F140" s="5">
        <f>ROUND(F138+F139,O140)</f>
        <v>1088919.24</v>
      </c>
      <c r="G140" s="5" t="s">
        <v>273</v>
      </c>
      <c r="H140" s="5" t="s">
        <v>274</v>
      </c>
      <c r="I140" s="5"/>
      <c r="J140" s="5"/>
      <c r="K140" s="5">
        <v>212</v>
      </c>
      <c r="L140" s="5">
        <v>37</v>
      </c>
      <c r="M140" s="5">
        <v>0</v>
      </c>
      <c r="N140" s="5" t="s">
        <v>3</v>
      </c>
      <c r="O140" s="5">
        <v>2</v>
      </c>
      <c r="P140" s="5"/>
      <c r="Q140" s="5"/>
      <c r="R140" s="5"/>
      <c r="S140" s="5"/>
      <c r="T140" s="5"/>
      <c r="U140" s="5"/>
      <c r="V140" s="5"/>
      <c r="W140" s="5">
        <v>1088919.24</v>
      </c>
      <c r="X140" s="5">
        <v>1</v>
      </c>
      <c r="Y140" s="5">
        <v>1088919.24</v>
      </c>
      <c r="Z140" s="5"/>
      <c r="AA140" s="5"/>
      <c r="AB140" s="5"/>
    </row>
    <row r="143" spans="1:28" x14ac:dyDescent="0.2">
      <c r="A143">
        <v>70</v>
      </c>
      <c r="B143">
        <v>1</v>
      </c>
      <c r="D143">
        <v>1</v>
      </c>
      <c r="E143" t="s">
        <v>278</v>
      </c>
      <c r="F143" t="s">
        <v>279</v>
      </c>
      <c r="G143">
        <v>0</v>
      </c>
      <c r="H143">
        <v>0</v>
      </c>
      <c r="I143" t="s">
        <v>3</v>
      </c>
      <c r="J143">
        <v>1</v>
      </c>
      <c r="K143">
        <v>0</v>
      </c>
      <c r="L143" t="s">
        <v>3</v>
      </c>
      <c r="M143" t="s">
        <v>3</v>
      </c>
      <c r="N143">
        <v>0</v>
      </c>
      <c r="P143" t="s">
        <v>280</v>
      </c>
    </row>
    <row r="144" spans="1:28" x14ac:dyDescent="0.2">
      <c r="A144">
        <v>70</v>
      </c>
      <c r="B144">
        <v>1</v>
      </c>
      <c r="D144">
        <v>2</v>
      </c>
      <c r="E144" t="s">
        <v>281</v>
      </c>
      <c r="F144" t="s">
        <v>282</v>
      </c>
      <c r="G144">
        <v>1</v>
      </c>
      <c r="H144">
        <v>0</v>
      </c>
      <c r="I144" t="s">
        <v>3</v>
      </c>
      <c r="J144">
        <v>1</v>
      </c>
      <c r="K144">
        <v>0</v>
      </c>
      <c r="L144" t="s">
        <v>3</v>
      </c>
      <c r="M144" t="s">
        <v>3</v>
      </c>
      <c r="N144">
        <v>0</v>
      </c>
      <c r="P144" t="s">
        <v>283</v>
      </c>
    </row>
    <row r="145" spans="1:16" x14ac:dyDescent="0.2">
      <c r="A145">
        <v>70</v>
      </c>
      <c r="B145">
        <v>1</v>
      </c>
      <c r="D145">
        <v>3</v>
      </c>
      <c r="E145" t="s">
        <v>284</v>
      </c>
      <c r="F145" t="s">
        <v>285</v>
      </c>
      <c r="G145">
        <v>0</v>
      </c>
      <c r="H145">
        <v>0</v>
      </c>
      <c r="I145" t="s">
        <v>3</v>
      </c>
      <c r="J145">
        <v>1</v>
      </c>
      <c r="K145">
        <v>0</v>
      </c>
      <c r="L145" t="s">
        <v>3</v>
      </c>
      <c r="M145" t="s">
        <v>3</v>
      </c>
      <c r="N145">
        <v>0</v>
      </c>
      <c r="P145" t="s">
        <v>286</v>
      </c>
    </row>
    <row r="146" spans="1:16" x14ac:dyDescent="0.2">
      <c r="A146">
        <v>70</v>
      </c>
      <c r="B146">
        <v>1</v>
      </c>
      <c r="D146">
        <v>4</v>
      </c>
      <c r="E146" t="s">
        <v>287</v>
      </c>
      <c r="F146" t="s">
        <v>288</v>
      </c>
      <c r="G146">
        <v>1</v>
      </c>
      <c r="H146">
        <v>0</v>
      </c>
      <c r="I146" t="s">
        <v>3</v>
      </c>
      <c r="J146">
        <v>2</v>
      </c>
      <c r="K146">
        <v>0</v>
      </c>
      <c r="L146" t="s">
        <v>3</v>
      </c>
      <c r="M146" t="s">
        <v>3</v>
      </c>
      <c r="N146">
        <v>0</v>
      </c>
      <c r="P146" t="s">
        <v>3</v>
      </c>
    </row>
    <row r="147" spans="1:16" x14ac:dyDescent="0.2">
      <c r="A147">
        <v>70</v>
      </c>
      <c r="B147">
        <v>1</v>
      </c>
      <c r="D147">
        <v>5</v>
      </c>
      <c r="E147" t="s">
        <v>289</v>
      </c>
      <c r="F147" t="s">
        <v>290</v>
      </c>
      <c r="G147">
        <v>0</v>
      </c>
      <c r="H147">
        <v>0</v>
      </c>
      <c r="I147" t="s">
        <v>3</v>
      </c>
      <c r="J147">
        <v>2</v>
      </c>
      <c r="K147">
        <v>0</v>
      </c>
      <c r="L147" t="s">
        <v>3</v>
      </c>
      <c r="M147" t="s">
        <v>3</v>
      </c>
      <c r="N147">
        <v>0</v>
      </c>
      <c r="P147" t="s">
        <v>3</v>
      </c>
    </row>
    <row r="148" spans="1:16" x14ac:dyDescent="0.2">
      <c r="A148">
        <v>70</v>
      </c>
      <c r="B148">
        <v>1</v>
      </c>
      <c r="D148">
        <v>6</v>
      </c>
      <c r="E148" t="s">
        <v>291</v>
      </c>
      <c r="F148" t="s">
        <v>292</v>
      </c>
      <c r="G148">
        <v>0</v>
      </c>
      <c r="H148">
        <v>0</v>
      </c>
      <c r="I148" t="s">
        <v>3</v>
      </c>
      <c r="J148">
        <v>2</v>
      </c>
      <c r="K148">
        <v>0</v>
      </c>
      <c r="L148" t="s">
        <v>3</v>
      </c>
      <c r="M148" t="s">
        <v>3</v>
      </c>
      <c r="N148">
        <v>0</v>
      </c>
      <c r="P148" t="s">
        <v>3</v>
      </c>
    </row>
    <row r="149" spans="1:16" x14ac:dyDescent="0.2">
      <c r="A149">
        <v>70</v>
      </c>
      <c r="B149">
        <v>1</v>
      </c>
      <c r="D149">
        <v>7</v>
      </c>
      <c r="E149" t="s">
        <v>293</v>
      </c>
      <c r="F149" t="s">
        <v>294</v>
      </c>
      <c r="G149">
        <v>0</v>
      </c>
      <c r="H149">
        <v>0</v>
      </c>
      <c r="I149" t="s">
        <v>295</v>
      </c>
      <c r="J149">
        <v>0</v>
      </c>
      <c r="K149">
        <v>0</v>
      </c>
      <c r="L149" t="s">
        <v>3</v>
      </c>
      <c r="M149" t="s">
        <v>3</v>
      </c>
      <c r="N149">
        <v>0</v>
      </c>
      <c r="P149" t="s">
        <v>296</v>
      </c>
    </row>
    <row r="150" spans="1:16" x14ac:dyDescent="0.2">
      <c r="A150">
        <v>70</v>
      </c>
      <c r="B150">
        <v>1</v>
      </c>
      <c r="D150">
        <v>8</v>
      </c>
      <c r="E150" t="s">
        <v>297</v>
      </c>
      <c r="F150" t="s">
        <v>298</v>
      </c>
      <c r="G150">
        <v>1</v>
      </c>
      <c r="H150">
        <v>0</v>
      </c>
      <c r="I150" t="s">
        <v>3</v>
      </c>
      <c r="J150">
        <v>5</v>
      </c>
      <c r="K150">
        <v>0</v>
      </c>
      <c r="L150" t="s">
        <v>3</v>
      </c>
      <c r="M150" t="s">
        <v>3</v>
      </c>
      <c r="N150">
        <v>0</v>
      </c>
      <c r="P150" t="s">
        <v>3</v>
      </c>
    </row>
    <row r="151" spans="1:16" x14ac:dyDescent="0.2">
      <c r="A151">
        <v>70</v>
      </c>
      <c r="B151">
        <v>1</v>
      </c>
      <c r="D151">
        <v>9</v>
      </c>
      <c r="E151" t="s">
        <v>299</v>
      </c>
      <c r="F151" t="s">
        <v>300</v>
      </c>
      <c r="G151">
        <v>0</v>
      </c>
      <c r="H151">
        <v>0</v>
      </c>
      <c r="I151" t="s">
        <v>3</v>
      </c>
      <c r="J151">
        <v>5</v>
      </c>
      <c r="K151">
        <v>0</v>
      </c>
      <c r="L151" t="s">
        <v>3</v>
      </c>
      <c r="M151" t="s">
        <v>3</v>
      </c>
      <c r="N151">
        <v>0</v>
      </c>
      <c r="P151" t="s">
        <v>301</v>
      </c>
    </row>
    <row r="152" spans="1:16" x14ac:dyDescent="0.2">
      <c r="A152">
        <v>70</v>
      </c>
      <c r="B152">
        <v>1</v>
      </c>
      <c r="D152">
        <v>10</v>
      </c>
      <c r="E152" t="s">
        <v>302</v>
      </c>
      <c r="F152" t="s">
        <v>303</v>
      </c>
      <c r="G152">
        <v>0</v>
      </c>
      <c r="H152">
        <v>0</v>
      </c>
      <c r="I152" t="s">
        <v>304</v>
      </c>
      <c r="J152">
        <v>5</v>
      </c>
      <c r="K152">
        <v>0</v>
      </c>
      <c r="L152" t="s">
        <v>3</v>
      </c>
      <c r="M152" t="s">
        <v>3</v>
      </c>
      <c r="N152">
        <v>0</v>
      </c>
      <c r="P152" t="s">
        <v>305</v>
      </c>
    </row>
    <row r="153" spans="1:16" x14ac:dyDescent="0.2">
      <c r="A153">
        <v>70</v>
      </c>
      <c r="B153">
        <v>1</v>
      </c>
      <c r="D153">
        <v>11</v>
      </c>
      <c r="E153" t="s">
        <v>306</v>
      </c>
      <c r="F153" t="s">
        <v>307</v>
      </c>
      <c r="G153">
        <v>0</v>
      </c>
      <c r="H153">
        <v>0</v>
      </c>
      <c r="I153" t="s">
        <v>308</v>
      </c>
      <c r="J153">
        <v>0</v>
      </c>
      <c r="K153">
        <v>0</v>
      </c>
      <c r="L153" t="s">
        <v>3</v>
      </c>
      <c r="M153" t="s">
        <v>3</v>
      </c>
      <c r="N153">
        <v>0</v>
      </c>
      <c r="P153" t="s">
        <v>309</v>
      </c>
    </row>
    <row r="154" spans="1:16" x14ac:dyDescent="0.2">
      <c r="A154">
        <v>70</v>
      </c>
      <c r="B154">
        <v>1</v>
      </c>
      <c r="D154">
        <v>12</v>
      </c>
      <c r="E154" t="s">
        <v>310</v>
      </c>
      <c r="F154" t="s">
        <v>311</v>
      </c>
      <c r="G154">
        <v>0</v>
      </c>
      <c r="H154">
        <v>0</v>
      </c>
      <c r="I154" t="s">
        <v>312</v>
      </c>
      <c r="J154">
        <v>0</v>
      </c>
      <c r="K154">
        <v>0</v>
      </c>
      <c r="L154" t="s">
        <v>3</v>
      </c>
      <c r="M154" t="s">
        <v>3</v>
      </c>
      <c r="N154">
        <v>0</v>
      </c>
      <c r="P154" t="s">
        <v>313</v>
      </c>
    </row>
    <row r="155" spans="1:16" x14ac:dyDescent="0.2">
      <c r="A155">
        <v>70</v>
      </c>
      <c r="B155">
        <v>1</v>
      </c>
      <c r="D155">
        <v>13</v>
      </c>
      <c r="E155" t="s">
        <v>314</v>
      </c>
      <c r="F155" t="s">
        <v>315</v>
      </c>
      <c r="G155">
        <v>0</v>
      </c>
      <c r="H155">
        <v>0</v>
      </c>
      <c r="I155" t="s">
        <v>316</v>
      </c>
      <c r="J155">
        <v>0</v>
      </c>
      <c r="K155">
        <v>0</v>
      </c>
      <c r="L155" t="s">
        <v>3</v>
      </c>
      <c r="M155" t="s">
        <v>3</v>
      </c>
      <c r="N155">
        <v>0</v>
      </c>
      <c r="P155" t="s">
        <v>317</v>
      </c>
    </row>
    <row r="156" spans="1:16" x14ac:dyDescent="0.2">
      <c r="A156">
        <v>70</v>
      </c>
      <c r="B156">
        <v>1</v>
      </c>
      <c r="D156">
        <v>14</v>
      </c>
      <c r="E156" t="s">
        <v>318</v>
      </c>
      <c r="F156" t="s">
        <v>319</v>
      </c>
      <c r="G156">
        <v>0</v>
      </c>
      <c r="H156">
        <v>0</v>
      </c>
      <c r="I156" t="s">
        <v>3</v>
      </c>
      <c r="J156">
        <v>0</v>
      </c>
      <c r="K156">
        <v>0</v>
      </c>
      <c r="L156" t="s">
        <v>3</v>
      </c>
      <c r="M156" t="s">
        <v>3</v>
      </c>
      <c r="N156">
        <v>0</v>
      </c>
      <c r="P156" t="s">
        <v>3</v>
      </c>
    </row>
    <row r="157" spans="1:16" x14ac:dyDescent="0.2">
      <c r="A157">
        <v>70</v>
      </c>
      <c r="B157">
        <v>1</v>
      </c>
      <c r="D157">
        <v>15</v>
      </c>
      <c r="E157" t="s">
        <v>320</v>
      </c>
      <c r="F157" t="s">
        <v>321</v>
      </c>
      <c r="G157">
        <v>0</v>
      </c>
      <c r="H157">
        <v>0</v>
      </c>
      <c r="I157" t="s">
        <v>3</v>
      </c>
      <c r="J157">
        <v>0</v>
      </c>
      <c r="K157">
        <v>0</v>
      </c>
      <c r="L157" t="s">
        <v>3</v>
      </c>
      <c r="M157" t="s">
        <v>3</v>
      </c>
      <c r="N157">
        <v>0</v>
      </c>
      <c r="P157" t="s">
        <v>322</v>
      </c>
    </row>
    <row r="158" spans="1:16" x14ac:dyDescent="0.2">
      <c r="A158">
        <v>70</v>
      </c>
      <c r="B158">
        <v>1</v>
      </c>
      <c r="D158">
        <v>16</v>
      </c>
      <c r="E158" t="s">
        <v>323</v>
      </c>
      <c r="F158" t="s">
        <v>324</v>
      </c>
      <c r="G158">
        <v>0</v>
      </c>
      <c r="H158">
        <v>0</v>
      </c>
      <c r="I158" t="s">
        <v>3</v>
      </c>
      <c r="J158">
        <v>3</v>
      </c>
      <c r="K158">
        <v>0</v>
      </c>
      <c r="L158" t="s">
        <v>3</v>
      </c>
      <c r="M158" t="s">
        <v>3</v>
      </c>
      <c r="N158">
        <v>0</v>
      </c>
      <c r="P158" t="s">
        <v>3</v>
      </c>
    </row>
    <row r="159" spans="1:16" x14ac:dyDescent="0.2">
      <c r="A159">
        <v>70</v>
      </c>
      <c r="B159">
        <v>1</v>
      </c>
      <c r="D159">
        <v>17</v>
      </c>
      <c r="E159" t="s">
        <v>325</v>
      </c>
      <c r="F159" t="s">
        <v>326</v>
      </c>
      <c r="G159">
        <v>1</v>
      </c>
      <c r="H159">
        <v>0</v>
      </c>
      <c r="I159" t="s">
        <v>3</v>
      </c>
      <c r="J159">
        <v>3</v>
      </c>
      <c r="K159">
        <v>0</v>
      </c>
      <c r="L159" t="s">
        <v>3</v>
      </c>
      <c r="M159" t="s">
        <v>3</v>
      </c>
      <c r="N159">
        <v>0</v>
      </c>
      <c r="P159" t="s">
        <v>3</v>
      </c>
    </row>
    <row r="160" spans="1:16" x14ac:dyDescent="0.2">
      <c r="A160">
        <v>70</v>
      </c>
      <c r="B160">
        <v>1</v>
      </c>
      <c r="D160">
        <v>1</v>
      </c>
      <c r="E160" t="s">
        <v>327</v>
      </c>
      <c r="F160" t="s">
        <v>328</v>
      </c>
      <c r="G160">
        <v>0.9</v>
      </c>
      <c r="H160">
        <v>1</v>
      </c>
      <c r="I160" t="s">
        <v>329</v>
      </c>
      <c r="J160">
        <v>0</v>
      </c>
      <c r="K160">
        <v>0</v>
      </c>
      <c r="L160" t="s">
        <v>3</v>
      </c>
      <c r="M160" t="s">
        <v>3</v>
      </c>
      <c r="N160">
        <v>0</v>
      </c>
      <c r="P160" t="s">
        <v>330</v>
      </c>
    </row>
    <row r="161" spans="1:50" x14ac:dyDescent="0.2">
      <c r="A161">
        <v>70</v>
      </c>
      <c r="B161">
        <v>1</v>
      </c>
      <c r="D161">
        <v>2</v>
      </c>
      <c r="E161" t="s">
        <v>331</v>
      </c>
      <c r="F161" t="s">
        <v>332</v>
      </c>
      <c r="G161">
        <v>0.85</v>
      </c>
      <c r="H161">
        <v>1</v>
      </c>
      <c r="I161" t="s">
        <v>333</v>
      </c>
      <c r="J161">
        <v>0</v>
      </c>
      <c r="K161">
        <v>0</v>
      </c>
      <c r="L161" t="s">
        <v>3</v>
      </c>
      <c r="M161" t="s">
        <v>3</v>
      </c>
      <c r="N161">
        <v>0</v>
      </c>
      <c r="P161" t="s">
        <v>334</v>
      </c>
    </row>
    <row r="162" spans="1:50" x14ac:dyDescent="0.2">
      <c r="A162">
        <v>70</v>
      </c>
      <c r="B162">
        <v>1</v>
      </c>
      <c r="D162">
        <v>3</v>
      </c>
      <c r="E162" t="s">
        <v>335</v>
      </c>
      <c r="F162" t="s">
        <v>336</v>
      </c>
      <c r="G162">
        <v>1.03</v>
      </c>
      <c r="H162">
        <v>0</v>
      </c>
      <c r="I162" t="s">
        <v>3</v>
      </c>
      <c r="J162">
        <v>0</v>
      </c>
      <c r="K162">
        <v>0</v>
      </c>
      <c r="L162" t="s">
        <v>3</v>
      </c>
      <c r="M162" t="s">
        <v>3</v>
      </c>
      <c r="N162">
        <v>0</v>
      </c>
      <c r="P162" t="s">
        <v>337</v>
      </c>
    </row>
    <row r="163" spans="1:50" x14ac:dyDescent="0.2">
      <c r="A163">
        <v>70</v>
      </c>
      <c r="B163">
        <v>1</v>
      </c>
      <c r="D163">
        <v>4</v>
      </c>
      <c r="E163" t="s">
        <v>338</v>
      </c>
      <c r="F163" t="s">
        <v>339</v>
      </c>
      <c r="G163">
        <v>1.1499999999999999</v>
      </c>
      <c r="H163">
        <v>0</v>
      </c>
      <c r="I163" t="s">
        <v>3</v>
      </c>
      <c r="J163">
        <v>0</v>
      </c>
      <c r="K163">
        <v>0</v>
      </c>
      <c r="L163" t="s">
        <v>3</v>
      </c>
      <c r="M163" t="s">
        <v>3</v>
      </c>
      <c r="N163">
        <v>0</v>
      </c>
      <c r="P163" t="s">
        <v>340</v>
      </c>
    </row>
    <row r="164" spans="1:50" x14ac:dyDescent="0.2">
      <c r="A164">
        <v>70</v>
      </c>
      <c r="B164">
        <v>1</v>
      </c>
      <c r="D164">
        <v>5</v>
      </c>
      <c r="E164" t="s">
        <v>341</v>
      </c>
      <c r="F164" t="s">
        <v>342</v>
      </c>
      <c r="G164">
        <v>7</v>
      </c>
      <c r="H164">
        <v>0</v>
      </c>
      <c r="I164" t="s">
        <v>3</v>
      </c>
      <c r="J164">
        <v>0</v>
      </c>
      <c r="K164">
        <v>0</v>
      </c>
      <c r="L164" t="s">
        <v>3</v>
      </c>
      <c r="M164" t="s">
        <v>3</v>
      </c>
      <c r="N164">
        <v>0</v>
      </c>
      <c r="P164" t="s">
        <v>3</v>
      </c>
    </row>
    <row r="165" spans="1:50" x14ac:dyDescent="0.2">
      <c r="A165">
        <v>70</v>
      </c>
      <c r="B165">
        <v>1</v>
      </c>
      <c r="D165">
        <v>6</v>
      </c>
      <c r="E165" t="s">
        <v>343</v>
      </c>
      <c r="F165" t="s">
        <v>3</v>
      </c>
      <c r="G165">
        <v>2</v>
      </c>
      <c r="H165">
        <v>0</v>
      </c>
      <c r="I165" t="s">
        <v>3</v>
      </c>
      <c r="J165">
        <v>0</v>
      </c>
      <c r="K165">
        <v>0</v>
      </c>
      <c r="L165" t="s">
        <v>3</v>
      </c>
      <c r="M165" t="s">
        <v>3</v>
      </c>
      <c r="N165">
        <v>0</v>
      </c>
      <c r="P165" t="s">
        <v>3</v>
      </c>
    </row>
    <row r="167" spans="1:50" x14ac:dyDescent="0.2">
      <c r="A167">
        <v>-1</v>
      </c>
    </row>
    <row r="169" spans="1:50" x14ac:dyDescent="0.2">
      <c r="A169" s="4">
        <v>75</v>
      </c>
      <c r="B169" s="4" t="s">
        <v>344</v>
      </c>
      <c r="C169" s="4">
        <v>2026</v>
      </c>
      <c r="D169" s="4">
        <v>0</v>
      </c>
      <c r="E169" s="4">
        <v>3</v>
      </c>
      <c r="F169" s="4">
        <v>1</v>
      </c>
      <c r="G169" s="4">
        <v>0</v>
      </c>
      <c r="H169" s="4">
        <v>1</v>
      </c>
      <c r="I169" s="4">
        <v>0</v>
      </c>
      <c r="J169" s="4">
        <v>3</v>
      </c>
      <c r="K169" s="4">
        <v>0</v>
      </c>
      <c r="L169" s="4">
        <v>0</v>
      </c>
      <c r="M169" s="4">
        <v>0</v>
      </c>
      <c r="N169" s="4">
        <v>55858619</v>
      </c>
      <c r="O169" s="4">
        <v>1</v>
      </c>
    </row>
    <row r="170" spans="1:50" x14ac:dyDescent="0.2">
      <c r="A170" s="6">
        <v>2</v>
      </c>
      <c r="B170" s="6" t="s">
        <v>345</v>
      </c>
      <c r="C170" s="6" t="s">
        <v>346</v>
      </c>
      <c r="D170" s="6">
        <v>0</v>
      </c>
      <c r="E170" s="6">
        <v>0</v>
      </c>
      <c r="F170" s="6">
        <v>0</v>
      </c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>
        <v>55858620</v>
      </c>
    </row>
    <row r="171" spans="1:50" x14ac:dyDescent="0.2">
      <c r="A171" s="6">
        <v>1</v>
      </c>
      <c r="B171" s="6" t="s">
        <v>347</v>
      </c>
      <c r="C171" s="6" t="s">
        <v>348</v>
      </c>
      <c r="D171" s="6">
        <v>2026</v>
      </c>
      <c r="E171" s="6">
        <v>3</v>
      </c>
      <c r="F171" s="6">
        <v>1</v>
      </c>
      <c r="G171" s="6">
        <v>1</v>
      </c>
      <c r="H171" s="6">
        <v>0</v>
      </c>
      <c r="I171" s="6">
        <v>2</v>
      </c>
      <c r="J171" s="6">
        <v>1</v>
      </c>
      <c r="K171" s="6">
        <v>1</v>
      </c>
      <c r="L171" s="6">
        <v>1</v>
      </c>
      <c r="M171" s="6">
        <v>1</v>
      </c>
      <c r="N171" s="6">
        <v>1</v>
      </c>
      <c r="O171" s="6">
        <v>1</v>
      </c>
      <c r="P171" s="6">
        <v>1</v>
      </c>
      <c r="Q171" s="6">
        <v>1</v>
      </c>
      <c r="R171" s="6" t="s">
        <v>3</v>
      </c>
      <c r="S171" s="6" t="s">
        <v>3</v>
      </c>
      <c r="T171" s="6" t="s">
        <v>3</v>
      </c>
      <c r="U171" s="6" t="s">
        <v>3</v>
      </c>
      <c r="V171" s="6" t="s">
        <v>3</v>
      </c>
      <c r="W171" s="6" t="s">
        <v>3</v>
      </c>
      <c r="X171" s="6" t="s">
        <v>3</v>
      </c>
      <c r="Y171" s="6" t="s">
        <v>3</v>
      </c>
      <c r="Z171" s="6" t="s">
        <v>3</v>
      </c>
      <c r="AA171" s="6" t="s">
        <v>3</v>
      </c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>
        <v>55858621</v>
      </c>
      <c r="AO171" s="6" t="s">
        <v>349</v>
      </c>
      <c r="AP171" s="6" t="s">
        <v>350</v>
      </c>
      <c r="AQ171" s="6">
        <v>46078</v>
      </c>
      <c r="AR171" s="6">
        <v>409</v>
      </c>
      <c r="AS171" s="6" t="s">
        <v>351</v>
      </c>
      <c r="AT171" s="6" t="s">
        <v>352</v>
      </c>
      <c r="AU171" s="6" t="s">
        <v>350</v>
      </c>
      <c r="AV171" s="6">
        <v>45769</v>
      </c>
      <c r="AW171" s="6">
        <v>213</v>
      </c>
      <c r="AX171" s="6" t="s">
        <v>353</v>
      </c>
    </row>
    <row r="175" spans="1:50" x14ac:dyDescent="0.2">
      <c r="A175">
        <v>65</v>
      </c>
      <c r="C175">
        <v>1</v>
      </c>
      <c r="D175">
        <v>0</v>
      </c>
      <c r="E175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63"/>
  <sheetViews>
    <sheetView workbookViewId="0"/>
  </sheetViews>
  <sheetFormatPr defaultColWidth="9.140625" defaultRowHeight="12.75" x14ac:dyDescent="0.2"/>
  <cols>
    <col min="1" max="256" width="9.140625" style="2" customWidth="1"/>
    <col min="257" max="16384" width="9.140625" style="2"/>
  </cols>
  <sheetData>
    <row r="1" spans="1:133" x14ac:dyDescent="0.2">
      <c r="A1" s="2">
        <v>0</v>
      </c>
      <c r="B1" s="2" t="s">
        <v>0</v>
      </c>
      <c r="D1" s="2" t="s">
        <v>354</v>
      </c>
      <c r="F1" s="2">
        <v>0</v>
      </c>
      <c r="G1" s="2">
        <v>0</v>
      </c>
      <c r="H1" s="2">
        <v>0</v>
      </c>
      <c r="I1" s="2" t="s">
        <v>2</v>
      </c>
      <c r="J1" s="2" t="s">
        <v>3</v>
      </c>
      <c r="K1" s="2">
        <v>1</v>
      </c>
      <c r="L1" s="2">
        <v>26294</v>
      </c>
      <c r="M1" s="2">
        <v>10</v>
      </c>
      <c r="N1" s="2">
        <v>12</v>
      </c>
      <c r="O1" s="2">
        <v>1</v>
      </c>
      <c r="P1" s="2">
        <v>0</v>
      </c>
      <c r="Q1" s="2">
        <v>2</v>
      </c>
    </row>
    <row r="12" spans="1:133" x14ac:dyDescent="0.2">
      <c r="A12" s="8">
        <v>1</v>
      </c>
      <c r="B12" s="8">
        <v>61</v>
      </c>
      <c r="C12" s="8">
        <v>0</v>
      </c>
      <c r="D12" s="8"/>
      <c r="E12" s="8">
        <v>0</v>
      </c>
      <c r="F12" s="8" t="s">
        <v>4</v>
      </c>
      <c r="G12" s="8" t="s">
        <v>5</v>
      </c>
      <c r="H12" s="8" t="s">
        <v>3</v>
      </c>
      <c r="I12" s="8">
        <v>0</v>
      </c>
      <c r="J12" s="8" t="s">
        <v>3</v>
      </c>
      <c r="K12" s="8">
        <v>0</v>
      </c>
      <c r="L12" s="8">
        <v>0</v>
      </c>
      <c r="M12" s="8">
        <v>523</v>
      </c>
      <c r="N12" s="8"/>
      <c r="O12" s="8">
        <v>0</v>
      </c>
      <c r="P12" s="8">
        <v>0</v>
      </c>
      <c r="Q12" s="8">
        <v>7</v>
      </c>
      <c r="R12" s="8">
        <v>0</v>
      </c>
      <c r="S12" s="8"/>
      <c r="T12" s="8">
        <v>4</v>
      </c>
      <c r="U12" s="8" t="s">
        <v>3</v>
      </c>
      <c r="V12" s="8">
        <v>0</v>
      </c>
      <c r="W12" s="8" t="s">
        <v>3</v>
      </c>
      <c r="X12" s="8" t="s">
        <v>3</v>
      </c>
      <c r="Y12" s="8" t="s">
        <v>3</v>
      </c>
      <c r="Z12" s="8" t="s">
        <v>3</v>
      </c>
      <c r="AA12" s="8" t="s">
        <v>3</v>
      </c>
      <c r="AB12" s="8" t="s">
        <v>3</v>
      </c>
      <c r="AC12" s="8" t="s">
        <v>3</v>
      </c>
      <c r="AD12" s="8" t="s">
        <v>3</v>
      </c>
      <c r="AE12" s="8" t="s">
        <v>3</v>
      </c>
      <c r="AF12" s="8" t="s">
        <v>3</v>
      </c>
      <c r="AG12" s="8" t="s">
        <v>3</v>
      </c>
      <c r="AH12" s="8" t="s">
        <v>3</v>
      </c>
      <c r="AI12" s="8" t="s">
        <v>3</v>
      </c>
      <c r="AJ12" s="8" t="s">
        <v>3</v>
      </c>
      <c r="AK12" s="8"/>
      <c r="AL12" s="8" t="s">
        <v>3</v>
      </c>
      <c r="AM12" s="8" t="s">
        <v>3</v>
      </c>
      <c r="AN12" s="8" t="s">
        <v>3</v>
      </c>
      <c r="AO12" s="8"/>
      <c r="AP12" s="8" t="s">
        <v>3</v>
      </c>
      <c r="AQ12" s="8" t="s">
        <v>3</v>
      </c>
      <c r="AR12" s="8" t="s">
        <v>3</v>
      </c>
      <c r="AS12" s="8"/>
      <c r="AT12" s="8"/>
      <c r="AU12" s="8"/>
      <c r="AV12" s="8"/>
      <c r="AW12" s="8"/>
      <c r="AX12" s="8" t="s">
        <v>3</v>
      </c>
      <c r="AY12" s="8" t="s">
        <v>3</v>
      </c>
      <c r="AZ12" s="8" t="s">
        <v>3</v>
      </c>
      <c r="BA12" s="8"/>
      <c r="BB12" s="8">
        <v>0</v>
      </c>
      <c r="BC12" s="8"/>
      <c r="BD12" s="8"/>
      <c r="BE12" s="8"/>
      <c r="BF12" s="8"/>
      <c r="BG12" s="8"/>
      <c r="BH12" s="8" t="s">
        <v>6</v>
      </c>
      <c r="BI12" s="8" t="s">
        <v>7</v>
      </c>
      <c r="BJ12" s="8">
        <v>1</v>
      </c>
      <c r="BK12" s="8">
        <v>1</v>
      </c>
      <c r="BL12" s="8">
        <v>0</v>
      </c>
      <c r="BM12" s="8">
        <v>0</v>
      </c>
      <c r="BN12" s="8">
        <v>1</v>
      </c>
      <c r="BO12" s="8">
        <v>0</v>
      </c>
      <c r="BP12" s="8">
        <v>6</v>
      </c>
      <c r="BQ12" s="8">
        <v>2</v>
      </c>
      <c r="BR12" s="8">
        <v>1</v>
      </c>
      <c r="BS12" s="8">
        <v>1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 t="s">
        <v>8</v>
      </c>
      <c r="BZ12" s="8" t="s">
        <v>9</v>
      </c>
      <c r="CA12" s="8" t="s">
        <v>10</v>
      </c>
      <c r="CB12" s="8" t="s">
        <v>10</v>
      </c>
      <c r="CC12" s="8" t="s">
        <v>10</v>
      </c>
      <c r="CD12" s="8" t="s">
        <v>10</v>
      </c>
      <c r="CE12" s="8" t="s">
        <v>11</v>
      </c>
      <c r="CF12" s="8">
        <v>0</v>
      </c>
      <c r="CG12" s="8">
        <v>0</v>
      </c>
      <c r="CH12" s="8">
        <v>487096328</v>
      </c>
      <c r="CI12" s="8" t="s">
        <v>3</v>
      </c>
      <c r="CJ12" s="8" t="s">
        <v>3</v>
      </c>
      <c r="CK12" s="8">
        <v>17</v>
      </c>
      <c r="CL12" s="8"/>
      <c r="CM12" s="8"/>
      <c r="CN12" s="8"/>
      <c r="CO12" s="8"/>
      <c r="CP12" s="8"/>
      <c r="CQ12" s="8" t="s">
        <v>12</v>
      </c>
      <c r="CR12" s="8" t="s">
        <v>13</v>
      </c>
      <c r="CS12" s="8">
        <v>46073</v>
      </c>
      <c r="CT12" s="8">
        <v>540</v>
      </c>
      <c r="CU12" s="8">
        <v>17</v>
      </c>
      <c r="CV12" s="8" t="s">
        <v>479</v>
      </c>
      <c r="CW12" s="8"/>
      <c r="CX12" s="8"/>
      <c r="CY12" s="8">
        <v>0</v>
      </c>
      <c r="CZ12" s="8" t="s">
        <v>14</v>
      </c>
      <c r="DA12" s="8" t="s">
        <v>14</v>
      </c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>
        <v>0</v>
      </c>
    </row>
    <row r="14" spans="1:133" x14ac:dyDescent="0.2">
      <c r="A14" s="8">
        <v>22</v>
      </c>
      <c r="B14" s="8">
        <v>1</v>
      </c>
      <c r="C14" s="8">
        <v>0</v>
      </c>
      <c r="D14" s="8">
        <v>55858619</v>
      </c>
      <c r="E14" s="8">
        <v>0</v>
      </c>
      <c r="F14" s="8">
        <v>2</v>
      </c>
      <c r="G14" s="8">
        <v>1</v>
      </c>
      <c r="H14" s="8"/>
      <c r="I14" s="8"/>
      <c r="J14" s="8"/>
      <c r="K14" s="8"/>
      <c r="L14" s="8"/>
      <c r="M14" s="8"/>
      <c r="N14" s="8"/>
      <c r="O14" s="8"/>
    </row>
    <row r="16" spans="1:133" x14ac:dyDescent="0.2">
      <c r="A16" s="9">
        <v>3</v>
      </c>
      <c r="B16" s="9">
        <v>1</v>
      </c>
      <c r="C16" s="9" t="s">
        <v>15</v>
      </c>
      <c r="D16" s="9" t="s">
        <v>15</v>
      </c>
      <c r="E16" s="10">
        <f>ROUND((Source!F75)/1000,2)</f>
        <v>907.43</v>
      </c>
      <c r="F16" s="10">
        <f>ROUND((Source!F76)/1000,2)</f>
        <v>0</v>
      </c>
      <c r="G16" s="10">
        <f>ROUND((Source!F67)/1000,2)</f>
        <v>0</v>
      </c>
      <c r="H16" s="10">
        <f>ROUND((Source!F77)/1000+(Source!F78)/1000,2)</f>
        <v>0</v>
      </c>
      <c r="I16" s="10">
        <f>E16+F16+G16+H16</f>
        <v>907.43</v>
      </c>
      <c r="J16" s="10">
        <f>ROUND((Source!F73+Source!F72)/1000,2)</f>
        <v>112.65</v>
      </c>
      <c r="K16" s="10">
        <v>1349.87</v>
      </c>
      <c r="L16" s="10">
        <v>0</v>
      </c>
      <c r="M16" s="10">
        <v>0</v>
      </c>
      <c r="N16" s="10">
        <f>I16+L16+M16</f>
        <v>907.43</v>
      </c>
      <c r="AI16" s="9">
        <v>0</v>
      </c>
      <c r="AJ16" s="9">
        <v>0</v>
      </c>
      <c r="AK16" s="9" t="s">
        <v>3</v>
      </c>
      <c r="AL16" s="9" t="s">
        <v>3</v>
      </c>
      <c r="AM16" s="9" t="s">
        <v>3</v>
      </c>
      <c r="AN16" s="9">
        <v>0</v>
      </c>
      <c r="AO16" s="9" t="s">
        <v>3</v>
      </c>
      <c r="AP16" s="9" t="s">
        <v>3</v>
      </c>
      <c r="AT16" s="10">
        <v>735342.95</v>
      </c>
      <c r="AU16" s="10">
        <v>614527.97</v>
      </c>
      <c r="AV16" s="10">
        <v>0</v>
      </c>
      <c r="AW16" s="10">
        <v>0</v>
      </c>
      <c r="AX16" s="10">
        <v>0</v>
      </c>
      <c r="AY16" s="10">
        <v>8163.7200000000012</v>
      </c>
      <c r="AZ16" s="10">
        <v>1460.8499999999997</v>
      </c>
      <c r="BA16" s="10">
        <v>111190.41</v>
      </c>
      <c r="BB16" s="10">
        <v>907432.7</v>
      </c>
      <c r="BC16" s="10">
        <v>0</v>
      </c>
      <c r="BD16" s="10">
        <v>0</v>
      </c>
      <c r="BE16" s="10">
        <v>0</v>
      </c>
      <c r="BF16" s="10">
        <v>301.85435999999999</v>
      </c>
      <c r="BG16" s="10">
        <v>3.6470050000000001</v>
      </c>
      <c r="BH16" s="10">
        <v>0</v>
      </c>
      <c r="BI16" s="10">
        <v>109984.47</v>
      </c>
      <c r="BJ16" s="10">
        <v>62105.279999999999</v>
      </c>
      <c r="BK16" s="10">
        <v>907432.7</v>
      </c>
    </row>
    <row r="18" spans="1:16" x14ac:dyDescent="0.2">
      <c r="A18" s="2">
        <v>51</v>
      </c>
      <c r="E18" s="2">
        <v>907.43</v>
      </c>
      <c r="F18" s="2">
        <v>0</v>
      </c>
      <c r="G18" s="2">
        <v>0</v>
      </c>
      <c r="H18" s="2">
        <v>0</v>
      </c>
      <c r="I18" s="2">
        <v>907.43</v>
      </c>
      <c r="J18" s="2">
        <v>112.65</v>
      </c>
      <c r="K18" s="2">
        <v>1349.87</v>
      </c>
      <c r="L18" s="2">
        <v>0</v>
      </c>
      <c r="M18" s="2">
        <v>0</v>
      </c>
      <c r="N18" s="2">
        <v>907.43</v>
      </c>
    </row>
    <row r="20" spans="1:16" x14ac:dyDescent="0.2">
      <c r="A20" s="11">
        <v>50</v>
      </c>
      <c r="B20" s="11">
        <v>0</v>
      </c>
      <c r="C20" s="11">
        <v>0</v>
      </c>
      <c r="D20" s="11">
        <v>1</v>
      </c>
      <c r="E20" s="11">
        <v>201</v>
      </c>
      <c r="F20" s="11">
        <v>735342.95</v>
      </c>
      <c r="G20" s="11" t="s">
        <v>202</v>
      </c>
      <c r="H20" s="11" t="s">
        <v>203</v>
      </c>
      <c r="I20" s="11"/>
      <c r="J20" s="11"/>
      <c r="K20" s="11">
        <v>201</v>
      </c>
      <c r="L20" s="11">
        <v>1</v>
      </c>
      <c r="M20" s="11">
        <v>3</v>
      </c>
      <c r="N20" s="11" t="s">
        <v>3</v>
      </c>
      <c r="O20" s="11">
        <v>2</v>
      </c>
      <c r="P20" s="11"/>
    </row>
    <row r="21" spans="1:16" x14ac:dyDescent="0.2">
      <c r="A21" s="11">
        <v>50</v>
      </c>
      <c r="B21" s="11">
        <v>0</v>
      </c>
      <c r="C21" s="11">
        <v>0</v>
      </c>
      <c r="D21" s="11">
        <v>1</v>
      </c>
      <c r="E21" s="11">
        <v>202</v>
      </c>
      <c r="F21" s="11">
        <v>614527.97</v>
      </c>
      <c r="G21" s="11" t="s">
        <v>204</v>
      </c>
      <c r="H21" s="11" t="s">
        <v>205</v>
      </c>
      <c r="I21" s="11"/>
      <c r="J21" s="11"/>
      <c r="K21" s="11">
        <v>202</v>
      </c>
      <c r="L21" s="11">
        <v>2</v>
      </c>
      <c r="M21" s="11">
        <v>3</v>
      </c>
      <c r="N21" s="11" t="s">
        <v>3</v>
      </c>
      <c r="O21" s="11">
        <v>2</v>
      </c>
      <c r="P21" s="11"/>
    </row>
    <row r="22" spans="1:16" x14ac:dyDescent="0.2">
      <c r="A22" s="11">
        <v>50</v>
      </c>
      <c r="B22" s="11">
        <v>0</v>
      </c>
      <c r="C22" s="11">
        <v>0</v>
      </c>
      <c r="D22" s="11">
        <v>1</v>
      </c>
      <c r="E22" s="11">
        <v>222</v>
      </c>
      <c r="F22" s="11">
        <v>0</v>
      </c>
      <c r="G22" s="11" t="s">
        <v>206</v>
      </c>
      <c r="H22" s="11" t="s">
        <v>207</v>
      </c>
      <c r="I22" s="11"/>
      <c r="J22" s="11"/>
      <c r="K22" s="11">
        <v>222</v>
      </c>
      <c r="L22" s="11">
        <v>3</v>
      </c>
      <c r="M22" s="11">
        <v>3</v>
      </c>
      <c r="N22" s="11" t="s">
        <v>3</v>
      </c>
      <c r="O22" s="11">
        <v>2</v>
      </c>
      <c r="P22" s="11"/>
    </row>
    <row r="23" spans="1:16" x14ac:dyDescent="0.2">
      <c r="A23" s="11">
        <v>50</v>
      </c>
      <c r="B23" s="11">
        <v>0</v>
      </c>
      <c r="C23" s="11">
        <v>0</v>
      </c>
      <c r="D23" s="11">
        <v>1</v>
      </c>
      <c r="E23" s="11">
        <v>225</v>
      </c>
      <c r="F23" s="11">
        <v>614527.97</v>
      </c>
      <c r="G23" s="11" t="s">
        <v>208</v>
      </c>
      <c r="H23" s="11" t="s">
        <v>209</v>
      </c>
      <c r="I23" s="11"/>
      <c r="J23" s="11"/>
      <c r="K23" s="11">
        <v>225</v>
      </c>
      <c r="L23" s="11">
        <v>4</v>
      </c>
      <c r="M23" s="11">
        <v>3</v>
      </c>
      <c r="N23" s="11" t="s">
        <v>3</v>
      </c>
      <c r="O23" s="11">
        <v>2</v>
      </c>
      <c r="P23" s="11"/>
    </row>
    <row r="24" spans="1:16" x14ac:dyDescent="0.2">
      <c r="A24" s="11">
        <v>50</v>
      </c>
      <c r="B24" s="11">
        <v>0</v>
      </c>
      <c r="C24" s="11">
        <v>0</v>
      </c>
      <c r="D24" s="11">
        <v>1</v>
      </c>
      <c r="E24" s="11">
        <v>226</v>
      </c>
      <c r="F24" s="11">
        <v>614527.97</v>
      </c>
      <c r="G24" s="11" t="s">
        <v>210</v>
      </c>
      <c r="H24" s="11" t="s">
        <v>211</v>
      </c>
      <c r="I24" s="11"/>
      <c r="J24" s="11"/>
      <c r="K24" s="11">
        <v>226</v>
      </c>
      <c r="L24" s="11">
        <v>5</v>
      </c>
      <c r="M24" s="11">
        <v>3</v>
      </c>
      <c r="N24" s="11" t="s">
        <v>3</v>
      </c>
      <c r="O24" s="11">
        <v>2</v>
      </c>
      <c r="P24" s="11"/>
    </row>
    <row r="25" spans="1:16" x14ac:dyDescent="0.2">
      <c r="A25" s="11">
        <v>50</v>
      </c>
      <c r="B25" s="11">
        <v>0</v>
      </c>
      <c r="C25" s="11">
        <v>0</v>
      </c>
      <c r="D25" s="11">
        <v>1</v>
      </c>
      <c r="E25" s="11">
        <v>227</v>
      </c>
      <c r="F25" s="11">
        <v>0</v>
      </c>
      <c r="G25" s="11" t="s">
        <v>212</v>
      </c>
      <c r="H25" s="11" t="s">
        <v>213</v>
      </c>
      <c r="I25" s="11"/>
      <c r="J25" s="11"/>
      <c r="K25" s="11">
        <v>227</v>
      </c>
      <c r="L25" s="11">
        <v>6</v>
      </c>
      <c r="M25" s="11">
        <v>3</v>
      </c>
      <c r="N25" s="11" t="s">
        <v>3</v>
      </c>
      <c r="O25" s="11">
        <v>2</v>
      </c>
      <c r="P25" s="11"/>
    </row>
    <row r="26" spans="1:16" x14ac:dyDescent="0.2">
      <c r="A26" s="11">
        <v>50</v>
      </c>
      <c r="B26" s="11">
        <v>0</v>
      </c>
      <c r="C26" s="11">
        <v>0</v>
      </c>
      <c r="D26" s="11">
        <v>1</v>
      </c>
      <c r="E26" s="11">
        <v>228</v>
      </c>
      <c r="F26" s="11">
        <v>614527.97</v>
      </c>
      <c r="G26" s="11" t="s">
        <v>214</v>
      </c>
      <c r="H26" s="11" t="s">
        <v>215</v>
      </c>
      <c r="I26" s="11"/>
      <c r="J26" s="11"/>
      <c r="K26" s="11">
        <v>228</v>
      </c>
      <c r="L26" s="11">
        <v>7</v>
      </c>
      <c r="M26" s="11">
        <v>3</v>
      </c>
      <c r="N26" s="11" t="s">
        <v>3</v>
      </c>
      <c r="O26" s="11">
        <v>2</v>
      </c>
      <c r="P26" s="11"/>
    </row>
    <row r="27" spans="1:16" x14ac:dyDescent="0.2">
      <c r="A27" s="11">
        <v>50</v>
      </c>
      <c r="B27" s="11">
        <v>0</v>
      </c>
      <c r="C27" s="11">
        <v>0</v>
      </c>
      <c r="D27" s="11">
        <v>1</v>
      </c>
      <c r="E27" s="11">
        <v>216</v>
      </c>
      <c r="F27" s="11">
        <v>0</v>
      </c>
      <c r="G27" s="11" t="s">
        <v>216</v>
      </c>
      <c r="H27" s="11" t="s">
        <v>217</v>
      </c>
      <c r="I27" s="11"/>
      <c r="J27" s="11"/>
      <c r="K27" s="11">
        <v>216</v>
      </c>
      <c r="L27" s="11">
        <v>8</v>
      </c>
      <c r="M27" s="11">
        <v>3</v>
      </c>
      <c r="N27" s="11" t="s">
        <v>3</v>
      </c>
      <c r="O27" s="11">
        <v>2</v>
      </c>
      <c r="P27" s="11"/>
    </row>
    <row r="28" spans="1:16" x14ac:dyDescent="0.2">
      <c r="A28" s="11">
        <v>50</v>
      </c>
      <c r="B28" s="11">
        <v>0</v>
      </c>
      <c r="C28" s="11">
        <v>0</v>
      </c>
      <c r="D28" s="11">
        <v>1</v>
      </c>
      <c r="E28" s="11">
        <v>223</v>
      </c>
      <c r="F28" s="11">
        <v>0</v>
      </c>
      <c r="G28" s="11" t="s">
        <v>218</v>
      </c>
      <c r="H28" s="11" t="s">
        <v>219</v>
      </c>
      <c r="I28" s="11"/>
      <c r="J28" s="11"/>
      <c r="K28" s="11">
        <v>223</v>
      </c>
      <c r="L28" s="11">
        <v>9</v>
      </c>
      <c r="M28" s="11">
        <v>3</v>
      </c>
      <c r="N28" s="11" t="s">
        <v>3</v>
      </c>
      <c r="O28" s="11">
        <v>2</v>
      </c>
      <c r="P28" s="11"/>
    </row>
    <row r="29" spans="1:16" x14ac:dyDescent="0.2">
      <c r="A29" s="11">
        <v>50</v>
      </c>
      <c r="B29" s="11">
        <v>0</v>
      </c>
      <c r="C29" s="11">
        <v>0</v>
      </c>
      <c r="D29" s="11">
        <v>1</v>
      </c>
      <c r="E29" s="11">
        <v>229</v>
      </c>
      <c r="F29" s="11">
        <v>0</v>
      </c>
      <c r="G29" s="11" t="s">
        <v>220</v>
      </c>
      <c r="H29" s="11" t="s">
        <v>221</v>
      </c>
      <c r="I29" s="11"/>
      <c r="J29" s="11"/>
      <c r="K29" s="11">
        <v>229</v>
      </c>
      <c r="L29" s="11">
        <v>10</v>
      </c>
      <c r="M29" s="11">
        <v>3</v>
      </c>
      <c r="N29" s="11" t="s">
        <v>3</v>
      </c>
      <c r="O29" s="11">
        <v>2</v>
      </c>
      <c r="P29" s="11"/>
    </row>
    <row r="30" spans="1:16" x14ac:dyDescent="0.2">
      <c r="A30" s="11">
        <v>50</v>
      </c>
      <c r="B30" s="11">
        <v>0</v>
      </c>
      <c r="C30" s="11">
        <v>0</v>
      </c>
      <c r="D30" s="11">
        <v>1</v>
      </c>
      <c r="E30" s="11">
        <v>203</v>
      </c>
      <c r="F30" s="11">
        <v>8163.7200000000012</v>
      </c>
      <c r="G30" s="11" t="s">
        <v>222</v>
      </c>
      <c r="H30" s="11" t="s">
        <v>223</v>
      </c>
      <c r="I30" s="11"/>
      <c r="J30" s="11"/>
      <c r="K30" s="11">
        <v>203</v>
      </c>
      <c r="L30" s="11">
        <v>11</v>
      </c>
      <c r="M30" s="11">
        <v>3</v>
      </c>
      <c r="N30" s="11" t="s">
        <v>3</v>
      </c>
      <c r="O30" s="11">
        <v>2</v>
      </c>
      <c r="P30" s="11"/>
    </row>
    <row r="31" spans="1:16" x14ac:dyDescent="0.2">
      <c r="A31" s="11">
        <v>50</v>
      </c>
      <c r="B31" s="11">
        <v>0</v>
      </c>
      <c r="C31" s="11">
        <v>0</v>
      </c>
      <c r="D31" s="11">
        <v>1</v>
      </c>
      <c r="E31" s="11">
        <v>231</v>
      </c>
      <c r="F31" s="11">
        <v>0</v>
      </c>
      <c r="G31" s="11" t="s">
        <v>224</v>
      </c>
      <c r="H31" s="11" t="s">
        <v>225</v>
      </c>
      <c r="I31" s="11"/>
      <c r="J31" s="11"/>
      <c r="K31" s="11">
        <v>231</v>
      </c>
      <c r="L31" s="11">
        <v>12</v>
      </c>
      <c r="M31" s="11">
        <v>3</v>
      </c>
      <c r="N31" s="11" t="s">
        <v>3</v>
      </c>
      <c r="O31" s="11">
        <v>2</v>
      </c>
      <c r="P31" s="11"/>
    </row>
    <row r="32" spans="1:16" x14ac:dyDescent="0.2">
      <c r="A32" s="11">
        <v>50</v>
      </c>
      <c r="B32" s="11">
        <v>0</v>
      </c>
      <c r="C32" s="11">
        <v>0</v>
      </c>
      <c r="D32" s="11">
        <v>1</v>
      </c>
      <c r="E32" s="11">
        <v>204</v>
      </c>
      <c r="F32" s="11">
        <v>1460.8499999999997</v>
      </c>
      <c r="G32" s="11" t="s">
        <v>226</v>
      </c>
      <c r="H32" s="11" t="s">
        <v>227</v>
      </c>
      <c r="I32" s="11"/>
      <c r="J32" s="11"/>
      <c r="K32" s="11">
        <v>204</v>
      </c>
      <c r="L32" s="11">
        <v>13</v>
      </c>
      <c r="M32" s="11">
        <v>3</v>
      </c>
      <c r="N32" s="11" t="s">
        <v>3</v>
      </c>
      <c r="O32" s="11">
        <v>2</v>
      </c>
      <c r="P32" s="11"/>
    </row>
    <row r="33" spans="1:16" x14ac:dyDescent="0.2">
      <c r="A33" s="11">
        <v>50</v>
      </c>
      <c r="B33" s="11">
        <v>0</v>
      </c>
      <c r="C33" s="11">
        <v>0</v>
      </c>
      <c r="D33" s="11">
        <v>1</v>
      </c>
      <c r="E33" s="11">
        <v>205</v>
      </c>
      <c r="F33" s="11">
        <v>111190.41</v>
      </c>
      <c r="G33" s="11" t="s">
        <v>228</v>
      </c>
      <c r="H33" s="11" t="s">
        <v>229</v>
      </c>
      <c r="I33" s="11"/>
      <c r="J33" s="11"/>
      <c r="K33" s="11">
        <v>205</v>
      </c>
      <c r="L33" s="11">
        <v>14</v>
      </c>
      <c r="M33" s="11">
        <v>3</v>
      </c>
      <c r="N33" s="11" t="s">
        <v>3</v>
      </c>
      <c r="O33" s="11">
        <v>2</v>
      </c>
      <c r="P33" s="11"/>
    </row>
    <row r="34" spans="1:16" x14ac:dyDescent="0.2">
      <c r="A34" s="11">
        <v>50</v>
      </c>
      <c r="B34" s="11">
        <v>0</v>
      </c>
      <c r="C34" s="11">
        <v>0</v>
      </c>
      <c r="D34" s="11">
        <v>1</v>
      </c>
      <c r="E34" s="11">
        <v>232</v>
      </c>
      <c r="F34" s="11">
        <v>0</v>
      </c>
      <c r="G34" s="11" t="s">
        <v>230</v>
      </c>
      <c r="H34" s="11" t="s">
        <v>231</v>
      </c>
      <c r="I34" s="11"/>
      <c r="J34" s="11"/>
      <c r="K34" s="11">
        <v>232</v>
      </c>
      <c r="L34" s="11">
        <v>15</v>
      </c>
      <c r="M34" s="11">
        <v>3</v>
      </c>
      <c r="N34" s="11" t="s">
        <v>3</v>
      </c>
      <c r="O34" s="11">
        <v>2</v>
      </c>
      <c r="P34" s="11"/>
    </row>
    <row r="35" spans="1:16" x14ac:dyDescent="0.2">
      <c r="A35" s="11">
        <v>50</v>
      </c>
      <c r="B35" s="11">
        <v>0</v>
      </c>
      <c r="C35" s="11">
        <v>0</v>
      </c>
      <c r="D35" s="11">
        <v>1</v>
      </c>
      <c r="E35" s="11">
        <v>214</v>
      </c>
      <c r="F35" s="11">
        <v>907432.7</v>
      </c>
      <c r="G35" s="11" t="s">
        <v>232</v>
      </c>
      <c r="H35" s="11" t="s">
        <v>233</v>
      </c>
      <c r="I35" s="11"/>
      <c r="J35" s="11"/>
      <c r="K35" s="11">
        <v>214</v>
      </c>
      <c r="L35" s="11">
        <v>16</v>
      </c>
      <c r="M35" s="11">
        <v>3</v>
      </c>
      <c r="N35" s="11" t="s">
        <v>3</v>
      </c>
      <c r="O35" s="11">
        <v>2</v>
      </c>
      <c r="P35" s="11"/>
    </row>
    <row r="36" spans="1:16" x14ac:dyDescent="0.2">
      <c r="A36" s="11">
        <v>50</v>
      </c>
      <c r="B36" s="11">
        <v>0</v>
      </c>
      <c r="C36" s="11">
        <v>0</v>
      </c>
      <c r="D36" s="11">
        <v>1</v>
      </c>
      <c r="E36" s="11">
        <v>215</v>
      </c>
      <c r="F36" s="11">
        <v>0</v>
      </c>
      <c r="G36" s="11" t="s">
        <v>234</v>
      </c>
      <c r="H36" s="11" t="s">
        <v>235</v>
      </c>
      <c r="I36" s="11"/>
      <c r="J36" s="11"/>
      <c r="K36" s="11">
        <v>215</v>
      </c>
      <c r="L36" s="11">
        <v>17</v>
      </c>
      <c r="M36" s="11">
        <v>3</v>
      </c>
      <c r="N36" s="11" t="s">
        <v>3</v>
      </c>
      <c r="O36" s="11">
        <v>2</v>
      </c>
      <c r="P36" s="11"/>
    </row>
    <row r="37" spans="1:16" x14ac:dyDescent="0.2">
      <c r="A37" s="11">
        <v>50</v>
      </c>
      <c r="B37" s="11">
        <v>0</v>
      </c>
      <c r="C37" s="11">
        <v>0</v>
      </c>
      <c r="D37" s="11">
        <v>1</v>
      </c>
      <c r="E37" s="11">
        <v>217</v>
      </c>
      <c r="F37" s="11">
        <v>0</v>
      </c>
      <c r="G37" s="11" t="s">
        <v>236</v>
      </c>
      <c r="H37" s="11" t="s">
        <v>237</v>
      </c>
      <c r="I37" s="11"/>
      <c r="J37" s="11"/>
      <c r="K37" s="11">
        <v>217</v>
      </c>
      <c r="L37" s="11">
        <v>18</v>
      </c>
      <c r="M37" s="11">
        <v>3</v>
      </c>
      <c r="N37" s="11" t="s">
        <v>3</v>
      </c>
      <c r="O37" s="11">
        <v>2</v>
      </c>
      <c r="P37" s="11"/>
    </row>
    <row r="38" spans="1:16" x14ac:dyDescent="0.2">
      <c r="A38" s="11">
        <v>50</v>
      </c>
      <c r="B38" s="11">
        <v>0</v>
      </c>
      <c r="C38" s="11">
        <v>0</v>
      </c>
      <c r="D38" s="11">
        <v>1</v>
      </c>
      <c r="E38" s="11">
        <v>230</v>
      </c>
      <c r="F38" s="11">
        <v>0</v>
      </c>
      <c r="G38" s="11" t="s">
        <v>238</v>
      </c>
      <c r="H38" s="11" t="s">
        <v>239</v>
      </c>
      <c r="I38" s="11"/>
      <c r="J38" s="11"/>
      <c r="K38" s="11">
        <v>230</v>
      </c>
      <c r="L38" s="11">
        <v>19</v>
      </c>
      <c r="M38" s="11">
        <v>3</v>
      </c>
      <c r="N38" s="11" t="s">
        <v>3</v>
      </c>
      <c r="O38" s="11">
        <v>2</v>
      </c>
      <c r="P38" s="11"/>
    </row>
    <row r="39" spans="1:16" x14ac:dyDescent="0.2">
      <c r="A39" s="11">
        <v>50</v>
      </c>
      <c r="B39" s="11">
        <v>0</v>
      </c>
      <c r="C39" s="11">
        <v>0</v>
      </c>
      <c r="D39" s="11">
        <v>1</v>
      </c>
      <c r="E39" s="11">
        <v>206</v>
      </c>
      <c r="F39" s="11">
        <v>0</v>
      </c>
      <c r="G39" s="11" t="s">
        <v>240</v>
      </c>
      <c r="H39" s="11" t="s">
        <v>241</v>
      </c>
      <c r="I39" s="11"/>
      <c r="J39" s="11"/>
      <c r="K39" s="11">
        <v>206</v>
      </c>
      <c r="L39" s="11">
        <v>20</v>
      </c>
      <c r="M39" s="11">
        <v>3</v>
      </c>
      <c r="N39" s="11" t="s">
        <v>3</v>
      </c>
      <c r="O39" s="11">
        <v>2</v>
      </c>
      <c r="P39" s="11"/>
    </row>
    <row r="40" spans="1:16" x14ac:dyDescent="0.2">
      <c r="A40" s="11">
        <v>50</v>
      </c>
      <c r="B40" s="11">
        <v>0</v>
      </c>
      <c r="C40" s="11">
        <v>0</v>
      </c>
      <c r="D40" s="11">
        <v>1</v>
      </c>
      <c r="E40" s="11">
        <v>207</v>
      </c>
      <c r="F40" s="11">
        <v>301.85435999999999</v>
      </c>
      <c r="G40" s="11" t="s">
        <v>242</v>
      </c>
      <c r="H40" s="11" t="s">
        <v>243</v>
      </c>
      <c r="I40" s="11"/>
      <c r="J40" s="11"/>
      <c r="K40" s="11">
        <v>207</v>
      </c>
      <c r="L40" s="11">
        <v>21</v>
      </c>
      <c r="M40" s="11">
        <v>3</v>
      </c>
      <c r="N40" s="11" t="s">
        <v>3</v>
      </c>
      <c r="O40" s="11">
        <v>-1</v>
      </c>
      <c r="P40" s="11"/>
    </row>
    <row r="41" spans="1:16" x14ac:dyDescent="0.2">
      <c r="A41" s="11">
        <v>50</v>
      </c>
      <c r="B41" s="11">
        <v>0</v>
      </c>
      <c r="C41" s="11">
        <v>0</v>
      </c>
      <c r="D41" s="11">
        <v>1</v>
      </c>
      <c r="E41" s="11">
        <v>208</v>
      </c>
      <c r="F41" s="11">
        <v>3.6470050000000001</v>
      </c>
      <c r="G41" s="11" t="s">
        <v>244</v>
      </c>
      <c r="H41" s="11" t="s">
        <v>245</v>
      </c>
      <c r="I41" s="11"/>
      <c r="J41" s="11"/>
      <c r="K41" s="11">
        <v>208</v>
      </c>
      <c r="L41" s="11">
        <v>22</v>
      </c>
      <c r="M41" s="11">
        <v>3</v>
      </c>
      <c r="N41" s="11" t="s">
        <v>3</v>
      </c>
      <c r="O41" s="11">
        <v>-1</v>
      </c>
      <c r="P41" s="11"/>
    </row>
    <row r="42" spans="1:16" x14ac:dyDescent="0.2">
      <c r="A42" s="11">
        <v>50</v>
      </c>
      <c r="B42" s="11">
        <v>0</v>
      </c>
      <c r="C42" s="11">
        <v>0</v>
      </c>
      <c r="D42" s="11">
        <v>1</v>
      </c>
      <c r="E42" s="11">
        <v>209</v>
      </c>
      <c r="F42" s="11">
        <v>0</v>
      </c>
      <c r="G42" s="11" t="s">
        <v>246</v>
      </c>
      <c r="H42" s="11" t="s">
        <v>247</v>
      </c>
      <c r="I42" s="11"/>
      <c r="J42" s="11"/>
      <c r="K42" s="11">
        <v>209</v>
      </c>
      <c r="L42" s="11">
        <v>23</v>
      </c>
      <c r="M42" s="11">
        <v>3</v>
      </c>
      <c r="N42" s="11" t="s">
        <v>3</v>
      </c>
      <c r="O42" s="11">
        <v>2</v>
      </c>
      <c r="P42" s="11"/>
    </row>
    <row r="43" spans="1:16" x14ac:dyDescent="0.2">
      <c r="A43" s="11">
        <v>50</v>
      </c>
      <c r="B43" s="11">
        <v>0</v>
      </c>
      <c r="C43" s="11">
        <v>0</v>
      </c>
      <c r="D43" s="11">
        <v>1</v>
      </c>
      <c r="E43" s="11">
        <v>233</v>
      </c>
      <c r="F43" s="11">
        <v>0</v>
      </c>
      <c r="G43" s="11" t="s">
        <v>248</v>
      </c>
      <c r="H43" s="11" t="s">
        <v>249</v>
      </c>
      <c r="I43" s="11"/>
      <c r="J43" s="11"/>
      <c r="K43" s="11">
        <v>233</v>
      </c>
      <c r="L43" s="11">
        <v>24</v>
      </c>
      <c r="M43" s="11">
        <v>3</v>
      </c>
      <c r="N43" s="11" t="s">
        <v>3</v>
      </c>
      <c r="O43" s="11">
        <v>2</v>
      </c>
      <c r="P43" s="11"/>
    </row>
    <row r="44" spans="1:16" x14ac:dyDescent="0.2">
      <c r="A44" s="11">
        <v>50</v>
      </c>
      <c r="B44" s="11">
        <v>0</v>
      </c>
      <c r="C44" s="11">
        <v>0</v>
      </c>
      <c r="D44" s="11">
        <v>1</v>
      </c>
      <c r="E44" s="11">
        <v>210</v>
      </c>
      <c r="F44" s="11">
        <v>109984.47</v>
      </c>
      <c r="G44" s="11" t="s">
        <v>250</v>
      </c>
      <c r="H44" s="11" t="s">
        <v>251</v>
      </c>
      <c r="I44" s="11"/>
      <c r="J44" s="11"/>
      <c r="K44" s="11">
        <v>210</v>
      </c>
      <c r="L44" s="11">
        <v>25</v>
      </c>
      <c r="M44" s="11">
        <v>3</v>
      </c>
      <c r="N44" s="11" t="s">
        <v>3</v>
      </c>
      <c r="O44" s="11">
        <v>2</v>
      </c>
      <c r="P44" s="11"/>
    </row>
    <row r="45" spans="1:16" x14ac:dyDescent="0.2">
      <c r="A45" s="11">
        <v>50</v>
      </c>
      <c r="B45" s="11">
        <v>0</v>
      </c>
      <c r="C45" s="11">
        <v>0</v>
      </c>
      <c r="D45" s="11">
        <v>1</v>
      </c>
      <c r="E45" s="11">
        <v>211</v>
      </c>
      <c r="F45" s="11">
        <v>62105.279999999999</v>
      </c>
      <c r="G45" s="11" t="s">
        <v>252</v>
      </c>
      <c r="H45" s="11" t="s">
        <v>253</v>
      </c>
      <c r="I45" s="11"/>
      <c r="J45" s="11"/>
      <c r="K45" s="11">
        <v>211</v>
      </c>
      <c r="L45" s="11">
        <v>26</v>
      </c>
      <c r="M45" s="11">
        <v>3</v>
      </c>
      <c r="N45" s="11" t="s">
        <v>3</v>
      </c>
      <c r="O45" s="11">
        <v>2</v>
      </c>
      <c r="P45" s="11"/>
    </row>
    <row r="46" spans="1:16" x14ac:dyDescent="0.2">
      <c r="A46" s="11">
        <v>50</v>
      </c>
      <c r="B46" s="11">
        <v>0</v>
      </c>
      <c r="C46" s="11">
        <v>0</v>
      </c>
      <c r="D46" s="11">
        <v>1</v>
      </c>
      <c r="E46" s="11">
        <v>224</v>
      </c>
      <c r="F46" s="11">
        <v>907432.7</v>
      </c>
      <c r="G46" s="11" t="s">
        <v>254</v>
      </c>
      <c r="H46" s="11" t="s">
        <v>255</v>
      </c>
      <c r="I46" s="11"/>
      <c r="J46" s="11"/>
      <c r="K46" s="11">
        <v>224</v>
      </c>
      <c r="L46" s="11">
        <v>27</v>
      </c>
      <c r="M46" s="11">
        <v>3</v>
      </c>
      <c r="N46" s="11" t="s">
        <v>3</v>
      </c>
      <c r="O46" s="11">
        <v>2</v>
      </c>
      <c r="P46" s="11"/>
    </row>
    <row r="47" spans="1:16" x14ac:dyDescent="0.2">
      <c r="A47" s="11">
        <v>50</v>
      </c>
      <c r="B47" s="11">
        <v>1</v>
      </c>
      <c r="C47" s="11">
        <v>0</v>
      </c>
      <c r="D47" s="11">
        <v>2</v>
      </c>
      <c r="E47" s="11">
        <v>0</v>
      </c>
      <c r="F47" s="11">
        <v>111190.41</v>
      </c>
      <c r="G47" s="11" t="s">
        <v>256</v>
      </c>
      <c r="H47" s="11" t="s">
        <v>257</v>
      </c>
      <c r="I47" s="11"/>
      <c r="J47" s="11"/>
      <c r="K47" s="11">
        <v>212</v>
      </c>
      <c r="L47" s="11">
        <v>28</v>
      </c>
      <c r="M47" s="11">
        <v>0</v>
      </c>
      <c r="N47" s="11" t="s">
        <v>3</v>
      </c>
      <c r="O47" s="11">
        <v>2</v>
      </c>
      <c r="P47" s="11"/>
    </row>
    <row r="48" spans="1:16" x14ac:dyDescent="0.2">
      <c r="A48" s="11">
        <v>50</v>
      </c>
      <c r="B48" s="11">
        <v>1</v>
      </c>
      <c r="C48" s="11">
        <v>0</v>
      </c>
      <c r="D48" s="11">
        <v>2</v>
      </c>
      <c r="E48" s="11">
        <v>0</v>
      </c>
      <c r="F48" s="11">
        <v>8163.72</v>
      </c>
      <c r="G48" s="11" t="s">
        <v>258</v>
      </c>
      <c r="H48" s="11" t="s">
        <v>259</v>
      </c>
      <c r="I48" s="11"/>
      <c r="J48" s="11"/>
      <c r="K48" s="11">
        <v>212</v>
      </c>
      <c r="L48" s="11">
        <v>29</v>
      </c>
      <c r="M48" s="11">
        <v>0</v>
      </c>
      <c r="N48" s="11" t="s">
        <v>3</v>
      </c>
      <c r="O48" s="11">
        <v>2</v>
      </c>
      <c r="P48" s="11"/>
    </row>
    <row r="49" spans="1:50" x14ac:dyDescent="0.2">
      <c r="A49" s="11">
        <v>50</v>
      </c>
      <c r="B49" s="11">
        <v>1</v>
      </c>
      <c r="C49" s="11">
        <v>0</v>
      </c>
      <c r="D49" s="11">
        <v>2</v>
      </c>
      <c r="E49" s="11">
        <v>0</v>
      </c>
      <c r="F49" s="11">
        <v>614527.97</v>
      </c>
      <c r="G49" s="11" t="s">
        <v>260</v>
      </c>
      <c r="H49" s="11" t="s">
        <v>261</v>
      </c>
      <c r="I49" s="11"/>
      <c r="J49" s="11"/>
      <c r="K49" s="11">
        <v>212</v>
      </c>
      <c r="L49" s="11">
        <v>30</v>
      </c>
      <c r="M49" s="11">
        <v>0</v>
      </c>
      <c r="N49" s="11" t="s">
        <v>3</v>
      </c>
      <c r="O49" s="11">
        <v>2</v>
      </c>
      <c r="P49" s="11"/>
    </row>
    <row r="50" spans="1:50" x14ac:dyDescent="0.2">
      <c r="A50" s="11">
        <v>50</v>
      </c>
      <c r="B50" s="11">
        <f>IF(SourceObSm!F50&lt;&gt;0,1,0)</f>
        <v>0</v>
      </c>
      <c r="C50" s="11">
        <v>0</v>
      </c>
      <c r="D50" s="11">
        <v>2</v>
      </c>
      <c r="E50" s="11">
        <v>0</v>
      </c>
      <c r="F50" s="11">
        <v>0</v>
      </c>
      <c r="G50" s="11" t="s">
        <v>262</v>
      </c>
      <c r="H50" s="11" t="s">
        <v>263</v>
      </c>
      <c r="I50" s="11"/>
      <c r="J50" s="11"/>
      <c r="K50" s="11">
        <v>212</v>
      </c>
      <c r="L50" s="11">
        <v>31</v>
      </c>
      <c r="M50" s="11">
        <v>1</v>
      </c>
      <c r="N50" s="11" t="s">
        <v>3</v>
      </c>
      <c r="O50" s="11">
        <v>2</v>
      </c>
      <c r="P50" s="11"/>
    </row>
    <row r="51" spans="1:50" x14ac:dyDescent="0.2">
      <c r="A51" s="11">
        <v>50</v>
      </c>
      <c r="B51" s="11">
        <v>1</v>
      </c>
      <c r="C51" s="11">
        <v>0</v>
      </c>
      <c r="D51" s="11">
        <v>2</v>
      </c>
      <c r="E51" s="11">
        <v>0</v>
      </c>
      <c r="F51" s="11">
        <v>109984.47</v>
      </c>
      <c r="G51" s="11" t="s">
        <v>264</v>
      </c>
      <c r="H51" s="11" t="s">
        <v>250</v>
      </c>
      <c r="I51" s="11"/>
      <c r="J51" s="11"/>
      <c r="K51" s="11">
        <v>212</v>
      </c>
      <c r="L51" s="11">
        <v>32</v>
      </c>
      <c r="M51" s="11">
        <v>0</v>
      </c>
      <c r="N51" s="11" t="s">
        <v>3</v>
      </c>
      <c r="O51" s="11">
        <v>2</v>
      </c>
      <c r="P51" s="11"/>
    </row>
    <row r="52" spans="1:50" x14ac:dyDescent="0.2">
      <c r="A52" s="11">
        <v>50</v>
      </c>
      <c r="B52" s="11">
        <v>1</v>
      </c>
      <c r="C52" s="11">
        <v>0</v>
      </c>
      <c r="D52" s="11">
        <v>2</v>
      </c>
      <c r="E52" s="11">
        <v>0</v>
      </c>
      <c r="F52" s="11">
        <v>62105.279999999999</v>
      </c>
      <c r="G52" s="11" t="s">
        <v>265</v>
      </c>
      <c r="H52" s="11" t="s">
        <v>266</v>
      </c>
      <c r="I52" s="11"/>
      <c r="J52" s="11"/>
      <c r="K52" s="11">
        <v>212</v>
      </c>
      <c r="L52" s="11">
        <v>33</v>
      </c>
      <c r="M52" s="11">
        <v>0</v>
      </c>
      <c r="N52" s="11" t="s">
        <v>3</v>
      </c>
      <c r="O52" s="11">
        <v>2</v>
      </c>
      <c r="P52" s="11"/>
    </row>
    <row r="53" spans="1:50" x14ac:dyDescent="0.2">
      <c r="A53" s="11">
        <v>50</v>
      </c>
      <c r="B53" s="11">
        <f>IF(SourceObSm!F53&lt;&gt;0,1,0)</f>
        <v>0</v>
      </c>
      <c r="C53" s="11">
        <v>0</v>
      </c>
      <c r="D53" s="11">
        <v>2</v>
      </c>
      <c r="E53" s="11">
        <v>0</v>
      </c>
      <c r="F53" s="11">
        <v>0</v>
      </c>
      <c r="G53" s="11" t="s">
        <v>267</v>
      </c>
      <c r="H53" s="11" t="s">
        <v>249</v>
      </c>
      <c r="I53" s="11"/>
      <c r="J53" s="11"/>
      <c r="K53" s="11">
        <v>212</v>
      </c>
      <c r="L53" s="11">
        <v>34</v>
      </c>
      <c r="M53" s="11">
        <v>1</v>
      </c>
      <c r="N53" s="11" t="s">
        <v>3</v>
      </c>
      <c r="O53" s="11">
        <v>2</v>
      </c>
      <c r="P53" s="11"/>
    </row>
    <row r="54" spans="1:50" x14ac:dyDescent="0.2">
      <c r="A54" s="11">
        <v>50</v>
      </c>
      <c r="B54" s="11">
        <v>1</v>
      </c>
      <c r="C54" s="11">
        <v>0</v>
      </c>
      <c r="D54" s="11">
        <v>2</v>
      </c>
      <c r="E54" s="11">
        <v>0</v>
      </c>
      <c r="F54" s="11">
        <v>907432.7</v>
      </c>
      <c r="G54" s="11" t="s">
        <v>268</v>
      </c>
      <c r="H54" s="11" t="s">
        <v>254</v>
      </c>
      <c r="I54" s="11"/>
      <c r="J54" s="11"/>
      <c r="K54" s="11">
        <v>212</v>
      </c>
      <c r="L54" s="11">
        <v>35</v>
      </c>
      <c r="M54" s="11">
        <v>0</v>
      </c>
      <c r="N54" s="11" t="s">
        <v>3</v>
      </c>
      <c r="O54" s="11">
        <v>2</v>
      </c>
      <c r="P54" s="11"/>
    </row>
    <row r="55" spans="1:50" x14ac:dyDescent="0.2">
      <c r="A55" s="11">
        <v>50</v>
      </c>
      <c r="B55" s="11">
        <v>1</v>
      </c>
      <c r="C55" s="11">
        <v>0</v>
      </c>
      <c r="D55" s="11">
        <v>2</v>
      </c>
      <c r="E55" s="11">
        <v>0</v>
      </c>
      <c r="F55" s="11">
        <v>181486.54</v>
      </c>
      <c r="G55" s="11" t="s">
        <v>271</v>
      </c>
      <c r="H55" s="11" t="s">
        <v>277</v>
      </c>
      <c r="I55" s="11"/>
      <c r="J55" s="11"/>
      <c r="K55" s="11">
        <v>212</v>
      </c>
      <c r="L55" s="11">
        <v>36</v>
      </c>
      <c r="M55" s="11">
        <v>0</v>
      </c>
      <c r="N55" s="11" t="s">
        <v>3</v>
      </c>
      <c r="O55" s="11">
        <v>2</v>
      </c>
      <c r="P55" s="11"/>
    </row>
    <row r="56" spans="1:50" x14ac:dyDescent="0.2">
      <c r="A56" s="11">
        <v>50</v>
      </c>
      <c r="B56" s="11">
        <v>1</v>
      </c>
      <c r="C56" s="11">
        <v>0</v>
      </c>
      <c r="D56" s="11">
        <v>2</v>
      </c>
      <c r="E56" s="11">
        <v>213</v>
      </c>
      <c r="F56" s="11">
        <v>1088919.24</v>
      </c>
      <c r="G56" s="11" t="s">
        <v>273</v>
      </c>
      <c r="H56" s="11" t="s">
        <v>274</v>
      </c>
      <c r="I56" s="11"/>
      <c r="J56" s="11"/>
      <c r="K56" s="11">
        <v>212</v>
      </c>
      <c r="L56" s="11">
        <v>37</v>
      </c>
      <c r="M56" s="11">
        <v>0</v>
      </c>
      <c r="N56" s="11" t="s">
        <v>3</v>
      </c>
      <c r="O56" s="11">
        <v>2</v>
      </c>
      <c r="P56" s="11"/>
    </row>
    <row r="58" spans="1:50" x14ac:dyDescent="0.2">
      <c r="A58" s="2">
        <v>-1</v>
      </c>
    </row>
    <row r="61" spans="1:50" x14ac:dyDescent="0.2">
      <c r="A61" s="12">
        <v>75</v>
      </c>
      <c r="B61" s="12" t="s">
        <v>344</v>
      </c>
      <c r="C61" s="12">
        <v>2026</v>
      </c>
      <c r="D61" s="12">
        <v>0</v>
      </c>
      <c r="E61" s="12">
        <v>3</v>
      </c>
      <c r="F61" s="12">
        <v>1</v>
      </c>
      <c r="G61" s="12">
        <v>0</v>
      </c>
      <c r="H61" s="12">
        <v>1</v>
      </c>
      <c r="I61" s="12">
        <v>0</v>
      </c>
      <c r="J61" s="12">
        <v>3</v>
      </c>
      <c r="K61" s="12">
        <v>0</v>
      </c>
      <c r="L61" s="12">
        <v>0</v>
      </c>
      <c r="M61" s="12">
        <v>0</v>
      </c>
      <c r="N61" s="12">
        <v>55858619</v>
      </c>
      <c r="O61" s="12">
        <v>1</v>
      </c>
    </row>
    <row r="62" spans="1:50" x14ac:dyDescent="0.2">
      <c r="A62" s="13">
        <v>2</v>
      </c>
      <c r="B62" s="13" t="s">
        <v>345</v>
      </c>
      <c r="C62" s="13" t="s">
        <v>346</v>
      </c>
      <c r="D62" s="13">
        <v>0</v>
      </c>
      <c r="E62" s="13">
        <v>0</v>
      </c>
      <c r="F62" s="13">
        <v>0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>
        <v>55858620</v>
      </c>
    </row>
    <row r="63" spans="1:50" x14ac:dyDescent="0.2">
      <c r="A63" s="13">
        <v>1</v>
      </c>
      <c r="B63" s="13" t="s">
        <v>347</v>
      </c>
      <c r="C63" s="13" t="s">
        <v>348</v>
      </c>
      <c r="D63" s="13">
        <v>2026</v>
      </c>
      <c r="E63" s="13">
        <v>3</v>
      </c>
      <c r="F63" s="13">
        <v>1</v>
      </c>
      <c r="G63" s="13">
        <v>1</v>
      </c>
      <c r="H63" s="13">
        <v>0</v>
      </c>
      <c r="I63" s="13">
        <v>2</v>
      </c>
      <c r="J63" s="13">
        <v>1</v>
      </c>
      <c r="K63" s="13">
        <v>1</v>
      </c>
      <c r="L63" s="13">
        <v>1</v>
      </c>
      <c r="M63" s="13">
        <v>1</v>
      </c>
      <c r="N63" s="13">
        <v>1</v>
      </c>
      <c r="O63" s="13">
        <v>1</v>
      </c>
      <c r="P63" s="13">
        <v>1</v>
      </c>
      <c r="Q63" s="13">
        <v>1</v>
      </c>
      <c r="R63" s="13" t="s">
        <v>3</v>
      </c>
      <c r="S63" s="13" t="s">
        <v>3</v>
      </c>
      <c r="T63" s="13" t="s">
        <v>3</v>
      </c>
      <c r="U63" s="13" t="s">
        <v>3</v>
      </c>
      <c r="V63" s="13" t="s">
        <v>3</v>
      </c>
      <c r="W63" s="13" t="s">
        <v>3</v>
      </c>
      <c r="X63" s="13" t="s">
        <v>3</v>
      </c>
      <c r="Y63" s="13" t="s">
        <v>3</v>
      </c>
      <c r="Z63" s="13" t="s">
        <v>3</v>
      </c>
      <c r="AA63" s="13" t="s">
        <v>3</v>
      </c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>
        <v>55858621</v>
      </c>
      <c r="AO63" s="13" t="s">
        <v>349</v>
      </c>
      <c r="AP63" s="13" t="s">
        <v>350</v>
      </c>
      <c r="AQ63" s="13">
        <v>46078</v>
      </c>
      <c r="AR63" s="13">
        <v>409</v>
      </c>
      <c r="AS63" s="13" t="s">
        <v>351</v>
      </c>
      <c r="AT63" s="13" t="s">
        <v>352</v>
      </c>
      <c r="AU63" s="13" t="s">
        <v>350</v>
      </c>
      <c r="AV63" s="13">
        <v>45769</v>
      </c>
      <c r="AW63" s="13">
        <v>213</v>
      </c>
      <c r="AX63" s="13" t="s">
        <v>353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97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19" x14ac:dyDescent="0.2">
      <c r="A1">
        <f>ROW(Source!A24)</f>
        <v>24</v>
      </c>
      <c r="B1">
        <v>55858619</v>
      </c>
      <c r="C1">
        <v>51353872</v>
      </c>
      <c r="D1">
        <v>49971113</v>
      </c>
      <c r="E1">
        <v>114</v>
      </c>
      <c r="F1">
        <v>1</v>
      </c>
      <c r="G1">
        <v>1</v>
      </c>
      <c r="H1">
        <v>1</v>
      </c>
      <c r="I1" t="s">
        <v>355</v>
      </c>
      <c r="J1" t="s">
        <v>3</v>
      </c>
      <c r="K1" t="s">
        <v>356</v>
      </c>
      <c r="L1">
        <v>1191</v>
      </c>
      <c r="N1">
        <v>1013</v>
      </c>
      <c r="O1" t="s">
        <v>357</v>
      </c>
      <c r="P1" t="s">
        <v>357</v>
      </c>
      <c r="Q1">
        <v>1</v>
      </c>
      <c r="W1">
        <v>0</v>
      </c>
      <c r="X1">
        <v>-907905829</v>
      </c>
      <c r="Y1">
        <f t="shared" ref="Y1:Y7" si="0">AT1</f>
        <v>78.739999999999995</v>
      </c>
      <c r="AA1">
        <v>0</v>
      </c>
      <c r="AB1">
        <v>0</v>
      </c>
      <c r="AC1">
        <v>0</v>
      </c>
      <c r="AD1">
        <v>353.61</v>
      </c>
      <c r="AE1">
        <v>0</v>
      </c>
      <c r="AF1">
        <v>0</v>
      </c>
      <c r="AG1">
        <v>0</v>
      </c>
      <c r="AH1">
        <v>353.61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0</v>
      </c>
      <c r="AQ1">
        <v>1</v>
      </c>
      <c r="AR1">
        <v>0</v>
      </c>
      <c r="AS1" t="s">
        <v>3</v>
      </c>
      <c r="AT1">
        <v>78.739999999999995</v>
      </c>
      <c r="AU1" t="s">
        <v>3</v>
      </c>
      <c r="AV1">
        <v>1</v>
      </c>
      <c r="AW1">
        <v>2</v>
      </c>
      <c r="AX1">
        <v>51353873</v>
      </c>
      <c r="AY1">
        <v>2</v>
      </c>
      <c r="AZ1">
        <v>131072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27843.251400000001</v>
      </c>
      <c r="BN1">
        <v>78.739999999999995</v>
      </c>
      <c r="BO1">
        <v>0</v>
      </c>
      <c r="BP1">
        <v>1</v>
      </c>
      <c r="BQ1">
        <v>0</v>
      </c>
      <c r="BR1">
        <v>0</v>
      </c>
      <c r="BS1">
        <v>0</v>
      </c>
      <c r="BT1">
        <v>27843.251400000001</v>
      </c>
      <c r="BU1">
        <v>78.739999999999995</v>
      </c>
      <c r="BV1">
        <v>0</v>
      </c>
      <c r="BW1">
        <v>1</v>
      </c>
      <c r="CU1">
        <f>ROUND(AT1*Source!I24*AH1*AL1,2)</f>
        <v>8352.98</v>
      </c>
      <c r="CV1">
        <f>ROUND(Y1*Source!I24,7)</f>
        <v>23.622</v>
      </c>
      <c r="CW1">
        <v>0</v>
      </c>
      <c r="CX1">
        <f>ROUND(Y1*Source!I24,7)</f>
        <v>23.622</v>
      </c>
      <c r="CY1">
        <f>AD1</f>
        <v>353.61</v>
      </c>
      <c r="CZ1">
        <f>AH1</f>
        <v>353.61</v>
      </c>
      <c r="DA1">
        <f>AL1</f>
        <v>1</v>
      </c>
      <c r="DB1">
        <f t="shared" ref="DB1:DB7" si="1">ROUND(ROUND(AT1*CZ1,2),6)</f>
        <v>27843.25</v>
      </c>
      <c r="DC1">
        <f t="shared" ref="DC1:DC7" si="2">ROUND(ROUND(AT1*AG1,2),6)</f>
        <v>0</v>
      </c>
      <c r="DD1" t="s">
        <v>3</v>
      </c>
      <c r="DE1" t="s">
        <v>3</v>
      </c>
      <c r="DF1">
        <f t="shared" ref="DF1:DF12" si="3">ROUND(ROUND(AE1,2)*CX1,2)</f>
        <v>0</v>
      </c>
      <c r="DG1">
        <f>ROUND(ROUND(AF1,2)*CX1,2)</f>
        <v>0</v>
      </c>
      <c r="DH1">
        <f t="shared" ref="DH1:DH32" si="4">ROUND(ROUND(AG1,2)*CX1,2)</f>
        <v>0</v>
      </c>
      <c r="DI1">
        <f t="shared" ref="DI1:DI32" si="5">ROUND(ROUND(AH1,2)*CX1,2)</f>
        <v>8352.98</v>
      </c>
      <c r="DJ1">
        <f>DI1</f>
        <v>8352.98</v>
      </c>
      <c r="DK1">
        <v>1</v>
      </c>
      <c r="DL1" t="s">
        <v>3</v>
      </c>
      <c r="DM1">
        <v>0</v>
      </c>
      <c r="DN1" t="s">
        <v>3</v>
      </c>
      <c r="DO1">
        <v>0</v>
      </c>
    </row>
    <row r="2" spans="1:119" x14ac:dyDescent="0.2">
      <c r="A2">
        <f>ROW(Source!A24)</f>
        <v>24</v>
      </c>
      <c r="B2">
        <v>55858619</v>
      </c>
      <c r="C2">
        <v>51353872</v>
      </c>
      <c r="D2">
        <v>49971314</v>
      </c>
      <c r="E2">
        <v>114</v>
      </c>
      <c r="F2">
        <v>1</v>
      </c>
      <c r="G2">
        <v>1</v>
      </c>
      <c r="H2">
        <v>1</v>
      </c>
      <c r="I2" t="s">
        <v>358</v>
      </c>
      <c r="J2" t="s">
        <v>3</v>
      </c>
      <c r="K2" t="s">
        <v>359</v>
      </c>
      <c r="L2">
        <v>1191</v>
      </c>
      <c r="N2">
        <v>1013</v>
      </c>
      <c r="O2" t="s">
        <v>357</v>
      </c>
      <c r="P2" t="s">
        <v>357</v>
      </c>
      <c r="Q2">
        <v>1</v>
      </c>
      <c r="W2">
        <v>0</v>
      </c>
      <c r="X2">
        <v>-1417349443</v>
      </c>
      <c r="Y2">
        <f t="shared" si="0"/>
        <v>0.79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0</v>
      </c>
      <c r="AP2">
        <v>0</v>
      </c>
      <c r="AQ2">
        <v>1</v>
      </c>
      <c r="AR2">
        <v>0</v>
      </c>
      <c r="AS2" t="s">
        <v>3</v>
      </c>
      <c r="AT2">
        <v>0.79</v>
      </c>
      <c r="AU2" t="s">
        <v>3</v>
      </c>
      <c r="AV2">
        <v>2</v>
      </c>
      <c r="AW2">
        <v>2</v>
      </c>
      <c r="AX2">
        <v>51353874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v>0</v>
      </c>
      <c r="CX2">
        <f>ROUND(Y2*Source!I24,7)</f>
        <v>0.23699999999999999</v>
      </c>
      <c r="CY2">
        <f>AD2</f>
        <v>0</v>
      </c>
      <c r="CZ2">
        <f>AH2</f>
        <v>0</v>
      </c>
      <c r="DA2">
        <f>AL2</f>
        <v>1</v>
      </c>
      <c r="DB2">
        <f t="shared" si="1"/>
        <v>0</v>
      </c>
      <c r="DC2">
        <f t="shared" si="2"/>
        <v>0</v>
      </c>
      <c r="DD2" t="s">
        <v>3</v>
      </c>
      <c r="DE2" t="s">
        <v>3</v>
      </c>
      <c r="DF2">
        <f t="shared" si="3"/>
        <v>0</v>
      </c>
      <c r="DG2">
        <f>ROUND(ROUND(AF2,2)*CX2,2)</f>
        <v>0</v>
      </c>
      <c r="DH2">
        <f t="shared" si="4"/>
        <v>0</v>
      </c>
      <c r="DI2">
        <f t="shared" si="5"/>
        <v>0</v>
      </c>
      <c r="DJ2">
        <f>DI2</f>
        <v>0</v>
      </c>
      <c r="DK2">
        <v>0</v>
      </c>
      <c r="DL2" t="s">
        <v>3</v>
      </c>
      <c r="DM2">
        <v>0</v>
      </c>
      <c r="DN2" t="s">
        <v>3</v>
      </c>
      <c r="DO2">
        <v>0</v>
      </c>
    </row>
    <row r="3" spans="1:119" x14ac:dyDescent="0.2">
      <c r="A3">
        <f>ROW(Source!A24)</f>
        <v>24</v>
      </c>
      <c r="B3">
        <v>55858619</v>
      </c>
      <c r="C3">
        <v>51353872</v>
      </c>
      <c r="D3">
        <v>50095945</v>
      </c>
      <c r="E3">
        <v>1</v>
      </c>
      <c r="F3">
        <v>1</v>
      </c>
      <c r="G3">
        <v>1</v>
      </c>
      <c r="H3">
        <v>2</v>
      </c>
      <c r="I3" t="s">
        <v>360</v>
      </c>
      <c r="J3" t="s">
        <v>361</v>
      </c>
      <c r="K3" t="s">
        <v>362</v>
      </c>
      <c r="L3">
        <v>1368</v>
      </c>
      <c r="N3">
        <v>1011</v>
      </c>
      <c r="O3" t="s">
        <v>363</v>
      </c>
      <c r="P3" t="s">
        <v>363</v>
      </c>
      <c r="Q3">
        <v>1</v>
      </c>
      <c r="W3">
        <v>0</v>
      </c>
      <c r="X3">
        <v>-92307625</v>
      </c>
      <c r="Y3">
        <f t="shared" si="0"/>
        <v>0.79</v>
      </c>
      <c r="AA3">
        <v>0</v>
      </c>
      <c r="AB3">
        <v>60.83</v>
      </c>
      <c r="AC3">
        <v>359.65</v>
      </c>
      <c r="AD3">
        <v>0</v>
      </c>
      <c r="AE3">
        <v>0</v>
      </c>
      <c r="AF3">
        <v>37.32</v>
      </c>
      <c r="AG3">
        <v>359.65</v>
      </c>
      <c r="AH3">
        <v>0</v>
      </c>
      <c r="AI3">
        <v>1</v>
      </c>
      <c r="AJ3">
        <v>1.63</v>
      </c>
      <c r="AK3">
        <v>1</v>
      </c>
      <c r="AL3">
        <v>1</v>
      </c>
      <c r="AM3">
        <v>2</v>
      </c>
      <c r="AN3">
        <v>0</v>
      </c>
      <c r="AO3">
        <v>0</v>
      </c>
      <c r="AP3">
        <v>0</v>
      </c>
      <c r="AQ3">
        <v>1</v>
      </c>
      <c r="AR3">
        <v>0</v>
      </c>
      <c r="AS3" t="s">
        <v>3</v>
      </c>
      <c r="AT3">
        <v>0.79</v>
      </c>
      <c r="AU3" t="s">
        <v>3</v>
      </c>
      <c r="AV3">
        <v>1</v>
      </c>
      <c r="AW3">
        <v>2</v>
      </c>
      <c r="AX3">
        <v>51353875</v>
      </c>
      <c r="AY3">
        <v>2</v>
      </c>
      <c r="AZ3">
        <v>65536</v>
      </c>
      <c r="BA3">
        <v>3</v>
      </c>
      <c r="BB3">
        <v>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29.482800000000001</v>
      </c>
      <c r="BL3">
        <v>284.12349999999998</v>
      </c>
      <c r="BM3">
        <v>0</v>
      </c>
      <c r="BN3">
        <v>0</v>
      </c>
      <c r="BO3">
        <v>0.79</v>
      </c>
      <c r="BP3">
        <v>1</v>
      </c>
      <c r="BQ3">
        <v>0</v>
      </c>
      <c r="BR3">
        <v>29.482800000000001</v>
      </c>
      <c r="BS3">
        <v>284.12349999999998</v>
      </c>
      <c r="BT3">
        <v>0</v>
      </c>
      <c r="BU3">
        <v>0</v>
      </c>
      <c r="BV3">
        <v>0.79</v>
      </c>
      <c r="BW3">
        <v>1</v>
      </c>
      <c r="CV3">
        <v>0</v>
      </c>
      <c r="CW3">
        <f>ROUND(Y3*Source!I24*DO3,7)</f>
        <v>0.23699999999999999</v>
      </c>
      <c r="CX3">
        <f>ROUND(Y3*Source!I24,7)</f>
        <v>0.23699999999999999</v>
      </c>
      <c r="CY3">
        <f>AB3</f>
        <v>60.83</v>
      </c>
      <c r="CZ3">
        <f>AF3</f>
        <v>37.32</v>
      </c>
      <c r="DA3">
        <f>AJ3</f>
        <v>1.63</v>
      </c>
      <c r="DB3">
        <f t="shared" si="1"/>
        <v>29.48</v>
      </c>
      <c r="DC3">
        <f t="shared" si="2"/>
        <v>284.12</v>
      </c>
      <c r="DD3" t="s">
        <v>3</v>
      </c>
      <c r="DE3" t="s">
        <v>3</v>
      </c>
      <c r="DF3">
        <f t="shared" si="3"/>
        <v>0</v>
      </c>
      <c r="DG3">
        <f>ROUND(ROUND(AF3*AJ3,2)*CX3,2)</f>
        <v>14.42</v>
      </c>
      <c r="DH3">
        <f t="shared" si="4"/>
        <v>85.24</v>
      </c>
      <c r="DI3">
        <f t="shared" si="5"/>
        <v>0</v>
      </c>
      <c r="DJ3">
        <f>DG3+DH3</f>
        <v>99.66</v>
      </c>
      <c r="DK3">
        <v>0</v>
      </c>
      <c r="DL3" t="s">
        <v>364</v>
      </c>
      <c r="DM3">
        <v>3</v>
      </c>
      <c r="DN3" t="s">
        <v>357</v>
      </c>
      <c r="DO3">
        <v>1</v>
      </c>
    </row>
    <row r="4" spans="1:119" x14ac:dyDescent="0.2">
      <c r="A4">
        <f>ROW(Source!A24)</f>
        <v>24</v>
      </c>
      <c r="B4">
        <v>55858619</v>
      </c>
      <c r="C4">
        <v>51353872</v>
      </c>
      <c r="D4">
        <v>49977009</v>
      </c>
      <c r="E4">
        <v>114</v>
      </c>
      <c r="F4">
        <v>1</v>
      </c>
      <c r="G4">
        <v>1</v>
      </c>
      <c r="H4">
        <v>3</v>
      </c>
      <c r="I4" t="s">
        <v>27</v>
      </c>
      <c r="J4" t="s">
        <v>3</v>
      </c>
      <c r="K4" t="s">
        <v>28</v>
      </c>
      <c r="L4">
        <v>1348</v>
      </c>
      <c r="N4">
        <v>1009</v>
      </c>
      <c r="O4" t="s">
        <v>29</v>
      </c>
      <c r="P4" t="s">
        <v>29</v>
      </c>
      <c r="Q4">
        <v>1000</v>
      </c>
      <c r="W4">
        <v>0</v>
      </c>
      <c r="X4">
        <v>2102561428</v>
      </c>
      <c r="Y4">
        <f t="shared" si="0"/>
        <v>4.3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M4">
        <v>-2</v>
      </c>
      <c r="AN4">
        <v>0</v>
      </c>
      <c r="AO4">
        <v>0</v>
      </c>
      <c r="AP4">
        <v>0</v>
      </c>
      <c r="AQ4">
        <v>0</v>
      </c>
      <c r="AR4">
        <v>0</v>
      </c>
      <c r="AS4" t="s">
        <v>3</v>
      </c>
      <c r="AT4">
        <v>4.3</v>
      </c>
      <c r="AU4" t="s">
        <v>3</v>
      </c>
      <c r="AV4">
        <v>0</v>
      </c>
      <c r="AW4">
        <v>2</v>
      </c>
      <c r="AX4">
        <v>51353876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V4">
        <v>0</v>
      </c>
      <c r="CW4">
        <v>0</v>
      </c>
      <c r="CX4">
        <f>ROUND(Y4*Source!I24,7)</f>
        <v>1.29</v>
      </c>
      <c r="CY4">
        <f>AA4</f>
        <v>0</v>
      </c>
      <c r="CZ4">
        <f>AE4</f>
        <v>0</v>
      </c>
      <c r="DA4">
        <f>AI4</f>
        <v>1</v>
      </c>
      <c r="DB4">
        <f t="shared" si="1"/>
        <v>0</v>
      </c>
      <c r="DC4">
        <f t="shared" si="2"/>
        <v>0</v>
      </c>
      <c r="DD4" t="s">
        <v>3</v>
      </c>
      <c r="DE4" t="s">
        <v>3</v>
      </c>
      <c r="DF4">
        <f t="shared" si="3"/>
        <v>0</v>
      </c>
      <c r="DG4">
        <f>ROUND(ROUND(AF4,2)*CX4,2)</f>
        <v>0</v>
      </c>
      <c r="DH4">
        <f t="shared" si="4"/>
        <v>0</v>
      </c>
      <c r="DI4">
        <f t="shared" si="5"/>
        <v>0</v>
      </c>
      <c r="DJ4">
        <f>DF4</f>
        <v>0</v>
      </c>
      <c r="DK4">
        <v>0</v>
      </c>
      <c r="DL4" t="s">
        <v>3</v>
      </c>
      <c r="DM4">
        <v>0</v>
      </c>
      <c r="DN4" t="s">
        <v>3</v>
      </c>
      <c r="DO4">
        <v>0</v>
      </c>
    </row>
    <row r="5" spans="1:119" x14ac:dyDescent="0.2">
      <c r="A5">
        <f>ROW(Source!A26)</f>
        <v>26</v>
      </c>
      <c r="B5">
        <v>55858619</v>
      </c>
      <c r="C5">
        <v>55858640</v>
      </c>
      <c r="D5">
        <v>54569595</v>
      </c>
      <c r="E5">
        <v>117</v>
      </c>
      <c r="F5">
        <v>1</v>
      </c>
      <c r="G5">
        <v>1</v>
      </c>
      <c r="H5">
        <v>1</v>
      </c>
      <c r="I5" t="s">
        <v>365</v>
      </c>
      <c r="J5" t="s">
        <v>3</v>
      </c>
      <c r="K5" t="s">
        <v>366</v>
      </c>
      <c r="L5">
        <v>1191</v>
      </c>
      <c r="N5">
        <v>1013</v>
      </c>
      <c r="O5" t="s">
        <v>357</v>
      </c>
      <c r="P5" t="s">
        <v>357</v>
      </c>
      <c r="Q5">
        <v>1</v>
      </c>
      <c r="W5">
        <v>0</v>
      </c>
      <c r="X5">
        <v>-1833565283</v>
      </c>
      <c r="Y5">
        <f t="shared" si="0"/>
        <v>49.59</v>
      </c>
      <c r="AA5">
        <v>0</v>
      </c>
      <c r="AB5">
        <v>0</v>
      </c>
      <c r="AC5">
        <v>0</v>
      </c>
      <c r="AD5">
        <v>359.65</v>
      </c>
      <c r="AE5">
        <v>0</v>
      </c>
      <c r="AF5">
        <v>0</v>
      </c>
      <c r="AG5">
        <v>0</v>
      </c>
      <c r="AH5">
        <v>359.65</v>
      </c>
      <c r="AI5">
        <v>1</v>
      </c>
      <c r="AJ5">
        <v>1</v>
      </c>
      <c r="AK5">
        <v>1</v>
      </c>
      <c r="AL5">
        <v>1</v>
      </c>
      <c r="AM5">
        <v>-2</v>
      </c>
      <c r="AN5">
        <v>0</v>
      </c>
      <c r="AO5">
        <v>0</v>
      </c>
      <c r="AP5">
        <v>0</v>
      </c>
      <c r="AQ5">
        <v>1</v>
      </c>
      <c r="AR5">
        <v>0</v>
      </c>
      <c r="AS5" t="s">
        <v>3</v>
      </c>
      <c r="AT5">
        <v>49.59</v>
      </c>
      <c r="AU5" t="s">
        <v>3</v>
      </c>
      <c r="AV5">
        <v>1</v>
      </c>
      <c r="AW5">
        <v>2</v>
      </c>
      <c r="AX5">
        <v>55858641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17835.0435</v>
      </c>
      <c r="BN5">
        <v>49.59</v>
      </c>
      <c r="BO5">
        <v>0</v>
      </c>
      <c r="BP5">
        <v>1</v>
      </c>
      <c r="BQ5">
        <v>0</v>
      </c>
      <c r="BR5">
        <v>0</v>
      </c>
      <c r="BS5">
        <v>0</v>
      </c>
      <c r="BT5">
        <v>17835.0435</v>
      </c>
      <c r="BU5">
        <v>49.59</v>
      </c>
      <c r="BV5">
        <v>0</v>
      </c>
      <c r="BW5">
        <v>1</v>
      </c>
      <c r="CU5">
        <f>ROUND(AT5*Source!I26*AH5*AL5,2)</f>
        <v>25860.81</v>
      </c>
      <c r="CV5">
        <f>ROUND(Y5*Source!I26,7)</f>
        <v>71.905500000000004</v>
      </c>
      <c r="CW5">
        <v>0</v>
      </c>
      <c r="CX5">
        <f>ROUND(Y5*Source!I26,7)</f>
        <v>71.905500000000004</v>
      </c>
      <c r="CY5">
        <f>AD5</f>
        <v>359.65</v>
      </c>
      <c r="CZ5">
        <f>AH5</f>
        <v>359.65</v>
      </c>
      <c r="DA5">
        <f>AL5</f>
        <v>1</v>
      </c>
      <c r="DB5">
        <f t="shared" si="1"/>
        <v>17835.04</v>
      </c>
      <c r="DC5">
        <f t="shared" si="2"/>
        <v>0</v>
      </c>
      <c r="DD5" t="s">
        <v>3</v>
      </c>
      <c r="DE5" t="s">
        <v>3</v>
      </c>
      <c r="DF5">
        <f t="shared" si="3"/>
        <v>0</v>
      </c>
      <c r="DG5">
        <f>ROUND(ROUND(AF5,2)*CX5,2)</f>
        <v>0</v>
      </c>
      <c r="DH5">
        <f t="shared" si="4"/>
        <v>0</v>
      </c>
      <c r="DI5">
        <f t="shared" si="5"/>
        <v>25860.81</v>
      </c>
      <c r="DJ5">
        <f>DI5</f>
        <v>25860.81</v>
      </c>
      <c r="DK5">
        <v>1</v>
      </c>
      <c r="DL5" t="s">
        <v>3</v>
      </c>
      <c r="DM5">
        <v>0</v>
      </c>
      <c r="DN5" t="s">
        <v>3</v>
      </c>
      <c r="DO5">
        <v>0</v>
      </c>
    </row>
    <row r="6" spans="1:119" x14ac:dyDescent="0.2">
      <c r="A6">
        <f>ROW(Source!A26)</f>
        <v>26</v>
      </c>
      <c r="B6">
        <v>55858619</v>
      </c>
      <c r="C6">
        <v>55858640</v>
      </c>
      <c r="D6">
        <v>54577389</v>
      </c>
      <c r="E6">
        <v>1</v>
      </c>
      <c r="F6">
        <v>1</v>
      </c>
      <c r="G6">
        <v>1</v>
      </c>
      <c r="H6">
        <v>2</v>
      </c>
      <c r="I6" t="s">
        <v>367</v>
      </c>
      <c r="J6" t="s">
        <v>368</v>
      </c>
      <c r="K6" t="s">
        <v>369</v>
      </c>
      <c r="L6">
        <v>1368</v>
      </c>
      <c r="N6">
        <v>1011</v>
      </c>
      <c r="O6" t="s">
        <v>363</v>
      </c>
      <c r="P6" t="s">
        <v>363</v>
      </c>
      <c r="Q6">
        <v>1</v>
      </c>
      <c r="W6">
        <v>0</v>
      </c>
      <c r="X6">
        <v>-2043076807</v>
      </c>
      <c r="Y6">
        <f t="shared" si="0"/>
        <v>23.08</v>
      </c>
      <c r="AA6">
        <v>0</v>
      </c>
      <c r="AB6">
        <v>181.23</v>
      </c>
      <c r="AC6">
        <v>0</v>
      </c>
      <c r="AD6">
        <v>0</v>
      </c>
      <c r="AE6">
        <v>0</v>
      </c>
      <c r="AF6">
        <v>115.43</v>
      </c>
      <c r="AG6">
        <v>0</v>
      </c>
      <c r="AH6">
        <v>0</v>
      </c>
      <c r="AI6">
        <v>1</v>
      </c>
      <c r="AJ6">
        <v>1.57</v>
      </c>
      <c r="AK6">
        <v>1</v>
      </c>
      <c r="AL6">
        <v>1</v>
      </c>
      <c r="AM6">
        <v>2</v>
      </c>
      <c r="AN6">
        <v>0</v>
      </c>
      <c r="AO6">
        <v>0</v>
      </c>
      <c r="AP6">
        <v>0</v>
      </c>
      <c r="AQ6">
        <v>1</v>
      </c>
      <c r="AR6">
        <v>0</v>
      </c>
      <c r="AS6" t="s">
        <v>3</v>
      </c>
      <c r="AT6">
        <v>23.08</v>
      </c>
      <c r="AU6" t="s">
        <v>3</v>
      </c>
      <c r="AV6">
        <v>1</v>
      </c>
      <c r="AW6">
        <v>2</v>
      </c>
      <c r="AX6">
        <v>55858642</v>
      </c>
      <c r="AY6">
        <v>1</v>
      </c>
      <c r="AZ6">
        <v>0</v>
      </c>
      <c r="BA6">
        <v>6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2664.1244000000002</v>
      </c>
      <c r="BL6">
        <v>0</v>
      </c>
      <c r="BM6">
        <v>0</v>
      </c>
      <c r="BN6">
        <v>0</v>
      </c>
      <c r="BO6">
        <v>0</v>
      </c>
      <c r="BP6">
        <v>1</v>
      </c>
      <c r="BQ6">
        <v>0</v>
      </c>
      <c r="BR6">
        <v>2664.1244000000002</v>
      </c>
      <c r="BS6">
        <v>0</v>
      </c>
      <c r="BT6">
        <v>0</v>
      </c>
      <c r="BU6">
        <v>0</v>
      </c>
      <c r="BV6">
        <v>0</v>
      </c>
      <c r="BW6">
        <v>1</v>
      </c>
      <c r="CV6">
        <v>0</v>
      </c>
      <c r="CW6">
        <f>ROUND(Y6*Source!I26*DO6,7)</f>
        <v>0</v>
      </c>
      <c r="CX6">
        <f>ROUND(Y6*Source!I26,7)</f>
        <v>33.466000000000001</v>
      </c>
      <c r="CY6">
        <f>AB6</f>
        <v>181.23</v>
      </c>
      <c r="CZ6">
        <f>AF6</f>
        <v>115.43</v>
      </c>
      <c r="DA6">
        <f>AJ6</f>
        <v>1.57</v>
      </c>
      <c r="DB6">
        <f t="shared" si="1"/>
        <v>2664.12</v>
      </c>
      <c r="DC6">
        <f t="shared" si="2"/>
        <v>0</v>
      </c>
      <c r="DD6" t="s">
        <v>3</v>
      </c>
      <c r="DE6" t="s">
        <v>3</v>
      </c>
      <c r="DF6">
        <f t="shared" si="3"/>
        <v>0</v>
      </c>
      <c r="DG6">
        <f>ROUND(ROUND(AF6*AJ6,2)*CX6,2)</f>
        <v>6065.04</v>
      </c>
      <c r="DH6">
        <f t="shared" si="4"/>
        <v>0</v>
      </c>
      <c r="DI6">
        <f t="shared" si="5"/>
        <v>0</v>
      </c>
      <c r="DJ6">
        <f>DG6+DH6</f>
        <v>6065.04</v>
      </c>
      <c r="DK6">
        <v>0</v>
      </c>
      <c r="DL6" t="s">
        <v>3</v>
      </c>
      <c r="DM6">
        <v>0</v>
      </c>
      <c r="DN6" t="s">
        <v>3</v>
      </c>
      <c r="DO6">
        <v>0</v>
      </c>
    </row>
    <row r="7" spans="1:119" x14ac:dyDescent="0.2">
      <c r="A7">
        <f>ROW(Source!A26)</f>
        <v>26</v>
      </c>
      <c r="B7">
        <v>55858619</v>
      </c>
      <c r="C7">
        <v>55858640</v>
      </c>
      <c r="D7">
        <v>54577778</v>
      </c>
      <c r="E7">
        <v>1</v>
      </c>
      <c r="F7">
        <v>1</v>
      </c>
      <c r="G7">
        <v>1</v>
      </c>
      <c r="H7">
        <v>2</v>
      </c>
      <c r="I7" t="s">
        <v>370</v>
      </c>
      <c r="J7" t="s">
        <v>371</v>
      </c>
      <c r="K7" t="s">
        <v>372</v>
      </c>
      <c r="L7">
        <v>1368</v>
      </c>
      <c r="N7">
        <v>1011</v>
      </c>
      <c r="O7" t="s">
        <v>363</v>
      </c>
      <c r="P7" t="s">
        <v>363</v>
      </c>
      <c r="Q7">
        <v>1</v>
      </c>
      <c r="W7">
        <v>0</v>
      </c>
      <c r="X7">
        <v>584770812</v>
      </c>
      <c r="Y7">
        <f t="shared" si="0"/>
        <v>46.16</v>
      </c>
      <c r="AA7">
        <v>0</v>
      </c>
      <c r="AB7">
        <v>3.06</v>
      </c>
      <c r="AC7">
        <v>0</v>
      </c>
      <c r="AD7">
        <v>0</v>
      </c>
      <c r="AE7">
        <v>0</v>
      </c>
      <c r="AF7">
        <v>2.11</v>
      </c>
      <c r="AG7">
        <v>0</v>
      </c>
      <c r="AH7">
        <v>0</v>
      </c>
      <c r="AI7">
        <v>1</v>
      </c>
      <c r="AJ7">
        <v>1.45</v>
      </c>
      <c r="AK7">
        <v>1</v>
      </c>
      <c r="AL7">
        <v>1</v>
      </c>
      <c r="AM7">
        <v>2</v>
      </c>
      <c r="AN7">
        <v>0</v>
      </c>
      <c r="AO7">
        <v>0</v>
      </c>
      <c r="AP7">
        <v>0</v>
      </c>
      <c r="AQ7">
        <v>1</v>
      </c>
      <c r="AR7">
        <v>0</v>
      </c>
      <c r="AS7" t="s">
        <v>3</v>
      </c>
      <c r="AT7">
        <v>46.16</v>
      </c>
      <c r="AU7" t="s">
        <v>3</v>
      </c>
      <c r="AV7">
        <v>1</v>
      </c>
      <c r="AW7">
        <v>2</v>
      </c>
      <c r="AX7">
        <v>55858643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97.397599999999983</v>
      </c>
      <c r="BL7">
        <v>0</v>
      </c>
      <c r="BM7">
        <v>0</v>
      </c>
      <c r="BN7">
        <v>0</v>
      </c>
      <c r="BO7">
        <v>0</v>
      </c>
      <c r="BP7">
        <v>1</v>
      </c>
      <c r="BQ7">
        <v>0</v>
      </c>
      <c r="BR7">
        <v>97.397599999999983</v>
      </c>
      <c r="BS7">
        <v>0</v>
      </c>
      <c r="BT7">
        <v>0</v>
      </c>
      <c r="BU7">
        <v>0</v>
      </c>
      <c r="BV7">
        <v>0</v>
      </c>
      <c r="BW7">
        <v>1</v>
      </c>
      <c r="CV7">
        <v>0</v>
      </c>
      <c r="CW7">
        <f>ROUND(Y7*Source!I26*DO7,7)</f>
        <v>0</v>
      </c>
      <c r="CX7">
        <f>ROUND(Y7*Source!I26,7)</f>
        <v>66.932000000000002</v>
      </c>
      <c r="CY7">
        <f>AB7</f>
        <v>3.06</v>
      </c>
      <c r="CZ7">
        <f>AF7</f>
        <v>2.11</v>
      </c>
      <c r="DA7">
        <f>AJ7</f>
        <v>1.45</v>
      </c>
      <c r="DB7">
        <f t="shared" si="1"/>
        <v>97.4</v>
      </c>
      <c r="DC7">
        <f t="shared" si="2"/>
        <v>0</v>
      </c>
      <c r="DD7" t="s">
        <v>3</v>
      </c>
      <c r="DE7" t="s">
        <v>3</v>
      </c>
      <c r="DF7">
        <f t="shared" si="3"/>
        <v>0</v>
      </c>
      <c r="DG7">
        <f>ROUND(ROUND(AF7*AJ7,2)*CX7,2)</f>
        <v>204.81</v>
      </c>
      <c r="DH7">
        <f t="shared" si="4"/>
        <v>0</v>
      </c>
      <c r="DI7">
        <f t="shared" si="5"/>
        <v>0</v>
      </c>
      <c r="DJ7">
        <f>DG7+DH7</f>
        <v>204.81</v>
      </c>
      <c r="DK7">
        <v>0</v>
      </c>
      <c r="DL7" t="s">
        <v>3</v>
      </c>
      <c r="DM7">
        <v>0</v>
      </c>
      <c r="DN7" t="s">
        <v>3</v>
      </c>
      <c r="DO7">
        <v>0</v>
      </c>
    </row>
    <row r="8" spans="1:119" x14ac:dyDescent="0.2">
      <c r="A8">
        <f>ROW(Source!A27)</f>
        <v>27</v>
      </c>
      <c r="B8">
        <v>55858619</v>
      </c>
      <c r="C8">
        <v>51353878</v>
      </c>
      <c r="D8">
        <v>49971079</v>
      </c>
      <c r="E8">
        <v>114</v>
      </c>
      <c r="F8">
        <v>1</v>
      </c>
      <c r="G8">
        <v>1</v>
      </c>
      <c r="H8">
        <v>1</v>
      </c>
      <c r="I8" t="s">
        <v>373</v>
      </c>
      <c r="J8" t="s">
        <v>3</v>
      </c>
      <c r="K8" t="s">
        <v>374</v>
      </c>
      <c r="L8">
        <v>1191</v>
      </c>
      <c r="N8">
        <v>1013</v>
      </c>
      <c r="O8" t="s">
        <v>357</v>
      </c>
      <c r="P8" t="s">
        <v>357</v>
      </c>
      <c r="Q8">
        <v>1</v>
      </c>
      <c r="W8">
        <v>0</v>
      </c>
      <c r="X8">
        <v>370475345</v>
      </c>
      <c r="Y8">
        <f>(AT8*ROUND(1.15,7))</f>
        <v>155.25</v>
      </c>
      <c r="AA8">
        <v>0</v>
      </c>
      <c r="AB8">
        <v>0</v>
      </c>
      <c r="AC8">
        <v>0</v>
      </c>
      <c r="AD8">
        <v>329.43</v>
      </c>
      <c r="AE8">
        <v>0</v>
      </c>
      <c r="AF8">
        <v>0</v>
      </c>
      <c r="AG8">
        <v>0</v>
      </c>
      <c r="AH8">
        <v>329.43</v>
      </c>
      <c r="AI8">
        <v>1</v>
      </c>
      <c r="AJ8">
        <v>1</v>
      </c>
      <c r="AK8">
        <v>1</v>
      </c>
      <c r="AL8">
        <v>1</v>
      </c>
      <c r="AM8">
        <v>-2</v>
      </c>
      <c r="AN8">
        <v>0</v>
      </c>
      <c r="AO8">
        <v>0</v>
      </c>
      <c r="AP8">
        <v>1</v>
      </c>
      <c r="AQ8">
        <v>1</v>
      </c>
      <c r="AR8">
        <v>0</v>
      </c>
      <c r="AS8" t="s">
        <v>3</v>
      </c>
      <c r="AT8">
        <v>135</v>
      </c>
      <c r="AU8" t="s">
        <v>47</v>
      </c>
      <c r="AV8">
        <v>1</v>
      </c>
      <c r="AW8">
        <v>2</v>
      </c>
      <c r="AX8">
        <v>51353879</v>
      </c>
      <c r="AY8">
        <v>2</v>
      </c>
      <c r="AZ8">
        <v>131072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44473.05</v>
      </c>
      <c r="BN8">
        <v>135</v>
      </c>
      <c r="BO8">
        <v>0</v>
      </c>
      <c r="BP8">
        <v>1</v>
      </c>
      <c r="BQ8">
        <v>0</v>
      </c>
      <c r="BR8">
        <v>0</v>
      </c>
      <c r="BS8">
        <v>0</v>
      </c>
      <c r="BT8">
        <v>51144.0075</v>
      </c>
      <c r="BU8">
        <v>155.25</v>
      </c>
      <c r="BV8">
        <v>0</v>
      </c>
      <c r="BW8">
        <v>1</v>
      </c>
      <c r="CU8">
        <f>ROUND(AT8*Source!I27*AH8*AL8,2)</f>
        <v>644.86</v>
      </c>
      <c r="CV8">
        <f>ROUND(Y8*Source!I27,7)</f>
        <v>2.251125</v>
      </c>
      <c r="CW8">
        <v>0</v>
      </c>
      <c r="CX8">
        <f>ROUND(Y8*Source!I27,7)</f>
        <v>2.251125</v>
      </c>
      <c r="CY8">
        <f>AD8</f>
        <v>329.43</v>
      </c>
      <c r="CZ8">
        <f>AH8</f>
        <v>329.43</v>
      </c>
      <c r="DA8">
        <f>AL8</f>
        <v>1</v>
      </c>
      <c r="DB8">
        <f>ROUND((ROUND(AT8*CZ8,2)*ROUND(1.15,7)),6)</f>
        <v>51144.0075</v>
      </c>
      <c r="DC8">
        <f>ROUND((ROUND(AT8*AG8,2)*ROUND(1.15,7)),6)</f>
        <v>0</v>
      </c>
      <c r="DD8" t="s">
        <v>3</v>
      </c>
      <c r="DE8" t="s">
        <v>3</v>
      </c>
      <c r="DF8">
        <f t="shared" si="3"/>
        <v>0</v>
      </c>
      <c r="DG8">
        <f>ROUND(ROUND(AF8,2)*CX8,2)</f>
        <v>0</v>
      </c>
      <c r="DH8">
        <f t="shared" si="4"/>
        <v>0</v>
      </c>
      <c r="DI8">
        <f t="shared" si="5"/>
        <v>741.59</v>
      </c>
      <c r="DJ8">
        <f>DI8</f>
        <v>741.59</v>
      </c>
      <c r="DK8">
        <v>1</v>
      </c>
      <c r="DL8" t="s">
        <v>3</v>
      </c>
      <c r="DM8">
        <v>0</v>
      </c>
      <c r="DN8" t="s">
        <v>3</v>
      </c>
      <c r="DO8">
        <v>0</v>
      </c>
    </row>
    <row r="9" spans="1:119" x14ac:dyDescent="0.2">
      <c r="A9">
        <f>ROW(Source!A27)</f>
        <v>27</v>
      </c>
      <c r="B9">
        <v>55858619</v>
      </c>
      <c r="C9">
        <v>51353878</v>
      </c>
      <c r="D9">
        <v>49971314</v>
      </c>
      <c r="E9">
        <v>114</v>
      </c>
      <c r="F9">
        <v>1</v>
      </c>
      <c r="G9">
        <v>1</v>
      </c>
      <c r="H9">
        <v>1</v>
      </c>
      <c r="I9" t="s">
        <v>358</v>
      </c>
      <c r="J9" t="s">
        <v>3</v>
      </c>
      <c r="K9" t="s">
        <v>359</v>
      </c>
      <c r="L9">
        <v>1191</v>
      </c>
      <c r="N9">
        <v>1013</v>
      </c>
      <c r="O9" t="s">
        <v>357</v>
      </c>
      <c r="P9" t="s">
        <v>357</v>
      </c>
      <c r="Q9">
        <v>1</v>
      </c>
      <c r="W9">
        <v>0</v>
      </c>
      <c r="X9">
        <v>-1417349443</v>
      </c>
      <c r="Y9">
        <f>(AT9*ROUND(1.25,7))</f>
        <v>22.650000000000002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M9">
        <v>-2</v>
      </c>
      <c r="AN9">
        <v>0</v>
      </c>
      <c r="AO9">
        <v>0</v>
      </c>
      <c r="AP9">
        <v>1</v>
      </c>
      <c r="AQ9">
        <v>1</v>
      </c>
      <c r="AR9">
        <v>0</v>
      </c>
      <c r="AS9" t="s">
        <v>3</v>
      </c>
      <c r="AT9">
        <v>18.12</v>
      </c>
      <c r="AU9" t="s">
        <v>46</v>
      </c>
      <c r="AV9">
        <v>2</v>
      </c>
      <c r="AW9">
        <v>2</v>
      </c>
      <c r="AX9">
        <v>51353880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V9">
        <v>0</v>
      </c>
      <c r="CW9">
        <v>0</v>
      </c>
      <c r="CX9">
        <f>ROUND(Y9*Source!I27,7)</f>
        <v>0.32842500000000002</v>
      </c>
      <c r="CY9">
        <f>AD9</f>
        <v>0</v>
      </c>
      <c r="CZ9">
        <f>AH9</f>
        <v>0</v>
      </c>
      <c r="DA9">
        <f>AL9</f>
        <v>1</v>
      </c>
      <c r="DB9">
        <f>ROUND((ROUND(AT9*CZ9,2)*ROUND(1.25,7)),6)</f>
        <v>0</v>
      </c>
      <c r="DC9">
        <f>ROUND((ROUND(AT9*AG9,2)*ROUND(1.25,7)),6)</f>
        <v>0</v>
      </c>
      <c r="DD9" t="s">
        <v>3</v>
      </c>
      <c r="DE9" t="s">
        <v>3</v>
      </c>
      <c r="DF9">
        <f t="shared" si="3"/>
        <v>0</v>
      </c>
      <c r="DG9">
        <f>ROUND(ROUND(AF9,2)*CX9,2)</f>
        <v>0</v>
      </c>
      <c r="DH9">
        <f t="shared" si="4"/>
        <v>0</v>
      </c>
      <c r="DI9">
        <f t="shared" si="5"/>
        <v>0</v>
      </c>
      <c r="DJ9">
        <f>DI9</f>
        <v>0</v>
      </c>
      <c r="DK9">
        <v>0</v>
      </c>
      <c r="DL9" t="s">
        <v>3</v>
      </c>
      <c r="DM9">
        <v>0</v>
      </c>
      <c r="DN9" t="s">
        <v>3</v>
      </c>
      <c r="DO9">
        <v>0</v>
      </c>
    </row>
    <row r="10" spans="1:119" x14ac:dyDescent="0.2">
      <c r="A10">
        <f>ROW(Source!A27)</f>
        <v>27</v>
      </c>
      <c r="B10">
        <v>55858619</v>
      </c>
      <c r="C10">
        <v>51353878</v>
      </c>
      <c r="D10">
        <v>50095707</v>
      </c>
      <c r="E10">
        <v>1</v>
      </c>
      <c r="F10">
        <v>1</v>
      </c>
      <c r="G10">
        <v>1</v>
      </c>
      <c r="H10">
        <v>2</v>
      </c>
      <c r="I10" t="s">
        <v>375</v>
      </c>
      <c r="J10" t="s">
        <v>376</v>
      </c>
      <c r="K10" t="s">
        <v>377</v>
      </c>
      <c r="L10">
        <v>1368</v>
      </c>
      <c r="N10">
        <v>1011</v>
      </c>
      <c r="O10" t="s">
        <v>363</v>
      </c>
      <c r="P10" t="s">
        <v>363</v>
      </c>
      <c r="Q10">
        <v>1</v>
      </c>
      <c r="W10">
        <v>0</v>
      </c>
      <c r="X10">
        <v>-344999761</v>
      </c>
      <c r="Y10">
        <f>(AT10*ROUND(1.25,7))</f>
        <v>22.5</v>
      </c>
      <c r="AA10">
        <v>0</v>
      </c>
      <c r="AB10">
        <v>1098</v>
      </c>
      <c r="AC10">
        <v>544.01</v>
      </c>
      <c r="AD10">
        <v>0</v>
      </c>
      <c r="AE10">
        <v>0</v>
      </c>
      <c r="AF10">
        <v>1098</v>
      </c>
      <c r="AG10">
        <v>544.01</v>
      </c>
      <c r="AH10">
        <v>0</v>
      </c>
      <c r="AI10">
        <v>1</v>
      </c>
      <c r="AJ10">
        <v>1</v>
      </c>
      <c r="AK10">
        <v>1</v>
      </c>
      <c r="AL10">
        <v>1</v>
      </c>
      <c r="AM10">
        <v>-2</v>
      </c>
      <c r="AN10">
        <v>0</v>
      </c>
      <c r="AO10">
        <v>0</v>
      </c>
      <c r="AP10">
        <v>1</v>
      </c>
      <c r="AQ10">
        <v>1</v>
      </c>
      <c r="AR10">
        <v>0</v>
      </c>
      <c r="AS10" t="s">
        <v>3</v>
      </c>
      <c r="AT10">
        <v>18</v>
      </c>
      <c r="AU10" t="s">
        <v>46</v>
      </c>
      <c r="AV10">
        <v>1</v>
      </c>
      <c r="AW10">
        <v>2</v>
      </c>
      <c r="AX10">
        <v>51353881</v>
      </c>
      <c r="AY10">
        <v>2</v>
      </c>
      <c r="AZ10">
        <v>98304</v>
      </c>
      <c r="BA10">
        <v>10</v>
      </c>
      <c r="BB10">
        <v>1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19764</v>
      </c>
      <c r="BL10">
        <v>9792.18</v>
      </c>
      <c r="BM10">
        <v>0</v>
      </c>
      <c r="BN10">
        <v>0</v>
      </c>
      <c r="BO10">
        <v>18</v>
      </c>
      <c r="BP10">
        <v>1</v>
      </c>
      <c r="BQ10">
        <v>0</v>
      </c>
      <c r="BR10">
        <v>24705</v>
      </c>
      <c r="BS10">
        <v>12240.225</v>
      </c>
      <c r="BT10">
        <v>0</v>
      </c>
      <c r="BU10">
        <v>0</v>
      </c>
      <c r="BV10">
        <v>22.5</v>
      </c>
      <c r="BW10">
        <v>1</v>
      </c>
      <c r="CV10">
        <v>0</v>
      </c>
      <c r="CW10">
        <f>ROUND(Y10*Source!I27*DO10,7)</f>
        <v>0.32624999999999998</v>
      </c>
      <c r="CX10">
        <f>ROUND(Y10*Source!I27,7)</f>
        <v>0.32624999999999998</v>
      </c>
      <c r="CY10">
        <f>AB10</f>
        <v>1098</v>
      </c>
      <c r="CZ10">
        <f>AF10</f>
        <v>1098</v>
      </c>
      <c r="DA10">
        <f>AJ10</f>
        <v>1</v>
      </c>
      <c r="DB10">
        <f>ROUND((ROUND(AT10*CZ10,2)*ROUND(1.25,7)),6)</f>
        <v>24705</v>
      </c>
      <c r="DC10">
        <f>ROUND((ROUND(AT10*AG10,2)*ROUND(1.25,7)),6)</f>
        <v>12240.225</v>
      </c>
      <c r="DD10" t="s">
        <v>3</v>
      </c>
      <c r="DE10" t="s">
        <v>3</v>
      </c>
      <c r="DF10">
        <f t="shared" si="3"/>
        <v>0</v>
      </c>
      <c r="DG10">
        <f>ROUND(ROUND(AF10,2)*CX10,2)</f>
        <v>358.22</v>
      </c>
      <c r="DH10">
        <f t="shared" si="4"/>
        <v>177.48</v>
      </c>
      <c r="DI10">
        <f t="shared" si="5"/>
        <v>0</v>
      </c>
      <c r="DJ10">
        <f>DG10+DH10</f>
        <v>535.70000000000005</v>
      </c>
      <c r="DK10">
        <v>1</v>
      </c>
      <c r="DL10" t="s">
        <v>378</v>
      </c>
      <c r="DM10">
        <v>6</v>
      </c>
      <c r="DN10" t="s">
        <v>357</v>
      </c>
      <c r="DO10">
        <v>1</v>
      </c>
    </row>
    <row r="11" spans="1:119" x14ac:dyDescent="0.2">
      <c r="A11">
        <f>ROW(Source!A27)</f>
        <v>27</v>
      </c>
      <c r="B11">
        <v>55858619</v>
      </c>
      <c r="C11">
        <v>51353878</v>
      </c>
      <c r="D11">
        <v>50096015</v>
      </c>
      <c r="E11">
        <v>1</v>
      </c>
      <c r="F11">
        <v>1</v>
      </c>
      <c r="G11">
        <v>1</v>
      </c>
      <c r="H11">
        <v>2</v>
      </c>
      <c r="I11" t="s">
        <v>379</v>
      </c>
      <c r="J11" t="s">
        <v>380</v>
      </c>
      <c r="K11" t="s">
        <v>381</v>
      </c>
      <c r="L11">
        <v>1368</v>
      </c>
      <c r="N11">
        <v>1011</v>
      </c>
      <c r="O11" t="s">
        <v>363</v>
      </c>
      <c r="P11" t="s">
        <v>363</v>
      </c>
      <c r="Q11">
        <v>1</v>
      </c>
      <c r="W11">
        <v>0</v>
      </c>
      <c r="X11">
        <v>1781981071</v>
      </c>
      <c r="Y11">
        <f>(AT11*ROUND(1.25,7))</f>
        <v>7.4124999999999996</v>
      </c>
      <c r="AA11">
        <v>0</v>
      </c>
      <c r="AB11">
        <v>13.66</v>
      </c>
      <c r="AC11">
        <v>0</v>
      </c>
      <c r="AD11">
        <v>0</v>
      </c>
      <c r="AE11">
        <v>0</v>
      </c>
      <c r="AF11">
        <v>8.5399999999999991</v>
      </c>
      <c r="AG11">
        <v>0</v>
      </c>
      <c r="AH11">
        <v>0</v>
      </c>
      <c r="AI11">
        <v>1</v>
      </c>
      <c r="AJ11">
        <v>1.6</v>
      </c>
      <c r="AK11">
        <v>1</v>
      </c>
      <c r="AL11">
        <v>1</v>
      </c>
      <c r="AM11">
        <v>2</v>
      </c>
      <c r="AN11">
        <v>0</v>
      </c>
      <c r="AO11">
        <v>0</v>
      </c>
      <c r="AP11">
        <v>1</v>
      </c>
      <c r="AQ11">
        <v>1</v>
      </c>
      <c r="AR11">
        <v>0</v>
      </c>
      <c r="AS11" t="s">
        <v>3</v>
      </c>
      <c r="AT11">
        <v>5.93</v>
      </c>
      <c r="AU11" t="s">
        <v>46</v>
      </c>
      <c r="AV11">
        <v>1</v>
      </c>
      <c r="AW11">
        <v>2</v>
      </c>
      <c r="AX11">
        <v>51353882</v>
      </c>
      <c r="AY11">
        <v>1</v>
      </c>
      <c r="AZ11">
        <v>0</v>
      </c>
      <c r="BA11">
        <v>11</v>
      </c>
      <c r="BB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50.642199999999995</v>
      </c>
      <c r="BL11">
        <v>0</v>
      </c>
      <c r="BM11">
        <v>0</v>
      </c>
      <c r="BN11">
        <v>0</v>
      </c>
      <c r="BO11">
        <v>0</v>
      </c>
      <c r="BP11">
        <v>1</v>
      </c>
      <c r="BQ11">
        <v>0</v>
      </c>
      <c r="BR11">
        <v>63.302749999999989</v>
      </c>
      <c r="BS11">
        <v>0</v>
      </c>
      <c r="BT11">
        <v>0</v>
      </c>
      <c r="BU11">
        <v>0</v>
      </c>
      <c r="BV11">
        <v>0</v>
      </c>
      <c r="BW11">
        <v>1</v>
      </c>
      <c r="CV11">
        <v>0</v>
      </c>
      <c r="CW11">
        <f>ROUND(Y11*Source!I27*DO11,7)</f>
        <v>0</v>
      </c>
      <c r="CX11">
        <f>ROUND(Y11*Source!I27,7)</f>
        <v>0.1074813</v>
      </c>
      <c r="CY11">
        <f>AB11</f>
        <v>13.66</v>
      </c>
      <c r="CZ11">
        <f>AF11</f>
        <v>8.5399999999999991</v>
      </c>
      <c r="DA11">
        <f>AJ11</f>
        <v>1.6</v>
      </c>
      <c r="DB11">
        <f>ROUND((ROUND(AT11*CZ11,2)*ROUND(1.25,7)),6)</f>
        <v>63.3</v>
      </c>
      <c r="DC11">
        <f>ROUND((ROUND(AT11*AG11,2)*ROUND(1.25,7)),6)</f>
        <v>0</v>
      </c>
      <c r="DD11" t="s">
        <v>3</v>
      </c>
      <c r="DE11" t="s">
        <v>3</v>
      </c>
      <c r="DF11">
        <f t="shared" si="3"/>
        <v>0</v>
      </c>
      <c r="DG11">
        <f>ROUND(ROUND(AF11*AJ11,2)*CX11,2)</f>
        <v>1.47</v>
      </c>
      <c r="DH11">
        <f t="shared" si="4"/>
        <v>0</v>
      </c>
      <c r="DI11">
        <f t="shared" si="5"/>
        <v>0</v>
      </c>
      <c r="DJ11">
        <f>DG11+DH11</f>
        <v>1.47</v>
      </c>
      <c r="DK11">
        <v>0</v>
      </c>
      <c r="DL11" t="s">
        <v>3</v>
      </c>
      <c r="DM11">
        <v>0</v>
      </c>
      <c r="DN11" t="s">
        <v>3</v>
      </c>
      <c r="DO11">
        <v>0</v>
      </c>
    </row>
    <row r="12" spans="1:119" x14ac:dyDescent="0.2">
      <c r="A12">
        <f>ROW(Source!A27)</f>
        <v>27</v>
      </c>
      <c r="B12">
        <v>55858619</v>
      </c>
      <c r="C12">
        <v>51353878</v>
      </c>
      <c r="D12">
        <v>50096650</v>
      </c>
      <c r="E12">
        <v>1</v>
      </c>
      <c r="F12">
        <v>1</v>
      </c>
      <c r="G12">
        <v>1</v>
      </c>
      <c r="H12">
        <v>2</v>
      </c>
      <c r="I12" t="s">
        <v>382</v>
      </c>
      <c r="J12" t="s">
        <v>383</v>
      </c>
      <c r="K12" t="s">
        <v>384</v>
      </c>
      <c r="L12">
        <v>1368</v>
      </c>
      <c r="N12">
        <v>1011</v>
      </c>
      <c r="O12" t="s">
        <v>363</v>
      </c>
      <c r="P12" t="s">
        <v>363</v>
      </c>
      <c r="Q12">
        <v>1</v>
      </c>
      <c r="W12">
        <v>0</v>
      </c>
      <c r="X12">
        <v>-1152394969</v>
      </c>
      <c r="Y12">
        <f>(AT12*ROUND(1.25,7))</f>
        <v>0.15</v>
      </c>
      <c r="AA12">
        <v>0</v>
      </c>
      <c r="AB12">
        <v>680.75</v>
      </c>
      <c r="AC12">
        <v>404.99</v>
      </c>
      <c r="AD12">
        <v>0</v>
      </c>
      <c r="AE12">
        <v>0</v>
      </c>
      <c r="AF12">
        <v>680.75</v>
      </c>
      <c r="AG12">
        <v>404.99</v>
      </c>
      <c r="AH12">
        <v>0</v>
      </c>
      <c r="AI12">
        <v>1</v>
      </c>
      <c r="AJ12">
        <v>1</v>
      </c>
      <c r="AK12">
        <v>1</v>
      </c>
      <c r="AL12">
        <v>1</v>
      </c>
      <c r="AM12">
        <v>-2</v>
      </c>
      <c r="AN12">
        <v>0</v>
      </c>
      <c r="AO12">
        <v>0</v>
      </c>
      <c r="AP12">
        <v>1</v>
      </c>
      <c r="AQ12">
        <v>1</v>
      </c>
      <c r="AR12">
        <v>0</v>
      </c>
      <c r="AS12" t="s">
        <v>3</v>
      </c>
      <c r="AT12">
        <v>0.12</v>
      </c>
      <c r="AU12" t="s">
        <v>46</v>
      </c>
      <c r="AV12">
        <v>1</v>
      </c>
      <c r="AW12">
        <v>2</v>
      </c>
      <c r="AX12">
        <v>51353883</v>
      </c>
      <c r="AY12">
        <v>2</v>
      </c>
      <c r="AZ12">
        <v>98304</v>
      </c>
      <c r="BA12">
        <v>12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81.69</v>
      </c>
      <c r="BL12">
        <v>48.598799999999997</v>
      </c>
      <c r="BM12">
        <v>0</v>
      </c>
      <c r="BN12">
        <v>0</v>
      </c>
      <c r="BO12">
        <v>0.12</v>
      </c>
      <c r="BP12">
        <v>1</v>
      </c>
      <c r="BQ12">
        <v>0</v>
      </c>
      <c r="BR12">
        <v>102.1125</v>
      </c>
      <c r="BS12">
        <v>60.7485</v>
      </c>
      <c r="BT12">
        <v>0</v>
      </c>
      <c r="BU12">
        <v>0</v>
      </c>
      <c r="BV12">
        <v>0.15</v>
      </c>
      <c r="BW12">
        <v>1</v>
      </c>
      <c r="CV12">
        <v>0</v>
      </c>
      <c r="CW12">
        <f>ROUND(Y12*Source!I27*DO12,7)</f>
        <v>2.1749999999999999E-3</v>
      </c>
      <c r="CX12">
        <f>ROUND(Y12*Source!I27,7)</f>
        <v>2.1749999999999999E-3</v>
      </c>
      <c r="CY12">
        <f>AB12</f>
        <v>680.75</v>
      </c>
      <c r="CZ12">
        <f>AF12</f>
        <v>680.75</v>
      </c>
      <c r="DA12">
        <f>AJ12</f>
        <v>1</v>
      </c>
      <c r="DB12">
        <f>ROUND((ROUND(AT12*CZ12,2)*ROUND(1.25,7)),6)</f>
        <v>102.1125</v>
      </c>
      <c r="DC12">
        <f>ROUND((ROUND(AT12*AG12,2)*ROUND(1.25,7)),6)</f>
        <v>60.75</v>
      </c>
      <c r="DD12" t="s">
        <v>3</v>
      </c>
      <c r="DE12" t="s">
        <v>3</v>
      </c>
      <c r="DF12">
        <f t="shared" si="3"/>
        <v>0</v>
      </c>
      <c r="DG12">
        <f t="shared" ref="DG12:DG17" si="6">ROUND(ROUND(AF12,2)*CX12,2)</f>
        <v>1.48</v>
      </c>
      <c r="DH12">
        <f t="shared" si="4"/>
        <v>0.88</v>
      </c>
      <c r="DI12">
        <f t="shared" si="5"/>
        <v>0</v>
      </c>
      <c r="DJ12">
        <f>DG12+DH12</f>
        <v>2.36</v>
      </c>
      <c r="DK12">
        <v>1</v>
      </c>
      <c r="DL12" t="s">
        <v>385</v>
      </c>
      <c r="DM12">
        <v>4</v>
      </c>
      <c r="DN12" t="s">
        <v>357</v>
      </c>
      <c r="DO12">
        <v>1</v>
      </c>
    </row>
    <row r="13" spans="1:119" x14ac:dyDescent="0.2">
      <c r="A13">
        <f>ROW(Source!A27)</f>
        <v>27</v>
      </c>
      <c r="B13">
        <v>55858619</v>
      </c>
      <c r="C13">
        <v>51353878</v>
      </c>
      <c r="D13">
        <v>50042837</v>
      </c>
      <c r="E13">
        <v>1</v>
      </c>
      <c r="F13">
        <v>1</v>
      </c>
      <c r="G13">
        <v>1</v>
      </c>
      <c r="H13">
        <v>3</v>
      </c>
      <c r="I13" t="s">
        <v>386</v>
      </c>
      <c r="J13" t="s">
        <v>387</v>
      </c>
      <c r="K13" t="s">
        <v>388</v>
      </c>
      <c r="L13">
        <v>1339</v>
      </c>
      <c r="N13">
        <v>1007</v>
      </c>
      <c r="O13" t="s">
        <v>33</v>
      </c>
      <c r="P13" t="s">
        <v>33</v>
      </c>
      <c r="Q13">
        <v>1</v>
      </c>
      <c r="W13">
        <v>0</v>
      </c>
      <c r="X13">
        <v>-1879317523</v>
      </c>
      <c r="Y13">
        <f>AT13</f>
        <v>1.75</v>
      </c>
      <c r="AA13">
        <v>29.64</v>
      </c>
      <c r="AB13">
        <v>0</v>
      </c>
      <c r="AC13">
        <v>0</v>
      </c>
      <c r="AD13">
        <v>0</v>
      </c>
      <c r="AE13">
        <v>35.71</v>
      </c>
      <c r="AF13">
        <v>0</v>
      </c>
      <c r="AG13">
        <v>0</v>
      </c>
      <c r="AH13">
        <v>0</v>
      </c>
      <c r="AI13">
        <v>0.83</v>
      </c>
      <c r="AJ13">
        <v>1</v>
      </c>
      <c r="AK13">
        <v>1</v>
      </c>
      <c r="AL13">
        <v>1</v>
      </c>
      <c r="AM13">
        <v>2</v>
      </c>
      <c r="AN13">
        <v>0</v>
      </c>
      <c r="AO13">
        <v>0</v>
      </c>
      <c r="AP13">
        <v>0</v>
      </c>
      <c r="AQ13">
        <v>1</v>
      </c>
      <c r="AR13">
        <v>0</v>
      </c>
      <c r="AS13" t="s">
        <v>3</v>
      </c>
      <c r="AT13">
        <v>1.75</v>
      </c>
      <c r="AU13" t="s">
        <v>3</v>
      </c>
      <c r="AV13">
        <v>0</v>
      </c>
      <c r="AW13">
        <v>2</v>
      </c>
      <c r="AX13">
        <v>51353884</v>
      </c>
      <c r="AY13">
        <v>1</v>
      </c>
      <c r="AZ13">
        <v>0</v>
      </c>
      <c r="BA13">
        <v>13</v>
      </c>
      <c r="BB13">
        <v>1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62.4925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1</v>
      </c>
      <c r="BQ13">
        <v>62.4925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1</v>
      </c>
      <c r="CV13">
        <v>0</v>
      </c>
      <c r="CW13">
        <v>0</v>
      </c>
      <c r="CX13">
        <f>ROUND(Y13*Source!I27,7)</f>
        <v>2.5375000000000002E-2</v>
      </c>
      <c r="CY13">
        <f>AA13</f>
        <v>29.64</v>
      </c>
      <c r="CZ13">
        <f>AE13</f>
        <v>35.71</v>
      </c>
      <c r="DA13">
        <f>AI13</f>
        <v>0.83</v>
      </c>
      <c r="DB13">
        <f>ROUND(ROUND(AT13*CZ13,2),6)</f>
        <v>62.49</v>
      </c>
      <c r="DC13">
        <f>ROUND(ROUND(AT13*AG13,2),6)</f>
        <v>0</v>
      </c>
      <c r="DD13" t="s">
        <v>3</v>
      </c>
      <c r="DE13" t="s">
        <v>3</v>
      </c>
      <c r="DF13">
        <f>ROUND(ROUND(AE13*AI13,2)*CX13,2)</f>
        <v>0.75</v>
      </c>
      <c r="DG13">
        <f t="shared" si="6"/>
        <v>0</v>
      </c>
      <c r="DH13">
        <f t="shared" si="4"/>
        <v>0</v>
      </c>
      <c r="DI13">
        <f t="shared" si="5"/>
        <v>0</v>
      </c>
      <c r="DJ13">
        <f>DF13</f>
        <v>0.75</v>
      </c>
      <c r="DK13">
        <v>0</v>
      </c>
      <c r="DL13" t="s">
        <v>3</v>
      </c>
      <c r="DM13">
        <v>0</v>
      </c>
      <c r="DN13" t="s">
        <v>3</v>
      </c>
      <c r="DO13">
        <v>0</v>
      </c>
    </row>
    <row r="14" spans="1:119" x14ac:dyDescent="0.2">
      <c r="A14">
        <f>ROW(Source!A27)</f>
        <v>27</v>
      </c>
      <c r="B14">
        <v>55858619</v>
      </c>
      <c r="C14">
        <v>51353878</v>
      </c>
      <c r="D14">
        <v>50043148</v>
      </c>
      <c r="E14">
        <v>1</v>
      </c>
      <c r="F14">
        <v>1</v>
      </c>
      <c r="G14">
        <v>1</v>
      </c>
      <c r="H14">
        <v>3</v>
      </c>
      <c r="I14" t="s">
        <v>389</v>
      </c>
      <c r="J14" t="s">
        <v>390</v>
      </c>
      <c r="K14" t="s">
        <v>391</v>
      </c>
      <c r="L14">
        <v>1327</v>
      </c>
      <c r="N14">
        <v>1005</v>
      </c>
      <c r="O14" t="s">
        <v>69</v>
      </c>
      <c r="P14" t="s">
        <v>69</v>
      </c>
      <c r="Q14">
        <v>1</v>
      </c>
      <c r="W14">
        <v>0</v>
      </c>
      <c r="X14">
        <v>-765638188</v>
      </c>
      <c r="Y14">
        <f>AT14</f>
        <v>250</v>
      </c>
      <c r="AA14">
        <v>15.14</v>
      </c>
      <c r="AB14">
        <v>0</v>
      </c>
      <c r="AC14">
        <v>0</v>
      </c>
      <c r="AD14">
        <v>0</v>
      </c>
      <c r="AE14">
        <v>12.83</v>
      </c>
      <c r="AF14">
        <v>0</v>
      </c>
      <c r="AG14">
        <v>0</v>
      </c>
      <c r="AH14">
        <v>0</v>
      </c>
      <c r="AI14">
        <v>1.18</v>
      </c>
      <c r="AJ14">
        <v>1</v>
      </c>
      <c r="AK14">
        <v>1</v>
      </c>
      <c r="AL14">
        <v>1</v>
      </c>
      <c r="AM14">
        <v>2</v>
      </c>
      <c r="AN14">
        <v>0</v>
      </c>
      <c r="AO14">
        <v>0</v>
      </c>
      <c r="AP14">
        <v>0</v>
      </c>
      <c r="AQ14">
        <v>1</v>
      </c>
      <c r="AR14">
        <v>0</v>
      </c>
      <c r="AS14" t="s">
        <v>3</v>
      </c>
      <c r="AT14">
        <v>250</v>
      </c>
      <c r="AU14" t="s">
        <v>3</v>
      </c>
      <c r="AV14">
        <v>0</v>
      </c>
      <c r="AW14">
        <v>2</v>
      </c>
      <c r="AX14">
        <v>51353885</v>
      </c>
      <c r="AY14">
        <v>1</v>
      </c>
      <c r="AZ14">
        <v>0</v>
      </c>
      <c r="BA14">
        <v>14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3207.5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1</v>
      </c>
      <c r="BQ14">
        <v>3207.5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1</v>
      </c>
      <c r="CV14">
        <v>0</v>
      </c>
      <c r="CW14">
        <v>0</v>
      </c>
      <c r="CX14">
        <f>ROUND(Y14*Source!I27,7)</f>
        <v>3.625</v>
      </c>
      <c r="CY14">
        <f>AA14</f>
        <v>15.14</v>
      </c>
      <c r="CZ14">
        <f>AE14</f>
        <v>12.83</v>
      </c>
      <c r="DA14">
        <f>AI14</f>
        <v>1.18</v>
      </c>
      <c r="DB14">
        <f>ROUND(ROUND(AT14*CZ14,2),6)</f>
        <v>3207.5</v>
      </c>
      <c r="DC14">
        <f>ROUND(ROUND(AT14*AG14,2),6)</f>
        <v>0</v>
      </c>
      <c r="DD14" t="s">
        <v>3</v>
      </c>
      <c r="DE14" t="s">
        <v>3</v>
      </c>
      <c r="DF14">
        <f>ROUND(ROUND(AE14*AI14,2)*CX14,2)</f>
        <v>54.88</v>
      </c>
      <c r="DG14">
        <f t="shared" si="6"/>
        <v>0</v>
      </c>
      <c r="DH14">
        <f t="shared" si="4"/>
        <v>0</v>
      </c>
      <c r="DI14">
        <f t="shared" si="5"/>
        <v>0</v>
      </c>
      <c r="DJ14">
        <f>DF14</f>
        <v>54.88</v>
      </c>
      <c r="DK14">
        <v>0</v>
      </c>
      <c r="DL14" t="s">
        <v>3</v>
      </c>
      <c r="DM14">
        <v>0</v>
      </c>
      <c r="DN14" t="s">
        <v>3</v>
      </c>
      <c r="DO14">
        <v>0</v>
      </c>
    </row>
    <row r="15" spans="1:119" x14ac:dyDescent="0.2">
      <c r="A15">
        <f>ROW(Source!A27)</f>
        <v>27</v>
      </c>
      <c r="B15">
        <v>55858619</v>
      </c>
      <c r="C15">
        <v>51353878</v>
      </c>
      <c r="D15">
        <v>50046556</v>
      </c>
      <c r="E15">
        <v>1</v>
      </c>
      <c r="F15">
        <v>1</v>
      </c>
      <c r="G15">
        <v>1</v>
      </c>
      <c r="H15">
        <v>3</v>
      </c>
      <c r="I15" t="s">
        <v>56</v>
      </c>
      <c r="J15" t="s">
        <v>58</v>
      </c>
      <c r="K15" t="s">
        <v>57</v>
      </c>
      <c r="L15">
        <v>1339</v>
      </c>
      <c r="N15">
        <v>1007</v>
      </c>
      <c r="O15" t="s">
        <v>33</v>
      </c>
      <c r="P15" t="s">
        <v>33</v>
      </c>
      <c r="Q15">
        <v>1</v>
      </c>
      <c r="W15">
        <v>0</v>
      </c>
      <c r="X15">
        <v>-438990866</v>
      </c>
      <c r="Y15">
        <f>AT15</f>
        <v>102</v>
      </c>
      <c r="AA15">
        <v>6402.48</v>
      </c>
      <c r="AB15">
        <v>0</v>
      </c>
      <c r="AC15">
        <v>0</v>
      </c>
      <c r="AD15">
        <v>0</v>
      </c>
      <c r="AE15">
        <v>6402.48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M15">
        <v>-2</v>
      </c>
      <c r="AN15">
        <v>0</v>
      </c>
      <c r="AO15">
        <v>0</v>
      </c>
      <c r="AP15">
        <v>1</v>
      </c>
      <c r="AQ15">
        <v>0</v>
      </c>
      <c r="AR15">
        <v>0</v>
      </c>
      <c r="AS15" t="s">
        <v>3</v>
      </c>
      <c r="AT15">
        <v>102</v>
      </c>
      <c r="AU15" t="s">
        <v>3</v>
      </c>
      <c r="AV15">
        <v>0</v>
      </c>
      <c r="AW15">
        <v>1</v>
      </c>
      <c r="AX15">
        <v>-1</v>
      </c>
      <c r="AY15">
        <v>0</v>
      </c>
      <c r="AZ15">
        <v>0</v>
      </c>
      <c r="BA15" t="s">
        <v>3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v>0</v>
      </c>
      <c r="CX15">
        <f>ROUND(Y15*Source!I27,7)</f>
        <v>1.4790000000000001</v>
      </c>
      <c r="CY15">
        <f>AA15</f>
        <v>6402.48</v>
      </c>
      <c r="CZ15">
        <f>AE15</f>
        <v>6402.48</v>
      </c>
      <c r="DA15">
        <f>AI15</f>
        <v>1</v>
      </c>
      <c r="DB15">
        <f>ROUND(ROUND(AT15*CZ15,2),6)</f>
        <v>653052.96</v>
      </c>
      <c r="DC15">
        <f>ROUND(ROUND(AT15*AG15,2),6)</f>
        <v>0</v>
      </c>
      <c r="DD15" t="s">
        <v>3</v>
      </c>
      <c r="DE15" t="s">
        <v>3</v>
      </c>
      <c r="DF15">
        <f t="shared" ref="DF15:DF21" si="7">ROUND(ROUND(AE15,2)*CX15,2)</f>
        <v>9469.27</v>
      </c>
      <c r="DG15">
        <f t="shared" si="6"/>
        <v>0</v>
      </c>
      <c r="DH15">
        <f t="shared" si="4"/>
        <v>0</v>
      </c>
      <c r="DI15">
        <f t="shared" si="5"/>
        <v>0</v>
      </c>
      <c r="DJ15">
        <f>DF15</f>
        <v>9469.27</v>
      </c>
      <c r="DK15">
        <v>1</v>
      </c>
      <c r="DL15" t="s">
        <v>3</v>
      </c>
      <c r="DM15">
        <v>0</v>
      </c>
      <c r="DN15" t="s">
        <v>3</v>
      </c>
      <c r="DO15">
        <v>0</v>
      </c>
    </row>
    <row r="16" spans="1:119" x14ac:dyDescent="0.2">
      <c r="A16">
        <f>ROW(Source!A29)</f>
        <v>29</v>
      </c>
      <c r="B16">
        <v>55858619</v>
      </c>
      <c r="C16">
        <v>51353890</v>
      </c>
      <c r="D16">
        <v>49971123</v>
      </c>
      <c r="E16">
        <v>114</v>
      </c>
      <c r="F16">
        <v>1</v>
      </c>
      <c r="G16">
        <v>1</v>
      </c>
      <c r="H16">
        <v>1</v>
      </c>
      <c r="I16" t="s">
        <v>392</v>
      </c>
      <c r="J16" t="s">
        <v>3</v>
      </c>
      <c r="K16" t="s">
        <v>393</v>
      </c>
      <c r="L16">
        <v>1191</v>
      </c>
      <c r="N16">
        <v>1013</v>
      </c>
      <c r="O16" t="s">
        <v>357</v>
      </c>
      <c r="P16" t="s">
        <v>357</v>
      </c>
      <c r="Q16">
        <v>1</v>
      </c>
      <c r="W16">
        <v>0</v>
      </c>
      <c r="X16">
        <v>1958912953</v>
      </c>
      <c r="Y16">
        <f>(AT16*ROUND(1.15,7))</f>
        <v>356.983</v>
      </c>
      <c r="AA16">
        <v>0</v>
      </c>
      <c r="AB16">
        <v>0</v>
      </c>
      <c r="AC16">
        <v>0</v>
      </c>
      <c r="AD16">
        <v>368.72</v>
      </c>
      <c r="AE16">
        <v>0</v>
      </c>
      <c r="AF16">
        <v>0</v>
      </c>
      <c r="AG16">
        <v>0</v>
      </c>
      <c r="AH16">
        <v>368.72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0</v>
      </c>
      <c r="AP16">
        <v>1</v>
      </c>
      <c r="AQ16">
        <v>1</v>
      </c>
      <c r="AR16">
        <v>0</v>
      </c>
      <c r="AS16" t="s">
        <v>3</v>
      </c>
      <c r="AT16">
        <v>310.42</v>
      </c>
      <c r="AU16" t="s">
        <v>47</v>
      </c>
      <c r="AV16">
        <v>1</v>
      </c>
      <c r="AW16">
        <v>2</v>
      </c>
      <c r="AX16">
        <v>51353891</v>
      </c>
      <c r="AY16">
        <v>2</v>
      </c>
      <c r="AZ16">
        <v>131072</v>
      </c>
      <c r="BA16">
        <v>16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114458.06240000001</v>
      </c>
      <c r="BN16">
        <v>310.42</v>
      </c>
      <c r="BO16">
        <v>0</v>
      </c>
      <c r="BP16">
        <v>1</v>
      </c>
      <c r="BQ16">
        <v>0</v>
      </c>
      <c r="BR16">
        <v>0</v>
      </c>
      <c r="BS16">
        <v>0</v>
      </c>
      <c r="BT16">
        <v>131626.77176</v>
      </c>
      <c r="BU16">
        <v>356.983</v>
      </c>
      <c r="BV16">
        <v>0</v>
      </c>
      <c r="BW16">
        <v>1</v>
      </c>
      <c r="CU16">
        <f>ROUND(AT16*Source!I29*AH16*AL16,2)</f>
        <v>45783.22</v>
      </c>
      <c r="CV16">
        <f>ROUND(Y16*Source!I29,7)</f>
        <v>142.79320000000001</v>
      </c>
      <c r="CW16">
        <v>0</v>
      </c>
      <c r="CX16">
        <f>ROUND(Y16*Source!I29,7)</f>
        <v>142.79320000000001</v>
      </c>
      <c r="CY16">
        <f>AD16</f>
        <v>368.72</v>
      </c>
      <c r="CZ16">
        <f>AH16</f>
        <v>368.72</v>
      </c>
      <c r="DA16">
        <f>AL16</f>
        <v>1</v>
      </c>
      <c r="DB16">
        <f>ROUND((ROUND(AT16*CZ16,2)*ROUND(1.15,7)),6)</f>
        <v>131626.769</v>
      </c>
      <c r="DC16">
        <f>ROUND((ROUND(AT16*AG16,2)*ROUND(1.15,7)),6)</f>
        <v>0</v>
      </c>
      <c r="DD16" t="s">
        <v>3</v>
      </c>
      <c r="DE16" t="s">
        <v>3</v>
      </c>
      <c r="DF16">
        <f t="shared" si="7"/>
        <v>0</v>
      </c>
      <c r="DG16">
        <f t="shared" si="6"/>
        <v>0</v>
      </c>
      <c r="DH16">
        <f t="shared" si="4"/>
        <v>0</v>
      </c>
      <c r="DI16">
        <f t="shared" si="5"/>
        <v>52650.71</v>
      </c>
      <c r="DJ16">
        <f>DI16</f>
        <v>52650.71</v>
      </c>
      <c r="DK16">
        <v>1</v>
      </c>
      <c r="DL16" t="s">
        <v>3</v>
      </c>
      <c r="DM16">
        <v>0</v>
      </c>
      <c r="DN16" t="s">
        <v>3</v>
      </c>
      <c r="DO16">
        <v>0</v>
      </c>
    </row>
    <row r="17" spans="1:119" x14ac:dyDescent="0.2">
      <c r="A17">
        <f>ROW(Source!A29)</f>
        <v>29</v>
      </c>
      <c r="B17">
        <v>55858619</v>
      </c>
      <c r="C17">
        <v>51353890</v>
      </c>
      <c r="D17">
        <v>49971314</v>
      </c>
      <c r="E17">
        <v>114</v>
      </c>
      <c r="F17">
        <v>1</v>
      </c>
      <c r="G17">
        <v>1</v>
      </c>
      <c r="H17">
        <v>1</v>
      </c>
      <c r="I17" t="s">
        <v>358</v>
      </c>
      <c r="J17" t="s">
        <v>3</v>
      </c>
      <c r="K17" t="s">
        <v>359</v>
      </c>
      <c r="L17">
        <v>1191</v>
      </c>
      <c r="N17">
        <v>1013</v>
      </c>
      <c r="O17" t="s">
        <v>357</v>
      </c>
      <c r="P17" t="s">
        <v>357</v>
      </c>
      <c r="Q17">
        <v>1</v>
      </c>
      <c r="W17">
        <v>0</v>
      </c>
      <c r="X17">
        <v>-1417349443</v>
      </c>
      <c r="Y17">
        <f>(AT17*ROUND(1.25,7))</f>
        <v>2.1625000000000001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-2</v>
      </c>
      <c r="AN17">
        <v>0</v>
      </c>
      <c r="AO17">
        <v>0</v>
      </c>
      <c r="AP17">
        <v>1</v>
      </c>
      <c r="AQ17">
        <v>1</v>
      </c>
      <c r="AR17">
        <v>0</v>
      </c>
      <c r="AS17" t="s">
        <v>3</v>
      </c>
      <c r="AT17">
        <v>1.73</v>
      </c>
      <c r="AU17" t="s">
        <v>46</v>
      </c>
      <c r="AV17">
        <v>2</v>
      </c>
      <c r="AW17">
        <v>2</v>
      </c>
      <c r="AX17">
        <v>51353892</v>
      </c>
      <c r="AY17">
        <v>1</v>
      </c>
      <c r="AZ17">
        <v>0</v>
      </c>
      <c r="BA17">
        <v>17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V17">
        <v>0</v>
      </c>
      <c r="CW17">
        <v>0</v>
      </c>
      <c r="CX17">
        <f>ROUND(Y17*Source!I29,7)</f>
        <v>0.86499999999999999</v>
      </c>
      <c r="CY17">
        <f>AD17</f>
        <v>0</v>
      </c>
      <c r="CZ17">
        <f>AH17</f>
        <v>0</v>
      </c>
      <c r="DA17">
        <f>AL17</f>
        <v>1</v>
      </c>
      <c r="DB17">
        <f>ROUND((ROUND(AT17*CZ17,2)*ROUND(1.25,7)),6)</f>
        <v>0</v>
      </c>
      <c r="DC17">
        <f>ROUND((ROUND(AT17*AG17,2)*ROUND(1.25,7)),6)</f>
        <v>0</v>
      </c>
      <c r="DD17" t="s">
        <v>3</v>
      </c>
      <c r="DE17" t="s">
        <v>3</v>
      </c>
      <c r="DF17">
        <f t="shared" si="7"/>
        <v>0</v>
      </c>
      <c r="DG17">
        <f t="shared" si="6"/>
        <v>0</v>
      </c>
      <c r="DH17">
        <f t="shared" si="4"/>
        <v>0</v>
      </c>
      <c r="DI17">
        <f t="shared" si="5"/>
        <v>0</v>
      </c>
      <c r="DJ17">
        <f>DI17</f>
        <v>0</v>
      </c>
      <c r="DK17">
        <v>0</v>
      </c>
      <c r="DL17" t="s">
        <v>3</v>
      </c>
      <c r="DM17">
        <v>0</v>
      </c>
      <c r="DN17" t="s">
        <v>3</v>
      </c>
      <c r="DO17">
        <v>0</v>
      </c>
    </row>
    <row r="18" spans="1:119" x14ac:dyDescent="0.2">
      <c r="A18">
        <f>ROW(Source!A29)</f>
        <v>29</v>
      </c>
      <c r="B18">
        <v>55858619</v>
      </c>
      <c r="C18">
        <v>51353890</v>
      </c>
      <c r="D18">
        <v>50095706</v>
      </c>
      <c r="E18">
        <v>1</v>
      </c>
      <c r="F18">
        <v>1</v>
      </c>
      <c r="G18">
        <v>1</v>
      </c>
      <c r="H18">
        <v>2</v>
      </c>
      <c r="I18" t="s">
        <v>394</v>
      </c>
      <c r="J18" t="s">
        <v>395</v>
      </c>
      <c r="K18" t="s">
        <v>396</v>
      </c>
      <c r="L18">
        <v>1368</v>
      </c>
      <c r="N18">
        <v>1011</v>
      </c>
      <c r="O18" t="s">
        <v>363</v>
      </c>
      <c r="P18" t="s">
        <v>363</v>
      </c>
      <c r="Q18">
        <v>1</v>
      </c>
      <c r="W18">
        <v>0</v>
      </c>
      <c r="X18">
        <v>1384101035</v>
      </c>
      <c r="Y18">
        <f>(AT18*ROUND(1.25,7))</f>
        <v>2.5000000000000001E-2</v>
      </c>
      <c r="AA18">
        <v>0</v>
      </c>
      <c r="AB18">
        <v>387.73</v>
      </c>
      <c r="AC18">
        <v>544.01</v>
      </c>
      <c r="AD18">
        <v>0</v>
      </c>
      <c r="AE18">
        <v>0</v>
      </c>
      <c r="AF18">
        <v>251.77</v>
      </c>
      <c r="AG18">
        <v>544.01</v>
      </c>
      <c r="AH18">
        <v>0</v>
      </c>
      <c r="AI18">
        <v>1</v>
      </c>
      <c r="AJ18">
        <v>1.54</v>
      </c>
      <c r="AK18">
        <v>1</v>
      </c>
      <c r="AL18">
        <v>1</v>
      </c>
      <c r="AM18">
        <v>2</v>
      </c>
      <c r="AN18">
        <v>0</v>
      </c>
      <c r="AO18">
        <v>0</v>
      </c>
      <c r="AP18">
        <v>1</v>
      </c>
      <c r="AQ18">
        <v>1</v>
      </c>
      <c r="AR18">
        <v>0</v>
      </c>
      <c r="AS18" t="s">
        <v>3</v>
      </c>
      <c r="AT18">
        <v>0.02</v>
      </c>
      <c r="AU18" t="s">
        <v>46</v>
      </c>
      <c r="AV18">
        <v>1</v>
      </c>
      <c r="AW18">
        <v>2</v>
      </c>
      <c r="AX18">
        <v>51353893</v>
      </c>
      <c r="AY18">
        <v>2</v>
      </c>
      <c r="AZ18">
        <v>65536</v>
      </c>
      <c r="BA18">
        <v>18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5.0354000000000001</v>
      </c>
      <c r="BL18">
        <v>10.8802</v>
      </c>
      <c r="BM18">
        <v>0</v>
      </c>
      <c r="BN18">
        <v>0</v>
      </c>
      <c r="BO18">
        <v>0.02</v>
      </c>
      <c r="BP18">
        <v>1</v>
      </c>
      <c r="BQ18">
        <v>0</v>
      </c>
      <c r="BR18">
        <v>6.2942500000000008</v>
      </c>
      <c r="BS18">
        <v>13.600250000000001</v>
      </c>
      <c r="BT18">
        <v>0</v>
      </c>
      <c r="BU18">
        <v>0</v>
      </c>
      <c r="BV18">
        <v>2.5000000000000001E-2</v>
      </c>
      <c r="BW18">
        <v>1</v>
      </c>
      <c r="CV18">
        <v>0</v>
      </c>
      <c r="CW18">
        <f>ROUND(Y18*Source!I29*DO18,7)</f>
        <v>0.01</v>
      </c>
      <c r="CX18">
        <f>ROUND(Y18*Source!I29,7)</f>
        <v>0.01</v>
      </c>
      <c r="CY18">
        <f>AB18</f>
        <v>387.73</v>
      </c>
      <c r="CZ18">
        <f>AF18</f>
        <v>251.77</v>
      </c>
      <c r="DA18">
        <f>AJ18</f>
        <v>1.54</v>
      </c>
      <c r="DB18">
        <f>ROUND((ROUND(AT18*CZ18,2)*ROUND(1.25,7)),6)</f>
        <v>6.3</v>
      </c>
      <c r="DC18">
        <f>ROUND((ROUND(AT18*AG18,2)*ROUND(1.25,7)),6)</f>
        <v>13.6</v>
      </c>
      <c r="DD18" t="s">
        <v>3</v>
      </c>
      <c r="DE18" t="s">
        <v>3</v>
      </c>
      <c r="DF18">
        <f t="shared" si="7"/>
        <v>0</v>
      </c>
      <c r="DG18">
        <f>ROUND(ROUND(AF18*AJ18,2)*CX18,2)</f>
        <v>3.88</v>
      </c>
      <c r="DH18">
        <f t="shared" si="4"/>
        <v>5.44</v>
      </c>
      <c r="DI18">
        <f t="shared" si="5"/>
        <v>0</v>
      </c>
      <c r="DJ18">
        <f>DG18+DH18</f>
        <v>9.32</v>
      </c>
      <c r="DK18">
        <v>0</v>
      </c>
      <c r="DL18" t="s">
        <v>378</v>
      </c>
      <c r="DM18">
        <v>6</v>
      </c>
      <c r="DN18" t="s">
        <v>357</v>
      </c>
      <c r="DO18">
        <v>1</v>
      </c>
    </row>
    <row r="19" spans="1:119" x14ac:dyDescent="0.2">
      <c r="A19">
        <f>ROW(Source!A29)</f>
        <v>29</v>
      </c>
      <c r="B19">
        <v>55858619</v>
      </c>
      <c r="C19">
        <v>51353890</v>
      </c>
      <c r="D19">
        <v>50095759</v>
      </c>
      <c r="E19">
        <v>1</v>
      </c>
      <c r="F19">
        <v>1</v>
      </c>
      <c r="G19">
        <v>1</v>
      </c>
      <c r="H19">
        <v>2</v>
      </c>
      <c r="I19" t="s">
        <v>397</v>
      </c>
      <c r="J19" t="s">
        <v>398</v>
      </c>
      <c r="K19" t="s">
        <v>399</v>
      </c>
      <c r="L19">
        <v>1368</v>
      </c>
      <c r="N19">
        <v>1011</v>
      </c>
      <c r="O19" t="s">
        <v>363</v>
      </c>
      <c r="P19" t="s">
        <v>363</v>
      </c>
      <c r="Q19">
        <v>1</v>
      </c>
      <c r="W19">
        <v>0</v>
      </c>
      <c r="X19">
        <v>-468861091</v>
      </c>
      <c r="Y19">
        <f>(AT19*ROUND(1.25,7))</f>
        <v>1.2500000000000001E-2</v>
      </c>
      <c r="AA19">
        <v>0</v>
      </c>
      <c r="AB19">
        <v>1719.93</v>
      </c>
      <c r="AC19">
        <v>544.01</v>
      </c>
      <c r="AD19">
        <v>0</v>
      </c>
      <c r="AE19">
        <v>0</v>
      </c>
      <c r="AF19">
        <v>1719.93</v>
      </c>
      <c r="AG19">
        <v>544.01</v>
      </c>
      <c r="AH19">
        <v>0</v>
      </c>
      <c r="AI19">
        <v>1</v>
      </c>
      <c r="AJ19">
        <v>1</v>
      </c>
      <c r="AK19">
        <v>1</v>
      </c>
      <c r="AL19">
        <v>1</v>
      </c>
      <c r="AM19">
        <v>-2</v>
      </c>
      <c r="AN19">
        <v>0</v>
      </c>
      <c r="AO19">
        <v>0</v>
      </c>
      <c r="AP19">
        <v>1</v>
      </c>
      <c r="AQ19">
        <v>1</v>
      </c>
      <c r="AR19">
        <v>0</v>
      </c>
      <c r="AS19" t="s">
        <v>3</v>
      </c>
      <c r="AT19">
        <v>0.01</v>
      </c>
      <c r="AU19" t="s">
        <v>46</v>
      </c>
      <c r="AV19">
        <v>1</v>
      </c>
      <c r="AW19">
        <v>2</v>
      </c>
      <c r="AX19">
        <v>51353894</v>
      </c>
      <c r="AY19">
        <v>2</v>
      </c>
      <c r="AZ19">
        <v>98304</v>
      </c>
      <c r="BA19">
        <v>19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17.199300000000001</v>
      </c>
      <c r="BL19">
        <v>5.4401000000000002</v>
      </c>
      <c r="BM19">
        <v>0</v>
      </c>
      <c r="BN19">
        <v>0</v>
      </c>
      <c r="BO19">
        <v>0.01</v>
      </c>
      <c r="BP19">
        <v>1</v>
      </c>
      <c r="BQ19">
        <v>0</v>
      </c>
      <c r="BR19">
        <v>21.499125000000003</v>
      </c>
      <c r="BS19">
        <v>6.8001250000000004</v>
      </c>
      <c r="BT19">
        <v>0</v>
      </c>
      <c r="BU19">
        <v>0</v>
      </c>
      <c r="BV19">
        <v>1.2500000000000001E-2</v>
      </c>
      <c r="BW19">
        <v>1</v>
      </c>
      <c r="CV19">
        <v>0</v>
      </c>
      <c r="CW19">
        <f>ROUND(Y19*Source!I29*DO19,7)</f>
        <v>5.0000000000000001E-3</v>
      </c>
      <c r="CX19">
        <f>ROUND(Y19*Source!I29,7)</f>
        <v>5.0000000000000001E-3</v>
      </c>
      <c r="CY19">
        <f>AB19</f>
        <v>1719.93</v>
      </c>
      <c r="CZ19">
        <f>AF19</f>
        <v>1719.93</v>
      </c>
      <c r="DA19">
        <f>AJ19</f>
        <v>1</v>
      </c>
      <c r="DB19">
        <f>ROUND((ROUND(AT19*CZ19,2)*ROUND(1.25,7)),6)</f>
        <v>21.5</v>
      </c>
      <c r="DC19">
        <f>ROUND((ROUND(AT19*AG19,2)*ROUND(1.25,7)),6)</f>
        <v>6.8</v>
      </c>
      <c r="DD19" t="s">
        <v>3</v>
      </c>
      <c r="DE19" t="s">
        <v>3</v>
      </c>
      <c r="DF19">
        <f t="shared" si="7"/>
        <v>0</v>
      </c>
      <c r="DG19">
        <f>ROUND(ROUND(AF19,2)*CX19,2)</f>
        <v>8.6</v>
      </c>
      <c r="DH19">
        <f t="shared" si="4"/>
        <v>2.72</v>
      </c>
      <c r="DI19">
        <f t="shared" si="5"/>
        <v>0</v>
      </c>
      <c r="DJ19">
        <f>DG19+DH19</f>
        <v>11.32</v>
      </c>
      <c r="DK19">
        <v>1</v>
      </c>
      <c r="DL19" t="s">
        <v>378</v>
      </c>
      <c r="DM19">
        <v>6</v>
      </c>
      <c r="DN19" t="s">
        <v>357</v>
      </c>
      <c r="DO19">
        <v>1</v>
      </c>
    </row>
    <row r="20" spans="1:119" x14ac:dyDescent="0.2">
      <c r="A20">
        <f>ROW(Source!A29)</f>
        <v>29</v>
      </c>
      <c r="B20">
        <v>55858619</v>
      </c>
      <c r="C20">
        <v>51353890</v>
      </c>
      <c r="D20">
        <v>50096050</v>
      </c>
      <c r="E20">
        <v>1</v>
      </c>
      <c r="F20">
        <v>1</v>
      </c>
      <c r="G20">
        <v>1</v>
      </c>
      <c r="H20">
        <v>2</v>
      </c>
      <c r="I20" t="s">
        <v>400</v>
      </c>
      <c r="J20" t="s">
        <v>401</v>
      </c>
      <c r="K20" t="s">
        <v>402</v>
      </c>
      <c r="L20">
        <v>1368</v>
      </c>
      <c r="N20">
        <v>1011</v>
      </c>
      <c r="O20" t="s">
        <v>363</v>
      </c>
      <c r="P20" t="s">
        <v>363</v>
      </c>
      <c r="Q20">
        <v>1</v>
      </c>
      <c r="W20">
        <v>0</v>
      </c>
      <c r="X20">
        <v>876597859</v>
      </c>
      <c r="Y20">
        <f>(AT20*ROUND(1.25,7))</f>
        <v>2.1124999999999998</v>
      </c>
      <c r="AA20">
        <v>0</v>
      </c>
      <c r="AB20">
        <v>3.97</v>
      </c>
      <c r="AC20">
        <v>359.65</v>
      </c>
      <c r="AD20">
        <v>0</v>
      </c>
      <c r="AE20">
        <v>0</v>
      </c>
      <c r="AF20">
        <v>2.31</v>
      </c>
      <c r="AG20">
        <v>359.65</v>
      </c>
      <c r="AH20">
        <v>0</v>
      </c>
      <c r="AI20">
        <v>1</v>
      </c>
      <c r="AJ20">
        <v>1.72</v>
      </c>
      <c r="AK20">
        <v>1</v>
      </c>
      <c r="AL20">
        <v>1</v>
      </c>
      <c r="AM20">
        <v>2</v>
      </c>
      <c r="AN20">
        <v>0</v>
      </c>
      <c r="AO20">
        <v>0</v>
      </c>
      <c r="AP20">
        <v>1</v>
      </c>
      <c r="AQ20">
        <v>1</v>
      </c>
      <c r="AR20">
        <v>0</v>
      </c>
      <c r="AS20" t="s">
        <v>3</v>
      </c>
      <c r="AT20">
        <v>1.69</v>
      </c>
      <c r="AU20" t="s">
        <v>46</v>
      </c>
      <c r="AV20">
        <v>1</v>
      </c>
      <c r="AW20">
        <v>2</v>
      </c>
      <c r="AX20">
        <v>51353895</v>
      </c>
      <c r="AY20">
        <v>2</v>
      </c>
      <c r="AZ20">
        <v>65536</v>
      </c>
      <c r="BA20">
        <v>20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3.9039000000000001</v>
      </c>
      <c r="BL20">
        <v>607.80849999999998</v>
      </c>
      <c r="BM20">
        <v>0</v>
      </c>
      <c r="BN20">
        <v>0</v>
      </c>
      <c r="BO20">
        <v>1.69</v>
      </c>
      <c r="BP20">
        <v>1</v>
      </c>
      <c r="BQ20">
        <v>0</v>
      </c>
      <c r="BR20">
        <v>4.8798749999999993</v>
      </c>
      <c r="BS20">
        <v>759.76062499999989</v>
      </c>
      <c r="BT20">
        <v>0</v>
      </c>
      <c r="BU20">
        <v>0</v>
      </c>
      <c r="BV20">
        <v>2.1124999999999998</v>
      </c>
      <c r="BW20">
        <v>1</v>
      </c>
      <c r="CV20">
        <v>0</v>
      </c>
      <c r="CW20">
        <f>ROUND(Y20*Source!I29*DO20,7)</f>
        <v>0.84499999999999997</v>
      </c>
      <c r="CX20">
        <f>ROUND(Y20*Source!I29,7)</f>
        <v>0.84499999999999997</v>
      </c>
      <c r="CY20">
        <f>AB20</f>
        <v>3.97</v>
      </c>
      <c r="CZ20">
        <f>AF20</f>
        <v>2.31</v>
      </c>
      <c r="DA20">
        <f>AJ20</f>
        <v>1.72</v>
      </c>
      <c r="DB20">
        <f>ROUND((ROUND(AT20*CZ20,2)*ROUND(1.25,7)),6)</f>
        <v>4.875</v>
      </c>
      <c r="DC20">
        <f>ROUND((ROUND(AT20*AG20,2)*ROUND(1.25,7)),6)</f>
        <v>759.76250000000005</v>
      </c>
      <c r="DD20" t="s">
        <v>3</v>
      </c>
      <c r="DE20" t="s">
        <v>3</v>
      </c>
      <c r="DF20">
        <f t="shared" si="7"/>
        <v>0</v>
      </c>
      <c r="DG20">
        <f>ROUND(ROUND(AF20*AJ20,2)*CX20,2)</f>
        <v>3.35</v>
      </c>
      <c r="DH20">
        <f t="shared" si="4"/>
        <v>303.89999999999998</v>
      </c>
      <c r="DI20">
        <f t="shared" si="5"/>
        <v>0</v>
      </c>
      <c r="DJ20">
        <f>DG20+DH20</f>
        <v>307.25</v>
      </c>
      <c r="DK20">
        <v>0</v>
      </c>
      <c r="DL20" t="s">
        <v>364</v>
      </c>
      <c r="DM20">
        <v>3</v>
      </c>
      <c r="DN20" t="s">
        <v>357</v>
      </c>
      <c r="DO20">
        <v>1</v>
      </c>
    </row>
    <row r="21" spans="1:119" x14ac:dyDescent="0.2">
      <c r="A21">
        <f>ROW(Source!A29)</f>
        <v>29</v>
      </c>
      <c r="B21">
        <v>55858619</v>
      </c>
      <c r="C21">
        <v>51353890</v>
      </c>
      <c r="D21">
        <v>50096650</v>
      </c>
      <c r="E21">
        <v>1</v>
      </c>
      <c r="F21">
        <v>1</v>
      </c>
      <c r="G21">
        <v>1</v>
      </c>
      <c r="H21">
        <v>2</v>
      </c>
      <c r="I21" t="s">
        <v>382</v>
      </c>
      <c r="J21" t="s">
        <v>383</v>
      </c>
      <c r="K21" t="s">
        <v>384</v>
      </c>
      <c r="L21">
        <v>1368</v>
      </c>
      <c r="N21">
        <v>1011</v>
      </c>
      <c r="O21" t="s">
        <v>363</v>
      </c>
      <c r="P21" t="s">
        <v>363</v>
      </c>
      <c r="Q21">
        <v>1</v>
      </c>
      <c r="W21">
        <v>0</v>
      </c>
      <c r="X21">
        <v>-1152394969</v>
      </c>
      <c r="Y21">
        <f>(AT21*ROUND(1.25,7))</f>
        <v>1.2500000000000001E-2</v>
      </c>
      <c r="AA21">
        <v>0</v>
      </c>
      <c r="AB21">
        <v>680.75</v>
      </c>
      <c r="AC21">
        <v>404.99</v>
      </c>
      <c r="AD21">
        <v>0</v>
      </c>
      <c r="AE21">
        <v>0</v>
      </c>
      <c r="AF21">
        <v>680.75</v>
      </c>
      <c r="AG21">
        <v>404.99</v>
      </c>
      <c r="AH21">
        <v>0</v>
      </c>
      <c r="AI21">
        <v>1</v>
      </c>
      <c r="AJ21">
        <v>1</v>
      </c>
      <c r="AK21">
        <v>1</v>
      </c>
      <c r="AL21">
        <v>1</v>
      </c>
      <c r="AM21">
        <v>-2</v>
      </c>
      <c r="AN21">
        <v>0</v>
      </c>
      <c r="AO21">
        <v>0</v>
      </c>
      <c r="AP21">
        <v>1</v>
      </c>
      <c r="AQ21">
        <v>1</v>
      </c>
      <c r="AR21">
        <v>0</v>
      </c>
      <c r="AS21" t="s">
        <v>3</v>
      </c>
      <c r="AT21">
        <v>0.01</v>
      </c>
      <c r="AU21" t="s">
        <v>46</v>
      </c>
      <c r="AV21">
        <v>1</v>
      </c>
      <c r="AW21">
        <v>2</v>
      </c>
      <c r="AX21">
        <v>51353896</v>
      </c>
      <c r="AY21">
        <v>2</v>
      </c>
      <c r="AZ21">
        <v>98304</v>
      </c>
      <c r="BA21">
        <v>21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6.8075000000000001</v>
      </c>
      <c r="BL21">
        <v>4.0499000000000001</v>
      </c>
      <c r="BM21">
        <v>0</v>
      </c>
      <c r="BN21">
        <v>0</v>
      </c>
      <c r="BO21">
        <v>0.01</v>
      </c>
      <c r="BP21">
        <v>1</v>
      </c>
      <c r="BQ21">
        <v>0</v>
      </c>
      <c r="BR21">
        <v>8.5093750000000004</v>
      </c>
      <c r="BS21">
        <v>5.0623750000000003</v>
      </c>
      <c r="BT21">
        <v>0</v>
      </c>
      <c r="BU21">
        <v>0</v>
      </c>
      <c r="BV21">
        <v>1.2500000000000001E-2</v>
      </c>
      <c r="BW21">
        <v>1</v>
      </c>
      <c r="CV21">
        <v>0</v>
      </c>
      <c r="CW21">
        <f>ROUND(Y21*Source!I29*DO21,7)</f>
        <v>5.0000000000000001E-3</v>
      </c>
      <c r="CX21">
        <f>ROUND(Y21*Source!I29,7)</f>
        <v>5.0000000000000001E-3</v>
      </c>
      <c r="CY21">
        <f>AB21</f>
        <v>680.75</v>
      </c>
      <c r="CZ21">
        <f>AF21</f>
        <v>680.75</v>
      </c>
      <c r="DA21">
        <f>AJ21</f>
        <v>1</v>
      </c>
      <c r="DB21">
        <f>ROUND((ROUND(AT21*CZ21,2)*ROUND(1.25,7)),6)</f>
        <v>8.5124999999999993</v>
      </c>
      <c r="DC21">
        <f>ROUND((ROUND(AT21*AG21,2)*ROUND(1.25,7)),6)</f>
        <v>5.0625</v>
      </c>
      <c r="DD21" t="s">
        <v>3</v>
      </c>
      <c r="DE21" t="s">
        <v>3</v>
      </c>
      <c r="DF21">
        <f t="shared" si="7"/>
        <v>0</v>
      </c>
      <c r="DG21">
        <f t="shared" ref="DG21:DG30" si="8">ROUND(ROUND(AF21,2)*CX21,2)</f>
        <v>3.4</v>
      </c>
      <c r="DH21">
        <f t="shared" si="4"/>
        <v>2.02</v>
      </c>
      <c r="DI21">
        <f t="shared" si="5"/>
        <v>0</v>
      </c>
      <c r="DJ21">
        <f>DG21+DH21</f>
        <v>5.42</v>
      </c>
      <c r="DK21">
        <v>1</v>
      </c>
      <c r="DL21" t="s">
        <v>385</v>
      </c>
      <c r="DM21">
        <v>4</v>
      </c>
      <c r="DN21" t="s">
        <v>357</v>
      </c>
      <c r="DO21">
        <v>1</v>
      </c>
    </row>
    <row r="22" spans="1:119" x14ac:dyDescent="0.2">
      <c r="A22">
        <f>ROW(Source!A29)</f>
        <v>29</v>
      </c>
      <c r="B22">
        <v>55858619</v>
      </c>
      <c r="C22">
        <v>51353890</v>
      </c>
      <c r="D22">
        <v>50042837</v>
      </c>
      <c r="E22">
        <v>1</v>
      </c>
      <c r="F22">
        <v>1</v>
      </c>
      <c r="G22">
        <v>1</v>
      </c>
      <c r="H22">
        <v>3</v>
      </c>
      <c r="I22" t="s">
        <v>386</v>
      </c>
      <c r="J22" t="s">
        <v>387</v>
      </c>
      <c r="K22" t="s">
        <v>388</v>
      </c>
      <c r="L22">
        <v>1339</v>
      </c>
      <c r="N22">
        <v>1007</v>
      </c>
      <c r="O22" t="s">
        <v>33</v>
      </c>
      <c r="P22" t="s">
        <v>33</v>
      </c>
      <c r="Q22">
        <v>1</v>
      </c>
      <c r="W22">
        <v>0</v>
      </c>
      <c r="X22">
        <v>-1879317523</v>
      </c>
      <c r="Y22">
        <f t="shared" ref="Y22:Y28" si="9">AT22</f>
        <v>0.44</v>
      </c>
      <c r="AA22">
        <v>29.64</v>
      </c>
      <c r="AB22">
        <v>0</v>
      </c>
      <c r="AC22">
        <v>0</v>
      </c>
      <c r="AD22">
        <v>0</v>
      </c>
      <c r="AE22">
        <v>35.71</v>
      </c>
      <c r="AF22">
        <v>0</v>
      </c>
      <c r="AG22">
        <v>0</v>
      </c>
      <c r="AH22">
        <v>0</v>
      </c>
      <c r="AI22">
        <v>0.83</v>
      </c>
      <c r="AJ22">
        <v>1</v>
      </c>
      <c r="AK22">
        <v>1</v>
      </c>
      <c r="AL22">
        <v>1</v>
      </c>
      <c r="AM22">
        <v>2</v>
      </c>
      <c r="AN22">
        <v>0</v>
      </c>
      <c r="AO22">
        <v>0</v>
      </c>
      <c r="AP22">
        <v>0</v>
      </c>
      <c r="AQ22">
        <v>1</v>
      </c>
      <c r="AR22">
        <v>0</v>
      </c>
      <c r="AS22" t="s">
        <v>3</v>
      </c>
      <c r="AT22">
        <v>0.44</v>
      </c>
      <c r="AU22" t="s">
        <v>3</v>
      </c>
      <c r="AV22">
        <v>0</v>
      </c>
      <c r="AW22">
        <v>2</v>
      </c>
      <c r="AX22">
        <v>51353897</v>
      </c>
      <c r="AY22">
        <v>1</v>
      </c>
      <c r="AZ22">
        <v>0</v>
      </c>
      <c r="BA22">
        <v>22</v>
      </c>
      <c r="BB22">
        <v>1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15.712400000000001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1</v>
      </c>
      <c r="BQ22">
        <v>15.712400000000001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1</v>
      </c>
      <c r="CV22">
        <v>0</v>
      </c>
      <c r="CW22">
        <v>0</v>
      </c>
      <c r="CX22">
        <f>ROUND(Y22*Source!I29,7)</f>
        <v>0.17599999999999999</v>
      </c>
      <c r="CY22">
        <f t="shared" ref="CY22:CY28" si="10">AA22</f>
        <v>29.64</v>
      </c>
      <c r="CZ22">
        <f t="shared" ref="CZ22:CZ28" si="11">AE22</f>
        <v>35.71</v>
      </c>
      <c r="DA22">
        <f t="shared" ref="DA22:DA28" si="12">AI22</f>
        <v>0.83</v>
      </c>
      <c r="DB22">
        <f t="shared" ref="DB22:DB28" si="13">ROUND(ROUND(AT22*CZ22,2),6)</f>
        <v>15.71</v>
      </c>
      <c r="DC22">
        <f t="shared" ref="DC22:DC28" si="14">ROUND(ROUND(AT22*AG22,2),6)</f>
        <v>0</v>
      </c>
      <c r="DD22" t="s">
        <v>3</v>
      </c>
      <c r="DE22" t="s">
        <v>3</v>
      </c>
      <c r="DF22">
        <f>ROUND(ROUND(AE22*AI22,2)*CX22,2)</f>
        <v>5.22</v>
      </c>
      <c r="DG22">
        <f t="shared" si="8"/>
        <v>0</v>
      </c>
      <c r="DH22">
        <f t="shared" si="4"/>
        <v>0</v>
      </c>
      <c r="DI22">
        <f t="shared" si="5"/>
        <v>0</v>
      </c>
      <c r="DJ22">
        <f t="shared" ref="DJ22:DJ28" si="15">DF22</f>
        <v>5.22</v>
      </c>
      <c r="DK22">
        <v>0</v>
      </c>
      <c r="DL22" t="s">
        <v>3</v>
      </c>
      <c r="DM22">
        <v>0</v>
      </c>
      <c r="DN22" t="s">
        <v>3</v>
      </c>
      <c r="DO22">
        <v>0</v>
      </c>
    </row>
    <row r="23" spans="1:119" x14ac:dyDescent="0.2">
      <c r="A23">
        <f>ROW(Source!A29)</f>
        <v>29</v>
      </c>
      <c r="B23">
        <v>55858619</v>
      </c>
      <c r="C23">
        <v>51353890</v>
      </c>
      <c r="D23">
        <v>50042849</v>
      </c>
      <c r="E23">
        <v>1</v>
      </c>
      <c r="F23">
        <v>1</v>
      </c>
      <c r="G23">
        <v>1</v>
      </c>
      <c r="H23">
        <v>3</v>
      </c>
      <c r="I23" t="s">
        <v>403</v>
      </c>
      <c r="J23" t="s">
        <v>404</v>
      </c>
      <c r="K23" t="s">
        <v>405</v>
      </c>
      <c r="L23">
        <v>1383</v>
      </c>
      <c r="N23">
        <v>1013</v>
      </c>
      <c r="O23" t="s">
        <v>406</v>
      </c>
      <c r="P23" t="s">
        <v>406</v>
      </c>
      <c r="Q23">
        <v>1</v>
      </c>
      <c r="W23">
        <v>0</v>
      </c>
      <c r="X23">
        <v>-2119218604</v>
      </c>
      <c r="Y23">
        <f t="shared" si="9"/>
        <v>3.2500000000000001E-2</v>
      </c>
      <c r="AA23">
        <v>7.71</v>
      </c>
      <c r="AB23">
        <v>0</v>
      </c>
      <c r="AC23">
        <v>0</v>
      </c>
      <c r="AD23">
        <v>0</v>
      </c>
      <c r="AE23">
        <v>7.71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M23">
        <v>-2</v>
      </c>
      <c r="AN23">
        <v>0</v>
      </c>
      <c r="AO23">
        <v>0</v>
      </c>
      <c r="AP23">
        <v>0</v>
      </c>
      <c r="AQ23">
        <v>1</v>
      </c>
      <c r="AR23">
        <v>0</v>
      </c>
      <c r="AS23" t="s">
        <v>3</v>
      </c>
      <c r="AT23">
        <v>3.2500000000000001E-2</v>
      </c>
      <c r="AU23" t="s">
        <v>3</v>
      </c>
      <c r="AV23">
        <v>0</v>
      </c>
      <c r="AW23">
        <v>2</v>
      </c>
      <c r="AX23">
        <v>51353898</v>
      </c>
      <c r="AY23">
        <v>2</v>
      </c>
      <c r="AZ23">
        <v>16384</v>
      </c>
      <c r="BA23">
        <v>23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0.25057499999999999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1</v>
      </c>
      <c r="BQ23">
        <v>0.25057499999999999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1</v>
      </c>
      <c r="CV23">
        <v>0</v>
      </c>
      <c r="CW23">
        <v>0</v>
      </c>
      <c r="CX23">
        <f>ROUND(Y23*Source!I29,7)</f>
        <v>1.2999999999999999E-2</v>
      </c>
      <c r="CY23">
        <f t="shared" si="10"/>
        <v>7.71</v>
      </c>
      <c r="CZ23">
        <f t="shared" si="11"/>
        <v>7.71</v>
      </c>
      <c r="DA23">
        <f t="shared" si="12"/>
        <v>1</v>
      </c>
      <c r="DB23">
        <f t="shared" si="13"/>
        <v>0.25</v>
      </c>
      <c r="DC23">
        <f t="shared" si="14"/>
        <v>0</v>
      </c>
      <c r="DD23" t="s">
        <v>3</v>
      </c>
      <c r="DE23" t="s">
        <v>3</v>
      </c>
      <c r="DF23">
        <f>ROUND(ROUND(AE23,2)*CX23,2)</f>
        <v>0.1</v>
      </c>
      <c r="DG23">
        <f t="shared" si="8"/>
        <v>0</v>
      </c>
      <c r="DH23">
        <f t="shared" si="4"/>
        <v>0</v>
      </c>
      <c r="DI23">
        <f t="shared" si="5"/>
        <v>0</v>
      </c>
      <c r="DJ23">
        <f t="shared" si="15"/>
        <v>0.1</v>
      </c>
      <c r="DK23">
        <v>1</v>
      </c>
      <c r="DL23" t="s">
        <v>3</v>
      </c>
      <c r="DM23">
        <v>0</v>
      </c>
      <c r="DN23" t="s">
        <v>3</v>
      </c>
      <c r="DO23">
        <v>0</v>
      </c>
    </row>
    <row r="24" spans="1:119" x14ac:dyDescent="0.2">
      <c r="A24">
        <f>ROW(Source!A29)</f>
        <v>29</v>
      </c>
      <c r="B24">
        <v>55858619</v>
      </c>
      <c r="C24">
        <v>51353890</v>
      </c>
      <c r="D24">
        <v>50047203</v>
      </c>
      <c r="E24">
        <v>1</v>
      </c>
      <c r="F24">
        <v>1</v>
      </c>
      <c r="G24">
        <v>1</v>
      </c>
      <c r="H24">
        <v>3</v>
      </c>
      <c r="I24" t="s">
        <v>90</v>
      </c>
      <c r="J24" t="s">
        <v>92</v>
      </c>
      <c r="K24" t="s">
        <v>91</v>
      </c>
      <c r="L24">
        <v>1348</v>
      </c>
      <c r="N24">
        <v>1009</v>
      </c>
      <c r="O24" t="s">
        <v>29</v>
      </c>
      <c r="P24" t="s">
        <v>29</v>
      </c>
      <c r="Q24">
        <v>1000</v>
      </c>
      <c r="W24">
        <v>0</v>
      </c>
      <c r="X24">
        <v>-311689578</v>
      </c>
      <c r="Y24">
        <f t="shared" si="9"/>
        <v>1.2999999999999999E-2</v>
      </c>
      <c r="AA24">
        <v>75978.600000000006</v>
      </c>
      <c r="AB24">
        <v>0</v>
      </c>
      <c r="AC24">
        <v>0</v>
      </c>
      <c r="AD24">
        <v>0</v>
      </c>
      <c r="AE24">
        <v>37800.300000000003</v>
      </c>
      <c r="AF24">
        <v>0</v>
      </c>
      <c r="AG24">
        <v>0</v>
      </c>
      <c r="AH24">
        <v>0</v>
      </c>
      <c r="AI24">
        <v>2.0099999999999998</v>
      </c>
      <c r="AJ24">
        <v>1</v>
      </c>
      <c r="AK24">
        <v>1</v>
      </c>
      <c r="AL24">
        <v>1</v>
      </c>
      <c r="AM24">
        <v>2</v>
      </c>
      <c r="AN24">
        <v>0</v>
      </c>
      <c r="AO24">
        <v>0</v>
      </c>
      <c r="AP24">
        <v>0</v>
      </c>
      <c r="AQ24">
        <v>1</v>
      </c>
      <c r="AR24">
        <v>0</v>
      </c>
      <c r="AS24" t="s">
        <v>3</v>
      </c>
      <c r="AT24">
        <v>1.2999999999999999E-2</v>
      </c>
      <c r="AU24" t="s">
        <v>3</v>
      </c>
      <c r="AV24">
        <v>0</v>
      </c>
      <c r="AW24">
        <v>2</v>
      </c>
      <c r="AX24">
        <v>51353899</v>
      </c>
      <c r="AY24">
        <v>1</v>
      </c>
      <c r="AZ24">
        <v>0</v>
      </c>
      <c r="BA24">
        <v>24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491.40390000000002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1</v>
      </c>
      <c r="BQ24">
        <v>491.40390000000002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1</v>
      </c>
      <c r="CV24">
        <v>0</v>
      </c>
      <c r="CW24">
        <v>0</v>
      </c>
      <c r="CX24">
        <f>ROUND(Y24*Source!I29,7)</f>
        <v>5.1999999999999998E-3</v>
      </c>
      <c r="CY24">
        <f t="shared" si="10"/>
        <v>75978.600000000006</v>
      </c>
      <c r="CZ24">
        <f t="shared" si="11"/>
        <v>37800.300000000003</v>
      </c>
      <c r="DA24">
        <f t="shared" si="12"/>
        <v>2.0099999999999998</v>
      </c>
      <c r="DB24">
        <f t="shared" si="13"/>
        <v>491.4</v>
      </c>
      <c r="DC24">
        <f t="shared" si="14"/>
        <v>0</v>
      </c>
      <c r="DD24" t="s">
        <v>3</v>
      </c>
      <c r="DE24" t="s">
        <v>3</v>
      </c>
      <c r="DF24">
        <f>ROUND(ROUND(AE24*AI24,2)*CX24,2)</f>
        <v>395.09</v>
      </c>
      <c r="DG24">
        <f t="shared" si="8"/>
        <v>0</v>
      </c>
      <c r="DH24">
        <f t="shared" si="4"/>
        <v>0</v>
      </c>
      <c r="DI24">
        <f t="shared" si="5"/>
        <v>0</v>
      </c>
      <c r="DJ24">
        <f t="shared" si="15"/>
        <v>395.09</v>
      </c>
      <c r="DK24">
        <v>0</v>
      </c>
      <c r="DL24" t="s">
        <v>3</v>
      </c>
      <c r="DM24">
        <v>0</v>
      </c>
      <c r="DN24" t="s">
        <v>3</v>
      </c>
      <c r="DO24">
        <v>0</v>
      </c>
    </row>
    <row r="25" spans="1:119" x14ac:dyDescent="0.2">
      <c r="A25">
        <f>ROW(Source!A29)</f>
        <v>29</v>
      </c>
      <c r="B25">
        <v>55858619</v>
      </c>
      <c r="C25">
        <v>51353890</v>
      </c>
      <c r="D25">
        <v>50049081</v>
      </c>
      <c r="E25">
        <v>1</v>
      </c>
      <c r="F25">
        <v>1</v>
      </c>
      <c r="G25">
        <v>1</v>
      </c>
      <c r="H25">
        <v>3</v>
      </c>
      <c r="I25" t="s">
        <v>67</v>
      </c>
      <c r="J25" t="s">
        <v>70</v>
      </c>
      <c r="K25" t="s">
        <v>68</v>
      </c>
      <c r="L25">
        <v>1327</v>
      </c>
      <c r="N25">
        <v>1005</v>
      </c>
      <c r="O25" t="s">
        <v>69</v>
      </c>
      <c r="P25" t="s">
        <v>69</v>
      </c>
      <c r="Q25">
        <v>1</v>
      </c>
      <c r="W25">
        <v>0</v>
      </c>
      <c r="X25">
        <v>-395630401</v>
      </c>
      <c r="Y25">
        <f t="shared" si="9"/>
        <v>102</v>
      </c>
      <c r="AA25">
        <v>1084.0899999999999</v>
      </c>
      <c r="AB25">
        <v>0</v>
      </c>
      <c r="AC25">
        <v>0</v>
      </c>
      <c r="AD25">
        <v>0</v>
      </c>
      <c r="AE25">
        <v>1084.0899999999999</v>
      </c>
      <c r="AF25">
        <v>0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M25">
        <v>-2</v>
      </c>
      <c r="AN25">
        <v>0</v>
      </c>
      <c r="AO25">
        <v>0</v>
      </c>
      <c r="AP25">
        <v>1</v>
      </c>
      <c r="AQ25">
        <v>0</v>
      </c>
      <c r="AR25">
        <v>0</v>
      </c>
      <c r="AS25" t="s">
        <v>3</v>
      </c>
      <c r="AT25">
        <v>102</v>
      </c>
      <c r="AU25" t="s">
        <v>3</v>
      </c>
      <c r="AV25">
        <v>0</v>
      </c>
      <c r="AW25">
        <v>1</v>
      </c>
      <c r="AX25">
        <v>-1</v>
      </c>
      <c r="AY25">
        <v>0</v>
      </c>
      <c r="AZ25">
        <v>0</v>
      </c>
      <c r="BA25" t="s">
        <v>3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V25">
        <v>0</v>
      </c>
      <c r="CW25">
        <v>0</v>
      </c>
      <c r="CX25">
        <f>ROUND(Y25*Source!I29,7)</f>
        <v>40.799999999999997</v>
      </c>
      <c r="CY25">
        <f t="shared" si="10"/>
        <v>1084.0899999999999</v>
      </c>
      <c r="CZ25">
        <f t="shared" si="11"/>
        <v>1084.0899999999999</v>
      </c>
      <c r="DA25">
        <f t="shared" si="12"/>
        <v>1</v>
      </c>
      <c r="DB25">
        <f t="shared" si="13"/>
        <v>110577.18</v>
      </c>
      <c r="DC25">
        <f t="shared" si="14"/>
        <v>0</v>
      </c>
      <c r="DD25" t="s">
        <v>3</v>
      </c>
      <c r="DE25" t="s">
        <v>3</v>
      </c>
      <c r="DF25">
        <f>ROUND(ROUND(AE25,2)*CX25,2)</f>
        <v>44230.87</v>
      </c>
      <c r="DG25">
        <f t="shared" si="8"/>
        <v>0</v>
      </c>
      <c r="DH25">
        <f t="shared" si="4"/>
        <v>0</v>
      </c>
      <c r="DI25">
        <f t="shared" si="5"/>
        <v>0</v>
      </c>
      <c r="DJ25">
        <f t="shared" si="15"/>
        <v>44230.87</v>
      </c>
      <c r="DK25">
        <v>1</v>
      </c>
      <c r="DL25" t="s">
        <v>3</v>
      </c>
      <c r="DM25">
        <v>0</v>
      </c>
      <c r="DN25" t="s">
        <v>3</v>
      </c>
      <c r="DO25">
        <v>0</v>
      </c>
    </row>
    <row r="26" spans="1:119" x14ac:dyDescent="0.2">
      <c r="A26">
        <f>ROW(Source!A29)</f>
        <v>29</v>
      </c>
      <c r="B26">
        <v>55858619</v>
      </c>
      <c r="C26">
        <v>51353890</v>
      </c>
      <c r="D26">
        <v>50054436</v>
      </c>
      <c r="E26">
        <v>1</v>
      </c>
      <c r="F26">
        <v>1</v>
      </c>
      <c r="G26">
        <v>1</v>
      </c>
      <c r="H26">
        <v>3</v>
      </c>
      <c r="I26" t="s">
        <v>72</v>
      </c>
      <c r="J26" t="s">
        <v>74</v>
      </c>
      <c r="K26" t="s">
        <v>73</v>
      </c>
      <c r="L26">
        <v>1339</v>
      </c>
      <c r="N26">
        <v>1007</v>
      </c>
      <c r="O26" t="s">
        <v>33</v>
      </c>
      <c r="P26" t="s">
        <v>33</v>
      </c>
      <c r="Q26">
        <v>1</v>
      </c>
      <c r="W26">
        <v>0</v>
      </c>
      <c r="X26">
        <v>1205499803</v>
      </c>
      <c r="Y26">
        <f t="shared" si="9"/>
        <v>0.01</v>
      </c>
      <c r="AA26">
        <v>32857.61</v>
      </c>
      <c r="AB26">
        <v>0</v>
      </c>
      <c r="AC26">
        <v>0</v>
      </c>
      <c r="AD26">
        <v>0</v>
      </c>
      <c r="AE26">
        <v>23139.16</v>
      </c>
      <c r="AF26">
        <v>0</v>
      </c>
      <c r="AG26">
        <v>0</v>
      </c>
      <c r="AH26">
        <v>0</v>
      </c>
      <c r="AI26">
        <v>1.42</v>
      </c>
      <c r="AJ26">
        <v>1</v>
      </c>
      <c r="AK26">
        <v>1</v>
      </c>
      <c r="AL26">
        <v>1</v>
      </c>
      <c r="AM26">
        <v>2</v>
      </c>
      <c r="AN26">
        <v>0</v>
      </c>
      <c r="AO26">
        <v>0</v>
      </c>
      <c r="AP26">
        <v>1</v>
      </c>
      <c r="AQ26">
        <v>0</v>
      </c>
      <c r="AR26">
        <v>0</v>
      </c>
      <c r="AS26" t="s">
        <v>3</v>
      </c>
      <c r="AT26">
        <v>0.01</v>
      </c>
      <c r="AU26" t="s">
        <v>3</v>
      </c>
      <c r="AV26">
        <v>0</v>
      </c>
      <c r="AW26">
        <v>1</v>
      </c>
      <c r="AX26">
        <v>-1</v>
      </c>
      <c r="AY26">
        <v>0</v>
      </c>
      <c r="AZ26">
        <v>0</v>
      </c>
      <c r="BA26" t="s">
        <v>3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V26">
        <v>0</v>
      </c>
      <c r="CW26">
        <v>0</v>
      </c>
      <c r="CX26">
        <f>ROUND(Y26*Source!I29,7)</f>
        <v>4.0000000000000001E-3</v>
      </c>
      <c r="CY26">
        <f t="shared" si="10"/>
        <v>32857.61</v>
      </c>
      <c r="CZ26">
        <f t="shared" si="11"/>
        <v>23139.16</v>
      </c>
      <c r="DA26">
        <f t="shared" si="12"/>
        <v>1.42</v>
      </c>
      <c r="DB26">
        <f t="shared" si="13"/>
        <v>231.39</v>
      </c>
      <c r="DC26">
        <f t="shared" si="14"/>
        <v>0</v>
      </c>
      <c r="DD26" t="s">
        <v>3</v>
      </c>
      <c r="DE26" t="s">
        <v>3</v>
      </c>
      <c r="DF26">
        <f>ROUND(ROUND(AE26*AI26,2)*CX26,2)</f>
        <v>131.43</v>
      </c>
      <c r="DG26">
        <f t="shared" si="8"/>
        <v>0</v>
      </c>
      <c r="DH26">
        <f t="shared" si="4"/>
        <v>0</v>
      </c>
      <c r="DI26">
        <f t="shared" si="5"/>
        <v>0</v>
      </c>
      <c r="DJ26">
        <f t="shared" si="15"/>
        <v>131.43</v>
      </c>
      <c r="DK26">
        <v>0</v>
      </c>
      <c r="DL26" t="s">
        <v>3</v>
      </c>
      <c r="DM26">
        <v>0</v>
      </c>
      <c r="DN26" t="s">
        <v>3</v>
      </c>
      <c r="DO26">
        <v>0</v>
      </c>
    </row>
    <row r="27" spans="1:119" x14ac:dyDescent="0.2">
      <c r="A27">
        <f>ROW(Source!A29)</f>
        <v>29</v>
      </c>
      <c r="B27">
        <v>55858619</v>
      </c>
      <c r="C27">
        <v>51353890</v>
      </c>
      <c r="D27">
        <v>50061572</v>
      </c>
      <c r="E27">
        <v>1</v>
      </c>
      <c r="F27">
        <v>1</v>
      </c>
      <c r="G27">
        <v>1</v>
      </c>
      <c r="H27">
        <v>3</v>
      </c>
      <c r="I27" t="s">
        <v>76</v>
      </c>
      <c r="J27" t="s">
        <v>78</v>
      </c>
      <c r="K27" t="s">
        <v>77</v>
      </c>
      <c r="L27">
        <v>1348</v>
      </c>
      <c r="N27">
        <v>1009</v>
      </c>
      <c r="O27" t="s">
        <v>29</v>
      </c>
      <c r="P27" t="s">
        <v>29</v>
      </c>
      <c r="Q27">
        <v>1000</v>
      </c>
      <c r="W27">
        <v>0</v>
      </c>
      <c r="X27">
        <v>1424319501</v>
      </c>
      <c r="Y27">
        <f t="shared" si="9"/>
        <v>1.2</v>
      </c>
      <c r="AA27">
        <v>41477.99</v>
      </c>
      <c r="AB27">
        <v>0</v>
      </c>
      <c r="AC27">
        <v>0</v>
      </c>
      <c r="AD27">
        <v>0</v>
      </c>
      <c r="AE27">
        <v>33998.35</v>
      </c>
      <c r="AF27">
        <v>0</v>
      </c>
      <c r="AG27">
        <v>0</v>
      </c>
      <c r="AH27">
        <v>0</v>
      </c>
      <c r="AI27">
        <v>1.22</v>
      </c>
      <c r="AJ27">
        <v>1</v>
      </c>
      <c r="AK27">
        <v>1</v>
      </c>
      <c r="AL27">
        <v>1</v>
      </c>
      <c r="AM27">
        <v>2</v>
      </c>
      <c r="AN27">
        <v>0</v>
      </c>
      <c r="AO27">
        <v>0</v>
      </c>
      <c r="AP27">
        <v>1</v>
      </c>
      <c r="AQ27">
        <v>0</v>
      </c>
      <c r="AR27">
        <v>0</v>
      </c>
      <c r="AS27" t="s">
        <v>3</v>
      </c>
      <c r="AT27">
        <v>1.2</v>
      </c>
      <c r="AU27" t="s">
        <v>3</v>
      </c>
      <c r="AV27">
        <v>0</v>
      </c>
      <c r="AW27">
        <v>1</v>
      </c>
      <c r="AX27">
        <v>-1</v>
      </c>
      <c r="AY27">
        <v>0</v>
      </c>
      <c r="AZ27">
        <v>0</v>
      </c>
      <c r="BA27" t="s">
        <v>3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V27">
        <v>0</v>
      </c>
      <c r="CW27">
        <v>0</v>
      </c>
      <c r="CX27">
        <f>ROUND(Y27*Source!I29,7)</f>
        <v>0.48</v>
      </c>
      <c r="CY27">
        <f t="shared" si="10"/>
        <v>41477.99</v>
      </c>
      <c r="CZ27">
        <f t="shared" si="11"/>
        <v>33998.35</v>
      </c>
      <c r="DA27">
        <f t="shared" si="12"/>
        <v>1.22</v>
      </c>
      <c r="DB27">
        <f t="shared" si="13"/>
        <v>40798.019999999997</v>
      </c>
      <c r="DC27">
        <f t="shared" si="14"/>
        <v>0</v>
      </c>
      <c r="DD27" t="s">
        <v>3</v>
      </c>
      <c r="DE27" t="s">
        <v>3</v>
      </c>
      <c r="DF27">
        <f>ROUND(ROUND(AE27*AI27,2)*CX27,2)</f>
        <v>19909.439999999999</v>
      </c>
      <c r="DG27">
        <f t="shared" si="8"/>
        <v>0</v>
      </c>
      <c r="DH27">
        <f t="shared" si="4"/>
        <v>0</v>
      </c>
      <c r="DI27">
        <f t="shared" si="5"/>
        <v>0</v>
      </c>
      <c r="DJ27">
        <f t="shared" si="15"/>
        <v>19909.439999999999</v>
      </c>
      <c r="DK27">
        <v>0</v>
      </c>
      <c r="DL27" t="s">
        <v>3</v>
      </c>
      <c r="DM27">
        <v>0</v>
      </c>
      <c r="DN27" t="s">
        <v>3</v>
      </c>
      <c r="DO27">
        <v>0</v>
      </c>
    </row>
    <row r="28" spans="1:119" x14ac:dyDescent="0.2">
      <c r="A28">
        <f>ROW(Source!A29)</f>
        <v>29</v>
      </c>
      <c r="B28">
        <v>55858619</v>
      </c>
      <c r="C28">
        <v>51353890</v>
      </c>
      <c r="D28">
        <v>50061986</v>
      </c>
      <c r="E28">
        <v>1</v>
      </c>
      <c r="F28">
        <v>1</v>
      </c>
      <c r="G28">
        <v>1</v>
      </c>
      <c r="H28">
        <v>3</v>
      </c>
      <c r="I28" t="s">
        <v>80</v>
      </c>
      <c r="J28" t="s">
        <v>83</v>
      </c>
      <c r="K28" t="s">
        <v>81</v>
      </c>
      <c r="L28">
        <v>1346</v>
      </c>
      <c r="N28">
        <v>1009</v>
      </c>
      <c r="O28" t="s">
        <v>82</v>
      </c>
      <c r="P28" t="s">
        <v>82</v>
      </c>
      <c r="Q28">
        <v>1</v>
      </c>
      <c r="W28">
        <v>0</v>
      </c>
      <c r="X28">
        <v>-844825149</v>
      </c>
      <c r="Y28">
        <f t="shared" si="9"/>
        <v>13</v>
      </c>
      <c r="AA28">
        <v>1759.15</v>
      </c>
      <c r="AB28">
        <v>0</v>
      </c>
      <c r="AC28">
        <v>0</v>
      </c>
      <c r="AD28">
        <v>0</v>
      </c>
      <c r="AE28">
        <v>1284.05</v>
      </c>
      <c r="AF28">
        <v>0</v>
      </c>
      <c r="AG28">
        <v>0</v>
      </c>
      <c r="AH28">
        <v>0</v>
      </c>
      <c r="AI28">
        <v>1.37</v>
      </c>
      <c r="AJ28">
        <v>1</v>
      </c>
      <c r="AK28">
        <v>1</v>
      </c>
      <c r="AL28">
        <v>1</v>
      </c>
      <c r="AM28">
        <v>2</v>
      </c>
      <c r="AN28">
        <v>1</v>
      </c>
      <c r="AO28">
        <v>0</v>
      </c>
      <c r="AP28">
        <v>1</v>
      </c>
      <c r="AQ28">
        <v>0</v>
      </c>
      <c r="AR28">
        <v>0</v>
      </c>
      <c r="AS28" t="s">
        <v>3</v>
      </c>
      <c r="AT28">
        <v>13</v>
      </c>
      <c r="AU28" t="s">
        <v>3</v>
      </c>
      <c r="AV28">
        <v>0</v>
      </c>
      <c r="AW28">
        <v>1</v>
      </c>
      <c r="AX28">
        <v>-1</v>
      </c>
      <c r="AY28">
        <v>0</v>
      </c>
      <c r="AZ28">
        <v>0</v>
      </c>
      <c r="BA28" t="s">
        <v>3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V28">
        <v>0</v>
      </c>
      <c r="CW28">
        <v>0</v>
      </c>
      <c r="CX28">
        <f>ROUND(Y28*Source!I29,7)</f>
        <v>5.2</v>
      </c>
      <c r="CY28">
        <f t="shared" si="10"/>
        <v>1759.15</v>
      </c>
      <c r="CZ28">
        <f t="shared" si="11"/>
        <v>1284.05</v>
      </c>
      <c r="DA28">
        <f t="shared" si="12"/>
        <v>1.37</v>
      </c>
      <c r="DB28">
        <f t="shared" si="13"/>
        <v>16692.650000000001</v>
      </c>
      <c r="DC28">
        <f t="shared" si="14"/>
        <v>0</v>
      </c>
      <c r="DD28" t="s">
        <v>3</v>
      </c>
      <c r="DE28" t="s">
        <v>3</v>
      </c>
      <c r="DF28">
        <f>ROUND(ROUND(AE28*AI28,2)*CX28,2)</f>
        <v>9147.58</v>
      </c>
      <c r="DG28">
        <f t="shared" si="8"/>
        <v>0</v>
      </c>
      <c r="DH28">
        <f t="shared" si="4"/>
        <v>0</v>
      </c>
      <c r="DI28">
        <f t="shared" si="5"/>
        <v>0</v>
      </c>
      <c r="DJ28">
        <f t="shared" si="15"/>
        <v>9147.58</v>
      </c>
      <c r="DK28">
        <v>0</v>
      </c>
      <c r="DL28" t="s">
        <v>3</v>
      </c>
      <c r="DM28">
        <v>0</v>
      </c>
      <c r="DN28" t="s">
        <v>3</v>
      </c>
      <c r="DO28">
        <v>0</v>
      </c>
    </row>
    <row r="29" spans="1:119" x14ac:dyDescent="0.2">
      <c r="A29">
        <f>ROW(Source!A34)</f>
        <v>34</v>
      </c>
      <c r="B29">
        <v>55858619</v>
      </c>
      <c r="C29">
        <v>51354033</v>
      </c>
      <c r="D29">
        <v>49971137</v>
      </c>
      <c r="E29">
        <v>114</v>
      </c>
      <c r="F29">
        <v>1</v>
      </c>
      <c r="G29">
        <v>1</v>
      </c>
      <c r="H29">
        <v>1</v>
      </c>
      <c r="I29" t="s">
        <v>407</v>
      </c>
      <c r="J29" t="s">
        <v>3</v>
      </c>
      <c r="K29" t="s">
        <v>408</v>
      </c>
      <c r="L29">
        <v>1191</v>
      </c>
      <c r="N29">
        <v>1013</v>
      </c>
      <c r="O29" t="s">
        <v>357</v>
      </c>
      <c r="P29" t="s">
        <v>357</v>
      </c>
      <c r="Q29">
        <v>1</v>
      </c>
      <c r="W29">
        <v>0</v>
      </c>
      <c r="X29">
        <v>44848675</v>
      </c>
      <c r="Y29">
        <f>(AT29*ROUND(1.15,7))</f>
        <v>33.8215</v>
      </c>
      <c r="AA29">
        <v>0</v>
      </c>
      <c r="AB29">
        <v>0</v>
      </c>
      <c r="AC29">
        <v>0</v>
      </c>
      <c r="AD29">
        <v>395.92</v>
      </c>
      <c r="AE29">
        <v>0</v>
      </c>
      <c r="AF29">
        <v>0</v>
      </c>
      <c r="AG29">
        <v>0</v>
      </c>
      <c r="AH29">
        <v>395.92</v>
      </c>
      <c r="AI29">
        <v>1</v>
      </c>
      <c r="AJ29">
        <v>1</v>
      </c>
      <c r="AK29">
        <v>1</v>
      </c>
      <c r="AL29">
        <v>1</v>
      </c>
      <c r="AM29">
        <v>-2</v>
      </c>
      <c r="AN29">
        <v>0</v>
      </c>
      <c r="AO29">
        <v>0</v>
      </c>
      <c r="AP29">
        <v>1</v>
      </c>
      <c r="AQ29">
        <v>1</v>
      </c>
      <c r="AR29">
        <v>0</v>
      </c>
      <c r="AS29" t="s">
        <v>3</v>
      </c>
      <c r="AT29">
        <v>29.41</v>
      </c>
      <c r="AU29" t="s">
        <v>47</v>
      </c>
      <c r="AV29">
        <v>1</v>
      </c>
      <c r="AW29">
        <v>2</v>
      </c>
      <c r="AX29">
        <v>51354034</v>
      </c>
      <c r="AY29">
        <v>2</v>
      </c>
      <c r="AZ29">
        <v>131072</v>
      </c>
      <c r="BA29">
        <v>29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11644.0072</v>
      </c>
      <c r="BN29">
        <v>29.41</v>
      </c>
      <c r="BO29">
        <v>0</v>
      </c>
      <c r="BP29">
        <v>1</v>
      </c>
      <c r="BQ29">
        <v>0</v>
      </c>
      <c r="BR29">
        <v>0</v>
      </c>
      <c r="BS29">
        <v>0</v>
      </c>
      <c r="BT29">
        <v>13390.60828</v>
      </c>
      <c r="BU29">
        <v>33.8215</v>
      </c>
      <c r="BV29">
        <v>0</v>
      </c>
      <c r="BW29">
        <v>1</v>
      </c>
      <c r="CU29">
        <f>ROUND(AT29*Source!I34*AH29*AL29,2)</f>
        <v>1047.96</v>
      </c>
      <c r="CV29">
        <f>ROUND(Y29*Source!I34,7)</f>
        <v>3.0439349999999998</v>
      </c>
      <c r="CW29">
        <v>0</v>
      </c>
      <c r="CX29">
        <f>ROUND(Y29*Source!I34,7)</f>
        <v>3.0439349999999998</v>
      </c>
      <c r="CY29">
        <f>AD29</f>
        <v>395.92</v>
      </c>
      <c r="CZ29">
        <f>AH29</f>
        <v>395.92</v>
      </c>
      <c r="DA29">
        <f>AL29</f>
        <v>1</v>
      </c>
      <c r="DB29">
        <f>ROUND((ROUND(AT29*CZ29,2)*ROUND(1.15,7)),6)</f>
        <v>13390.611500000001</v>
      </c>
      <c r="DC29">
        <f>ROUND((ROUND(AT29*AG29,2)*ROUND(1.15,7)),6)</f>
        <v>0</v>
      </c>
      <c r="DD29" t="s">
        <v>3</v>
      </c>
      <c r="DE29" t="s">
        <v>3</v>
      </c>
      <c r="DF29">
        <f>ROUND(ROUND(AE29,2)*CX29,2)</f>
        <v>0</v>
      </c>
      <c r="DG29">
        <f t="shared" si="8"/>
        <v>0</v>
      </c>
      <c r="DH29">
        <f t="shared" si="4"/>
        <v>0</v>
      </c>
      <c r="DI29">
        <f t="shared" si="5"/>
        <v>1205.1500000000001</v>
      </c>
      <c r="DJ29">
        <f>DI29</f>
        <v>1205.1500000000001</v>
      </c>
      <c r="DK29">
        <v>1</v>
      </c>
      <c r="DL29" t="s">
        <v>3</v>
      </c>
      <c r="DM29">
        <v>0</v>
      </c>
      <c r="DN29" t="s">
        <v>3</v>
      </c>
      <c r="DO29">
        <v>0</v>
      </c>
    </row>
    <row r="30" spans="1:119" x14ac:dyDescent="0.2">
      <c r="A30">
        <f>ROW(Source!A34)</f>
        <v>34</v>
      </c>
      <c r="B30">
        <v>55858619</v>
      </c>
      <c r="C30">
        <v>51354033</v>
      </c>
      <c r="D30">
        <v>49971314</v>
      </c>
      <c r="E30">
        <v>114</v>
      </c>
      <c r="F30">
        <v>1</v>
      </c>
      <c r="G30">
        <v>1</v>
      </c>
      <c r="H30">
        <v>1</v>
      </c>
      <c r="I30" t="s">
        <v>358</v>
      </c>
      <c r="J30" t="s">
        <v>3</v>
      </c>
      <c r="K30" t="s">
        <v>359</v>
      </c>
      <c r="L30">
        <v>1191</v>
      </c>
      <c r="N30">
        <v>1013</v>
      </c>
      <c r="O30" t="s">
        <v>357</v>
      </c>
      <c r="P30" t="s">
        <v>357</v>
      </c>
      <c r="Q30">
        <v>1</v>
      </c>
      <c r="W30">
        <v>0</v>
      </c>
      <c r="X30">
        <v>-1417349443</v>
      </c>
      <c r="Y30">
        <f>(AT30*ROUND(1.25,7))</f>
        <v>0.38750000000000001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M30">
        <v>-2</v>
      </c>
      <c r="AN30">
        <v>0</v>
      </c>
      <c r="AO30">
        <v>0</v>
      </c>
      <c r="AP30">
        <v>1</v>
      </c>
      <c r="AQ30">
        <v>1</v>
      </c>
      <c r="AR30">
        <v>0</v>
      </c>
      <c r="AS30" t="s">
        <v>3</v>
      </c>
      <c r="AT30">
        <v>0.31</v>
      </c>
      <c r="AU30" t="s">
        <v>46</v>
      </c>
      <c r="AV30">
        <v>2</v>
      </c>
      <c r="AW30">
        <v>2</v>
      </c>
      <c r="AX30">
        <v>51354035</v>
      </c>
      <c r="AY30">
        <v>1</v>
      </c>
      <c r="AZ30">
        <v>0</v>
      </c>
      <c r="BA30">
        <v>30</v>
      </c>
      <c r="BB30">
        <v>1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V30">
        <v>0</v>
      </c>
      <c r="CW30">
        <v>0</v>
      </c>
      <c r="CX30">
        <f>ROUND(Y30*Source!I34,7)</f>
        <v>3.4875000000000003E-2</v>
      </c>
      <c r="CY30">
        <f>AD30</f>
        <v>0</v>
      </c>
      <c r="CZ30">
        <f>AH30</f>
        <v>0</v>
      </c>
      <c r="DA30">
        <f>AL30</f>
        <v>1</v>
      </c>
      <c r="DB30">
        <f>ROUND((ROUND(AT30*CZ30,2)*ROUND(1.25,7)),6)</f>
        <v>0</v>
      </c>
      <c r="DC30">
        <f>ROUND((ROUND(AT30*AG30,2)*ROUND(1.25,7)),6)</f>
        <v>0</v>
      </c>
      <c r="DD30" t="s">
        <v>3</v>
      </c>
      <c r="DE30" t="s">
        <v>3</v>
      </c>
      <c r="DF30">
        <f>ROUND(ROUND(AE30,2)*CX30,2)</f>
        <v>0</v>
      </c>
      <c r="DG30">
        <f t="shared" si="8"/>
        <v>0</v>
      </c>
      <c r="DH30">
        <f t="shared" si="4"/>
        <v>0</v>
      </c>
      <c r="DI30">
        <f t="shared" si="5"/>
        <v>0</v>
      </c>
      <c r="DJ30">
        <f>DI30</f>
        <v>0</v>
      </c>
      <c r="DK30">
        <v>0</v>
      </c>
      <c r="DL30" t="s">
        <v>3</v>
      </c>
      <c r="DM30">
        <v>0</v>
      </c>
      <c r="DN30" t="s">
        <v>3</v>
      </c>
      <c r="DO30">
        <v>0</v>
      </c>
    </row>
    <row r="31" spans="1:119" x14ac:dyDescent="0.2">
      <c r="A31">
        <f>ROW(Source!A34)</f>
        <v>34</v>
      </c>
      <c r="B31">
        <v>55858619</v>
      </c>
      <c r="C31">
        <v>51354033</v>
      </c>
      <c r="D31">
        <v>50095945</v>
      </c>
      <c r="E31">
        <v>1</v>
      </c>
      <c r="F31">
        <v>1</v>
      </c>
      <c r="G31">
        <v>1</v>
      </c>
      <c r="H31">
        <v>2</v>
      </c>
      <c r="I31" t="s">
        <v>360</v>
      </c>
      <c r="J31" t="s">
        <v>361</v>
      </c>
      <c r="K31" t="s">
        <v>362</v>
      </c>
      <c r="L31">
        <v>1368</v>
      </c>
      <c r="N31">
        <v>1011</v>
      </c>
      <c r="O31" t="s">
        <v>363</v>
      </c>
      <c r="P31" t="s">
        <v>363</v>
      </c>
      <c r="Q31">
        <v>1</v>
      </c>
      <c r="W31">
        <v>0</v>
      </c>
      <c r="X31">
        <v>-92307625</v>
      </c>
      <c r="Y31">
        <f>(AT31*ROUND(1.25,7))</f>
        <v>1.2500000000000001E-2</v>
      </c>
      <c r="AA31">
        <v>0</v>
      </c>
      <c r="AB31">
        <v>60.83</v>
      </c>
      <c r="AC31">
        <v>359.65</v>
      </c>
      <c r="AD31">
        <v>0</v>
      </c>
      <c r="AE31">
        <v>0</v>
      </c>
      <c r="AF31">
        <v>37.32</v>
      </c>
      <c r="AG31">
        <v>359.65</v>
      </c>
      <c r="AH31">
        <v>0</v>
      </c>
      <c r="AI31">
        <v>1</v>
      </c>
      <c r="AJ31">
        <v>1.63</v>
      </c>
      <c r="AK31">
        <v>1</v>
      </c>
      <c r="AL31">
        <v>1</v>
      </c>
      <c r="AM31">
        <v>2</v>
      </c>
      <c r="AN31">
        <v>0</v>
      </c>
      <c r="AO31">
        <v>0</v>
      </c>
      <c r="AP31">
        <v>1</v>
      </c>
      <c r="AQ31">
        <v>1</v>
      </c>
      <c r="AR31">
        <v>0</v>
      </c>
      <c r="AS31" t="s">
        <v>3</v>
      </c>
      <c r="AT31">
        <v>0.01</v>
      </c>
      <c r="AU31" t="s">
        <v>46</v>
      </c>
      <c r="AV31">
        <v>1</v>
      </c>
      <c r="AW31">
        <v>2</v>
      </c>
      <c r="AX31">
        <v>51354036</v>
      </c>
      <c r="AY31">
        <v>2</v>
      </c>
      <c r="AZ31">
        <v>65536</v>
      </c>
      <c r="BA31">
        <v>31</v>
      </c>
      <c r="BB31">
        <v>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0.37320000000000003</v>
      </c>
      <c r="BL31">
        <v>3.5964999999999998</v>
      </c>
      <c r="BM31">
        <v>0</v>
      </c>
      <c r="BN31">
        <v>0</v>
      </c>
      <c r="BO31">
        <v>0.01</v>
      </c>
      <c r="BP31">
        <v>1</v>
      </c>
      <c r="BQ31">
        <v>0</v>
      </c>
      <c r="BR31">
        <v>0.46650000000000003</v>
      </c>
      <c r="BS31">
        <v>4.4956249999999995</v>
      </c>
      <c r="BT31">
        <v>0</v>
      </c>
      <c r="BU31">
        <v>0</v>
      </c>
      <c r="BV31">
        <v>1.2500000000000001E-2</v>
      </c>
      <c r="BW31">
        <v>1</v>
      </c>
      <c r="CV31">
        <v>0</v>
      </c>
      <c r="CW31">
        <f>ROUND(Y31*Source!I34*DO31,7)</f>
        <v>1.1249999999999999E-3</v>
      </c>
      <c r="CX31">
        <f>ROUND(Y31*Source!I34,7)</f>
        <v>1.1249999999999999E-3</v>
      </c>
      <c r="CY31">
        <f>AB31</f>
        <v>60.83</v>
      </c>
      <c r="CZ31">
        <f>AF31</f>
        <v>37.32</v>
      </c>
      <c r="DA31">
        <f>AJ31</f>
        <v>1.63</v>
      </c>
      <c r="DB31">
        <f>ROUND((ROUND(AT31*CZ31,2)*ROUND(1.25,7)),6)</f>
        <v>0.46250000000000002</v>
      </c>
      <c r="DC31">
        <f>ROUND((ROUND(AT31*AG31,2)*ROUND(1.25,7)),6)</f>
        <v>4.5</v>
      </c>
      <c r="DD31" t="s">
        <v>3</v>
      </c>
      <c r="DE31" t="s">
        <v>3</v>
      </c>
      <c r="DF31">
        <f>ROUND(ROUND(AE31,2)*CX31,2)</f>
        <v>0</v>
      </c>
      <c r="DG31">
        <f>ROUND(ROUND(AF31*AJ31,2)*CX31,2)</f>
        <v>7.0000000000000007E-2</v>
      </c>
      <c r="DH31">
        <f t="shared" si="4"/>
        <v>0.4</v>
      </c>
      <c r="DI31">
        <f t="shared" si="5"/>
        <v>0</v>
      </c>
      <c r="DJ31">
        <f>DG31+DH31</f>
        <v>0.47000000000000003</v>
      </c>
      <c r="DK31">
        <v>0</v>
      </c>
      <c r="DL31" t="s">
        <v>364</v>
      </c>
      <c r="DM31">
        <v>3</v>
      </c>
      <c r="DN31" t="s">
        <v>357</v>
      </c>
      <c r="DO31">
        <v>1</v>
      </c>
    </row>
    <row r="32" spans="1:119" x14ac:dyDescent="0.2">
      <c r="A32">
        <f>ROW(Source!A34)</f>
        <v>34</v>
      </c>
      <c r="B32">
        <v>55858619</v>
      </c>
      <c r="C32">
        <v>51354033</v>
      </c>
      <c r="D32">
        <v>50096650</v>
      </c>
      <c r="E32">
        <v>1</v>
      </c>
      <c r="F32">
        <v>1</v>
      </c>
      <c r="G32">
        <v>1</v>
      </c>
      <c r="H32">
        <v>2</v>
      </c>
      <c r="I32" t="s">
        <v>382</v>
      </c>
      <c r="J32" t="s">
        <v>383</v>
      </c>
      <c r="K32" t="s">
        <v>384</v>
      </c>
      <c r="L32">
        <v>1368</v>
      </c>
      <c r="N32">
        <v>1011</v>
      </c>
      <c r="O32" t="s">
        <v>363</v>
      </c>
      <c r="P32" t="s">
        <v>363</v>
      </c>
      <c r="Q32">
        <v>1</v>
      </c>
      <c r="W32">
        <v>0</v>
      </c>
      <c r="X32">
        <v>-1152394969</v>
      </c>
      <c r="Y32">
        <f>(AT32*ROUND(1.25,7))</f>
        <v>0.375</v>
      </c>
      <c r="AA32">
        <v>0</v>
      </c>
      <c r="AB32">
        <v>680.75</v>
      </c>
      <c r="AC32">
        <v>404.99</v>
      </c>
      <c r="AD32">
        <v>0</v>
      </c>
      <c r="AE32">
        <v>0</v>
      </c>
      <c r="AF32">
        <v>680.75</v>
      </c>
      <c r="AG32">
        <v>404.99</v>
      </c>
      <c r="AH32">
        <v>0</v>
      </c>
      <c r="AI32">
        <v>1</v>
      </c>
      <c r="AJ32">
        <v>1</v>
      </c>
      <c r="AK32">
        <v>1</v>
      </c>
      <c r="AL32">
        <v>1</v>
      </c>
      <c r="AM32">
        <v>-2</v>
      </c>
      <c r="AN32">
        <v>0</v>
      </c>
      <c r="AO32">
        <v>0</v>
      </c>
      <c r="AP32">
        <v>1</v>
      </c>
      <c r="AQ32">
        <v>1</v>
      </c>
      <c r="AR32">
        <v>0</v>
      </c>
      <c r="AS32" t="s">
        <v>3</v>
      </c>
      <c r="AT32">
        <v>0.3</v>
      </c>
      <c r="AU32" t="s">
        <v>46</v>
      </c>
      <c r="AV32">
        <v>1</v>
      </c>
      <c r="AW32">
        <v>2</v>
      </c>
      <c r="AX32">
        <v>51354037</v>
      </c>
      <c r="AY32">
        <v>2</v>
      </c>
      <c r="AZ32">
        <v>98304</v>
      </c>
      <c r="BA32">
        <v>32</v>
      </c>
      <c r="BB32">
        <v>1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204.22499999999999</v>
      </c>
      <c r="BL32">
        <v>121.497</v>
      </c>
      <c r="BM32">
        <v>0</v>
      </c>
      <c r="BN32">
        <v>0</v>
      </c>
      <c r="BO32">
        <v>0.3</v>
      </c>
      <c r="BP32">
        <v>1</v>
      </c>
      <c r="BQ32">
        <v>0</v>
      </c>
      <c r="BR32">
        <v>255.28125</v>
      </c>
      <c r="BS32">
        <v>151.87125</v>
      </c>
      <c r="BT32">
        <v>0</v>
      </c>
      <c r="BU32">
        <v>0</v>
      </c>
      <c r="BV32">
        <v>0.375</v>
      </c>
      <c r="BW32">
        <v>1</v>
      </c>
      <c r="CV32">
        <v>0</v>
      </c>
      <c r="CW32">
        <f>ROUND(Y32*Source!I34*DO32,7)</f>
        <v>3.3750000000000002E-2</v>
      </c>
      <c r="CX32">
        <f>ROUND(Y32*Source!I34,7)</f>
        <v>3.3750000000000002E-2</v>
      </c>
      <c r="CY32">
        <f>AB32</f>
        <v>680.75</v>
      </c>
      <c r="CZ32">
        <f>AF32</f>
        <v>680.75</v>
      </c>
      <c r="DA32">
        <f>AJ32</f>
        <v>1</v>
      </c>
      <c r="DB32">
        <f>ROUND((ROUND(AT32*CZ32,2)*ROUND(1.25,7)),6)</f>
        <v>255.28749999999999</v>
      </c>
      <c r="DC32">
        <f>ROUND((ROUND(AT32*AG32,2)*ROUND(1.25,7)),6)</f>
        <v>151.875</v>
      </c>
      <c r="DD32" t="s">
        <v>3</v>
      </c>
      <c r="DE32" t="s">
        <v>3</v>
      </c>
      <c r="DF32">
        <f>ROUND(ROUND(AE32,2)*CX32,2)</f>
        <v>0</v>
      </c>
      <c r="DG32">
        <f t="shared" ref="DG32:DG39" si="16">ROUND(ROUND(AF32,2)*CX32,2)</f>
        <v>22.98</v>
      </c>
      <c r="DH32">
        <f t="shared" si="4"/>
        <v>13.67</v>
      </c>
      <c r="DI32">
        <f t="shared" si="5"/>
        <v>0</v>
      </c>
      <c r="DJ32">
        <f>DG32+DH32</f>
        <v>36.65</v>
      </c>
      <c r="DK32">
        <v>1</v>
      </c>
      <c r="DL32" t="s">
        <v>385</v>
      </c>
      <c r="DM32">
        <v>4</v>
      </c>
      <c r="DN32" t="s">
        <v>357</v>
      </c>
      <c r="DO32">
        <v>1</v>
      </c>
    </row>
    <row r="33" spans="1:119" x14ac:dyDescent="0.2">
      <c r="A33">
        <f>ROW(Source!A34)</f>
        <v>34</v>
      </c>
      <c r="B33">
        <v>55858619</v>
      </c>
      <c r="C33">
        <v>51354033</v>
      </c>
      <c r="D33">
        <v>50042837</v>
      </c>
      <c r="E33">
        <v>1</v>
      </c>
      <c r="F33">
        <v>1</v>
      </c>
      <c r="G33">
        <v>1</v>
      </c>
      <c r="H33">
        <v>3</v>
      </c>
      <c r="I33" t="s">
        <v>386</v>
      </c>
      <c r="J33" t="s">
        <v>387</v>
      </c>
      <c r="K33" t="s">
        <v>388</v>
      </c>
      <c r="L33">
        <v>1339</v>
      </c>
      <c r="N33">
        <v>1007</v>
      </c>
      <c r="O33" t="s">
        <v>33</v>
      </c>
      <c r="P33" t="s">
        <v>33</v>
      </c>
      <c r="Q33">
        <v>1</v>
      </c>
      <c r="W33">
        <v>0</v>
      </c>
      <c r="X33">
        <v>-1879317523</v>
      </c>
      <c r="Y33">
        <f>AT33</f>
        <v>0.01</v>
      </c>
      <c r="AA33">
        <v>29.64</v>
      </c>
      <c r="AB33">
        <v>0</v>
      </c>
      <c r="AC33">
        <v>0</v>
      </c>
      <c r="AD33">
        <v>0</v>
      </c>
      <c r="AE33">
        <v>35.71</v>
      </c>
      <c r="AF33">
        <v>0</v>
      </c>
      <c r="AG33">
        <v>0</v>
      </c>
      <c r="AH33">
        <v>0</v>
      </c>
      <c r="AI33">
        <v>0.83</v>
      </c>
      <c r="AJ33">
        <v>1</v>
      </c>
      <c r="AK33">
        <v>1</v>
      </c>
      <c r="AL33">
        <v>1</v>
      </c>
      <c r="AM33">
        <v>2</v>
      </c>
      <c r="AN33">
        <v>0</v>
      </c>
      <c r="AO33">
        <v>0</v>
      </c>
      <c r="AP33">
        <v>0</v>
      </c>
      <c r="AQ33">
        <v>1</v>
      </c>
      <c r="AR33">
        <v>0</v>
      </c>
      <c r="AS33" t="s">
        <v>3</v>
      </c>
      <c r="AT33">
        <v>0.01</v>
      </c>
      <c r="AU33" t="s">
        <v>3</v>
      </c>
      <c r="AV33">
        <v>0</v>
      </c>
      <c r="AW33">
        <v>2</v>
      </c>
      <c r="AX33">
        <v>51354038</v>
      </c>
      <c r="AY33">
        <v>1</v>
      </c>
      <c r="AZ33">
        <v>0</v>
      </c>
      <c r="BA33">
        <v>33</v>
      </c>
      <c r="BB33">
        <v>1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0.35710000000000003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1</v>
      </c>
      <c r="BQ33">
        <v>0.35710000000000003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1</v>
      </c>
      <c r="CV33">
        <v>0</v>
      </c>
      <c r="CW33">
        <v>0</v>
      </c>
      <c r="CX33">
        <f>ROUND(Y33*Source!I34,7)</f>
        <v>8.9999999999999998E-4</v>
      </c>
      <c r="CY33">
        <f>AA33</f>
        <v>29.64</v>
      </c>
      <c r="CZ33">
        <f>AE33</f>
        <v>35.71</v>
      </c>
      <c r="DA33">
        <f>AI33</f>
        <v>0.83</v>
      </c>
      <c r="DB33">
        <f>ROUND(ROUND(AT33*CZ33,2),6)</f>
        <v>0.36</v>
      </c>
      <c r="DC33">
        <f>ROUND(ROUND(AT33*AG33,2),6)</f>
        <v>0</v>
      </c>
      <c r="DD33" t="s">
        <v>3</v>
      </c>
      <c r="DE33" t="s">
        <v>3</v>
      </c>
      <c r="DF33">
        <f>ROUND(ROUND(AE33*AI33,2)*CX33,2)</f>
        <v>0.03</v>
      </c>
      <c r="DG33">
        <f t="shared" si="16"/>
        <v>0</v>
      </c>
      <c r="DH33">
        <f t="shared" ref="DH33:DH64" si="17">ROUND(ROUND(AG33,2)*CX33,2)</f>
        <v>0</v>
      </c>
      <c r="DI33">
        <f t="shared" ref="DI33:DI64" si="18">ROUND(ROUND(AH33,2)*CX33,2)</f>
        <v>0</v>
      </c>
      <c r="DJ33">
        <f>DF33</f>
        <v>0.03</v>
      </c>
      <c r="DK33">
        <v>0</v>
      </c>
      <c r="DL33" t="s">
        <v>3</v>
      </c>
      <c r="DM33">
        <v>0</v>
      </c>
      <c r="DN33" t="s">
        <v>3</v>
      </c>
      <c r="DO33">
        <v>0</v>
      </c>
    </row>
    <row r="34" spans="1:119" x14ac:dyDescent="0.2">
      <c r="A34">
        <f>ROW(Source!A34)</f>
        <v>34</v>
      </c>
      <c r="B34">
        <v>55858619</v>
      </c>
      <c r="C34">
        <v>51354033</v>
      </c>
      <c r="D34">
        <v>50042849</v>
      </c>
      <c r="E34">
        <v>1</v>
      </c>
      <c r="F34">
        <v>1</v>
      </c>
      <c r="G34">
        <v>1</v>
      </c>
      <c r="H34">
        <v>3</v>
      </c>
      <c r="I34" t="s">
        <v>403</v>
      </c>
      <c r="J34" t="s">
        <v>404</v>
      </c>
      <c r="K34" t="s">
        <v>405</v>
      </c>
      <c r="L34">
        <v>1383</v>
      </c>
      <c r="N34">
        <v>1013</v>
      </c>
      <c r="O34" t="s">
        <v>406</v>
      </c>
      <c r="P34" t="s">
        <v>406</v>
      </c>
      <c r="Q34">
        <v>1</v>
      </c>
      <c r="W34">
        <v>0</v>
      </c>
      <c r="X34">
        <v>-2119218604</v>
      </c>
      <c r="Y34">
        <f>AT34</f>
        <v>0.09</v>
      </c>
      <c r="AA34">
        <v>7.71</v>
      </c>
      <c r="AB34">
        <v>0</v>
      </c>
      <c r="AC34">
        <v>0</v>
      </c>
      <c r="AD34">
        <v>0</v>
      </c>
      <c r="AE34">
        <v>7.71</v>
      </c>
      <c r="AF34">
        <v>0</v>
      </c>
      <c r="AG34">
        <v>0</v>
      </c>
      <c r="AH34">
        <v>0</v>
      </c>
      <c r="AI34">
        <v>1</v>
      </c>
      <c r="AJ34">
        <v>1</v>
      </c>
      <c r="AK34">
        <v>1</v>
      </c>
      <c r="AL34">
        <v>1</v>
      </c>
      <c r="AM34">
        <v>-2</v>
      </c>
      <c r="AN34">
        <v>0</v>
      </c>
      <c r="AO34">
        <v>0</v>
      </c>
      <c r="AP34">
        <v>0</v>
      </c>
      <c r="AQ34">
        <v>1</v>
      </c>
      <c r="AR34">
        <v>0</v>
      </c>
      <c r="AS34" t="s">
        <v>3</v>
      </c>
      <c r="AT34">
        <v>0.09</v>
      </c>
      <c r="AU34" t="s">
        <v>3</v>
      </c>
      <c r="AV34">
        <v>0</v>
      </c>
      <c r="AW34">
        <v>2</v>
      </c>
      <c r="AX34">
        <v>51354039</v>
      </c>
      <c r="AY34">
        <v>2</v>
      </c>
      <c r="AZ34">
        <v>16384</v>
      </c>
      <c r="BA34">
        <v>34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0.69389999999999996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1</v>
      </c>
      <c r="BQ34">
        <v>0.69389999999999996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1</v>
      </c>
      <c r="CV34">
        <v>0</v>
      </c>
      <c r="CW34">
        <v>0</v>
      </c>
      <c r="CX34">
        <f>ROUND(Y34*Source!I34,7)</f>
        <v>8.0999999999999996E-3</v>
      </c>
      <c r="CY34">
        <f>AA34</f>
        <v>7.71</v>
      </c>
      <c r="CZ34">
        <f>AE34</f>
        <v>7.71</v>
      </c>
      <c r="DA34">
        <f>AI34</f>
        <v>1</v>
      </c>
      <c r="DB34">
        <f>ROUND(ROUND(AT34*CZ34,2),6)</f>
        <v>0.69</v>
      </c>
      <c r="DC34">
        <f>ROUND(ROUND(AT34*AG34,2),6)</f>
        <v>0</v>
      </c>
      <c r="DD34" t="s">
        <v>3</v>
      </c>
      <c r="DE34" t="s">
        <v>3</v>
      </c>
      <c r="DF34">
        <f>ROUND(ROUND(AE34,2)*CX34,2)</f>
        <v>0.06</v>
      </c>
      <c r="DG34">
        <f t="shared" si="16"/>
        <v>0</v>
      </c>
      <c r="DH34">
        <f t="shared" si="17"/>
        <v>0</v>
      </c>
      <c r="DI34">
        <f t="shared" si="18"/>
        <v>0</v>
      </c>
      <c r="DJ34">
        <f>DF34</f>
        <v>0.06</v>
      </c>
      <c r="DK34">
        <v>1</v>
      </c>
      <c r="DL34" t="s">
        <v>3</v>
      </c>
      <c r="DM34">
        <v>0</v>
      </c>
      <c r="DN34" t="s">
        <v>3</v>
      </c>
      <c r="DO34">
        <v>0</v>
      </c>
    </row>
    <row r="35" spans="1:119" x14ac:dyDescent="0.2">
      <c r="A35">
        <f>ROW(Source!A34)</f>
        <v>34</v>
      </c>
      <c r="B35">
        <v>55858619</v>
      </c>
      <c r="C35">
        <v>51354033</v>
      </c>
      <c r="D35">
        <v>50047203</v>
      </c>
      <c r="E35">
        <v>1</v>
      </c>
      <c r="F35">
        <v>1</v>
      </c>
      <c r="G35">
        <v>1</v>
      </c>
      <c r="H35">
        <v>3</v>
      </c>
      <c r="I35" t="s">
        <v>90</v>
      </c>
      <c r="J35" t="s">
        <v>92</v>
      </c>
      <c r="K35" t="s">
        <v>91</v>
      </c>
      <c r="L35">
        <v>1348</v>
      </c>
      <c r="N35">
        <v>1009</v>
      </c>
      <c r="O35" t="s">
        <v>29</v>
      </c>
      <c r="P35" t="s">
        <v>29</v>
      </c>
      <c r="Q35">
        <v>1000</v>
      </c>
      <c r="W35">
        <v>0</v>
      </c>
      <c r="X35">
        <v>-311689578</v>
      </c>
      <c r="Y35">
        <f>AT35</f>
        <v>0.01</v>
      </c>
      <c r="AA35">
        <v>75978.600000000006</v>
      </c>
      <c r="AB35">
        <v>0</v>
      </c>
      <c r="AC35">
        <v>0</v>
      </c>
      <c r="AD35">
        <v>0</v>
      </c>
      <c r="AE35">
        <v>37800.300000000003</v>
      </c>
      <c r="AF35">
        <v>0</v>
      </c>
      <c r="AG35">
        <v>0</v>
      </c>
      <c r="AH35">
        <v>0</v>
      </c>
      <c r="AI35">
        <v>2.0099999999999998</v>
      </c>
      <c r="AJ35">
        <v>1</v>
      </c>
      <c r="AK35">
        <v>1</v>
      </c>
      <c r="AL35">
        <v>1</v>
      </c>
      <c r="AM35">
        <v>2</v>
      </c>
      <c r="AN35">
        <v>0</v>
      </c>
      <c r="AO35">
        <v>0</v>
      </c>
      <c r="AP35">
        <v>1</v>
      </c>
      <c r="AQ35">
        <v>0</v>
      </c>
      <c r="AR35">
        <v>0</v>
      </c>
      <c r="AS35" t="s">
        <v>3</v>
      </c>
      <c r="AT35">
        <v>0.01</v>
      </c>
      <c r="AU35" t="s">
        <v>3</v>
      </c>
      <c r="AV35">
        <v>0</v>
      </c>
      <c r="AW35">
        <v>1</v>
      </c>
      <c r="AX35">
        <v>-1</v>
      </c>
      <c r="AY35">
        <v>0</v>
      </c>
      <c r="AZ35">
        <v>0</v>
      </c>
      <c r="BA35" t="s">
        <v>3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V35">
        <v>0</v>
      </c>
      <c r="CW35">
        <v>0</v>
      </c>
      <c r="CX35">
        <f>ROUND(Y35*Source!I34,7)</f>
        <v>8.9999999999999998E-4</v>
      </c>
      <c r="CY35">
        <f>AA35</f>
        <v>75978.600000000006</v>
      </c>
      <c r="CZ35">
        <f>AE35</f>
        <v>37800.300000000003</v>
      </c>
      <c r="DA35">
        <f>AI35</f>
        <v>2.0099999999999998</v>
      </c>
      <c r="DB35">
        <f>ROUND(ROUND(AT35*CZ35,2),6)</f>
        <v>378</v>
      </c>
      <c r="DC35">
        <f>ROUND(ROUND(AT35*AG35,2),6)</f>
        <v>0</v>
      </c>
      <c r="DD35" t="s">
        <v>3</v>
      </c>
      <c r="DE35" t="s">
        <v>3</v>
      </c>
      <c r="DF35">
        <f>ROUND(ROUND(AE35*AI35,2)*CX35,2)</f>
        <v>68.38</v>
      </c>
      <c r="DG35">
        <f t="shared" si="16"/>
        <v>0</v>
      </c>
      <c r="DH35">
        <f t="shared" si="17"/>
        <v>0</v>
      </c>
      <c r="DI35">
        <f t="shared" si="18"/>
        <v>0</v>
      </c>
      <c r="DJ35">
        <f>DF35</f>
        <v>68.38</v>
      </c>
      <c r="DK35">
        <v>0</v>
      </c>
      <c r="DL35" t="s">
        <v>3</v>
      </c>
      <c r="DM35">
        <v>0</v>
      </c>
      <c r="DN35" t="s">
        <v>3</v>
      </c>
      <c r="DO35">
        <v>0</v>
      </c>
    </row>
    <row r="36" spans="1:119" x14ac:dyDescent="0.2">
      <c r="A36">
        <f>ROW(Source!A34)</f>
        <v>34</v>
      </c>
      <c r="B36">
        <v>55858619</v>
      </c>
      <c r="C36">
        <v>51354033</v>
      </c>
      <c r="D36">
        <v>50049081</v>
      </c>
      <c r="E36">
        <v>1</v>
      </c>
      <c r="F36">
        <v>1</v>
      </c>
      <c r="G36">
        <v>1</v>
      </c>
      <c r="H36">
        <v>3</v>
      </c>
      <c r="I36" t="s">
        <v>67</v>
      </c>
      <c r="J36" t="s">
        <v>70</v>
      </c>
      <c r="K36" t="s">
        <v>68</v>
      </c>
      <c r="L36">
        <v>1327</v>
      </c>
      <c r="N36">
        <v>1005</v>
      </c>
      <c r="O36" t="s">
        <v>69</v>
      </c>
      <c r="P36" t="s">
        <v>69</v>
      </c>
      <c r="Q36">
        <v>1</v>
      </c>
      <c r="W36">
        <v>0</v>
      </c>
      <c r="X36">
        <v>-395630401</v>
      </c>
      <c r="Y36">
        <f>AT36</f>
        <v>10.199999999999999</v>
      </c>
      <c r="AA36">
        <v>1084.0899999999999</v>
      </c>
      <c r="AB36">
        <v>0</v>
      </c>
      <c r="AC36">
        <v>0</v>
      </c>
      <c r="AD36">
        <v>0</v>
      </c>
      <c r="AE36">
        <v>1084.0899999999999</v>
      </c>
      <c r="AF36">
        <v>0</v>
      </c>
      <c r="AG36">
        <v>0</v>
      </c>
      <c r="AH36">
        <v>0</v>
      </c>
      <c r="AI36">
        <v>1</v>
      </c>
      <c r="AJ36">
        <v>1</v>
      </c>
      <c r="AK36">
        <v>1</v>
      </c>
      <c r="AL36">
        <v>1</v>
      </c>
      <c r="AM36">
        <v>-2</v>
      </c>
      <c r="AN36">
        <v>0</v>
      </c>
      <c r="AO36">
        <v>0</v>
      </c>
      <c r="AP36">
        <v>1</v>
      </c>
      <c r="AQ36">
        <v>0</v>
      </c>
      <c r="AR36">
        <v>0</v>
      </c>
      <c r="AS36" t="s">
        <v>3</v>
      </c>
      <c r="AT36">
        <v>10.199999999999999</v>
      </c>
      <c r="AU36" t="s">
        <v>3</v>
      </c>
      <c r="AV36">
        <v>0</v>
      </c>
      <c r="AW36">
        <v>1</v>
      </c>
      <c r="AX36">
        <v>-1</v>
      </c>
      <c r="AY36">
        <v>0</v>
      </c>
      <c r="AZ36">
        <v>0</v>
      </c>
      <c r="BA36" t="s">
        <v>3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V36">
        <v>0</v>
      </c>
      <c r="CW36">
        <v>0</v>
      </c>
      <c r="CX36">
        <f>ROUND(Y36*Source!I34,7)</f>
        <v>0.91800000000000004</v>
      </c>
      <c r="CY36">
        <f>AA36</f>
        <v>1084.0899999999999</v>
      </c>
      <c r="CZ36">
        <f>AE36</f>
        <v>1084.0899999999999</v>
      </c>
      <c r="DA36">
        <f>AI36</f>
        <v>1</v>
      </c>
      <c r="DB36">
        <f>ROUND(ROUND(AT36*CZ36,2),6)</f>
        <v>11057.72</v>
      </c>
      <c r="DC36">
        <f>ROUND(ROUND(AT36*AG36,2),6)</f>
        <v>0</v>
      </c>
      <c r="DD36" t="s">
        <v>3</v>
      </c>
      <c r="DE36" t="s">
        <v>3</v>
      </c>
      <c r="DF36">
        <f>ROUND(ROUND(AE36,2)*CX36,2)</f>
        <v>995.19</v>
      </c>
      <c r="DG36">
        <f t="shared" si="16"/>
        <v>0</v>
      </c>
      <c r="DH36">
        <f t="shared" si="17"/>
        <v>0</v>
      </c>
      <c r="DI36">
        <f t="shared" si="18"/>
        <v>0</v>
      </c>
      <c r="DJ36">
        <f>DF36</f>
        <v>995.19</v>
      </c>
      <c r="DK36">
        <v>1</v>
      </c>
      <c r="DL36" t="s">
        <v>3</v>
      </c>
      <c r="DM36">
        <v>0</v>
      </c>
      <c r="DN36" t="s">
        <v>3</v>
      </c>
      <c r="DO36">
        <v>0</v>
      </c>
    </row>
    <row r="37" spans="1:119" x14ac:dyDescent="0.2">
      <c r="A37">
        <f>ROW(Source!A34)</f>
        <v>34</v>
      </c>
      <c r="B37">
        <v>55858619</v>
      </c>
      <c r="C37">
        <v>51354033</v>
      </c>
      <c r="D37">
        <v>54662204</v>
      </c>
      <c r="E37">
        <v>1</v>
      </c>
      <c r="F37">
        <v>1</v>
      </c>
      <c r="G37">
        <v>1</v>
      </c>
      <c r="H37">
        <v>3</v>
      </c>
      <c r="I37" t="s">
        <v>76</v>
      </c>
      <c r="J37" t="s">
        <v>78</v>
      </c>
      <c r="K37" t="s">
        <v>77</v>
      </c>
      <c r="L37">
        <v>1348</v>
      </c>
      <c r="N37">
        <v>1009</v>
      </c>
      <c r="O37" t="s">
        <v>29</v>
      </c>
      <c r="P37" t="s">
        <v>29</v>
      </c>
      <c r="Q37">
        <v>1000</v>
      </c>
      <c r="W37">
        <v>0</v>
      </c>
      <c r="X37">
        <v>1044775536</v>
      </c>
      <c r="Y37">
        <f>AT37</f>
        <v>0.04</v>
      </c>
      <c r="AA37">
        <v>41477.99</v>
      </c>
      <c r="AB37">
        <v>0</v>
      </c>
      <c r="AC37">
        <v>0</v>
      </c>
      <c r="AD37">
        <v>0</v>
      </c>
      <c r="AE37">
        <v>33998.35</v>
      </c>
      <c r="AF37">
        <v>0</v>
      </c>
      <c r="AG37">
        <v>0</v>
      </c>
      <c r="AH37">
        <v>0</v>
      </c>
      <c r="AI37">
        <v>1.22</v>
      </c>
      <c r="AJ37">
        <v>1</v>
      </c>
      <c r="AK37">
        <v>1</v>
      </c>
      <c r="AL37">
        <v>1</v>
      </c>
      <c r="AM37">
        <v>2</v>
      </c>
      <c r="AN37">
        <v>0</v>
      </c>
      <c r="AO37">
        <v>0</v>
      </c>
      <c r="AP37">
        <v>1</v>
      </c>
      <c r="AQ37">
        <v>0</v>
      </c>
      <c r="AR37">
        <v>0</v>
      </c>
      <c r="AS37" t="s">
        <v>3</v>
      </c>
      <c r="AT37">
        <v>0.04</v>
      </c>
      <c r="AU37" t="s">
        <v>3</v>
      </c>
      <c r="AV37">
        <v>0</v>
      </c>
      <c r="AW37">
        <v>1</v>
      </c>
      <c r="AX37">
        <v>-1</v>
      </c>
      <c r="AY37">
        <v>0</v>
      </c>
      <c r="AZ37">
        <v>0</v>
      </c>
      <c r="BA37" t="s">
        <v>3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V37">
        <v>0</v>
      </c>
      <c r="CW37">
        <v>0</v>
      </c>
      <c r="CX37">
        <f>ROUND(Y37*Source!I34,7)</f>
        <v>3.5999999999999999E-3</v>
      </c>
      <c r="CY37">
        <f>AA37</f>
        <v>41477.99</v>
      </c>
      <c r="CZ37">
        <f>AE37</f>
        <v>33998.35</v>
      </c>
      <c r="DA37">
        <f>AI37</f>
        <v>1.22</v>
      </c>
      <c r="DB37">
        <f>ROUND(ROUND(AT37*CZ37,2),6)</f>
        <v>1359.93</v>
      </c>
      <c r="DC37">
        <f>ROUND(ROUND(AT37*AG37,2),6)</f>
        <v>0</v>
      </c>
      <c r="DD37" t="s">
        <v>3</v>
      </c>
      <c r="DE37" t="s">
        <v>3</v>
      </c>
      <c r="DF37">
        <f>ROUND(ROUND(AE37*AI37,2)*CX37,2)</f>
        <v>149.32</v>
      </c>
      <c r="DG37">
        <f t="shared" si="16"/>
        <v>0</v>
      </c>
      <c r="DH37">
        <f t="shared" si="17"/>
        <v>0</v>
      </c>
      <c r="DI37">
        <f t="shared" si="18"/>
        <v>0</v>
      </c>
      <c r="DJ37">
        <f>DF37</f>
        <v>149.32</v>
      </c>
      <c r="DK37">
        <v>0</v>
      </c>
      <c r="DL37" t="s">
        <v>3</v>
      </c>
      <c r="DM37">
        <v>0</v>
      </c>
      <c r="DN37" t="s">
        <v>3</v>
      </c>
      <c r="DO37">
        <v>0</v>
      </c>
    </row>
    <row r="38" spans="1:119" x14ac:dyDescent="0.2">
      <c r="A38">
        <f>ROW(Source!A38)</f>
        <v>38</v>
      </c>
      <c r="B38">
        <v>55858619</v>
      </c>
      <c r="C38">
        <v>51353916</v>
      </c>
      <c r="D38">
        <v>49971137</v>
      </c>
      <c r="E38">
        <v>114</v>
      </c>
      <c r="F38">
        <v>1</v>
      </c>
      <c r="G38">
        <v>1</v>
      </c>
      <c r="H38">
        <v>1</v>
      </c>
      <c r="I38" t="s">
        <v>407</v>
      </c>
      <c r="J38" t="s">
        <v>3</v>
      </c>
      <c r="K38" t="s">
        <v>408</v>
      </c>
      <c r="L38">
        <v>1191</v>
      </c>
      <c r="N38">
        <v>1013</v>
      </c>
      <c r="O38" t="s">
        <v>357</v>
      </c>
      <c r="P38" t="s">
        <v>357</v>
      </c>
      <c r="Q38">
        <v>1</v>
      </c>
      <c r="W38">
        <v>0</v>
      </c>
      <c r="X38">
        <v>44848675</v>
      </c>
      <c r="Y38">
        <f>(AT38*ROUND(0.7,7))</f>
        <v>29.049999999999997</v>
      </c>
      <c r="AA38">
        <v>0</v>
      </c>
      <c r="AB38">
        <v>0</v>
      </c>
      <c r="AC38">
        <v>0</v>
      </c>
      <c r="AD38">
        <v>395.92</v>
      </c>
      <c r="AE38">
        <v>0</v>
      </c>
      <c r="AF38">
        <v>0</v>
      </c>
      <c r="AG38">
        <v>0</v>
      </c>
      <c r="AH38">
        <v>395.92</v>
      </c>
      <c r="AI38">
        <v>1</v>
      </c>
      <c r="AJ38">
        <v>1</v>
      </c>
      <c r="AK38">
        <v>1</v>
      </c>
      <c r="AL38">
        <v>1</v>
      </c>
      <c r="AM38">
        <v>-2</v>
      </c>
      <c r="AN38">
        <v>0</v>
      </c>
      <c r="AO38">
        <v>0</v>
      </c>
      <c r="AP38">
        <v>1</v>
      </c>
      <c r="AQ38">
        <v>1</v>
      </c>
      <c r="AR38">
        <v>0</v>
      </c>
      <c r="AS38" t="s">
        <v>3</v>
      </c>
      <c r="AT38">
        <v>41.5</v>
      </c>
      <c r="AU38" t="s">
        <v>101</v>
      </c>
      <c r="AV38">
        <v>1</v>
      </c>
      <c r="AW38">
        <v>2</v>
      </c>
      <c r="AX38">
        <v>51353917</v>
      </c>
      <c r="AY38">
        <v>2</v>
      </c>
      <c r="AZ38">
        <v>131072</v>
      </c>
      <c r="BA38">
        <v>38</v>
      </c>
      <c r="BB38">
        <v>1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16430.68</v>
      </c>
      <c r="BN38">
        <v>41.5</v>
      </c>
      <c r="BO38">
        <v>0</v>
      </c>
      <c r="BP38">
        <v>1</v>
      </c>
      <c r="BQ38">
        <v>0</v>
      </c>
      <c r="BR38">
        <v>0</v>
      </c>
      <c r="BS38">
        <v>0</v>
      </c>
      <c r="BT38">
        <v>11501.475999999999</v>
      </c>
      <c r="BU38">
        <v>29.049999999999997</v>
      </c>
      <c r="BV38">
        <v>0</v>
      </c>
      <c r="BW38">
        <v>1</v>
      </c>
      <c r="CU38">
        <f>ROUND(AT38*Source!I38*AH38*AL38,2)</f>
        <v>6736.58</v>
      </c>
      <c r="CV38">
        <f>ROUND(Y38*Source!I38,7)</f>
        <v>11.910500000000001</v>
      </c>
      <c r="CW38">
        <v>0</v>
      </c>
      <c r="CX38">
        <f>ROUND(Y38*Source!I38,7)</f>
        <v>11.910500000000001</v>
      </c>
      <c r="CY38">
        <f>AD38</f>
        <v>395.92</v>
      </c>
      <c r="CZ38">
        <f>AH38</f>
        <v>395.92</v>
      </c>
      <c r="DA38">
        <f>AL38</f>
        <v>1</v>
      </c>
      <c r="DB38">
        <f>ROUND((ROUND(AT38*CZ38,2)*ROUND(0.7,7)),6)</f>
        <v>11501.476000000001</v>
      </c>
      <c r="DC38">
        <f>ROUND((ROUND(AT38*AG38,2)*ROUND(0.7,7)),6)</f>
        <v>0</v>
      </c>
      <c r="DD38" t="s">
        <v>3</v>
      </c>
      <c r="DE38" t="s">
        <v>3</v>
      </c>
      <c r="DF38">
        <f>ROUND(ROUND(AE38,2)*CX38,2)</f>
        <v>0</v>
      </c>
      <c r="DG38">
        <f t="shared" si="16"/>
        <v>0</v>
      </c>
      <c r="DH38">
        <f t="shared" si="17"/>
        <v>0</v>
      </c>
      <c r="DI38">
        <f t="shared" si="18"/>
        <v>4715.6099999999997</v>
      </c>
      <c r="DJ38">
        <f>DI38</f>
        <v>4715.6099999999997</v>
      </c>
      <c r="DK38">
        <v>1</v>
      </c>
      <c r="DL38" t="s">
        <v>3</v>
      </c>
      <c r="DM38">
        <v>0</v>
      </c>
      <c r="DN38" t="s">
        <v>3</v>
      </c>
      <c r="DO38">
        <v>0</v>
      </c>
    </row>
    <row r="39" spans="1:119" x14ac:dyDescent="0.2">
      <c r="A39">
        <f>ROW(Source!A38)</f>
        <v>38</v>
      </c>
      <c r="B39">
        <v>55858619</v>
      </c>
      <c r="C39">
        <v>51353916</v>
      </c>
      <c r="D39">
        <v>49971314</v>
      </c>
      <c r="E39">
        <v>114</v>
      </c>
      <c r="F39">
        <v>1</v>
      </c>
      <c r="G39">
        <v>1</v>
      </c>
      <c r="H39">
        <v>1</v>
      </c>
      <c r="I39" t="s">
        <v>358</v>
      </c>
      <c r="J39" t="s">
        <v>3</v>
      </c>
      <c r="K39" t="s">
        <v>359</v>
      </c>
      <c r="L39">
        <v>1191</v>
      </c>
      <c r="N39">
        <v>1013</v>
      </c>
      <c r="O39" t="s">
        <v>357</v>
      </c>
      <c r="P39" t="s">
        <v>357</v>
      </c>
      <c r="Q39">
        <v>1</v>
      </c>
      <c r="W39">
        <v>0</v>
      </c>
      <c r="X39">
        <v>-1417349443</v>
      </c>
      <c r="Y39">
        <f>(AT39*ROUND(0.7,7))</f>
        <v>1.8129999999999997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1</v>
      </c>
      <c r="AJ39">
        <v>1</v>
      </c>
      <c r="AK39">
        <v>1</v>
      </c>
      <c r="AL39">
        <v>1</v>
      </c>
      <c r="AM39">
        <v>-2</v>
      </c>
      <c r="AN39">
        <v>0</v>
      </c>
      <c r="AO39">
        <v>0</v>
      </c>
      <c r="AP39">
        <v>1</v>
      </c>
      <c r="AQ39">
        <v>1</v>
      </c>
      <c r="AR39">
        <v>0</v>
      </c>
      <c r="AS39" t="s">
        <v>3</v>
      </c>
      <c r="AT39">
        <v>2.59</v>
      </c>
      <c r="AU39" t="s">
        <v>101</v>
      </c>
      <c r="AV39">
        <v>2</v>
      </c>
      <c r="AW39">
        <v>2</v>
      </c>
      <c r="AX39">
        <v>51353918</v>
      </c>
      <c r="AY39">
        <v>1</v>
      </c>
      <c r="AZ39">
        <v>0</v>
      </c>
      <c r="BA39">
        <v>39</v>
      </c>
      <c r="BB39">
        <v>1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V39">
        <v>0</v>
      </c>
      <c r="CW39">
        <v>0</v>
      </c>
      <c r="CX39">
        <f>ROUND(Y39*Source!I38,7)</f>
        <v>0.74333000000000005</v>
      </c>
      <c r="CY39">
        <f>AD39</f>
        <v>0</v>
      </c>
      <c r="CZ39">
        <f>AH39</f>
        <v>0</v>
      </c>
      <c r="DA39">
        <f>AL39</f>
        <v>1</v>
      </c>
      <c r="DB39">
        <f>ROUND((ROUND(AT39*CZ39,2)*ROUND(0.7,7)),6)</f>
        <v>0</v>
      </c>
      <c r="DC39">
        <f>ROUND((ROUND(AT39*AG39,2)*ROUND(0.7,7)),6)</f>
        <v>0</v>
      </c>
      <c r="DD39" t="s">
        <v>3</v>
      </c>
      <c r="DE39" t="s">
        <v>3</v>
      </c>
      <c r="DF39">
        <f>ROUND(ROUND(AE39,2)*CX39,2)</f>
        <v>0</v>
      </c>
      <c r="DG39">
        <f t="shared" si="16"/>
        <v>0</v>
      </c>
      <c r="DH39">
        <f t="shared" si="17"/>
        <v>0</v>
      </c>
      <c r="DI39">
        <f t="shared" si="18"/>
        <v>0</v>
      </c>
      <c r="DJ39">
        <f>DI39</f>
        <v>0</v>
      </c>
      <c r="DK39">
        <v>0</v>
      </c>
      <c r="DL39" t="s">
        <v>3</v>
      </c>
      <c r="DM39">
        <v>0</v>
      </c>
      <c r="DN39" t="s">
        <v>3</v>
      </c>
      <c r="DO39">
        <v>0</v>
      </c>
    </row>
    <row r="40" spans="1:119" x14ac:dyDescent="0.2">
      <c r="A40">
        <f>ROW(Source!A38)</f>
        <v>38</v>
      </c>
      <c r="B40">
        <v>55858619</v>
      </c>
      <c r="C40">
        <v>51353916</v>
      </c>
      <c r="D40">
        <v>50095945</v>
      </c>
      <c r="E40">
        <v>1</v>
      </c>
      <c r="F40">
        <v>1</v>
      </c>
      <c r="G40">
        <v>1</v>
      </c>
      <c r="H40">
        <v>2</v>
      </c>
      <c r="I40" t="s">
        <v>360</v>
      </c>
      <c r="J40" t="s">
        <v>361</v>
      </c>
      <c r="K40" t="s">
        <v>362</v>
      </c>
      <c r="L40">
        <v>1368</v>
      </c>
      <c r="N40">
        <v>1011</v>
      </c>
      <c r="O40" t="s">
        <v>363</v>
      </c>
      <c r="P40" t="s">
        <v>363</v>
      </c>
      <c r="Q40">
        <v>1</v>
      </c>
      <c r="W40">
        <v>0</v>
      </c>
      <c r="X40">
        <v>-92307625</v>
      </c>
      <c r="Y40">
        <f>(AT40*ROUND(0.7,7))</f>
        <v>0.26599999999999996</v>
      </c>
      <c r="AA40">
        <v>0</v>
      </c>
      <c r="AB40">
        <v>60.83</v>
      </c>
      <c r="AC40">
        <v>359.65</v>
      </c>
      <c r="AD40">
        <v>0</v>
      </c>
      <c r="AE40">
        <v>0</v>
      </c>
      <c r="AF40">
        <v>37.32</v>
      </c>
      <c r="AG40">
        <v>359.65</v>
      </c>
      <c r="AH40">
        <v>0</v>
      </c>
      <c r="AI40">
        <v>1</v>
      </c>
      <c r="AJ40">
        <v>1.63</v>
      </c>
      <c r="AK40">
        <v>1</v>
      </c>
      <c r="AL40">
        <v>1</v>
      </c>
      <c r="AM40">
        <v>2</v>
      </c>
      <c r="AN40">
        <v>0</v>
      </c>
      <c r="AO40">
        <v>0</v>
      </c>
      <c r="AP40">
        <v>1</v>
      </c>
      <c r="AQ40">
        <v>1</v>
      </c>
      <c r="AR40">
        <v>0</v>
      </c>
      <c r="AS40" t="s">
        <v>3</v>
      </c>
      <c r="AT40">
        <v>0.38</v>
      </c>
      <c r="AU40" t="s">
        <v>101</v>
      </c>
      <c r="AV40">
        <v>1</v>
      </c>
      <c r="AW40">
        <v>2</v>
      </c>
      <c r="AX40">
        <v>51353919</v>
      </c>
      <c r="AY40">
        <v>2</v>
      </c>
      <c r="AZ40">
        <v>65536</v>
      </c>
      <c r="BA40">
        <v>40</v>
      </c>
      <c r="BB40">
        <v>1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14.1816</v>
      </c>
      <c r="BL40">
        <v>136.667</v>
      </c>
      <c r="BM40">
        <v>0</v>
      </c>
      <c r="BN40">
        <v>0</v>
      </c>
      <c r="BO40">
        <v>0.38</v>
      </c>
      <c r="BP40">
        <v>1</v>
      </c>
      <c r="BQ40">
        <v>0</v>
      </c>
      <c r="BR40">
        <v>9.9271199999999986</v>
      </c>
      <c r="BS40">
        <v>95.666899999999984</v>
      </c>
      <c r="BT40">
        <v>0</v>
      </c>
      <c r="BU40">
        <v>0</v>
      </c>
      <c r="BV40">
        <v>0.26599999999999996</v>
      </c>
      <c r="BW40">
        <v>1</v>
      </c>
      <c r="CV40">
        <v>0</v>
      </c>
      <c r="CW40">
        <f>ROUND(Y40*Source!I38*DO40,7)</f>
        <v>0.10906</v>
      </c>
      <c r="CX40">
        <f>ROUND(Y40*Source!I38,7)</f>
        <v>0.10906</v>
      </c>
      <c r="CY40">
        <f>AB40</f>
        <v>60.83</v>
      </c>
      <c r="CZ40">
        <f>AF40</f>
        <v>37.32</v>
      </c>
      <c r="DA40">
        <f>AJ40</f>
        <v>1.63</v>
      </c>
      <c r="DB40">
        <f>ROUND((ROUND(AT40*CZ40,2)*ROUND(0.7,7)),6)</f>
        <v>9.9260000000000002</v>
      </c>
      <c r="DC40">
        <f>ROUND((ROUND(AT40*AG40,2)*ROUND(0.7,7)),6)</f>
        <v>95.668999999999997</v>
      </c>
      <c r="DD40" t="s">
        <v>3</v>
      </c>
      <c r="DE40" t="s">
        <v>3</v>
      </c>
      <c r="DF40">
        <f>ROUND(ROUND(AE40,2)*CX40,2)</f>
        <v>0</v>
      </c>
      <c r="DG40">
        <f>ROUND(ROUND(AF40*AJ40,2)*CX40,2)</f>
        <v>6.63</v>
      </c>
      <c r="DH40">
        <f t="shared" si="17"/>
        <v>39.22</v>
      </c>
      <c r="DI40">
        <f t="shared" si="18"/>
        <v>0</v>
      </c>
      <c r="DJ40">
        <f>DG40+DH40</f>
        <v>45.85</v>
      </c>
      <c r="DK40">
        <v>0</v>
      </c>
      <c r="DL40" t="s">
        <v>364</v>
      </c>
      <c r="DM40">
        <v>3</v>
      </c>
      <c r="DN40" t="s">
        <v>357</v>
      </c>
      <c r="DO40">
        <v>1</v>
      </c>
    </row>
    <row r="41" spans="1:119" x14ac:dyDescent="0.2">
      <c r="A41">
        <f>ROW(Source!A38)</f>
        <v>38</v>
      </c>
      <c r="B41">
        <v>55858619</v>
      </c>
      <c r="C41">
        <v>51353916</v>
      </c>
      <c r="D41">
        <v>50096650</v>
      </c>
      <c r="E41">
        <v>1</v>
      </c>
      <c r="F41">
        <v>1</v>
      </c>
      <c r="G41">
        <v>1</v>
      </c>
      <c r="H41">
        <v>2</v>
      </c>
      <c r="I41" t="s">
        <v>382</v>
      </c>
      <c r="J41" t="s">
        <v>383</v>
      </c>
      <c r="K41" t="s">
        <v>384</v>
      </c>
      <c r="L41">
        <v>1368</v>
      </c>
      <c r="N41">
        <v>1011</v>
      </c>
      <c r="O41" t="s">
        <v>363</v>
      </c>
      <c r="P41" t="s">
        <v>363</v>
      </c>
      <c r="Q41">
        <v>1</v>
      </c>
      <c r="W41">
        <v>0</v>
      </c>
      <c r="X41">
        <v>-1152394969</v>
      </c>
      <c r="Y41">
        <f>(AT41*ROUND(0.7,7))</f>
        <v>1.5469999999999999</v>
      </c>
      <c r="AA41">
        <v>0</v>
      </c>
      <c r="AB41">
        <v>680.75</v>
      </c>
      <c r="AC41">
        <v>404.99</v>
      </c>
      <c r="AD41">
        <v>0</v>
      </c>
      <c r="AE41">
        <v>0</v>
      </c>
      <c r="AF41">
        <v>680.75</v>
      </c>
      <c r="AG41">
        <v>404.99</v>
      </c>
      <c r="AH41">
        <v>0</v>
      </c>
      <c r="AI41">
        <v>1</v>
      </c>
      <c r="AJ41">
        <v>1</v>
      </c>
      <c r="AK41">
        <v>1</v>
      </c>
      <c r="AL41">
        <v>1</v>
      </c>
      <c r="AM41">
        <v>-2</v>
      </c>
      <c r="AN41">
        <v>0</v>
      </c>
      <c r="AO41">
        <v>0</v>
      </c>
      <c r="AP41">
        <v>1</v>
      </c>
      <c r="AQ41">
        <v>1</v>
      </c>
      <c r="AR41">
        <v>0</v>
      </c>
      <c r="AS41" t="s">
        <v>3</v>
      </c>
      <c r="AT41">
        <v>2.21</v>
      </c>
      <c r="AU41" t="s">
        <v>101</v>
      </c>
      <c r="AV41">
        <v>1</v>
      </c>
      <c r="AW41">
        <v>2</v>
      </c>
      <c r="AX41">
        <v>51353920</v>
      </c>
      <c r="AY41">
        <v>2</v>
      </c>
      <c r="AZ41">
        <v>98304</v>
      </c>
      <c r="BA41">
        <v>41</v>
      </c>
      <c r="BB41">
        <v>1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1504.4575</v>
      </c>
      <c r="BL41">
        <v>895.02790000000005</v>
      </c>
      <c r="BM41">
        <v>0</v>
      </c>
      <c r="BN41">
        <v>0</v>
      </c>
      <c r="BO41">
        <v>2.21</v>
      </c>
      <c r="BP41">
        <v>1</v>
      </c>
      <c r="BQ41">
        <v>0</v>
      </c>
      <c r="BR41">
        <v>1053.1202499999999</v>
      </c>
      <c r="BS41">
        <v>626.51953000000003</v>
      </c>
      <c r="BT41">
        <v>0</v>
      </c>
      <c r="BU41">
        <v>0</v>
      </c>
      <c r="BV41">
        <v>1.5469999999999999</v>
      </c>
      <c r="BW41">
        <v>1</v>
      </c>
      <c r="CV41">
        <v>0</v>
      </c>
      <c r="CW41">
        <f>ROUND(Y41*Source!I38*DO41,7)</f>
        <v>0.63427</v>
      </c>
      <c r="CX41">
        <f>ROUND(Y41*Source!I38,7)</f>
        <v>0.63427</v>
      </c>
      <c r="CY41">
        <f>AB41</f>
        <v>680.75</v>
      </c>
      <c r="CZ41">
        <f>AF41</f>
        <v>680.75</v>
      </c>
      <c r="DA41">
        <f>AJ41</f>
        <v>1</v>
      </c>
      <c r="DB41">
        <f>ROUND((ROUND(AT41*CZ41,2)*ROUND(0.7,7)),6)</f>
        <v>1053.1220000000001</v>
      </c>
      <c r="DC41">
        <f>ROUND((ROUND(AT41*AG41,2)*ROUND(0.7,7)),6)</f>
        <v>626.52099999999996</v>
      </c>
      <c r="DD41" t="s">
        <v>3</v>
      </c>
      <c r="DE41" t="s">
        <v>3</v>
      </c>
      <c r="DF41">
        <f>ROUND(ROUND(AE41,2)*CX41,2)</f>
        <v>0</v>
      </c>
      <c r="DG41">
        <f t="shared" ref="DG41:DG47" si="19">ROUND(ROUND(AF41,2)*CX41,2)</f>
        <v>431.78</v>
      </c>
      <c r="DH41">
        <f t="shared" si="17"/>
        <v>256.87</v>
      </c>
      <c r="DI41">
        <f t="shared" si="18"/>
        <v>0</v>
      </c>
      <c r="DJ41">
        <f>DG41+DH41</f>
        <v>688.65</v>
      </c>
      <c r="DK41">
        <v>1</v>
      </c>
      <c r="DL41" t="s">
        <v>385</v>
      </c>
      <c r="DM41">
        <v>4</v>
      </c>
      <c r="DN41" t="s">
        <v>357</v>
      </c>
      <c r="DO41">
        <v>1</v>
      </c>
    </row>
    <row r="42" spans="1:119" x14ac:dyDescent="0.2">
      <c r="A42">
        <f>ROW(Source!A38)</f>
        <v>38</v>
      </c>
      <c r="B42">
        <v>55858619</v>
      </c>
      <c r="C42">
        <v>51353916</v>
      </c>
      <c r="D42">
        <v>50096845</v>
      </c>
      <c r="E42">
        <v>1</v>
      </c>
      <c r="F42">
        <v>1</v>
      </c>
      <c r="G42">
        <v>1</v>
      </c>
      <c r="H42">
        <v>2</v>
      </c>
      <c r="I42" t="s">
        <v>409</v>
      </c>
      <c r="J42" t="s">
        <v>410</v>
      </c>
      <c r="K42" t="s">
        <v>411</v>
      </c>
      <c r="L42">
        <v>1368</v>
      </c>
      <c r="N42">
        <v>1011</v>
      </c>
      <c r="O42" t="s">
        <v>363</v>
      </c>
      <c r="P42" t="s">
        <v>363</v>
      </c>
      <c r="Q42">
        <v>1</v>
      </c>
      <c r="W42">
        <v>0</v>
      </c>
      <c r="X42">
        <v>-334821386</v>
      </c>
      <c r="Y42">
        <f>(AT42*ROUND(0.7,7))</f>
        <v>4.0599999999999996</v>
      </c>
      <c r="AA42">
        <v>0</v>
      </c>
      <c r="AB42">
        <v>36.46</v>
      </c>
      <c r="AC42">
        <v>0</v>
      </c>
      <c r="AD42">
        <v>0</v>
      </c>
      <c r="AE42">
        <v>0</v>
      </c>
      <c r="AF42">
        <v>36.46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M42">
        <v>-2</v>
      </c>
      <c r="AN42">
        <v>0</v>
      </c>
      <c r="AO42">
        <v>0</v>
      </c>
      <c r="AP42">
        <v>1</v>
      </c>
      <c r="AQ42">
        <v>1</v>
      </c>
      <c r="AR42">
        <v>0</v>
      </c>
      <c r="AS42" t="s">
        <v>3</v>
      </c>
      <c r="AT42">
        <v>5.8</v>
      </c>
      <c r="AU42" t="s">
        <v>101</v>
      </c>
      <c r="AV42">
        <v>1</v>
      </c>
      <c r="AW42">
        <v>2</v>
      </c>
      <c r="AX42">
        <v>51353921</v>
      </c>
      <c r="AY42">
        <v>2</v>
      </c>
      <c r="AZ42">
        <v>32768</v>
      </c>
      <c r="BA42">
        <v>42</v>
      </c>
      <c r="BB42">
        <v>1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211.46799999999999</v>
      </c>
      <c r="BL42">
        <v>0</v>
      </c>
      <c r="BM42">
        <v>0</v>
      </c>
      <c r="BN42">
        <v>0</v>
      </c>
      <c r="BO42">
        <v>0</v>
      </c>
      <c r="BP42">
        <v>1</v>
      </c>
      <c r="BQ42">
        <v>0</v>
      </c>
      <c r="BR42">
        <v>148.02759999999998</v>
      </c>
      <c r="BS42">
        <v>0</v>
      </c>
      <c r="BT42">
        <v>0</v>
      </c>
      <c r="BU42">
        <v>0</v>
      </c>
      <c r="BV42">
        <v>0</v>
      </c>
      <c r="BW42">
        <v>1</v>
      </c>
      <c r="CV42">
        <v>0</v>
      </c>
      <c r="CW42">
        <f>ROUND(Y42*Source!I38*DO42,7)</f>
        <v>0</v>
      </c>
      <c r="CX42">
        <f>ROUND(Y42*Source!I38,7)</f>
        <v>1.6646000000000001</v>
      </c>
      <c r="CY42">
        <f>AB42</f>
        <v>36.46</v>
      </c>
      <c r="CZ42">
        <f>AF42</f>
        <v>36.46</v>
      </c>
      <c r="DA42">
        <f>AJ42</f>
        <v>1</v>
      </c>
      <c r="DB42">
        <f>ROUND((ROUND(AT42*CZ42,2)*ROUND(0.7,7)),6)</f>
        <v>148.029</v>
      </c>
      <c r="DC42">
        <f>ROUND((ROUND(AT42*AG42,2)*ROUND(0.7,7)),6)</f>
        <v>0</v>
      </c>
      <c r="DD42" t="s">
        <v>3</v>
      </c>
      <c r="DE42" t="s">
        <v>3</v>
      </c>
      <c r="DF42">
        <f>ROUND(ROUND(AE42,2)*CX42,2)</f>
        <v>0</v>
      </c>
      <c r="DG42">
        <f t="shared" si="19"/>
        <v>60.69</v>
      </c>
      <c r="DH42">
        <f t="shared" si="17"/>
        <v>0</v>
      </c>
      <c r="DI42">
        <f t="shared" si="18"/>
        <v>0</v>
      </c>
      <c r="DJ42">
        <f>DG42+DH42</f>
        <v>60.69</v>
      </c>
      <c r="DK42">
        <v>1</v>
      </c>
      <c r="DL42" t="s">
        <v>3</v>
      </c>
      <c r="DM42">
        <v>0</v>
      </c>
      <c r="DN42" t="s">
        <v>3</v>
      </c>
      <c r="DO42">
        <v>0</v>
      </c>
    </row>
    <row r="43" spans="1:119" x14ac:dyDescent="0.2">
      <c r="A43">
        <f>ROW(Source!A38)</f>
        <v>38</v>
      </c>
      <c r="B43">
        <v>55858619</v>
      </c>
      <c r="C43">
        <v>51353916</v>
      </c>
      <c r="D43">
        <v>50042837</v>
      </c>
      <c r="E43">
        <v>1</v>
      </c>
      <c r="F43">
        <v>1</v>
      </c>
      <c r="G43">
        <v>1</v>
      </c>
      <c r="H43">
        <v>3</v>
      </c>
      <c r="I43" t="s">
        <v>386</v>
      </c>
      <c r="J43" t="s">
        <v>387</v>
      </c>
      <c r="K43" t="s">
        <v>388</v>
      </c>
      <c r="L43">
        <v>1339</v>
      </c>
      <c r="N43">
        <v>1007</v>
      </c>
      <c r="O43" t="s">
        <v>33</v>
      </c>
      <c r="P43" t="s">
        <v>33</v>
      </c>
      <c r="Q43">
        <v>1</v>
      </c>
      <c r="W43">
        <v>0</v>
      </c>
      <c r="X43">
        <v>-1879317523</v>
      </c>
      <c r="Y43">
        <f>(AT43*ROUND(0,7))</f>
        <v>0</v>
      </c>
      <c r="AA43">
        <v>29.64</v>
      </c>
      <c r="AB43">
        <v>0</v>
      </c>
      <c r="AC43">
        <v>0</v>
      </c>
      <c r="AD43">
        <v>0</v>
      </c>
      <c r="AE43">
        <v>35.71</v>
      </c>
      <c r="AF43">
        <v>0</v>
      </c>
      <c r="AG43">
        <v>0</v>
      </c>
      <c r="AH43">
        <v>0</v>
      </c>
      <c r="AI43">
        <v>0.83</v>
      </c>
      <c r="AJ43">
        <v>1</v>
      </c>
      <c r="AK43">
        <v>1</v>
      </c>
      <c r="AL43">
        <v>1</v>
      </c>
      <c r="AM43">
        <v>2</v>
      </c>
      <c r="AN43">
        <v>0</v>
      </c>
      <c r="AO43">
        <v>0</v>
      </c>
      <c r="AP43">
        <v>1</v>
      </c>
      <c r="AQ43">
        <v>1</v>
      </c>
      <c r="AR43">
        <v>0</v>
      </c>
      <c r="AS43" t="s">
        <v>3</v>
      </c>
      <c r="AT43">
        <v>0.1</v>
      </c>
      <c r="AU43" t="s">
        <v>100</v>
      </c>
      <c r="AV43">
        <v>0</v>
      </c>
      <c r="AW43">
        <v>2</v>
      </c>
      <c r="AX43">
        <v>51353922</v>
      </c>
      <c r="AY43">
        <v>1</v>
      </c>
      <c r="AZ43">
        <v>0</v>
      </c>
      <c r="BA43">
        <v>43</v>
      </c>
      <c r="BB43">
        <v>1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3.5710000000000002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1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V43">
        <v>0</v>
      </c>
      <c r="CW43">
        <v>0</v>
      </c>
      <c r="CX43">
        <f>ROUND(Y43*Source!I38,7)</f>
        <v>0</v>
      </c>
      <c r="CY43">
        <f>AA43</f>
        <v>29.64</v>
      </c>
      <c r="CZ43">
        <f>AE43</f>
        <v>35.71</v>
      </c>
      <c r="DA43">
        <f>AI43</f>
        <v>0.83</v>
      </c>
      <c r="DB43">
        <f>ROUND((ROUND(AT43*CZ43,2)*ROUND(0,7)),6)</f>
        <v>0</v>
      </c>
      <c r="DC43">
        <f>ROUND((ROUND(AT43*AG43,2)*ROUND(0,7)),6)</f>
        <v>0</v>
      </c>
      <c r="DD43" t="s">
        <v>3</v>
      </c>
      <c r="DE43" t="s">
        <v>3</v>
      </c>
      <c r="DF43">
        <f>ROUND(ROUND(AE43*AI43,2)*CX43,2)</f>
        <v>0</v>
      </c>
      <c r="DG43">
        <f t="shared" si="19"/>
        <v>0</v>
      </c>
      <c r="DH43">
        <f t="shared" si="17"/>
        <v>0</v>
      </c>
      <c r="DI43">
        <f t="shared" si="18"/>
        <v>0</v>
      </c>
      <c r="DJ43">
        <f>DF43</f>
        <v>0</v>
      </c>
      <c r="DK43">
        <v>0</v>
      </c>
      <c r="DL43" t="s">
        <v>3</v>
      </c>
      <c r="DM43">
        <v>0</v>
      </c>
      <c r="DN43" t="s">
        <v>3</v>
      </c>
      <c r="DO43">
        <v>0</v>
      </c>
    </row>
    <row r="44" spans="1:119" x14ac:dyDescent="0.2">
      <c r="A44">
        <f>ROW(Source!A38)</f>
        <v>38</v>
      </c>
      <c r="B44">
        <v>55858619</v>
      </c>
      <c r="C44">
        <v>51353916</v>
      </c>
      <c r="D44">
        <v>50043547</v>
      </c>
      <c r="E44">
        <v>1</v>
      </c>
      <c r="F44">
        <v>1</v>
      </c>
      <c r="G44">
        <v>1</v>
      </c>
      <c r="H44">
        <v>3</v>
      </c>
      <c r="I44" t="s">
        <v>412</v>
      </c>
      <c r="J44" t="s">
        <v>413</v>
      </c>
      <c r="K44" t="s">
        <v>414</v>
      </c>
      <c r="L44">
        <v>1348</v>
      </c>
      <c r="N44">
        <v>1009</v>
      </c>
      <c r="O44" t="s">
        <v>29</v>
      </c>
      <c r="P44" t="s">
        <v>29</v>
      </c>
      <c r="Q44">
        <v>1000</v>
      </c>
      <c r="W44">
        <v>0</v>
      </c>
      <c r="X44">
        <v>1264641321</v>
      </c>
      <c r="Y44">
        <f>(AT44*ROUND(0,7))</f>
        <v>0</v>
      </c>
      <c r="AA44">
        <v>134860.20000000001</v>
      </c>
      <c r="AB44">
        <v>0</v>
      </c>
      <c r="AC44">
        <v>0</v>
      </c>
      <c r="AD44">
        <v>0</v>
      </c>
      <c r="AE44">
        <v>148198.01999999999</v>
      </c>
      <c r="AF44">
        <v>0</v>
      </c>
      <c r="AG44">
        <v>0</v>
      </c>
      <c r="AH44">
        <v>0</v>
      </c>
      <c r="AI44">
        <v>0.91</v>
      </c>
      <c r="AJ44">
        <v>1</v>
      </c>
      <c r="AK44">
        <v>1</v>
      </c>
      <c r="AL44">
        <v>1</v>
      </c>
      <c r="AM44">
        <v>2</v>
      </c>
      <c r="AN44">
        <v>0</v>
      </c>
      <c r="AO44">
        <v>0</v>
      </c>
      <c r="AP44">
        <v>1</v>
      </c>
      <c r="AQ44">
        <v>1</v>
      </c>
      <c r="AR44">
        <v>0</v>
      </c>
      <c r="AS44" t="s">
        <v>3</v>
      </c>
      <c r="AT44">
        <v>0.02</v>
      </c>
      <c r="AU44" t="s">
        <v>100</v>
      </c>
      <c r="AV44">
        <v>0</v>
      </c>
      <c r="AW44">
        <v>2</v>
      </c>
      <c r="AX44">
        <v>51353923</v>
      </c>
      <c r="AY44">
        <v>1</v>
      </c>
      <c r="AZ44">
        <v>0</v>
      </c>
      <c r="BA44">
        <v>44</v>
      </c>
      <c r="BB44">
        <v>1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2963.9603999999999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1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ROUND(Y44*Source!I38,7)</f>
        <v>0</v>
      </c>
      <c r="CY44">
        <f>AA44</f>
        <v>134860.20000000001</v>
      </c>
      <c r="CZ44">
        <f>AE44</f>
        <v>148198.01999999999</v>
      </c>
      <c r="DA44">
        <f>AI44</f>
        <v>0.91</v>
      </c>
      <c r="DB44">
        <f>ROUND((ROUND(AT44*CZ44,2)*ROUND(0,7)),6)</f>
        <v>0</v>
      </c>
      <c r="DC44">
        <f>ROUND((ROUND(AT44*AG44,2)*ROUND(0,7)),6)</f>
        <v>0</v>
      </c>
      <c r="DD44" t="s">
        <v>3</v>
      </c>
      <c r="DE44" t="s">
        <v>3</v>
      </c>
      <c r="DF44">
        <f>ROUND(ROUND(AE44*AI44,2)*CX44,2)</f>
        <v>0</v>
      </c>
      <c r="DG44">
        <f t="shared" si="19"/>
        <v>0</v>
      </c>
      <c r="DH44">
        <f t="shared" si="17"/>
        <v>0</v>
      </c>
      <c r="DI44">
        <f t="shared" si="18"/>
        <v>0</v>
      </c>
      <c r="DJ44">
        <f>DF44</f>
        <v>0</v>
      </c>
      <c r="DK44">
        <v>0</v>
      </c>
      <c r="DL44" t="s">
        <v>3</v>
      </c>
      <c r="DM44">
        <v>0</v>
      </c>
      <c r="DN44" t="s">
        <v>3</v>
      </c>
      <c r="DO44">
        <v>0</v>
      </c>
    </row>
    <row r="45" spans="1:119" x14ac:dyDescent="0.2">
      <c r="A45">
        <f>ROW(Source!A38)</f>
        <v>38</v>
      </c>
      <c r="B45">
        <v>55858619</v>
      </c>
      <c r="C45">
        <v>51353916</v>
      </c>
      <c r="D45">
        <v>50046256</v>
      </c>
      <c r="E45">
        <v>1</v>
      </c>
      <c r="F45">
        <v>1</v>
      </c>
      <c r="G45">
        <v>1</v>
      </c>
      <c r="H45">
        <v>3</v>
      </c>
      <c r="I45" t="s">
        <v>415</v>
      </c>
      <c r="J45" t="s">
        <v>416</v>
      </c>
      <c r="K45" t="s">
        <v>417</v>
      </c>
      <c r="L45">
        <v>1348</v>
      </c>
      <c r="N45">
        <v>1009</v>
      </c>
      <c r="O45" t="s">
        <v>29</v>
      </c>
      <c r="P45" t="s">
        <v>29</v>
      </c>
      <c r="Q45">
        <v>1000</v>
      </c>
      <c r="W45">
        <v>0</v>
      </c>
      <c r="X45">
        <v>1437719701</v>
      </c>
      <c r="Y45">
        <f>(AT45*ROUND(0,7))</f>
        <v>0</v>
      </c>
      <c r="AA45">
        <v>7345.3</v>
      </c>
      <c r="AB45">
        <v>0</v>
      </c>
      <c r="AC45">
        <v>0</v>
      </c>
      <c r="AD45">
        <v>0</v>
      </c>
      <c r="AE45">
        <v>4800.8500000000004</v>
      </c>
      <c r="AF45">
        <v>0</v>
      </c>
      <c r="AG45">
        <v>0</v>
      </c>
      <c r="AH45">
        <v>0</v>
      </c>
      <c r="AI45">
        <v>1.53</v>
      </c>
      <c r="AJ45">
        <v>1</v>
      </c>
      <c r="AK45">
        <v>1</v>
      </c>
      <c r="AL45">
        <v>1</v>
      </c>
      <c r="AM45">
        <v>2</v>
      </c>
      <c r="AN45">
        <v>0</v>
      </c>
      <c r="AO45">
        <v>0</v>
      </c>
      <c r="AP45">
        <v>1</v>
      </c>
      <c r="AQ45">
        <v>1</v>
      </c>
      <c r="AR45">
        <v>0</v>
      </c>
      <c r="AS45" t="s">
        <v>3</v>
      </c>
      <c r="AT45">
        <v>0.15</v>
      </c>
      <c r="AU45" t="s">
        <v>100</v>
      </c>
      <c r="AV45">
        <v>0</v>
      </c>
      <c r="AW45">
        <v>2</v>
      </c>
      <c r="AX45">
        <v>51353924</v>
      </c>
      <c r="AY45">
        <v>1</v>
      </c>
      <c r="AZ45">
        <v>0</v>
      </c>
      <c r="BA45">
        <v>45</v>
      </c>
      <c r="BB45">
        <v>1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720.12750000000005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1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V45">
        <v>0</v>
      </c>
      <c r="CW45">
        <v>0</v>
      </c>
      <c r="CX45">
        <f>ROUND(Y45*Source!I38,7)</f>
        <v>0</v>
      </c>
      <c r="CY45">
        <f>AA45</f>
        <v>7345.3</v>
      </c>
      <c r="CZ45">
        <f>AE45</f>
        <v>4800.8500000000004</v>
      </c>
      <c r="DA45">
        <f>AI45</f>
        <v>1.53</v>
      </c>
      <c r="DB45">
        <f>ROUND((ROUND(AT45*CZ45,2)*ROUND(0,7)),6)</f>
        <v>0</v>
      </c>
      <c r="DC45">
        <f>ROUND((ROUND(AT45*AG45,2)*ROUND(0,7)),6)</f>
        <v>0</v>
      </c>
      <c r="DD45" t="s">
        <v>3</v>
      </c>
      <c r="DE45" t="s">
        <v>3</v>
      </c>
      <c r="DF45">
        <f>ROUND(ROUND(AE45*AI45,2)*CX45,2)</f>
        <v>0</v>
      </c>
      <c r="DG45">
        <f t="shared" si="19"/>
        <v>0</v>
      </c>
      <c r="DH45">
        <f t="shared" si="17"/>
        <v>0</v>
      </c>
      <c r="DI45">
        <f t="shared" si="18"/>
        <v>0</v>
      </c>
      <c r="DJ45">
        <f>DF45</f>
        <v>0</v>
      </c>
      <c r="DK45">
        <v>0</v>
      </c>
      <c r="DL45" t="s">
        <v>3</v>
      </c>
      <c r="DM45">
        <v>0</v>
      </c>
      <c r="DN45" t="s">
        <v>3</v>
      </c>
      <c r="DO45">
        <v>0</v>
      </c>
    </row>
    <row r="46" spans="1:119" x14ac:dyDescent="0.2">
      <c r="A46">
        <f>ROW(Source!A39)</f>
        <v>39</v>
      </c>
      <c r="B46">
        <v>55858619</v>
      </c>
      <c r="C46">
        <v>51353928</v>
      </c>
      <c r="D46">
        <v>49971137</v>
      </c>
      <c r="E46">
        <v>114</v>
      </c>
      <c r="F46">
        <v>1</v>
      </c>
      <c r="G46">
        <v>1</v>
      </c>
      <c r="H46">
        <v>1</v>
      </c>
      <c r="I46" t="s">
        <v>407</v>
      </c>
      <c r="J46" t="s">
        <v>3</v>
      </c>
      <c r="K46" t="s">
        <v>408</v>
      </c>
      <c r="L46">
        <v>1191</v>
      </c>
      <c r="N46">
        <v>1013</v>
      </c>
      <c r="O46" t="s">
        <v>357</v>
      </c>
      <c r="P46" t="s">
        <v>357</v>
      </c>
      <c r="Q46">
        <v>1</v>
      </c>
      <c r="W46">
        <v>0</v>
      </c>
      <c r="X46">
        <v>44848675</v>
      </c>
      <c r="Y46">
        <f>(AT46*ROUND(1.15,7))</f>
        <v>47.724999999999994</v>
      </c>
      <c r="AA46">
        <v>0</v>
      </c>
      <c r="AB46">
        <v>0</v>
      </c>
      <c r="AC46">
        <v>0</v>
      </c>
      <c r="AD46">
        <v>395.92</v>
      </c>
      <c r="AE46">
        <v>0</v>
      </c>
      <c r="AF46">
        <v>0</v>
      </c>
      <c r="AG46">
        <v>0</v>
      </c>
      <c r="AH46">
        <v>395.92</v>
      </c>
      <c r="AI46">
        <v>1</v>
      </c>
      <c r="AJ46">
        <v>1</v>
      </c>
      <c r="AK46">
        <v>1</v>
      </c>
      <c r="AL46">
        <v>1</v>
      </c>
      <c r="AM46">
        <v>-2</v>
      </c>
      <c r="AN46">
        <v>0</v>
      </c>
      <c r="AO46">
        <v>0</v>
      </c>
      <c r="AP46">
        <v>1</v>
      </c>
      <c r="AQ46">
        <v>1</v>
      </c>
      <c r="AR46">
        <v>0</v>
      </c>
      <c r="AS46" t="s">
        <v>3</v>
      </c>
      <c r="AT46">
        <v>41.5</v>
      </c>
      <c r="AU46" t="s">
        <v>47</v>
      </c>
      <c r="AV46">
        <v>1</v>
      </c>
      <c r="AW46">
        <v>2</v>
      </c>
      <c r="AX46">
        <v>51353929</v>
      </c>
      <c r="AY46">
        <v>2</v>
      </c>
      <c r="AZ46">
        <v>131072</v>
      </c>
      <c r="BA46">
        <v>47</v>
      </c>
      <c r="BB46">
        <v>1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16430.68</v>
      </c>
      <c r="BN46">
        <v>41.5</v>
      </c>
      <c r="BO46">
        <v>0</v>
      </c>
      <c r="BP46">
        <v>1</v>
      </c>
      <c r="BQ46">
        <v>0</v>
      </c>
      <c r="BR46">
        <v>0</v>
      </c>
      <c r="BS46">
        <v>0</v>
      </c>
      <c r="BT46">
        <v>18895.281999999999</v>
      </c>
      <c r="BU46">
        <v>47.724999999999994</v>
      </c>
      <c r="BV46">
        <v>0</v>
      </c>
      <c r="BW46">
        <v>1</v>
      </c>
      <c r="CU46">
        <f>ROUND(AT46*Source!I39*AH46*AL46,2)</f>
        <v>6736.58</v>
      </c>
      <c r="CV46">
        <f>ROUND(Y46*Source!I39,7)</f>
        <v>19.567250000000001</v>
      </c>
      <c r="CW46">
        <v>0</v>
      </c>
      <c r="CX46">
        <f>ROUND(Y46*Source!I39,7)</f>
        <v>19.567250000000001</v>
      </c>
      <c r="CY46">
        <f>AD46</f>
        <v>395.92</v>
      </c>
      <c r="CZ46">
        <f>AH46</f>
        <v>395.92</v>
      </c>
      <c r="DA46">
        <f>AL46</f>
        <v>1</v>
      </c>
      <c r="DB46">
        <f>ROUND((ROUND(AT46*CZ46,2)*ROUND(1.15,7)),6)</f>
        <v>18895.281999999999</v>
      </c>
      <c r="DC46">
        <f>ROUND((ROUND(AT46*AG46,2)*ROUND(1.15,7)),6)</f>
        <v>0</v>
      </c>
      <c r="DD46" t="s">
        <v>3</v>
      </c>
      <c r="DE46" t="s">
        <v>3</v>
      </c>
      <c r="DF46">
        <f>ROUND(ROUND(AE46,2)*CX46,2)</f>
        <v>0</v>
      </c>
      <c r="DG46">
        <f t="shared" si="19"/>
        <v>0</v>
      </c>
      <c r="DH46">
        <f t="shared" si="17"/>
        <v>0</v>
      </c>
      <c r="DI46">
        <f t="shared" si="18"/>
        <v>7747.07</v>
      </c>
      <c r="DJ46">
        <f>DI46</f>
        <v>7747.07</v>
      </c>
      <c r="DK46">
        <v>1</v>
      </c>
      <c r="DL46" t="s">
        <v>3</v>
      </c>
      <c r="DM46">
        <v>0</v>
      </c>
      <c r="DN46" t="s">
        <v>3</v>
      </c>
      <c r="DO46">
        <v>0</v>
      </c>
    </row>
    <row r="47" spans="1:119" x14ac:dyDescent="0.2">
      <c r="A47">
        <f>ROW(Source!A39)</f>
        <v>39</v>
      </c>
      <c r="B47">
        <v>55858619</v>
      </c>
      <c r="C47">
        <v>51353928</v>
      </c>
      <c r="D47">
        <v>49971314</v>
      </c>
      <c r="E47">
        <v>114</v>
      </c>
      <c r="F47">
        <v>1</v>
      </c>
      <c r="G47">
        <v>1</v>
      </c>
      <c r="H47">
        <v>1</v>
      </c>
      <c r="I47" t="s">
        <v>358</v>
      </c>
      <c r="J47" t="s">
        <v>3</v>
      </c>
      <c r="K47" t="s">
        <v>359</v>
      </c>
      <c r="L47">
        <v>1191</v>
      </c>
      <c r="N47">
        <v>1013</v>
      </c>
      <c r="O47" t="s">
        <v>357</v>
      </c>
      <c r="P47" t="s">
        <v>357</v>
      </c>
      <c r="Q47">
        <v>1</v>
      </c>
      <c r="W47">
        <v>0</v>
      </c>
      <c r="X47">
        <v>-1417349443</v>
      </c>
      <c r="Y47">
        <f>(AT47*ROUND(1.25,7))</f>
        <v>3.2374999999999998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1</v>
      </c>
      <c r="AJ47">
        <v>1</v>
      </c>
      <c r="AK47">
        <v>1</v>
      </c>
      <c r="AL47">
        <v>1</v>
      </c>
      <c r="AM47">
        <v>-2</v>
      </c>
      <c r="AN47">
        <v>0</v>
      </c>
      <c r="AO47">
        <v>0</v>
      </c>
      <c r="AP47">
        <v>1</v>
      </c>
      <c r="AQ47">
        <v>1</v>
      </c>
      <c r="AR47">
        <v>0</v>
      </c>
      <c r="AS47" t="s">
        <v>3</v>
      </c>
      <c r="AT47">
        <v>2.59</v>
      </c>
      <c r="AU47" t="s">
        <v>46</v>
      </c>
      <c r="AV47">
        <v>2</v>
      </c>
      <c r="AW47">
        <v>2</v>
      </c>
      <c r="AX47">
        <v>51353930</v>
      </c>
      <c r="AY47">
        <v>1</v>
      </c>
      <c r="AZ47">
        <v>0</v>
      </c>
      <c r="BA47">
        <v>48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V47">
        <v>0</v>
      </c>
      <c r="CW47">
        <v>0</v>
      </c>
      <c r="CX47">
        <f>ROUND(Y47*Source!I39,7)</f>
        <v>1.327375</v>
      </c>
      <c r="CY47">
        <f>AD47</f>
        <v>0</v>
      </c>
      <c r="CZ47">
        <f>AH47</f>
        <v>0</v>
      </c>
      <c r="DA47">
        <f>AL47</f>
        <v>1</v>
      </c>
      <c r="DB47">
        <f>ROUND((ROUND(AT47*CZ47,2)*ROUND(1.25,7)),6)</f>
        <v>0</v>
      </c>
      <c r="DC47">
        <f>ROUND((ROUND(AT47*AG47,2)*ROUND(1.25,7)),6)</f>
        <v>0</v>
      </c>
      <c r="DD47" t="s">
        <v>3</v>
      </c>
      <c r="DE47" t="s">
        <v>3</v>
      </c>
      <c r="DF47">
        <f>ROUND(ROUND(AE47,2)*CX47,2)</f>
        <v>0</v>
      </c>
      <c r="DG47">
        <f t="shared" si="19"/>
        <v>0</v>
      </c>
      <c r="DH47">
        <f t="shared" si="17"/>
        <v>0</v>
      </c>
      <c r="DI47">
        <f t="shared" si="18"/>
        <v>0</v>
      </c>
      <c r="DJ47">
        <f>DI47</f>
        <v>0</v>
      </c>
      <c r="DK47">
        <v>0</v>
      </c>
      <c r="DL47" t="s">
        <v>3</v>
      </c>
      <c r="DM47">
        <v>0</v>
      </c>
      <c r="DN47" t="s">
        <v>3</v>
      </c>
      <c r="DO47">
        <v>0</v>
      </c>
    </row>
    <row r="48" spans="1:119" x14ac:dyDescent="0.2">
      <c r="A48">
        <f>ROW(Source!A39)</f>
        <v>39</v>
      </c>
      <c r="B48">
        <v>55858619</v>
      </c>
      <c r="C48">
        <v>51353928</v>
      </c>
      <c r="D48">
        <v>50095945</v>
      </c>
      <c r="E48">
        <v>1</v>
      </c>
      <c r="F48">
        <v>1</v>
      </c>
      <c r="G48">
        <v>1</v>
      </c>
      <c r="H48">
        <v>2</v>
      </c>
      <c r="I48" t="s">
        <v>360</v>
      </c>
      <c r="J48" t="s">
        <v>361</v>
      </c>
      <c r="K48" t="s">
        <v>362</v>
      </c>
      <c r="L48">
        <v>1368</v>
      </c>
      <c r="N48">
        <v>1011</v>
      </c>
      <c r="O48" t="s">
        <v>363</v>
      </c>
      <c r="P48" t="s">
        <v>363</v>
      </c>
      <c r="Q48">
        <v>1</v>
      </c>
      <c r="W48">
        <v>0</v>
      </c>
      <c r="X48">
        <v>-92307625</v>
      </c>
      <c r="Y48">
        <f>(AT48*ROUND(1.25,7))</f>
        <v>0.47499999999999998</v>
      </c>
      <c r="AA48">
        <v>0</v>
      </c>
      <c r="AB48">
        <v>60.83</v>
      </c>
      <c r="AC48">
        <v>359.65</v>
      </c>
      <c r="AD48">
        <v>0</v>
      </c>
      <c r="AE48">
        <v>0</v>
      </c>
      <c r="AF48">
        <v>37.32</v>
      </c>
      <c r="AG48">
        <v>359.65</v>
      </c>
      <c r="AH48">
        <v>0</v>
      </c>
      <c r="AI48">
        <v>1</v>
      </c>
      <c r="AJ48">
        <v>1.63</v>
      </c>
      <c r="AK48">
        <v>1</v>
      </c>
      <c r="AL48">
        <v>1</v>
      </c>
      <c r="AM48">
        <v>2</v>
      </c>
      <c r="AN48">
        <v>0</v>
      </c>
      <c r="AO48">
        <v>0</v>
      </c>
      <c r="AP48">
        <v>1</v>
      </c>
      <c r="AQ48">
        <v>1</v>
      </c>
      <c r="AR48">
        <v>0</v>
      </c>
      <c r="AS48" t="s">
        <v>3</v>
      </c>
      <c r="AT48">
        <v>0.38</v>
      </c>
      <c r="AU48" t="s">
        <v>46</v>
      </c>
      <c r="AV48">
        <v>1</v>
      </c>
      <c r="AW48">
        <v>2</v>
      </c>
      <c r="AX48">
        <v>51353931</v>
      </c>
      <c r="AY48">
        <v>2</v>
      </c>
      <c r="AZ48">
        <v>65536</v>
      </c>
      <c r="BA48">
        <v>49</v>
      </c>
      <c r="BB48">
        <v>1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14.1816</v>
      </c>
      <c r="BL48">
        <v>136.667</v>
      </c>
      <c r="BM48">
        <v>0</v>
      </c>
      <c r="BN48">
        <v>0</v>
      </c>
      <c r="BO48">
        <v>0.38</v>
      </c>
      <c r="BP48">
        <v>1</v>
      </c>
      <c r="BQ48">
        <v>0</v>
      </c>
      <c r="BR48">
        <v>17.727</v>
      </c>
      <c r="BS48">
        <v>170.83374999999998</v>
      </c>
      <c r="BT48">
        <v>0</v>
      </c>
      <c r="BU48">
        <v>0</v>
      </c>
      <c r="BV48">
        <v>0.47499999999999998</v>
      </c>
      <c r="BW48">
        <v>1</v>
      </c>
      <c r="CV48">
        <v>0</v>
      </c>
      <c r="CW48">
        <f>ROUND(Y48*Source!I39*DO48,7)</f>
        <v>0.19475000000000001</v>
      </c>
      <c r="CX48">
        <f>ROUND(Y48*Source!I39,7)</f>
        <v>0.19475000000000001</v>
      </c>
      <c r="CY48">
        <f>AB48</f>
        <v>60.83</v>
      </c>
      <c r="CZ48">
        <f>AF48</f>
        <v>37.32</v>
      </c>
      <c r="DA48">
        <f>AJ48</f>
        <v>1.63</v>
      </c>
      <c r="DB48">
        <f>ROUND((ROUND(AT48*CZ48,2)*ROUND(1.25,7)),6)</f>
        <v>17.725000000000001</v>
      </c>
      <c r="DC48">
        <f>ROUND((ROUND(AT48*AG48,2)*ROUND(1.25,7)),6)</f>
        <v>170.83750000000001</v>
      </c>
      <c r="DD48" t="s">
        <v>3</v>
      </c>
      <c r="DE48" t="s">
        <v>3</v>
      </c>
      <c r="DF48">
        <f>ROUND(ROUND(AE48,2)*CX48,2)</f>
        <v>0</v>
      </c>
      <c r="DG48">
        <f>ROUND(ROUND(AF48*AJ48,2)*CX48,2)</f>
        <v>11.85</v>
      </c>
      <c r="DH48">
        <f t="shared" si="17"/>
        <v>70.040000000000006</v>
      </c>
      <c r="DI48">
        <f t="shared" si="18"/>
        <v>0</v>
      </c>
      <c r="DJ48">
        <f>DG48+DH48</f>
        <v>81.89</v>
      </c>
      <c r="DK48">
        <v>0</v>
      </c>
      <c r="DL48" t="s">
        <v>364</v>
      </c>
      <c r="DM48">
        <v>3</v>
      </c>
      <c r="DN48" t="s">
        <v>357</v>
      </c>
      <c r="DO48">
        <v>1</v>
      </c>
    </row>
    <row r="49" spans="1:119" x14ac:dyDescent="0.2">
      <c r="A49">
        <f>ROW(Source!A39)</f>
        <v>39</v>
      </c>
      <c r="B49">
        <v>55858619</v>
      </c>
      <c r="C49">
        <v>51353928</v>
      </c>
      <c r="D49">
        <v>50096650</v>
      </c>
      <c r="E49">
        <v>1</v>
      </c>
      <c r="F49">
        <v>1</v>
      </c>
      <c r="G49">
        <v>1</v>
      </c>
      <c r="H49">
        <v>2</v>
      </c>
      <c r="I49" t="s">
        <v>382</v>
      </c>
      <c r="J49" t="s">
        <v>383</v>
      </c>
      <c r="K49" t="s">
        <v>384</v>
      </c>
      <c r="L49">
        <v>1368</v>
      </c>
      <c r="N49">
        <v>1011</v>
      </c>
      <c r="O49" t="s">
        <v>363</v>
      </c>
      <c r="P49" t="s">
        <v>363</v>
      </c>
      <c r="Q49">
        <v>1</v>
      </c>
      <c r="W49">
        <v>0</v>
      </c>
      <c r="X49">
        <v>-1152394969</v>
      </c>
      <c r="Y49">
        <f>(AT49*ROUND(1.25,7))</f>
        <v>2.7625000000000002</v>
      </c>
      <c r="AA49">
        <v>0</v>
      </c>
      <c r="AB49">
        <v>680.75</v>
      </c>
      <c r="AC49">
        <v>404.99</v>
      </c>
      <c r="AD49">
        <v>0</v>
      </c>
      <c r="AE49">
        <v>0</v>
      </c>
      <c r="AF49">
        <v>680.75</v>
      </c>
      <c r="AG49">
        <v>404.99</v>
      </c>
      <c r="AH49">
        <v>0</v>
      </c>
      <c r="AI49">
        <v>1</v>
      </c>
      <c r="AJ49">
        <v>1</v>
      </c>
      <c r="AK49">
        <v>1</v>
      </c>
      <c r="AL49">
        <v>1</v>
      </c>
      <c r="AM49">
        <v>-2</v>
      </c>
      <c r="AN49">
        <v>0</v>
      </c>
      <c r="AO49">
        <v>0</v>
      </c>
      <c r="AP49">
        <v>1</v>
      </c>
      <c r="AQ49">
        <v>1</v>
      </c>
      <c r="AR49">
        <v>0</v>
      </c>
      <c r="AS49" t="s">
        <v>3</v>
      </c>
      <c r="AT49">
        <v>2.21</v>
      </c>
      <c r="AU49" t="s">
        <v>46</v>
      </c>
      <c r="AV49">
        <v>1</v>
      </c>
      <c r="AW49">
        <v>2</v>
      </c>
      <c r="AX49">
        <v>51353932</v>
      </c>
      <c r="AY49">
        <v>2</v>
      </c>
      <c r="AZ49">
        <v>98304</v>
      </c>
      <c r="BA49">
        <v>50</v>
      </c>
      <c r="BB49">
        <v>1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1504.4575</v>
      </c>
      <c r="BL49">
        <v>895.02790000000005</v>
      </c>
      <c r="BM49">
        <v>0</v>
      </c>
      <c r="BN49">
        <v>0</v>
      </c>
      <c r="BO49">
        <v>2.21</v>
      </c>
      <c r="BP49">
        <v>1</v>
      </c>
      <c r="BQ49">
        <v>0</v>
      </c>
      <c r="BR49">
        <v>1880.5718750000001</v>
      </c>
      <c r="BS49">
        <v>1118.7848750000001</v>
      </c>
      <c r="BT49">
        <v>0</v>
      </c>
      <c r="BU49">
        <v>0</v>
      </c>
      <c r="BV49">
        <v>2.7625000000000002</v>
      </c>
      <c r="BW49">
        <v>1</v>
      </c>
      <c r="CV49">
        <v>0</v>
      </c>
      <c r="CW49">
        <f>ROUND(Y49*Source!I39*DO49,7)</f>
        <v>1.132625</v>
      </c>
      <c r="CX49">
        <f>ROUND(Y49*Source!I39,7)</f>
        <v>1.132625</v>
      </c>
      <c r="CY49">
        <f>AB49</f>
        <v>680.75</v>
      </c>
      <c r="CZ49">
        <f>AF49</f>
        <v>680.75</v>
      </c>
      <c r="DA49">
        <f>AJ49</f>
        <v>1</v>
      </c>
      <c r="DB49">
        <f>ROUND((ROUND(AT49*CZ49,2)*ROUND(1.25,7)),6)</f>
        <v>1880.575</v>
      </c>
      <c r="DC49">
        <f>ROUND((ROUND(AT49*AG49,2)*ROUND(1.25,7)),6)</f>
        <v>1118.7874999999999</v>
      </c>
      <c r="DD49" t="s">
        <v>3</v>
      </c>
      <c r="DE49" t="s">
        <v>3</v>
      </c>
      <c r="DF49">
        <f>ROUND(ROUND(AE49,2)*CX49,2)</f>
        <v>0</v>
      </c>
      <c r="DG49">
        <f t="shared" ref="DG49:DG76" si="20">ROUND(ROUND(AF49,2)*CX49,2)</f>
        <v>771.03</v>
      </c>
      <c r="DH49">
        <f t="shared" si="17"/>
        <v>458.7</v>
      </c>
      <c r="DI49">
        <f t="shared" si="18"/>
        <v>0</v>
      </c>
      <c r="DJ49">
        <f>DG49+DH49</f>
        <v>1229.73</v>
      </c>
      <c r="DK49">
        <v>1</v>
      </c>
      <c r="DL49" t="s">
        <v>385</v>
      </c>
      <c r="DM49">
        <v>4</v>
      </c>
      <c r="DN49" t="s">
        <v>357</v>
      </c>
      <c r="DO49">
        <v>1</v>
      </c>
    </row>
    <row r="50" spans="1:119" x14ac:dyDescent="0.2">
      <c r="A50">
        <f>ROW(Source!A39)</f>
        <v>39</v>
      </c>
      <c r="B50">
        <v>55858619</v>
      </c>
      <c r="C50">
        <v>51353928</v>
      </c>
      <c r="D50">
        <v>50096845</v>
      </c>
      <c r="E50">
        <v>1</v>
      </c>
      <c r="F50">
        <v>1</v>
      </c>
      <c r="G50">
        <v>1</v>
      </c>
      <c r="H50">
        <v>2</v>
      </c>
      <c r="I50" t="s">
        <v>409</v>
      </c>
      <c r="J50" t="s">
        <v>410</v>
      </c>
      <c r="K50" t="s">
        <v>411</v>
      </c>
      <c r="L50">
        <v>1368</v>
      </c>
      <c r="N50">
        <v>1011</v>
      </c>
      <c r="O50" t="s">
        <v>363</v>
      </c>
      <c r="P50" t="s">
        <v>363</v>
      </c>
      <c r="Q50">
        <v>1</v>
      </c>
      <c r="W50">
        <v>0</v>
      </c>
      <c r="X50">
        <v>-334821386</v>
      </c>
      <c r="Y50">
        <f>(AT50*ROUND(1.25,7))</f>
        <v>7.25</v>
      </c>
      <c r="AA50">
        <v>0</v>
      </c>
      <c r="AB50">
        <v>36.46</v>
      </c>
      <c r="AC50">
        <v>0</v>
      </c>
      <c r="AD50">
        <v>0</v>
      </c>
      <c r="AE50">
        <v>0</v>
      </c>
      <c r="AF50">
        <v>36.46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M50">
        <v>-2</v>
      </c>
      <c r="AN50">
        <v>0</v>
      </c>
      <c r="AO50">
        <v>0</v>
      </c>
      <c r="AP50">
        <v>1</v>
      </c>
      <c r="AQ50">
        <v>1</v>
      </c>
      <c r="AR50">
        <v>0</v>
      </c>
      <c r="AS50" t="s">
        <v>3</v>
      </c>
      <c r="AT50">
        <v>5.8</v>
      </c>
      <c r="AU50" t="s">
        <v>46</v>
      </c>
      <c r="AV50">
        <v>1</v>
      </c>
      <c r="AW50">
        <v>2</v>
      </c>
      <c r="AX50">
        <v>51353933</v>
      </c>
      <c r="AY50">
        <v>2</v>
      </c>
      <c r="AZ50">
        <v>32768</v>
      </c>
      <c r="BA50">
        <v>51</v>
      </c>
      <c r="BB50">
        <v>1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211.46799999999999</v>
      </c>
      <c r="BL50">
        <v>0</v>
      </c>
      <c r="BM50">
        <v>0</v>
      </c>
      <c r="BN50">
        <v>0</v>
      </c>
      <c r="BO50">
        <v>0</v>
      </c>
      <c r="BP50">
        <v>1</v>
      </c>
      <c r="BQ50">
        <v>0</v>
      </c>
      <c r="BR50">
        <v>264.33499999999998</v>
      </c>
      <c r="BS50">
        <v>0</v>
      </c>
      <c r="BT50">
        <v>0</v>
      </c>
      <c r="BU50">
        <v>0</v>
      </c>
      <c r="BV50">
        <v>0</v>
      </c>
      <c r="BW50">
        <v>1</v>
      </c>
      <c r="CV50">
        <v>0</v>
      </c>
      <c r="CW50">
        <f>ROUND(Y50*Source!I39*DO50,7)</f>
        <v>0</v>
      </c>
      <c r="CX50">
        <f>ROUND(Y50*Source!I39,7)</f>
        <v>2.9725000000000001</v>
      </c>
      <c r="CY50">
        <f>AB50</f>
        <v>36.46</v>
      </c>
      <c r="CZ50">
        <f>AF50</f>
        <v>36.46</v>
      </c>
      <c r="DA50">
        <f>AJ50</f>
        <v>1</v>
      </c>
      <c r="DB50">
        <f>ROUND((ROUND(AT50*CZ50,2)*ROUND(1.25,7)),6)</f>
        <v>264.33749999999998</v>
      </c>
      <c r="DC50">
        <f>ROUND((ROUND(AT50*AG50,2)*ROUND(1.25,7)),6)</f>
        <v>0</v>
      </c>
      <c r="DD50" t="s">
        <v>3</v>
      </c>
      <c r="DE50" t="s">
        <v>3</v>
      </c>
      <c r="DF50">
        <f>ROUND(ROUND(AE50,2)*CX50,2)</f>
        <v>0</v>
      </c>
      <c r="DG50">
        <f t="shared" si="20"/>
        <v>108.38</v>
      </c>
      <c r="DH50">
        <f t="shared" si="17"/>
        <v>0</v>
      </c>
      <c r="DI50">
        <f t="shared" si="18"/>
        <v>0</v>
      </c>
      <c r="DJ50">
        <f>DG50+DH50</f>
        <v>108.38</v>
      </c>
      <c r="DK50">
        <v>1</v>
      </c>
      <c r="DL50" t="s">
        <v>3</v>
      </c>
      <c r="DM50">
        <v>0</v>
      </c>
      <c r="DN50" t="s">
        <v>3</v>
      </c>
      <c r="DO50">
        <v>0</v>
      </c>
    </row>
    <row r="51" spans="1:119" x14ac:dyDescent="0.2">
      <c r="A51">
        <f>ROW(Source!A39)</f>
        <v>39</v>
      </c>
      <c r="B51">
        <v>55858619</v>
      </c>
      <c r="C51">
        <v>51353928</v>
      </c>
      <c r="D51">
        <v>50042837</v>
      </c>
      <c r="E51">
        <v>1</v>
      </c>
      <c r="F51">
        <v>1</v>
      </c>
      <c r="G51">
        <v>1</v>
      </c>
      <c r="H51">
        <v>3</v>
      </c>
      <c r="I51" t="s">
        <v>386</v>
      </c>
      <c r="J51" t="s">
        <v>387</v>
      </c>
      <c r="K51" t="s">
        <v>388</v>
      </c>
      <c r="L51">
        <v>1339</v>
      </c>
      <c r="N51">
        <v>1007</v>
      </c>
      <c r="O51" t="s">
        <v>33</v>
      </c>
      <c r="P51" t="s">
        <v>33</v>
      </c>
      <c r="Q51">
        <v>1</v>
      </c>
      <c r="W51">
        <v>0</v>
      </c>
      <c r="X51">
        <v>-1879317523</v>
      </c>
      <c r="Y51">
        <f>AT51</f>
        <v>0.1</v>
      </c>
      <c r="AA51">
        <v>29.64</v>
      </c>
      <c r="AB51">
        <v>0</v>
      </c>
      <c r="AC51">
        <v>0</v>
      </c>
      <c r="AD51">
        <v>0</v>
      </c>
      <c r="AE51">
        <v>35.71</v>
      </c>
      <c r="AF51">
        <v>0</v>
      </c>
      <c r="AG51">
        <v>0</v>
      </c>
      <c r="AH51">
        <v>0</v>
      </c>
      <c r="AI51">
        <v>0.83</v>
      </c>
      <c r="AJ51">
        <v>1</v>
      </c>
      <c r="AK51">
        <v>1</v>
      </c>
      <c r="AL51">
        <v>1</v>
      </c>
      <c r="AM51">
        <v>2</v>
      </c>
      <c r="AN51">
        <v>0</v>
      </c>
      <c r="AO51">
        <v>0</v>
      </c>
      <c r="AP51">
        <v>1</v>
      </c>
      <c r="AQ51">
        <v>1</v>
      </c>
      <c r="AR51">
        <v>0</v>
      </c>
      <c r="AS51" t="s">
        <v>3</v>
      </c>
      <c r="AT51">
        <v>0.1</v>
      </c>
      <c r="AU51" t="s">
        <v>3</v>
      </c>
      <c r="AV51">
        <v>0</v>
      </c>
      <c r="AW51">
        <v>2</v>
      </c>
      <c r="AX51">
        <v>51353934</v>
      </c>
      <c r="AY51">
        <v>1</v>
      </c>
      <c r="AZ51">
        <v>0</v>
      </c>
      <c r="BA51">
        <v>52</v>
      </c>
      <c r="BB51">
        <v>1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3.5710000000000002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1</v>
      </c>
      <c r="BQ51">
        <v>3.5710000000000002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1</v>
      </c>
      <c r="CV51">
        <v>0</v>
      </c>
      <c r="CW51">
        <v>0</v>
      </c>
      <c r="CX51">
        <f>ROUND(Y51*Source!I39,7)</f>
        <v>4.1000000000000002E-2</v>
      </c>
      <c r="CY51">
        <f>AA51</f>
        <v>29.64</v>
      </c>
      <c r="CZ51">
        <f>AE51</f>
        <v>35.71</v>
      </c>
      <c r="DA51">
        <f>AI51</f>
        <v>0.83</v>
      </c>
      <c r="DB51">
        <f>ROUND(ROUND(AT51*CZ51,2),6)</f>
        <v>3.57</v>
      </c>
      <c r="DC51">
        <f>ROUND(ROUND(AT51*AG51,2),6)</f>
        <v>0</v>
      </c>
      <c r="DD51" t="s">
        <v>3</v>
      </c>
      <c r="DE51" t="s">
        <v>3</v>
      </c>
      <c r="DF51">
        <f>ROUND(ROUND(AE51*AI51,2)*CX51,2)</f>
        <v>1.22</v>
      </c>
      <c r="DG51">
        <f t="shared" si="20"/>
        <v>0</v>
      </c>
      <c r="DH51">
        <f t="shared" si="17"/>
        <v>0</v>
      </c>
      <c r="DI51">
        <f t="shared" si="18"/>
        <v>0</v>
      </c>
      <c r="DJ51">
        <f>DF51</f>
        <v>1.22</v>
      </c>
      <c r="DK51">
        <v>0</v>
      </c>
      <c r="DL51" t="s">
        <v>3</v>
      </c>
      <c r="DM51">
        <v>0</v>
      </c>
      <c r="DN51" t="s">
        <v>3</v>
      </c>
      <c r="DO51">
        <v>0</v>
      </c>
    </row>
    <row r="52" spans="1:119" x14ac:dyDescent="0.2">
      <c r="A52">
        <f>ROW(Source!A39)</f>
        <v>39</v>
      </c>
      <c r="B52">
        <v>55858619</v>
      </c>
      <c r="C52">
        <v>51353928</v>
      </c>
      <c r="D52">
        <v>50043547</v>
      </c>
      <c r="E52">
        <v>1</v>
      </c>
      <c r="F52">
        <v>1</v>
      </c>
      <c r="G52">
        <v>1</v>
      </c>
      <c r="H52">
        <v>3</v>
      </c>
      <c r="I52" t="s">
        <v>412</v>
      </c>
      <c r="J52" t="s">
        <v>413</v>
      </c>
      <c r="K52" t="s">
        <v>414</v>
      </c>
      <c r="L52">
        <v>1348</v>
      </c>
      <c r="N52">
        <v>1009</v>
      </c>
      <c r="O52" t="s">
        <v>29</v>
      </c>
      <c r="P52" t="s">
        <v>29</v>
      </c>
      <c r="Q52">
        <v>1000</v>
      </c>
      <c r="W52">
        <v>0</v>
      </c>
      <c r="X52">
        <v>1264641321</v>
      </c>
      <c r="Y52">
        <f>AT52</f>
        <v>0.02</v>
      </c>
      <c r="AA52">
        <v>134860.20000000001</v>
      </c>
      <c r="AB52">
        <v>0</v>
      </c>
      <c r="AC52">
        <v>0</v>
      </c>
      <c r="AD52">
        <v>0</v>
      </c>
      <c r="AE52">
        <v>148198.01999999999</v>
      </c>
      <c r="AF52">
        <v>0</v>
      </c>
      <c r="AG52">
        <v>0</v>
      </c>
      <c r="AH52">
        <v>0</v>
      </c>
      <c r="AI52">
        <v>0.91</v>
      </c>
      <c r="AJ52">
        <v>1</v>
      </c>
      <c r="AK52">
        <v>1</v>
      </c>
      <c r="AL52">
        <v>1</v>
      </c>
      <c r="AM52">
        <v>2</v>
      </c>
      <c r="AN52">
        <v>0</v>
      </c>
      <c r="AO52">
        <v>0</v>
      </c>
      <c r="AP52">
        <v>1</v>
      </c>
      <c r="AQ52">
        <v>1</v>
      </c>
      <c r="AR52">
        <v>0</v>
      </c>
      <c r="AS52" t="s">
        <v>3</v>
      </c>
      <c r="AT52">
        <v>0.02</v>
      </c>
      <c r="AU52" t="s">
        <v>3</v>
      </c>
      <c r="AV52">
        <v>0</v>
      </c>
      <c r="AW52">
        <v>2</v>
      </c>
      <c r="AX52">
        <v>51353935</v>
      </c>
      <c r="AY52">
        <v>1</v>
      </c>
      <c r="AZ52">
        <v>0</v>
      </c>
      <c r="BA52">
        <v>53</v>
      </c>
      <c r="BB52">
        <v>1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2963.9603999999999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1</v>
      </c>
      <c r="BQ52">
        <v>2963.9603999999999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1</v>
      </c>
      <c r="CV52">
        <v>0</v>
      </c>
      <c r="CW52">
        <v>0</v>
      </c>
      <c r="CX52">
        <f>ROUND(Y52*Source!I39,7)</f>
        <v>8.2000000000000007E-3</v>
      </c>
      <c r="CY52">
        <f>AA52</f>
        <v>134860.20000000001</v>
      </c>
      <c r="CZ52">
        <f>AE52</f>
        <v>148198.01999999999</v>
      </c>
      <c r="DA52">
        <f>AI52</f>
        <v>0.91</v>
      </c>
      <c r="DB52">
        <f>ROUND(ROUND(AT52*CZ52,2),6)</f>
        <v>2963.96</v>
      </c>
      <c r="DC52">
        <f>ROUND(ROUND(AT52*AG52,2),6)</f>
        <v>0</v>
      </c>
      <c r="DD52" t="s">
        <v>3</v>
      </c>
      <c r="DE52" t="s">
        <v>3</v>
      </c>
      <c r="DF52">
        <f>ROUND(ROUND(AE52*AI52,2)*CX52,2)</f>
        <v>1105.8499999999999</v>
      </c>
      <c r="DG52">
        <f t="shared" si="20"/>
        <v>0</v>
      </c>
      <c r="DH52">
        <f t="shared" si="17"/>
        <v>0</v>
      </c>
      <c r="DI52">
        <f t="shared" si="18"/>
        <v>0</v>
      </c>
      <c r="DJ52">
        <f>DF52</f>
        <v>1105.8499999999999</v>
      </c>
      <c r="DK52">
        <v>0</v>
      </c>
      <c r="DL52" t="s">
        <v>3</v>
      </c>
      <c r="DM52">
        <v>0</v>
      </c>
      <c r="DN52" t="s">
        <v>3</v>
      </c>
      <c r="DO52">
        <v>0</v>
      </c>
    </row>
    <row r="53" spans="1:119" x14ac:dyDescent="0.2">
      <c r="A53">
        <f>ROW(Source!A39)</f>
        <v>39</v>
      </c>
      <c r="B53">
        <v>55858619</v>
      </c>
      <c r="C53">
        <v>51353928</v>
      </c>
      <c r="D53">
        <v>50046256</v>
      </c>
      <c r="E53">
        <v>1</v>
      </c>
      <c r="F53">
        <v>1</v>
      </c>
      <c r="G53">
        <v>1</v>
      </c>
      <c r="H53">
        <v>3</v>
      </c>
      <c r="I53" t="s">
        <v>415</v>
      </c>
      <c r="J53" t="s">
        <v>416</v>
      </c>
      <c r="K53" t="s">
        <v>417</v>
      </c>
      <c r="L53">
        <v>1348</v>
      </c>
      <c r="N53">
        <v>1009</v>
      </c>
      <c r="O53" t="s">
        <v>29</v>
      </c>
      <c r="P53" t="s">
        <v>29</v>
      </c>
      <c r="Q53">
        <v>1000</v>
      </c>
      <c r="W53">
        <v>0</v>
      </c>
      <c r="X53">
        <v>1437719701</v>
      </c>
      <c r="Y53">
        <f>AT53</f>
        <v>0.15</v>
      </c>
      <c r="AA53">
        <v>7345.3</v>
      </c>
      <c r="AB53">
        <v>0</v>
      </c>
      <c r="AC53">
        <v>0</v>
      </c>
      <c r="AD53">
        <v>0</v>
      </c>
      <c r="AE53">
        <v>4800.8500000000004</v>
      </c>
      <c r="AF53">
        <v>0</v>
      </c>
      <c r="AG53">
        <v>0</v>
      </c>
      <c r="AH53">
        <v>0</v>
      </c>
      <c r="AI53">
        <v>1.53</v>
      </c>
      <c r="AJ53">
        <v>1</v>
      </c>
      <c r="AK53">
        <v>1</v>
      </c>
      <c r="AL53">
        <v>1</v>
      </c>
      <c r="AM53">
        <v>2</v>
      </c>
      <c r="AN53">
        <v>0</v>
      </c>
      <c r="AO53">
        <v>0</v>
      </c>
      <c r="AP53">
        <v>1</v>
      </c>
      <c r="AQ53">
        <v>1</v>
      </c>
      <c r="AR53">
        <v>0</v>
      </c>
      <c r="AS53" t="s">
        <v>3</v>
      </c>
      <c r="AT53">
        <v>0.15</v>
      </c>
      <c r="AU53" t="s">
        <v>3</v>
      </c>
      <c r="AV53">
        <v>0</v>
      </c>
      <c r="AW53">
        <v>2</v>
      </c>
      <c r="AX53">
        <v>51353936</v>
      </c>
      <c r="AY53">
        <v>1</v>
      </c>
      <c r="AZ53">
        <v>0</v>
      </c>
      <c r="BA53">
        <v>54</v>
      </c>
      <c r="BB53">
        <v>1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720.12750000000005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1</v>
      </c>
      <c r="BQ53">
        <v>720.12750000000005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1</v>
      </c>
      <c r="CV53">
        <v>0</v>
      </c>
      <c r="CW53">
        <v>0</v>
      </c>
      <c r="CX53">
        <f>ROUND(Y53*Source!I39,7)</f>
        <v>6.1499999999999999E-2</v>
      </c>
      <c r="CY53">
        <f>AA53</f>
        <v>7345.3</v>
      </c>
      <c r="CZ53">
        <f>AE53</f>
        <v>4800.8500000000004</v>
      </c>
      <c r="DA53">
        <f>AI53</f>
        <v>1.53</v>
      </c>
      <c r="DB53">
        <f>ROUND(ROUND(AT53*CZ53,2),6)</f>
        <v>720.13</v>
      </c>
      <c r="DC53">
        <f>ROUND(ROUND(AT53*AG53,2),6)</f>
        <v>0</v>
      </c>
      <c r="DD53" t="s">
        <v>3</v>
      </c>
      <c r="DE53" t="s">
        <v>3</v>
      </c>
      <c r="DF53">
        <f>ROUND(ROUND(AE53*AI53,2)*CX53,2)</f>
        <v>451.74</v>
      </c>
      <c r="DG53">
        <f t="shared" si="20"/>
        <v>0</v>
      </c>
      <c r="DH53">
        <f t="shared" si="17"/>
        <v>0</v>
      </c>
      <c r="DI53">
        <f t="shared" si="18"/>
        <v>0</v>
      </c>
      <c r="DJ53">
        <f>DF53</f>
        <v>451.74</v>
      </c>
      <c r="DK53">
        <v>0</v>
      </c>
      <c r="DL53" t="s">
        <v>3</v>
      </c>
      <c r="DM53">
        <v>0</v>
      </c>
      <c r="DN53" t="s">
        <v>3</v>
      </c>
      <c r="DO53">
        <v>0</v>
      </c>
    </row>
    <row r="54" spans="1:119" x14ac:dyDescent="0.2">
      <c r="A54">
        <f>ROW(Source!A39)</f>
        <v>39</v>
      </c>
      <c r="B54">
        <v>55858619</v>
      </c>
      <c r="C54">
        <v>51353928</v>
      </c>
      <c r="D54">
        <v>54650170</v>
      </c>
      <c r="E54">
        <v>1</v>
      </c>
      <c r="F54">
        <v>1</v>
      </c>
      <c r="G54">
        <v>1</v>
      </c>
      <c r="H54">
        <v>3</v>
      </c>
      <c r="I54" t="s">
        <v>111</v>
      </c>
      <c r="J54" t="s">
        <v>114</v>
      </c>
      <c r="K54" t="s">
        <v>112</v>
      </c>
      <c r="L54">
        <v>1301</v>
      </c>
      <c r="N54">
        <v>1003</v>
      </c>
      <c r="O54" t="s">
        <v>113</v>
      </c>
      <c r="P54" t="s">
        <v>113</v>
      </c>
      <c r="Q54">
        <v>1</v>
      </c>
      <c r="W54">
        <v>0</v>
      </c>
      <c r="X54">
        <v>1071340681</v>
      </c>
      <c r="Y54">
        <f>AT54</f>
        <v>100</v>
      </c>
      <c r="AA54">
        <v>12435.69</v>
      </c>
      <c r="AB54">
        <v>0</v>
      </c>
      <c r="AC54">
        <v>0</v>
      </c>
      <c r="AD54">
        <v>0</v>
      </c>
      <c r="AE54">
        <v>9143.89</v>
      </c>
      <c r="AF54">
        <v>0</v>
      </c>
      <c r="AG54">
        <v>0</v>
      </c>
      <c r="AH54">
        <v>0</v>
      </c>
      <c r="AI54">
        <v>1.36</v>
      </c>
      <c r="AJ54">
        <v>1</v>
      </c>
      <c r="AK54">
        <v>1</v>
      </c>
      <c r="AL54">
        <v>1</v>
      </c>
      <c r="AM54">
        <v>0</v>
      </c>
      <c r="AN54">
        <v>0</v>
      </c>
      <c r="AO54">
        <v>0</v>
      </c>
      <c r="AP54">
        <v>1</v>
      </c>
      <c r="AQ54">
        <v>0</v>
      </c>
      <c r="AR54">
        <v>0</v>
      </c>
      <c r="AS54" t="s">
        <v>3</v>
      </c>
      <c r="AT54">
        <v>100</v>
      </c>
      <c r="AU54" t="s">
        <v>3</v>
      </c>
      <c r="AV54">
        <v>0</v>
      </c>
      <c r="AW54">
        <v>1</v>
      </c>
      <c r="AX54">
        <v>-1</v>
      </c>
      <c r="AY54">
        <v>0</v>
      </c>
      <c r="AZ54">
        <v>0</v>
      </c>
      <c r="BA54" t="s">
        <v>3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V54">
        <v>0</v>
      </c>
      <c r="CW54">
        <v>0</v>
      </c>
      <c r="CX54">
        <f>ROUND(Y54*Source!I39,7)</f>
        <v>41</v>
      </c>
      <c r="CY54">
        <f>AA54</f>
        <v>12435.69</v>
      </c>
      <c r="CZ54">
        <f>AE54</f>
        <v>9143.89</v>
      </c>
      <c r="DA54">
        <f>AI54</f>
        <v>1.36</v>
      </c>
      <c r="DB54">
        <f>ROUND(ROUND(AT54*CZ54,2),6)</f>
        <v>914389</v>
      </c>
      <c r="DC54">
        <f>ROUND(ROUND(AT54*AG54,2),6)</f>
        <v>0</v>
      </c>
      <c r="DD54" t="s">
        <v>3</v>
      </c>
      <c r="DE54" t="s">
        <v>3</v>
      </c>
      <c r="DF54">
        <f>ROUND(ROUND(AE54*AI54,2)*CX54,2)</f>
        <v>509863.29</v>
      </c>
      <c r="DG54">
        <f t="shared" si="20"/>
        <v>0</v>
      </c>
      <c r="DH54">
        <f t="shared" si="17"/>
        <v>0</v>
      </c>
      <c r="DI54">
        <f t="shared" si="18"/>
        <v>0</v>
      </c>
      <c r="DJ54">
        <f>DF54</f>
        <v>509863.29</v>
      </c>
      <c r="DK54">
        <v>0</v>
      </c>
      <c r="DL54" t="s">
        <v>3</v>
      </c>
      <c r="DM54">
        <v>0</v>
      </c>
      <c r="DN54" t="s">
        <v>3</v>
      </c>
      <c r="DO54">
        <v>0</v>
      </c>
    </row>
    <row r="55" spans="1:119" x14ac:dyDescent="0.2">
      <c r="A55">
        <f>ROW(Source!A41)</f>
        <v>41</v>
      </c>
      <c r="B55">
        <v>55858619</v>
      </c>
      <c r="C55">
        <v>51353942</v>
      </c>
      <c r="D55">
        <v>49971143</v>
      </c>
      <c r="E55">
        <v>114</v>
      </c>
      <c r="F55">
        <v>1</v>
      </c>
      <c r="G55">
        <v>1</v>
      </c>
      <c r="H55">
        <v>1</v>
      </c>
      <c r="I55" t="s">
        <v>418</v>
      </c>
      <c r="J55" t="s">
        <v>3</v>
      </c>
      <c r="K55" t="s">
        <v>419</v>
      </c>
      <c r="L55">
        <v>1191</v>
      </c>
      <c r="N55">
        <v>1013</v>
      </c>
      <c r="O55" t="s">
        <v>357</v>
      </c>
      <c r="P55" t="s">
        <v>357</v>
      </c>
      <c r="Q55">
        <v>1</v>
      </c>
      <c r="W55">
        <v>0</v>
      </c>
      <c r="X55">
        <v>888410196</v>
      </c>
      <c r="Y55">
        <f>(AT55*ROUND(1.15,7))</f>
        <v>4.5309999999999997</v>
      </c>
      <c r="AA55">
        <v>0</v>
      </c>
      <c r="AB55">
        <v>0</v>
      </c>
      <c r="AC55">
        <v>0</v>
      </c>
      <c r="AD55">
        <v>404.99</v>
      </c>
      <c r="AE55">
        <v>0</v>
      </c>
      <c r="AF55">
        <v>0</v>
      </c>
      <c r="AG55">
        <v>0</v>
      </c>
      <c r="AH55">
        <v>404.99</v>
      </c>
      <c r="AI55">
        <v>1</v>
      </c>
      <c r="AJ55">
        <v>1</v>
      </c>
      <c r="AK55">
        <v>1</v>
      </c>
      <c r="AL55">
        <v>1</v>
      </c>
      <c r="AM55">
        <v>-2</v>
      </c>
      <c r="AN55">
        <v>0</v>
      </c>
      <c r="AO55">
        <v>0</v>
      </c>
      <c r="AP55">
        <v>1</v>
      </c>
      <c r="AQ55">
        <v>1</v>
      </c>
      <c r="AR55">
        <v>0</v>
      </c>
      <c r="AS55" t="s">
        <v>3</v>
      </c>
      <c r="AT55">
        <v>3.94</v>
      </c>
      <c r="AU55" t="s">
        <v>47</v>
      </c>
      <c r="AV55">
        <v>1</v>
      </c>
      <c r="AW55">
        <v>2</v>
      </c>
      <c r="AX55">
        <v>51353943</v>
      </c>
      <c r="AY55">
        <v>2</v>
      </c>
      <c r="AZ55">
        <v>131072</v>
      </c>
      <c r="BA55">
        <v>56</v>
      </c>
      <c r="BB55">
        <v>1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1595.6605999999999</v>
      </c>
      <c r="BN55">
        <v>3.94</v>
      </c>
      <c r="BO55">
        <v>0</v>
      </c>
      <c r="BP55">
        <v>1</v>
      </c>
      <c r="BQ55">
        <v>0</v>
      </c>
      <c r="BR55">
        <v>0</v>
      </c>
      <c r="BS55">
        <v>0</v>
      </c>
      <c r="BT55">
        <v>1835.0096899999999</v>
      </c>
      <c r="BU55">
        <v>4.5309999999999997</v>
      </c>
      <c r="BV55">
        <v>0</v>
      </c>
      <c r="BW55">
        <v>1</v>
      </c>
      <c r="CU55">
        <f>ROUND(AT55*Source!I41*AH55*AL55,2)</f>
        <v>159.57</v>
      </c>
      <c r="CV55">
        <f>ROUND(Y55*Source!I41,7)</f>
        <v>0.4531</v>
      </c>
      <c r="CW55">
        <v>0</v>
      </c>
      <c r="CX55">
        <f>ROUND(Y55*Source!I41,7)</f>
        <v>0.4531</v>
      </c>
      <c r="CY55">
        <f>AD55</f>
        <v>404.99</v>
      </c>
      <c r="CZ55">
        <f>AH55</f>
        <v>404.99</v>
      </c>
      <c r="DA55">
        <f>AL55</f>
        <v>1</v>
      </c>
      <c r="DB55">
        <f>ROUND((ROUND(AT55*CZ55,2)*ROUND(1.15,7)),6)</f>
        <v>1835.009</v>
      </c>
      <c r="DC55">
        <f>ROUND((ROUND(AT55*AG55,2)*ROUND(1.15,7)),6)</f>
        <v>0</v>
      </c>
      <c r="DD55" t="s">
        <v>3</v>
      </c>
      <c r="DE55" t="s">
        <v>3</v>
      </c>
      <c r="DF55">
        <f>ROUND(ROUND(AE55,2)*CX55,2)</f>
        <v>0</v>
      </c>
      <c r="DG55">
        <f t="shared" si="20"/>
        <v>0</v>
      </c>
      <c r="DH55">
        <f t="shared" si="17"/>
        <v>0</v>
      </c>
      <c r="DI55">
        <f t="shared" si="18"/>
        <v>183.5</v>
      </c>
      <c r="DJ55">
        <f>DI55</f>
        <v>183.5</v>
      </c>
      <c r="DK55">
        <v>1</v>
      </c>
      <c r="DL55" t="s">
        <v>3</v>
      </c>
      <c r="DM55">
        <v>0</v>
      </c>
      <c r="DN55" t="s">
        <v>3</v>
      </c>
      <c r="DO55">
        <v>0</v>
      </c>
    </row>
    <row r="56" spans="1:119" x14ac:dyDescent="0.2">
      <c r="A56">
        <f>ROW(Source!A41)</f>
        <v>41</v>
      </c>
      <c r="B56">
        <v>55858619</v>
      </c>
      <c r="C56">
        <v>51353942</v>
      </c>
      <c r="D56">
        <v>49971314</v>
      </c>
      <c r="E56">
        <v>114</v>
      </c>
      <c r="F56">
        <v>1</v>
      </c>
      <c r="G56">
        <v>1</v>
      </c>
      <c r="H56">
        <v>1</v>
      </c>
      <c r="I56" t="s">
        <v>358</v>
      </c>
      <c r="J56" t="s">
        <v>3</v>
      </c>
      <c r="K56" t="s">
        <v>359</v>
      </c>
      <c r="L56">
        <v>1191</v>
      </c>
      <c r="N56">
        <v>1013</v>
      </c>
      <c r="O56" t="s">
        <v>357</v>
      </c>
      <c r="P56" t="s">
        <v>357</v>
      </c>
      <c r="Q56">
        <v>1</v>
      </c>
      <c r="W56">
        <v>0</v>
      </c>
      <c r="X56">
        <v>-1417349443</v>
      </c>
      <c r="Y56">
        <f>(AT56*ROUND(1.25,7))</f>
        <v>1.2500000000000001E-2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1</v>
      </c>
      <c r="AK56">
        <v>1</v>
      </c>
      <c r="AL56">
        <v>1</v>
      </c>
      <c r="AM56">
        <v>-2</v>
      </c>
      <c r="AN56">
        <v>0</v>
      </c>
      <c r="AO56">
        <v>0</v>
      </c>
      <c r="AP56">
        <v>1</v>
      </c>
      <c r="AQ56">
        <v>1</v>
      </c>
      <c r="AR56">
        <v>0</v>
      </c>
      <c r="AS56" t="s">
        <v>3</v>
      </c>
      <c r="AT56">
        <v>0.01</v>
      </c>
      <c r="AU56" t="s">
        <v>46</v>
      </c>
      <c r="AV56">
        <v>2</v>
      </c>
      <c r="AW56">
        <v>2</v>
      </c>
      <c r="AX56">
        <v>51353944</v>
      </c>
      <c r="AY56">
        <v>1</v>
      </c>
      <c r="AZ56">
        <v>0</v>
      </c>
      <c r="BA56">
        <v>57</v>
      </c>
      <c r="BB56">
        <v>1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V56">
        <v>0</v>
      </c>
      <c r="CW56">
        <v>0</v>
      </c>
      <c r="CX56">
        <f>ROUND(Y56*Source!I41,7)</f>
        <v>1.25E-3</v>
      </c>
      <c r="CY56">
        <f>AD56</f>
        <v>0</v>
      </c>
      <c r="CZ56">
        <f>AH56</f>
        <v>0</v>
      </c>
      <c r="DA56">
        <f>AL56</f>
        <v>1</v>
      </c>
      <c r="DB56">
        <f>ROUND((ROUND(AT56*CZ56,2)*ROUND(1.25,7)),6)</f>
        <v>0</v>
      </c>
      <c r="DC56">
        <f>ROUND((ROUND(AT56*AG56,2)*ROUND(1.25,7)),6)</f>
        <v>0</v>
      </c>
      <c r="DD56" t="s">
        <v>3</v>
      </c>
      <c r="DE56" t="s">
        <v>3</v>
      </c>
      <c r="DF56">
        <f>ROUND(ROUND(AE56,2)*CX56,2)</f>
        <v>0</v>
      </c>
      <c r="DG56">
        <f t="shared" si="20"/>
        <v>0</v>
      </c>
      <c r="DH56">
        <f t="shared" si="17"/>
        <v>0</v>
      </c>
      <c r="DI56">
        <f t="shared" si="18"/>
        <v>0</v>
      </c>
      <c r="DJ56">
        <f>DI56</f>
        <v>0</v>
      </c>
      <c r="DK56">
        <v>0</v>
      </c>
      <c r="DL56" t="s">
        <v>3</v>
      </c>
      <c r="DM56">
        <v>0</v>
      </c>
      <c r="DN56" t="s">
        <v>3</v>
      </c>
      <c r="DO56">
        <v>0</v>
      </c>
    </row>
    <row r="57" spans="1:119" x14ac:dyDescent="0.2">
      <c r="A57">
        <f>ROW(Source!A41)</f>
        <v>41</v>
      </c>
      <c r="B57">
        <v>55858619</v>
      </c>
      <c r="C57">
        <v>51353942</v>
      </c>
      <c r="D57">
        <v>50095759</v>
      </c>
      <c r="E57">
        <v>1</v>
      </c>
      <c r="F57">
        <v>1</v>
      </c>
      <c r="G57">
        <v>1</v>
      </c>
      <c r="H57">
        <v>2</v>
      </c>
      <c r="I57" t="s">
        <v>397</v>
      </c>
      <c r="J57" t="s">
        <v>398</v>
      </c>
      <c r="K57" t="s">
        <v>399</v>
      </c>
      <c r="L57">
        <v>1368</v>
      </c>
      <c r="N57">
        <v>1011</v>
      </c>
      <c r="O57" t="s">
        <v>363</v>
      </c>
      <c r="P57" t="s">
        <v>363</v>
      </c>
      <c r="Q57">
        <v>1</v>
      </c>
      <c r="W57">
        <v>0</v>
      </c>
      <c r="X57">
        <v>-468861091</v>
      </c>
      <c r="Y57">
        <f>(AT57*ROUND(1.25,7))</f>
        <v>3.7499999999999999E-3</v>
      </c>
      <c r="AA57">
        <v>0</v>
      </c>
      <c r="AB57">
        <v>1719.93</v>
      </c>
      <c r="AC57">
        <v>544.01</v>
      </c>
      <c r="AD57">
        <v>0</v>
      </c>
      <c r="AE57">
        <v>0</v>
      </c>
      <c r="AF57">
        <v>1719.93</v>
      </c>
      <c r="AG57">
        <v>544.01</v>
      </c>
      <c r="AH57">
        <v>0</v>
      </c>
      <c r="AI57">
        <v>1</v>
      </c>
      <c r="AJ57">
        <v>1</v>
      </c>
      <c r="AK57">
        <v>1</v>
      </c>
      <c r="AL57">
        <v>1</v>
      </c>
      <c r="AM57">
        <v>-2</v>
      </c>
      <c r="AN57">
        <v>0</v>
      </c>
      <c r="AO57">
        <v>0</v>
      </c>
      <c r="AP57">
        <v>1</v>
      </c>
      <c r="AQ57">
        <v>1</v>
      </c>
      <c r="AR57">
        <v>0</v>
      </c>
      <c r="AS57" t="s">
        <v>3</v>
      </c>
      <c r="AT57">
        <v>3.0000000000000001E-3</v>
      </c>
      <c r="AU57" t="s">
        <v>46</v>
      </c>
      <c r="AV57">
        <v>1</v>
      </c>
      <c r="AW57">
        <v>2</v>
      </c>
      <c r="AX57">
        <v>51353945</v>
      </c>
      <c r="AY57">
        <v>2</v>
      </c>
      <c r="AZ57">
        <v>98304</v>
      </c>
      <c r="BA57">
        <v>58</v>
      </c>
      <c r="BB57">
        <v>1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5.1597900000000001</v>
      </c>
      <c r="BL57">
        <v>1.6320300000000001</v>
      </c>
      <c r="BM57">
        <v>0</v>
      </c>
      <c r="BN57">
        <v>0</v>
      </c>
      <c r="BO57">
        <v>3.0000000000000001E-3</v>
      </c>
      <c r="BP57">
        <v>1</v>
      </c>
      <c r="BQ57">
        <v>0</v>
      </c>
      <c r="BR57">
        <v>6.4497375000000003</v>
      </c>
      <c r="BS57">
        <v>2.0400374999999999</v>
      </c>
      <c r="BT57">
        <v>0</v>
      </c>
      <c r="BU57">
        <v>0</v>
      </c>
      <c r="BV57">
        <v>3.7499999999999999E-3</v>
      </c>
      <c r="BW57">
        <v>1</v>
      </c>
      <c r="CV57">
        <v>0</v>
      </c>
      <c r="CW57">
        <f>ROUND(Y57*Source!I41*DO57,7)</f>
        <v>3.7500000000000001E-4</v>
      </c>
      <c r="CX57">
        <f>ROUND(Y57*Source!I41,7)</f>
        <v>3.7500000000000001E-4</v>
      </c>
      <c r="CY57">
        <f>AB57</f>
        <v>1719.93</v>
      </c>
      <c r="CZ57">
        <f>AF57</f>
        <v>1719.93</v>
      </c>
      <c r="DA57">
        <f>AJ57</f>
        <v>1</v>
      </c>
      <c r="DB57">
        <f>ROUND((ROUND(AT57*CZ57,2)*ROUND(1.25,7)),6)</f>
        <v>6.45</v>
      </c>
      <c r="DC57">
        <f>ROUND((ROUND(AT57*AG57,2)*ROUND(1.25,7)),6)</f>
        <v>2.0375000000000001</v>
      </c>
      <c r="DD57" t="s">
        <v>3</v>
      </c>
      <c r="DE57" t="s">
        <v>3</v>
      </c>
      <c r="DF57">
        <f>ROUND(ROUND(AE57,2)*CX57,2)</f>
        <v>0</v>
      </c>
      <c r="DG57">
        <f t="shared" si="20"/>
        <v>0.64</v>
      </c>
      <c r="DH57">
        <f t="shared" si="17"/>
        <v>0.2</v>
      </c>
      <c r="DI57">
        <f t="shared" si="18"/>
        <v>0</v>
      </c>
      <c r="DJ57">
        <f>DG57+DH57</f>
        <v>0.84000000000000008</v>
      </c>
      <c r="DK57">
        <v>1</v>
      </c>
      <c r="DL57" t="s">
        <v>378</v>
      </c>
      <c r="DM57">
        <v>6</v>
      </c>
      <c r="DN57" t="s">
        <v>357</v>
      </c>
      <c r="DO57">
        <v>1</v>
      </c>
    </row>
    <row r="58" spans="1:119" x14ac:dyDescent="0.2">
      <c r="A58">
        <f>ROW(Source!A41)</f>
        <v>41</v>
      </c>
      <c r="B58">
        <v>55858619</v>
      </c>
      <c r="C58">
        <v>51353942</v>
      </c>
      <c r="D58">
        <v>50096650</v>
      </c>
      <c r="E58">
        <v>1</v>
      </c>
      <c r="F58">
        <v>1</v>
      </c>
      <c r="G58">
        <v>1</v>
      </c>
      <c r="H58">
        <v>2</v>
      </c>
      <c r="I58" t="s">
        <v>382</v>
      </c>
      <c r="J58" t="s">
        <v>383</v>
      </c>
      <c r="K58" t="s">
        <v>384</v>
      </c>
      <c r="L58">
        <v>1368</v>
      </c>
      <c r="N58">
        <v>1011</v>
      </c>
      <c r="O58" t="s">
        <v>363</v>
      </c>
      <c r="P58" t="s">
        <v>363</v>
      </c>
      <c r="Q58">
        <v>1</v>
      </c>
      <c r="W58">
        <v>0</v>
      </c>
      <c r="X58">
        <v>-1152394969</v>
      </c>
      <c r="Y58">
        <f>(AT58*ROUND(1.25,7))</f>
        <v>3.7499999999999999E-3</v>
      </c>
      <c r="AA58">
        <v>0</v>
      </c>
      <c r="AB58">
        <v>680.75</v>
      </c>
      <c r="AC58">
        <v>404.99</v>
      </c>
      <c r="AD58">
        <v>0</v>
      </c>
      <c r="AE58">
        <v>0</v>
      </c>
      <c r="AF58">
        <v>680.75</v>
      </c>
      <c r="AG58">
        <v>404.99</v>
      </c>
      <c r="AH58">
        <v>0</v>
      </c>
      <c r="AI58">
        <v>1</v>
      </c>
      <c r="AJ58">
        <v>1</v>
      </c>
      <c r="AK58">
        <v>1</v>
      </c>
      <c r="AL58">
        <v>1</v>
      </c>
      <c r="AM58">
        <v>-2</v>
      </c>
      <c r="AN58">
        <v>0</v>
      </c>
      <c r="AO58">
        <v>0</v>
      </c>
      <c r="AP58">
        <v>1</v>
      </c>
      <c r="AQ58">
        <v>1</v>
      </c>
      <c r="AR58">
        <v>0</v>
      </c>
      <c r="AS58" t="s">
        <v>3</v>
      </c>
      <c r="AT58">
        <v>3.0000000000000001E-3</v>
      </c>
      <c r="AU58" t="s">
        <v>46</v>
      </c>
      <c r="AV58">
        <v>1</v>
      </c>
      <c r="AW58">
        <v>2</v>
      </c>
      <c r="AX58">
        <v>51353946</v>
      </c>
      <c r="AY58">
        <v>2</v>
      </c>
      <c r="AZ58">
        <v>98304</v>
      </c>
      <c r="BA58">
        <v>59</v>
      </c>
      <c r="BB58">
        <v>1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2.0422500000000001</v>
      </c>
      <c r="BL58">
        <v>1.2149700000000001</v>
      </c>
      <c r="BM58">
        <v>0</v>
      </c>
      <c r="BN58">
        <v>0</v>
      </c>
      <c r="BO58">
        <v>3.0000000000000001E-3</v>
      </c>
      <c r="BP58">
        <v>1</v>
      </c>
      <c r="BQ58">
        <v>0</v>
      </c>
      <c r="BR58">
        <v>2.5528124999999999</v>
      </c>
      <c r="BS58">
        <v>1.5187124999999999</v>
      </c>
      <c r="BT58">
        <v>0</v>
      </c>
      <c r="BU58">
        <v>0</v>
      </c>
      <c r="BV58">
        <v>3.7499999999999999E-3</v>
      </c>
      <c r="BW58">
        <v>1</v>
      </c>
      <c r="CV58">
        <v>0</v>
      </c>
      <c r="CW58">
        <f>ROUND(Y58*Source!I41*DO58,7)</f>
        <v>3.7500000000000001E-4</v>
      </c>
      <c r="CX58">
        <f>ROUND(Y58*Source!I41,7)</f>
        <v>3.7500000000000001E-4</v>
      </c>
      <c r="CY58">
        <f>AB58</f>
        <v>680.75</v>
      </c>
      <c r="CZ58">
        <f>AF58</f>
        <v>680.75</v>
      </c>
      <c r="DA58">
        <f>AJ58</f>
        <v>1</v>
      </c>
      <c r="DB58">
        <f>ROUND((ROUND(AT58*CZ58,2)*ROUND(1.25,7)),6)</f>
        <v>2.5499999999999998</v>
      </c>
      <c r="DC58">
        <f>ROUND((ROUND(AT58*AG58,2)*ROUND(1.25,7)),6)</f>
        <v>1.5125</v>
      </c>
      <c r="DD58" t="s">
        <v>3</v>
      </c>
      <c r="DE58" t="s">
        <v>3</v>
      </c>
      <c r="DF58">
        <f>ROUND(ROUND(AE58,2)*CX58,2)</f>
        <v>0</v>
      </c>
      <c r="DG58">
        <f t="shared" si="20"/>
        <v>0.26</v>
      </c>
      <c r="DH58">
        <f t="shared" si="17"/>
        <v>0.15</v>
      </c>
      <c r="DI58">
        <f t="shared" si="18"/>
        <v>0</v>
      </c>
      <c r="DJ58">
        <f>DG58+DH58</f>
        <v>0.41000000000000003</v>
      </c>
      <c r="DK58">
        <v>1</v>
      </c>
      <c r="DL58" t="s">
        <v>385</v>
      </c>
      <c r="DM58">
        <v>4</v>
      </c>
      <c r="DN58" t="s">
        <v>357</v>
      </c>
      <c r="DO58">
        <v>1</v>
      </c>
    </row>
    <row r="59" spans="1:119" x14ac:dyDescent="0.2">
      <c r="A59">
        <f>ROW(Source!A41)</f>
        <v>41</v>
      </c>
      <c r="B59">
        <v>55858619</v>
      </c>
      <c r="C59">
        <v>51353942</v>
      </c>
      <c r="D59">
        <v>50042849</v>
      </c>
      <c r="E59">
        <v>1</v>
      </c>
      <c r="F59">
        <v>1</v>
      </c>
      <c r="G59">
        <v>1</v>
      </c>
      <c r="H59">
        <v>3</v>
      </c>
      <c r="I59" t="s">
        <v>403</v>
      </c>
      <c r="J59" t="s">
        <v>404</v>
      </c>
      <c r="K59" t="s">
        <v>405</v>
      </c>
      <c r="L59">
        <v>1383</v>
      </c>
      <c r="N59">
        <v>1013</v>
      </c>
      <c r="O59" t="s">
        <v>406</v>
      </c>
      <c r="P59" t="s">
        <v>406</v>
      </c>
      <c r="Q59">
        <v>1</v>
      </c>
      <c r="W59">
        <v>0</v>
      </c>
      <c r="X59">
        <v>-2119218604</v>
      </c>
      <c r="Y59">
        <f>AT59</f>
        <v>0.84</v>
      </c>
      <c r="AA59">
        <v>7.71</v>
      </c>
      <c r="AB59">
        <v>0</v>
      </c>
      <c r="AC59">
        <v>0</v>
      </c>
      <c r="AD59">
        <v>0</v>
      </c>
      <c r="AE59">
        <v>7.71</v>
      </c>
      <c r="AF59">
        <v>0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M59">
        <v>-2</v>
      </c>
      <c r="AN59">
        <v>0</v>
      </c>
      <c r="AO59">
        <v>0</v>
      </c>
      <c r="AP59">
        <v>0</v>
      </c>
      <c r="AQ59">
        <v>1</v>
      </c>
      <c r="AR59">
        <v>0</v>
      </c>
      <c r="AS59" t="s">
        <v>3</v>
      </c>
      <c r="AT59">
        <v>0.84</v>
      </c>
      <c r="AU59" t="s">
        <v>3</v>
      </c>
      <c r="AV59">
        <v>0</v>
      </c>
      <c r="AW59">
        <v>2</v>
      </c>
      <c r="AX59">
        <v>51353947</v>
      </c>
      <c r="AY59">
        <v>2</v>
      </c>
      <c r="AZ59">
        <v>16384</v>
      </c>
      <c r="BA59">
        <v>60</v>
      </c>
      <c r="BB59">
        <v>1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6.4763999999999999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1</v>
      </c>
      <c r="BQ59">
        <v>6.4763999999999999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1</v>
      </c>
      <c r="CV59">
        <v>0</v>
      </c>
      <c r="CW59">
        <v>0</v>
      </c>
      <c r="CX59">
        <f>ROUND(Y59*Source!I41,7)</f>
        <v>8.4000000000000005E-2</v>
      </c>
      <c r="CY59">
        <f>AA59</f>
        <v>7.71</v>
      </c>
      <c r="CZ59">
        <f>AE59</f>
        <v>7.71</v>
      </c>
      <c r="DA59">
        <f>AI59</f>
        <v>1</v>
      </c>
      <c r="DB59">
        <f>ROUND(ROUND(AT59*CZ59,2),6)</f>
        <v>6.48</v>
      </c>
      <c r="DC59">
        <f>ROUND(ROUND(AT59*AG59,2),6)</f>
        <v>0</v>
      </c>
      <c r="DD59" t="s">
        <v>3</v>
      </c>
      <c r="DE59" t="s">
        <v>3</v>
      </c>
      <c r="DF59">
        <f>ROUND(ROUND(AE59,2)*CX59,2)</f>
        <v>0.65</v>
      </c>
      <c r="DG59">
        <f t="shared" si="20"/>
        <v>0</v>
      </c>
      <c r="DH59">
        <f t="shared" si="17"/>
        <v>0</v>
      </c>
      <c r="DI59">
        <f t="shared" si="18"/>
        <v>0</v>
      </c>
      <c r="DJ59">
        <f>DF59</f>
        <v>0.65</v>
      </c>
      <c r="DK59">
        <v>1</v>
      </c>
      <c r="DL59" t="s">
        <v>3</v>
      </c>
      <c r="DM59">
        <v>0</v>
      </c>
      <c r="DN59" t="s">
        <v>3</v>
      </c>
      <c r="DO59">
        <v>0</v>
      </c>
    </row>
    <row r="60" spans="1:119" x14ac:dyDescent="0.2">
      <c r="A60">
        <f>ROW(Source!A41)</f>
        <v>41</v>
      </c>
      <c r="B60">
        <v>55858619</v>
      </c>
      <c r="C60">
        <v>51353942</v>
      </c>
      <c r="D60">
        <v>50042861</v>
      </c>
      <c r="E60">
        <v>1</v>
      </c>
      <c r="F60">
        <v>1</v>
      </c>
      <c r="G60">
        <v>1</v>
      </c>
      <c r="H60">
        <v>3</v>
      </c>
      <c r="I60" t="s">
        <v>125</v>
      </c>
      <c r="J60" t="s">
        <v>128</v>
      </c>
      <c r="K60" t="s">
        <v>126</v>
      </c>
      <c r="L60">
        <v>1377</v>
      </c>
      <c r="N60">
        <v>1013</v>
      </c>
      <c r="O60" t="s">
        <v>127</v>
      </c>
      <c r="P60" t="s">
        <v>127</v>
      </c>
      <c r="Q60">
        <v>1</v>
      </c>
      <c r="W60">
        <v>0</v>
      </c>
      <c r="X60">
        <v>-2028331373</v>
      </c>
      <c r="Y60">
        <f>AT60</f>
        <v>10</v>
      </c>
      <c r="AA60">
        <v>738.73</v>
      </c>
      <c r="AB60">
        <v>0</v>
      </c>
      <c r="AC60">
        <v>0</v>
      </c>
      <c r="AD60">
        <v>0</v>
      </c>
      <c r="AE60">
        <v>636.84</v>
      </c>
      <c r="AF60">
        <v>0</v>
      </c>
      <c r="AG60">
        <v>0</v>
      </c>
      <c r="AH60">
        <v>0</v>
      </c>
      <c r="AI60">
        <v>1.1599999999999999</v>
      </c>
      <c r="AJ60">
        <v>1</v>
      </c>
      <c r="AK60">
        <v>1</v>
      </c>
      <c r="AL60">
        <v>1</v>
      </c>
      <c r="AM60">
        <v>2</v>
      </c>
      <c r="AN60">
        <v>0</v>
      </c>
      <c r="AO60">
        <v>0</v>
      </c>
      <c r="AP60">
        <v>1</v>
      </c>
      <c r="AQ60">
        <v>0</v>
      </c>
      <c r="AR60">
        <v>0</v>
      </c>
      <c r="AS60" t="s">
        <v>3</v>
      </c>
      <c r="AT60">
        <v>10</v>
      </c>
      <c r="AU60" t="s">
        <v>3</v>
      </c>
      <c r="AV60">
        <v>0</v>
      </c>
      <c r="AW60">
        <v>1</v>
      </c>
      <c r="AX60">
        <v>-1</v>
      </c>
      <c r="AY60">
        <v>0</v>
      </c>
      <c r="AZ60">
        <v>0</v>
      </c>
      <c r="BA60" t="s">
        <v>3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V60">
        <v>0</v>
      </c>
      <c r="CW60">
        <v>0</v>
      </c>
      <c r="CX60">
        <f>ROUND(Y60*Source!I41,7)</f>
        <v>1</v>
      </c>
      <c r="CY60">
        <f>AA60</f>
        <v>738.73</v>
      </c>
      <c r="CZ60">
        <f>AE60</f>
        <v>636.84</v>
      </c>
      <c r="DA60">
        <f>AI60</f>
        <v>1.1599999999999999</v>
      </c>
      <c r="DB60">
        <f>ROUND(ROUND(AT60*CZ60,2),6)</f>
        <v>6368.4</v>
      </c>
      <c r="DC60">
        <f>ROUND(ROUND(AT60*AG60,2),6)</f>
        <v>0</v>
      </c>
      <c r="DD60" t="s">
        <v>3</v>
      </c>
      <c r="DE60" t="s">
        <v>3</v>
      </c>
      <c r="DF60">
        <f>ROUND(ROUND(AE60*AI60,2)*CX60,2)</f>
        <v>738.73</v>
      </c>
      <c r="DG60">
        <f t="shared" si="20"/>
        <v>0</v>
      </c>
      <c r="DH60">
        <f t="shared" si="17"/>
        <v>0</v>
      </c>
      <c r="DI60">
        <f t="shared" si="18"/>
        <v>0</v>
      </c>
      <c r="DJ60">
        <f>DF60</f>
        <v>738.73</v>
      </c>
      <c r="DK60">
        <v>0</v>
      </c>
      <c r="DL60" t="s">
        <v>3</v>
      </c>
      <c r="DM60">
        <v>0</v>
      </c>
      <c r="DN60" t="s">
        <v>3</v>
      </c>
      <c r="DO60">
        <v>0</v>
      </c>
    </row>
    <row r="61" spans="1:119" x14ac:dyDescent="0.2">
      <c r="A61">
        <f>ROW(Source!A41)</f>
        <v>41</v>
      </c>
      <c r="B61">
        <v>55858619</v>
      </c>
      <c r="C61">
        <v>51353942</v>
      </c>
      <c r="D61">
        <v>50045462</v>
      </c>
      <c r="E61">
        <v>1</v>
      </c>
      <c r="F61">
        <v>1</v>
      </c>
      <c r="G61">
        <v>1</v>
      </c>
      <c r="H61">
        <v>3</v>
      </c>
      <c r="I61" t="s">
        <v>420</v>
      </c>
      <c r="J61" t="s">
        <v>421</v>
      </c>
      <c r="K61" t="s">
        <v>422</v>
      </c>
      <c r="L61">
        <v>1346</v>
      </c>
      <c r="N61">
        <v>1009</v>
      </c>
      <c r="O61" t="s">
        <v>82</v>
      </c>
      <c r="P61" t="s">
        <v>82</v>
      </c>
      <c r="Q61">
        <v>1</v>
      </c>
      <c r="W61">
        <v>0</v>
      </c>
      <c r="X61">
        <v>-130701290</v>
      </c>
      <c r="Y61">
        <f>AT61</f>
        <v>1</v>
      </c>
      <c r="AA61">
        <v>89.21</v>
      </c>
      <c r="AB61">
        <v>0</v>
      </c>
      <c r="AC61">
        <v>0</v>
      </c>
      <c r="AD61">
        <v>0</v>
      </c>
      <c r="AE61">
        <v>56.11</v>
      </c>
      <c r="AF61">
        <v>0</v>
      </c>
      <c r="AG61">
        <v>0</v>
      </c>
      <c r="AH61">
        <v>0</v>
      </c>
      <c r="AI61">
        <v>1.59</v>
      </c>
      <c r="AJ61">
        <v>1</v>
      </c>
      <c r="AK61">
        <v>1</v>
      </c>
      <c r="AL61">
        <v>1</v>
      </c>
      <c r="AM61">
        <v>2</v>
      </c>
      <c r="AN61">
        <v>0</v>
      </c>
      <c r="AO61">
        <v>0</v>
      </c>
      <c r="AP61">
        <v>0</v>
      </c>
      <c r="AQ61">
        <v>1</v>
      </c>
      <c r="AR61">
        <v>0</v>
      </c>
      <c r="AS61" t="s">
        <v>3</v>
      </c>
      <c r="AT61">
        <v>1</v>
      </c>
      <c r="AU61" t="s">
        <v>3</v>
      </c>
      <c r="AV61">
        <v>0</v>
      </c>
      <c r="AW61">
        <v>2</v>
      </c>
      <c r="AX61">
        <v>51353949</v>
      </c>
      <c r="AY61">
        <v>1</v>
      </c>
      <c r="AZ61">
        <v>0</v>
      </c>
      <c r="BA61">
        <v>62</v>
      </c>
      <c r="BB61">
        <v>1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56.11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1</v>
      </c>
      <c r="BQ61">
        <v>56.11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1</v>
      </c>
      <c r="CV61">
        <v>0</v>
      </c>
      <c r="CW61">
        <v>0</v>
      </c>
      <c r="CX61">
        <f>ROUND(Y61*Source!I41,7)</f>
        <v>0.1</v>
      </c>
      <c r="CY61">
        <f>AA61</f>
        <v>89.21</v>
      </c>
      <c r="CZ61">
        <f>AE61</f>
        <v>56.11</v>
      </c>
      <c r="DA61">
        <f>AI61</f>
        <v>1.59</v>
      </c>
      <c r="DB61">
        <f>ROUND(ROUND(AT61*CZ61,2),6)</f>
        <v>56.11</v>
      </c>
      <c r="DC61">
        <f>ROUND(ROUND(AT61*AG61,2),6)</f>
        <v>0</v>
      </c>
      <c r="DD61" t="s">
        <v>3</v>
      </c>
      <c r="DE61" t="s">
        <v>3</v>
      </c>
      <c r="DF61">
        <f>ROUND(ROUND(AE61*AI61,2)*CX61,2)</f>
        <v>8.92</v>
      </c>
      <c r="DG61">
        <f t="shared" si="20"/>
        <v>0</v>
      </c>
      <c r="DH61">
        <f t="shared" si="17"/>
        <v>0</v>
      </c>
      <c r="DI61">
        <f t="shared" si="18"/>
        <v>0</v>
      </c>
      <c r="DJ61">
        <f>DF61</f>
        <v>8.92</v>
      </c>
      <c r="DK61">
        <v>0</v>
      </c>
      <c r="DL61" t="s">
        <v>3</v>
      </c>
      <c r="DM61">
        <v>0</v>
      </c>
      <c r="DN61" t="s">
        <v>3</v>
      </c>
      <c r="DO61">
        <v>0</v>
      </c>
    </row>
    <row r="62" spans="1:119" x14ac:dyDescent="0.2">
      <c r="A62">
        <f>ROW(Source!A43)</f>
        <v>43</v>
      </c>
      <c r="B62">
        <v>55858619</v>
      </c>
      <c r="C62">
        <v>51353954</v>
      </c>
      <c r="D62">
        <v>49971149</v>
      </c>
      <c r="E62">
        <v>114</v>
      </c>
      <c r="F62">
        <v>1</v>
      </c>
      <c r="G62">
        <v>1</v>
      </c>
      <c r="H62">
        <v>1</v>
      </c>
      <c r="I62" t="s">
        <v>423</v>
      </c>
      <c r="J62" t="s">
        <v>3</v>
      </c>
      <c r="K62" t="s">
        <v>424</v>
      </c>
      <c r="L62">
        <v>1191</v>
      </c>
      <c r="N62">
        <v>1013</v>
      </c>
      <c r="O62" t="s">
        <v>357</v>
      </c>
      <c r="P62" t="s">
        <v>357</v>
      </c>
      <c r="Q62">
        <v>1</v>
      </c>
      <c r="W62">
        <v>0</v>
      </c>
      <c r="X62">
        <v>1522950421</v>
      </c>
      <c r="Y62">
        <f>(AT62*ROUND(0.7,7))</f>
        <v>0.77700000000000002</v>
      </c>
      <c r="AA62">
        <v>0</v>
      </c>
      <c r="AB62">
        <v>0</v>
      </c>
      <c r="AC62">
        <v>0</v>
      </c>
      <c r="AD62">
        <v>417.08</v>
      </c>
      <c r="AE62">
        <v>0</v>
      </c>
      <c r="AF62">
        <v>0</v>
      </c>
      <c r="AG62">
        <v>0</v>
      </c>
      <c r="AH62">
        <v>417.08</v>
      </c>
      <c r="AI62">
        <v>1</v>
      </c>
      <c r="AJ62">
        <v>1</v>
      </c>
      <c r="AK62">
        <v>1</v>
      </c>
      <c r="AL62">
        <v>1</v>
      </c>
      <c r="AM62">
        <v>-2</v>
      </c>
      <c r="AN62">
        <v>0</v>
      </c>
      <c r="AO62">
        <v>0</v>
      </c>
      <c r="AP62">
        <v>1</v>
      </c>
      <c r="AQ62">
        <v>1</v>
      </c>
      <c r="AR62">
        <v>0</v>
      </c>
      <c r="AS62" t="s">
        <v>3</v>
      </c>
      <c r="AT62">
        <v>1.1100000000000001</v>
      </c>
      <c r="AU62" t="s">
        <v>101</v>
      </c>
      <c r="AV62">
        <v>1</v>
      </c>
      <c r="AW62">
        <v>2</v>
      </c>
      <c r="AX62">
        <v>51353955</v>
      </c>
      <c r="AY62">
        <v>2</v>
      </c>
      <c r="AZ62">
        <v>131072</v>
      </c>
      <c r="BA62">
        <v>63</v>
      </c>
      <c r="BB62">
        <v>1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462.9588</v>
      </c>
      <c r="BN62">
        <v>1.1100000000000001</v>
      </c>
      <c r="BO62">
        <v>0</v>
      </c>
      <c r="BP62">
        <v>1</v>
      </c>
      <c r="BQ62">
        <v>0</v>
      </c>
      <c r="BR62">
        <v>0</v>
      </c>
      <c r="BS62">
        <v>0</v>
      </c>
      <c r="BT62">
        <v>324.07116000000002</v>
      </c>
      <c r="BU62">
        <v>0.77700000000000002</v>
      </c>
      <c r="BV62">
        <v>0</v>
      </c>
      <c r="BW62">
        <v>1</v>
      </c>
      <c r="CU62">
        <f>ROUND(AT62*Source!I43*AH62*AL62,2)</f>
        <v>462.96</v>
      </c>
      <c r="CV62">
        <f>ROUND(Y62*Source!I43,7)</f>
        <v>0.77700000000000002</v>
      </c>
      <c r="CW62">
        <v>0</v>
      </c>
      <c r="CX62">
        <f>ROUND(Y62*Source!I43,7)</f>
        <v>0.77700000000000002</v>
      </c>
      <c r="CY62">
        <f>AD62</f>
        <v>417.08</v>
      </c>
      <c r="CZ62">
        <f>AH62</f>
        <v>417.08</v>
      </c>
      <c r="DA62">
        <f>AL62</f>
        <v>1</v>
      </c>
      <c r="DB62">
        <f>ROUND((ROUND(AT62*CZ62,2)*ROUND(0.7,7)),6)</f>
        <v>324.072</v>
      </c>
      <c r="DC62">
        <f>ROUND((ROUND(AT62*AG62,2)*ROUND(0.7,7)),6)</f>
        <v>0</v>
      </c>
      <c r="DD62" t="s">
        <v>3</v>
      </c>
      <c r="DE62" t="s">
        <v>3</v>
      </c>
      <c r="DF62">
        <f>ROUND(ROUND(AE62,2)*CX62,2)</f>
        <v>0</v>
      </c>
      <c r="DG62">
        <f t="shared" si="20"/>
        <v>0</v>
      </c>
      <c r="DH62">
        <f t="shared" si="17"/>
        <v>0</v>
      </c>
      <c r="DI62">
        <f t="shared" si="18"/>
        <v>324.07</v>
      </c>
      <c r="DJ62">
        <f>DI62</f>
        <v>324.07</v>
      </c>
      <c r="DK62">
        <v>1</v>
      </c>
      <c r="DL62" t="s">
        <v>3</v>
      </c>
      <c r="DM62">
        <v>0</v>
      </c>
      <c r="DN62" t="s">
        <v>3</v>
      </c>
      <c r="DO62">
        <v>0</v>
      </c>
    </row>
    <row r="63" spans="1:119" x14ac:dyDescent="0.2">
      <c r="A63">
        <f>ROW(Source!A43)</f>
        <v>43</v>
      </c>
      <c r="B63">
        <v>55858619</v>
      </c>
      <c r="C63">
        <v>51353954</v>
      </c>
      <c r="D63">
        <v>50096845</v>
      </c>
      <c r="E63">
        <v>1</v>
      </c>
      <c r="F63">
        <v>1</v>
      </c>
      <c r="G63">
        <v>1</v>
      </c>
      <c r="H63">
        <v>2</v>
      </c>
      <c r="I63" t="s">
        <v>409</v>
      </c>
      <c r="J63" t="s">
        <v>410</v>
      </c>
      <c r="K63" t="s">
        <v>411</v>
      </c>
      <c r="L63">
        <v>1368</v>
      </c>
      <c r="N63">
        <v>1011</v>
      </c>
      <c r="O63" t="s">
        <v>363</v>
      </c>
      <c r="P63" t="s">
        <v>363</v>
      </c>
      <c r="Q63">
        <v>1</v>
      </c>
      <c r="W63">
        <v>0</v>
      </c>
      <c r="X63">
        <v>-334821386</v>
      </c>
      <c r="Y63">
        <f>(AT63*ROUND(0.7,7))</f>
        <v>0.182</v>
      </c>
      <c r="AA63">
        <v>0</v>
      </c>
      <c r="AB63">
        <v>36.46</v>
      </c>
      <c r="AC63">
        <v>0</v>
      </c>
      <c r="AD63">
        <v>0</v>
      </c>
      <c r="AE63">
        <v>0</v>
      </c>
      <c r="AF63">
        <v>36.46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M63">
        <v>-2</v>
      </c>
      <c r="AN63">
        <v>0</v>
      </c>
      <c r="AO63">
        <v>0</v>
      </c>
      <c r="AP63">
        <v>1</v>
      </c>
      <c r="AQ63">
        <v>1</v>
      </c>
      <c r="AR63">
        <v>0</v>
      </c>
      <c r="AS63" t="s">
        <v>3</v>
      </c>
      <c r="AT63">
        <v>0.26</v>
      </c>
      <c r="AU63" t="s">
        <v>101</v>
      </c>
      <c r="AV63">
        <v>1</v>
      </c>
      <c r="AW63">
        <v>2</v>
      </c>
      <c r="AX63">
        <v>51353956</v>
      </c>
      <c r="AY63">
        <v>2</v>
      </c>
      <c r="AZ63">
        <v>32768</v>
      </c>
      <c r="BA63">
        <v>64</v>
      </c>
      <c r="BB63">
        <v>1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9.4796000000000014</v>
      </c>
      <c r="BL63">
        <v>0</v>
      </c>
      <c r="BM63">
        <v>0</v>
      </c>
      <c r="BN63">
        <v>0</v>
      </c>
      <c r="BO63">
        <v>0</v>
      </c>
      <c r="BP63">
        <v>1</v>
      </c>
      <c r="BQ63">
        <v>0</v>
      </c>
      <c r="BR63">
        <v>6.6357200000000001</v>
      </c>
      <c r="BS63">
        <v>0</v>
      </c>
      <c r="BT63">
        <v>0</v>
      </c>
      <c r="BU63">
        <v>0</v>
      </c>
      <c r="BV63">
        <v>0</v>
      </c>
      <c r="BW63">
        <v>1</v>
      </c>
      <c r="CV63">
        <v>0</v>
      </c>
      <c r="CW63">
        <f>ROUND(Y63*Source!I43*DO63,7)</f>
        <v>0</v>
      </c>
      <c r="CX63">
        <f>ROUND(Y63*Source!I43,7)</f>
        <v>0.182</v>
      </c>
      <c r="CY63">
        <f>AB63</f>
        <v>36.46</v>
      </c>
      <c r="CZ63">
        <f>AF63</f>
        <v>36.46</v>
      </c>
      <c r="DA63">
        <f>AJ63</f>
        <v>1</v>
      </c>
      <c r="DB63">
        <f>ROUND((ROUND(AT63*CZ63,2)*ROUND(0.7,7)),6)</f>
        <v>6.6360000000000001</v>
      </c>
      <c r="DC63">
        <f>ROUND((ROUND(AT63*AG63,2)*ROUND(0.7,7)),6)</f>
        <v>0</v>
      </c>
      <c r="DD63" t="s">
        <v>3</v>
      </c>
      <c r="DE63" t="s">
        <v>3</v>
      </c>
      <c r="DF63">
        <f>ROUND(ROUND(AE63,2)*CX63,2)</f>
        <v>0</v>
      </c>
      <c r="DG63">
        <f t="shared" si="20"/>
        <v>6.64</v>
      </c>
      <c r="DH63">
        <f t="shared" si="17"/>
        <v>0</v>
      </c>
      <c r="DI63">
        <f t="shared" si="18"/>
        <v>0</v>
      </c>
      <c r="DJ63">
        <f>DG63+DH63</f>
        <v>6.64</v>
      </c>
      <c r="DK63">
        <v>1</v>
      </c>
      <c r="DL63" t="s">
        <v>3</v>
      </c>
      <c r="DM63">
        <v>0</v>
      </c>
      <c r="DN63" t="s">
        <v>3</v>
      </c>
      <c r="DO63">
        <v>0</v>
      </c>
    </row>
    <row r="64" spans="1:119" x14ac:dyDescent="0.2">
      <c r="A64">
        <f>ROW(Source!A43)</f>
        <v>43</v>
      </c>
      <c r="B64">
        <v>55858619</v>
      </c>
      <c r="C64">
        <v>51353954</v>
      </c>
      <c r="D64">
        <v>50042849</v>
      </c>
      <c r="E64">
        <v>1</v>
      </c>
      <c r="F64">
        <v>1</v>
      </c>
      <c r="G64">
        <v>1</v>
      </c>
      <c r="H64">
        <v>3</v>
      </c>
      <c r="I64" t="s">
        <v>403</v>
      </c>
      <c r="J64" t="s">
        <v>404</v>
      </c>
      <c r="K64" t="s">
        <v>405</v>
      </c>
      <c r="L64">
        <v>1383</v>
      </c>
      <c r="N64">
        <v>1013</v>
      </c>
      <c r="O64" t="s">
        <v>406</v>
      </c>
      <c r="P64" t="s">
        <v>406</v>
      </c>
      <c r="Q64">
        <v>1</v>
      </c>
      <c r="W64">
        <v>0</v>
      </c>
      <c r="X64">
        <v>-2119218604</v>
      </c>
      <c r="Y64">
        <f>(AT64*ROUND(0,7))</f>
        <v>0</v>
      </c>
      <c r="AA64">
        <v>7.71</v>
      </c>
      <c r="AB64">
        <v>0</v>
      </c>
      <c r="AC64">
        <v>0</v>
      </c>
      <c r="AD64">
        <v>0</v>
      </c>
      <c r="AE64">
        <v>7.71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M64">
        <v>-2</v>
      </c>
      <c r="AN64">
        <v>0</v>
      </c>
      <c r="AO64">
        <v>0</v>
      </c>
      <c r="AP64">
        <v>1</v>
      </c>
      <c r="AQ64">
        <v>1</v>
      </c>
      <c r="AR64">
        <v>0</v>
      </c>
      <c r="AS64" t="s">
        <v>3</v>
      </c>
      <c r="AT64">
        <v>0.2132</v>
      </c>
      <c r="AU64" t="s">
        <v>100</v>
      </c>
      <c r="AV64">
        <v>0</v>
      </c>
      <c r="AW64">
        <v>2</v>
      </c>
      <c r="AX64">
        <v>51353957</v>
      </c>
      <c r="AY64">
        <v>2</v>
      </c>
      <c r="AZ64">
        <v>16384</v>
      </c>
      <c r="BA64">
        <v>65</v>
      </c>
      <c r="BB64">
        <v>1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1.643772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1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V64">
        <v>0</v>
      </c>
      <c r="CW64">
        <v>0</v>
      </c>
      <c r="CX64">
        <f>ROUND(Y64*Source!I43,7)</f>
        <v>0</v>
      </c>
      <c r="CY64">
        <f>AA64</f>
        <v>7.71</v>
      </c>
      <c r="CZ64">
        <f>AE64</f>
        <v>7.71</v>
      </c>
      <c r="DA64">
        <f>AI64</f>
        <v>1</v>
      </c>
      <c r="DB64">
        <f>ROUND((ROUND(AT64*CZ64,2)*ROUND(0,7)),6)</f>
        <v>0</v>
      </c>
      <c r="DC64">
        <f>ROUND((ROUND(AT64*AG64,2)*ROUND(0,7)),6)</f>
        <v>0</v>
      </c>
      <c r="DD64" t="s">
        <v>3</v>
      </c>
      <c r="DE64" t="s">
        <v>3</v>
      </c>
      <c r="DF64">
        <f>ROUND(ROUND(AE64,2)*CX64,2)</f>
        <v>0</v>
      </c>
      <c r="DG64">
        <f t="shared" si="20"/>
        <v>0</v>
      </c>
      <c r="DH64">
        <f t="shared" si="17"/>
        <v>0</v>
      </c>
      <c r="DI64">
        <f t="shared" si="18"/>
        <v>0</v>
      </c>
      <c r="DJ64">
        <f>DF64</f>
        <v>0</v>
      </c>
      <c r="DK64">
        <v>1</v>
      </c>
      <c r="DL64" t="s">
        <v>3</v>
      </c>
      <c r="DM64">
        <v>0</v>
      </c>
      <c r="DN64" t="s">
        <v>3</v>
      </c>
      <c r="DO64">
        <v>0</v>
      </c>
    </row>
    <row r="65" spans="1:119" x14ac:dyDescent="0.2">
      <c r="A65">
        <f>ROW(Source!A43)</f>
        <v>43</v>
      </c>
      <c r="B65">
        <v>55858619</v>
      </c>
      <c r="C65">
        <v>51353954</v>
      </c>
      <c r="D65">
        <v>50043601</v>
      </c>
      <c r="E65">
        <v>1</v>
      </c>
      <c r="F65">
        <v>1</v>
      </c>
      <c r="G65">
        <v>1</v>
      </c>
      <c r="H65">
        <v>3</v>
      </c>
      <c r="I65" t="s">
        <v>425</v>
      </c>
      <c r="J65" t="s">
        <v>426</v>
      </c>
      <c r="K65" t="s">
        <v>427</v>
      </c>
      <c r="L65">
        <v>1346</v>
      </c>
      <c r="N65">
        <v>1009</v>
      </c>
      <c r="O65" t="s">
        <v>82</v>
      </c>
      <c r="P65" t="s">
        <v>82</v>
      </c>
      <c r="Q65">
        <v>1</v>
      </c>
      <c r="W65">
        <v>0</v>
      </c>
      <c r="X65">
        <v>212334824</v>
      </c>
      <c r="Y65">
        <f>(AT65*ROUND(0,7))</f>
        <v>0</v>
      </c>
      <c r="AA65">
        <v>141.62</v>
      </c>
      <c r="AB65">
        <v>0</v>
      </c>
      <c r="AC65">
        <v>0</v>
      </c>
      <c r="AD65">
        <v>0</v>
      </c>
      <c r="AE65">
        <v>155.63</v>
      </c>
      <c r="AF65">
        <v>0</v>
      </c>
      <c r="AG65">
        <v>0</v>
      </c>
      <c r="AH65">
        <v>0</v>
      </c>
      <c r="AI65">
        <v>0.91</v>
      </c>
      <c r="AJ65">
        <v>1</v>
      </c>
      <c r="AK65">
        <v>1</v>
      </c>
      <c r="AL65">
        <v>1</v>
      </c>
      <c r="AM65">
        <v>2</v>
      </c>
      <c r="AN65">
        <v>0</v>
      </c>
      <c r="AO65">
        <v>0</v>
      </c>
      <c r="AP65">
        <v>1</v>
      </c>
      <c r="AQ65">
        <v>1</v>
      </c>
      <c r="AR65">
        <v>0</v>
      </c>
      <c r="AS65" t="s">
        <v>3</v>
      </c>
      <c r="AT65">
        <v>7.0000000000000007E-2</v>
      </c>
      <c r="AU65" t="s">
        <v>100</v>
      </c>
      <c r="AV65">
        <v>0</v>
      </c>
      <c r="AW65">
        <v>2</v>
      </c>
      <c r="AX65">
        <v>51353959</v>
      </c>
      <c r="AY65">
        <v>1</v>
      </c>
      <c r="AZ65">
        <v>0</v>
      </c>
      <c r="BA65">
        <v>67</v>
      </c>
      <c r="BB65">
        <v>1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10.8941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1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V65">
        <v>0</v>
      </c>
      <c r="CW65">
        <v>0</v>
      </c>
      <c r="CX65">
        <f>ROUND(Y65*Source!I43,7)</f>
        <v>0</v>
      </c>
      <c r="CY65">
        <f>AA65</f>
        <v>141.62</v>
      </c>
      <c r="CZ65">
        <f>AE65</f>
        <v>155.63</v>
      </c>
      <c r="DA65">
        <f>AI65</f>
        <v>0.91</v>
      </c>
      <c r="DB65">
        <f>ROUND((ROUND(AT65*CZ65,2)*ROUND(0,7)),6)</f>
        <v>0</v>
      </c>
      <c r="DC65">
        <f>ROUND((ROUND(AT65*AG65,2)*ROUND(0,7)),6)</f>
        <v>0</v>
      </c>
      <c r="DD65" t="s">
        <v>3</v>
      </c>
      <c r="DE65" t="s">
        <v>3</v>
      </c>
      <c r="DF65">
        <f>ROUND(ROUND(AE65*AI65,2)*CX65,2)</f>
        <v>0</v>
      </c>
      <c r="DG65">
        <f t="shared" si="20"/>
        <v>0</v>
      </c>
      <c r="DH65">
        <f t="shared" ref="DH65:DH97" si="21">ROUND(ROUND(AG65,2)*CX65,2)</f>
        <v>0</v>
      </c>
      <c r="DI65">
        <f t="shared" ref="DI65:DI97" si="22">ROUND(ROUND(AH65,2)*CX65,2)</f>
        <v>0</v>
      </c>
      <c r="DJ65">
        <f>DF65</f>
        <v>0</v>
      </c>
      <c r="DK65">
        <v>0</v>
      </c>
      <c r="DL65" t="s">
        <v>3</v>
      </c>
      <c r="DM65">
        <v>0</v>
      </c>
      <c r="DN65" t="s">
        <v>3</v>
      </c>
      <c r="DO65">
        <v>0</v>
      </c>
    </row>
    <row r="66" spans="1:119" x14ac:dyDescent="0.2">
      <c r="A66">
        <f>ROW(Source!A43)</f>
        <v>43</v>
      </c>
      <c r="B66">
        <v>55858619</v>
      </c>
      <c r="C66">
        <v>51353954</v>
      </c>
      <c r="D66">
        <v>50044705</v>
      </c>
      <c r="E66">
        <v>1</v>
      </c>
      <c r="F66">
        <v>1</v>
      </c>
      <c r="G66">
        <v>1</v>
      </c>
      <c r="H66">
        <v>3</v>
      </c>
      <c r="I66" t="s">
        <v>428</v>
      </c>
      <c r="J66" t="s">
        <v>429</v>
      </c>
      <c r="K66" t="s">
        <v>430</v>
      </c>
      <c r="L66">
        <v>1425</v>
      </c>
      <c r="N66">
        <v>1013</v>
      </c>
      <c r="O66" t="s">
        <v>160</v>
      </c>
      <c r="P66" t="s">
        <v>160</v>
      </c>
      <c r="Q66">
        <v>1</v>
      </c>
      <c r="W66">
        <v>0</v>
      </c>
      <c r="X66">
        <v>627093046</v>
      </c>
      <c r="Y66">
        <f>(AT66*ROUND(0,7))</f>
        <v>0</v>
      </c>
      <c r="AA66">
        <v>143.94</v>
      </c>
      <c r="AB66">
        <v>0</v>
      </c>
      <c r="AC66">
        <v>0</v>
      </c>
      <c r="AD66">
        <v>0</v>
      </c>
      <c r="AE66">
        <v>120.96</v>
      </c>
      <c r="AF66">
        <v>0</v>
      </c>
      <c r="AG66">
        <v>0</v>
      </c>
      <c r="AH66">
        <v>0</v>
      </c>
      <c r="AI66">
        <v>1.19</v>
      </c>
      <c r="AJ66">
        <v>1</v>
      </c>
      <c r="AK66">
        <v>1</v>
      </c>
      <c r="AL66">
        <v>1</v>
      </c>
      <c r="AM66">
        <v>2</v>
      </c>
      <c r="AN66">
        <v>0</v>
      </c>
      <c r="AO66">
        <v>0</v>
      </c>
      <c r="AP66">
        <v>1</v>
      </c>
      <c r="AQ66">
        <v>1</v>
      </c>
      <c r="AR66">
        <v>0</v>
      </c>
      <c r="AS66" t="s">
        <v>3</v>
      </c>
      <c r="AT66">
        <v>0.08</v>
      </c>
      <c r="AU66" t="s">
        <v>100</v>
      </c>
      <c r="AV66">
        <v>0</v>
      </c>
      <c r="AW66">
        <v>2</v>
      </c>
      <c r="AX66">
        <v>51353960</v>
      </c>
      <c r="AY66">
        <v>1</v>
      </c>
      <c r="AZ66">
        <v>0</v>
      </c>
      <c r="BA66">
        <v>68</v>
      </c>
      <c r="BB66">
        <v>1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9.6768000000000001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1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V66">
        <v>0</v>
      </c>
      <c r="CW66">
        <v>0</v>
      </c>
      <c r="CX66">
        <f>ROUND(Y66*Source!I43,7)</f>
        <v>0</v>
      </c>
      <c r="CY66">
        <f>AA66</f>
        <v>143.94</v>
      </c>
      <c r="CZ66">
        <f>AE66</f>
        <v>120.96</v>
      </c>
      <c r="DA66">
        <f>AI66</f>
        <v>1.19</v>
      </c>
      <c r="DB66">
        <f>ROUND((ROUND(AT66*CZ66,2)*ROUND(0,7)),6)</f>
        <v>0</v>
      </c>
      <c r="DC66">
        <f>ROUND((ROUND(AT66*AG66,2)*ROUND(0,7)),6)</f>
        <v>0</v>
      </c>
      <c r="DD66" t="s">
        <v>3</v>
      </c>
      <c r="DE66" t="s">
        <v>3</v>
      </c>
      <c r="DF66">
        <f>ROUND(ROUND(AE66*AI66,2)*CX66,2)</f>
        <v>0</v>
      </c>
      <c r="DG66">
        <f t="shared" si="20"/>
        <v>0</v>
      </c>
      <c r="DH66">
        <f t="shared" si="21"/>
        <v>0</v>
      </c>
      <c r="DI66">
        <f t="shared" si="22"/>
        <v>0</v>
      </c>
      <c r="DJ66">
        <f>DF66</f>
        <v>0</v>
      </c>
      <c r="DK66">
        <v>0</v>
      </c>
      <c r="DL66" t="s">
        <v>3</v>
      </c>
      <c r="DM66">
        <v>0</v>
      </c>
      <c r="DN66" t="s">
        <v>3</v>
      </c>
      <c r="DO66">
        <v>0</v>
      </c>
    </row>
    <row r="67" spans="1:119" x14ac:dyDescent="0.2">
      <c r="A67">
        <f>ROW(Source!A44)</f>
        <v>44</v>
      </c>
      <c r="B67">
        <v>55858619</v>
      </c>
      <c r="C67">
        <v>51353963</v>
      </c>
      <c r="D67">
        <v>49971149</v>
      </c>
      <c r="E67">
        <v>114</v>
      </c>
      <c r="F67">
        <v>1</v>
      </c>
      <c r="G67">
        <v>1</v>
      </c>
      <c r="H67">
        <v>1</v>
      </c>
      <c r="I67" t="s">
        <v>423</v>
      </c>
      <c r="J67" t="s">
        <v>3</v>
      </c>
      <c r="K67" t="s">
        <v>424</v>
      </c>
      <c r="L67">
        <v>1191</v>
      </c>
      <c r="N67">
        <v>1013</v>
      </c>
      <c r="O67" t="s">
        <v>357</v>
      </c>
      <c r="P67" t="s">
        <v>357</v>
      </c>
      <c r="Q67">
        <v>1</v>
      </c>
      <c r="W67">
        <v>0</v>
      </c>
      <c r="X67">
        <v>1522950421</v>
      </c>
      <c r="Y67">
        <f>(AT67*ROUND(1.15,7))</f>
        <v>1.2765</v>
      </c>
      <c r="AA67">
        <v>0</v>
      </c>
      <c r="AB67">
        <v>0</v>
      </c>
      <c r="AC67">
        <v>0</v>
      </c>
      <c r="AD67">
        <v>417.08</v>
      </c>
      <c r="AE67">
        <v>0</v>
      </c>
      <c r="AF67">
        <v>0</v>
      </c>
      <c r="AG67">
        <v>0</v>
      </c>
      <c r="AH67">
        <v>417.08</v>
      </c>
      <c r="AI67">
        <v>1</v>
      </c>
      <c r="AJ67">
        <v>1</v>
      </c>
      <c r="AK67">
        <v>1</v>
      </c>
      <c r="AL67">
        <v>1</v>
      </c>
      <c r="AM67">
        <v>-2</v>
      </c>
      <c r="AN67">
        <v>0</v>
      </c>
      <c r="AO67">
        <v>0</v>
      </c>
      <c r="AP67">
        <v>1</v>
      </c>
      <c r="AQ67">
        <v>1</v>
      </c>
      <c r="AR67">
        <v>0</v>
      </c>
      <c r="AS67" t="s">
        <v>3</v>
      </c>
      <c r="AT67">
        <v>1.1100000000000001</v>
      </c>
      <c r="AU67" t="s">
        <v>47</v>
      </c>
      <c r="AV67">
        <v>1</v>
      </c>
      <c r="AW67">
        <v>2</v>
      </c>
      <c r="AX67">
        <v>51353964</v>
      </c>
      <c r="AY67">
        <v>2</v>
      </c>
      <c r="AZ67">
        <v>131072</v>
      </c>
      <c r="BA67">
        <v>69</v>
      </c>
      <c r="BB67">
        <v>1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462.9588</v>
      </c>
      <c r="BN67">
        <v>1.1100000000000001</v>
      </c>
      <c r="BO67">
        <v>0</v>
      </c>
      <c r="BP67">
        <v>1</v>
      </c>
      <c r="BQ67">
        <v>0</v>
      </c>
      <c r="BR67">
        <v>0</v>
      </c>
      <c r="BS67">
        <v>0</v>
      </c>
      <c r="BT67">
        <v>532.40261999999996</v>
      </c>
      <c r="BU67">
        <v>1.2765</v>
      </c>
      <c r="BV67">
        <v>0</v>
      </c>
      <c r="BW67">
        <v>1</v>
      </c>
      <c r="CU67">
        <f>ROUND(AT67*Source!I44*AH67*AL67,2)</f>
        <v>462.96</v>
      </c>
      <c r="CV67">
        <f>ROUND(Y67*Source!I44,7)</f>
        <v>1.2765</v>
      </c>
      <c r="CW67">
        <v>0</v>
      </c>
      <c r="CX67">
        <f>ROUND(Y67*Source!I44,7)</f>
        <v>1.2765</v>
      </c>
      <c r="CY67">
        <f>AD67</f>
        <v>417.08</v>
      </c>
      <c r="CZ67">
        <f>AH67</f>
        <v>417.08</v>
      </c>
      <c r="DA67">
        <f>AL67</f>
        <v>1</v>
      </c>
      <c r="DB67">
        <f>ROUND((ROUND(AT67*CZ67,2)*ROUND(1.15,7)),6)</f>
        <v>532.404</v>
      </c>
      <c r="DC67">
        <f>ROUND((ROUND(AT67*AG67,2)*ROUND(1.15,7)),6)</f>
        <v>0</v>
      </c>
      <c r="DD67" t="s">
        <v>3</v>
      </c>
      <c r="DE67" t="s">
        <v>3</v>
      </c>
      <c r="DF67">
        <f>ROUND(ROUND(AE67,2)*CX67,2)</f>
        <v>0</v>
      </c>
      <c r="DG67">
        <f t="shared" si="20"/>
        <v>0</v>
      </c>
      <c r="DH67">
        <f t="shared" si="21"/>
        <v>0</v>
      </c>
      <c r="DI67">
        <f t="shared" si="22"/>
        <v>532.4</v>
      </c>
      <c r="DJ67">
        <f>DI67</f>
        <v>532.4</v>
      </c>
      <c r="DK67">
        <v>1</v>
      </c>
      <c r="DL67" t="s">
        <v>3</v>
      </c>
      <c r="DM67">
        <v>0</v>
      </c>
      <c r="DN67" t="s">
        <v>3</v>
      </c>
      <c r="DO67">
        <v>0</v>
      </c>
    </row>
    <row r="68" spans="1:119" x14ac:dyDescent="0.2">
      <c r="A68">
        <f>ROW(Source!A44)</f>
        <v>44</v>
      </c>
      <c r="B68">
        <v>55858619</v>
      </c>
      <c r="C68">
        <v>51353963</v>
      </c>
      <c r="D68">
        <v>50096845</v>
      </c>
      <c r="E68">
        <v>1</v>
      </c>
      <c r="F68">
        <v>1</v>
      </c>
      <c r="G68">
        <v>1</v>
      </c>
      <c r="H68">
        <v>2</v>
      </c>
      <c r="I68" t="s">
        <v>409</v>
      </c>
      <c r="J68" t="s">
        <v>410</v>
      </c>
      <c r="K68" t="s">
        <v>411</v>
      </c>
      <c r="L68">
        <v>1368</v>
      </c>
      <c r="N68">
        <v>1011</v>
      </c>
      <c r="O68" t="s">
        <v>363</v>
      </c>
      <c r="P68" t="s">
        <v>363</v>
      </c>
      <c r="Q68">
        <v>1</v>
      </c>
      <c r="W68">
        <v>0</v>
      </c>
      <c r="X68">
        <v>-334821386</v>
      </c>
      <c r="Y68">
        <f>(AT68*ROUND(1.25,7))</f>
        <v>0.32500000000000001</v>
      </c>
      <c r="AA68">
        <v>0</v>
      </c>
      <c r="AB68">
        <v>36.46</v>
      </c>
      <c r="AC68">
        <v>0</v>
      </c>
      <c r="AD68">
        <v>0</v>
      </c>
      <c r="AE68">
        <v>0</v>
      </c>
      <c r="AF68">
        <v>36.46</v>
      </c>
      <c r="AG68">
        <v>0</v>
      </c>
      <c r="AH68">
        <v>0</v>
      </c>
      <c r="AI68">
        <v>1</v>
      </c>
      <c r="AJ68">
        <v>1</v>
      </c>
      <c r="AK68">
        <v>1</v>
      </c>
      <c r="AL68">
        <v>1</v>
      </c>
      <c r="AM68">
        <v>-2</v>
      </c>
      <c r="AN68">
        <v>0</v>
      </c>
      <c r="AO68">
        <v>0</v>
      </c>
      <c r="AP68">
        <v>1</v>
      </c>
      <c r="AQ68">
        <v>1</v>
      </c>
      <c r="AR68">
        <v>0</v>
      </c>
      <c r="AS68" t="s">
        <v>3</v>
      </c>
      <c r="AT68">
        <v>0.26</v>
      </c>
      <c r="AU68" t="s">
        <v>46</v>
      </c>
      <c r="AV68">
        <v>1</v>
      </c>
      <c r="AW68">
        <v>2</v>
      </c>
      <c r="AX68">
        <v>51353965</v>
      </c>
      <c r="AY68">
        <v>2</v>
      </c>
      <c r="AZ68">
        <v>32768</v>
      </c>
      <c r="BA68">
        <v>70</v>
      </c>
      <c r="BB68">
        <v>1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9.4796000000000014</v>
      </c>
      <c r="BL68">
        <v>0</v>
      </c>
      <c r="BM68">
        <v>0</v>
      </c>
      <c r="BN68">
        <v>0</v>
      </c>
      <c r="BO68">
        <v>0</v>
      </c>
      <c r="BP68">
        <v>1</v>
      </c>
      <c r="BQ68">
        <v>0</v>
      </c>
      <c r="BR68">
        <v>11.849500000000001</v>
      </c>
      <c r="BS68">
        <v>0</v>
      </c>
      <c r="BT68">
        <v>0</v>
      </c>
      <c r="BU68">
        <v>0</v>
      </c>
      <c r="BV68">
        <v>0</v>
      </c>
      <c r="BW68">
        <v>1</v>
      </c>
      <c r="CV68">
        <v>0</v>
      </c>
      <c r="CW68">
        <f>ROUND(Y68*Source!I44*DO68,7)</f>
        <v>0</v>
      </c>
      <c r="CX68">
        <f>ROUND(Y68*Source!I44,7)</f>
        <v>0.32500000000000001</v>
      </c>
      <c r="CY68">
        <f>AB68</f>
        <v>36.46</v>
      </c>
      <c r="CZ68">
        <f>AF68</f>
        <v>36.46</v>
      </c>
      <c r="DA68">
        <f>AJ68</f>
        <v>1</v>
      </c>
      <c r="DB68">
        <f>ROUND((ROUND(AT68*CZ68,2)*ROUND(1.25,7)),6)</f>
        <v>11.85</v>
      </c>
      <c r="DC68">
        <f>ROUND((ROUND(AT68*AG68,2)*ROUND(1.25,7)),6)</f>
        <v>0</v>
      </c>
      <c r="DD68" t="s">
        <v>3</v>
      </c>
      <c r="DE68" t="s">
        <v>3</v>
      </c>
      <c r="DF68">
        <f>ROUND(ROUND(AE68,2)*CX68,2)</f>
        <v>0</v>
      </c>
      <c r="DG68">
        <f t="shared" si="20"/>
        <v>11.85</v>
      </c>
      <c r="DH68">
        <f t="shared" si="21"/>
        <v>0</v>
      </c>
      <c r="DI68">
        <f t="shared" si="22"/>
        <v>0</v>
      </c>
      <c r="DJ68">
        <f>DG68+DH68</f>
        <v>11.85</v>
      </c>
      <c r="DK68">
        <v>1</v>
      </c>
      <c r="DL68" t="s">
        <v>3</v>
      </c>
      <c r="DM68">
        <v>0</v>
      </c>
      <c r="DN68" t="s">
        <v>3</v>
      </c>
      <c r="DO68">
        <v>0</v>
      </c>
    </row>
    <row r="69" spans="1:119" x14ac:dyDescent="0.2">
      <c r="A69">
        <f>ROW(Source!A44)</f>
        <v>44</v>
      </c>
      <c r="B69">
        <v>55858619</v>
      </c>
      <c r="C69">
        <v>51353963</v>
      </c>
      <c r="D69">
        <v>50042849</v>
      </c>
      <c r="E69">
        <v>1</v>
      </c>
      <c r="F69">
        <v>1</v>
      </c>
      <c r="G69">
        <v>1</v>
      </c>
      <c r="H69">
        <v>3</v>
      </c>
      <c r="I69" t="s">
        <v>403</v>
      </c>
      <c r="J69" t="s">
        <v>404</v>
      </c>
      <c r="K69" t="s">
        <v>405</v>
      </c>
      <c r="L69">
        <v>1383</v>
      </c>
      <c r="N69">
        <v>1013</v>
      </c>
      <c r="O69" t="s">
        <v>406</v>
      </c>
      <c r="P69" t="s">
        <v>406</v>
      </c>
      <c r="Q69">
        <v>1</v>
      </c>
      <c r="W69">
        <v>0</v>
      </c>
      <c r="X69">
        <v>-2119218604</v>
      </c>
      <c r="Y69">
        <f t="shared" ref="Y69:Y83" si="23">AT69</f>
        <v>0.2132</v>
      </c>
      <c r="AA69">
        <v>7.71</v>
      </c>
      <c r="AB69">
        <v>0</v>
      </c>
      <c r="AC69">
        <v>0</v>
      </c>
      <c r="AD69">
        <v>0</v>
      </c>
      <c r="AE69">
        <v>7.71</v>
      </c>
      <c r="AF69">
        <v>0</v>
      </c>
      <c r="AG69">
        <v>0</v>
      </c>
      <c r="AH69">
        <v>0</v>
      </c>
      <c r="AI69">
        <v>1</v>
      </c>
      <c r="AJ69">
        <v>1</v>
      </c>
      <c r="AK69">
        <v>1</v>
      </c>
      <c r="AL69">
        <v>1</v>
      </c>
      <c r="AM69">
        <v>-2</v>
      </c>
      <c r="AN69">
        <v>0</v>
      </c>
      <c r="AO69">
        <v>0</v>
      </c>
      <c r="AP69">
        <v>1</v>
      </c>
      <c r="AQ69">
        <v>1</v>
      </c>
      <c r="AR69">
        <v>0</v>
      </c>
      <c r="AS69" t="s">
        <v>3</v>
      </c>
      <c r="AT69">
        <v>0.2132</v>
      </c>
      <c r="AU69" t="s">
        <v>3</v>
      </c>
      <c r="AV69">
        <v>0</v>
      </c>
      <c r="AW69">
        <v>2</v>
      </c>
      <c r="AX69">
        <v>51353966</v>
      </c>
      <c r="AY69">
        <v>2</v>
      </c>
      <c r="AZ69">
        <v>16384</v>
      </c>
      <c r="BA69">
        <v>71</v>
      </c>
      <c r="BB69">
        <v>1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1.643772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1</v>
      </c>
      <c r="BQ69">
        <v>1.643772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1</v>
      </c>
      <c r="CV69">
        <v>0</v>
      </c>
      <c r="CW69">
        <v>0</v>
      </c>
      <c r="CX69">
        <f>ROUND(Y69*Source!I44,7)</f>
        <v>0.2132</v>
      </c>
      <c r="CY69">
        <f>AA69</f>
        <v>7.71</v>
      </c>
      <c r="CZ69">
        <f>AE69</f>
        <v>7.71</v>
      </c>
      <c r="DA69">
        <f>AI69</f>
        <v>1</v>
      </c>
      <c r="DB69">
        <f t="shared" ref="DB69:DB83" si="24">ROUND(ROUND(AT69*CZ69,2),6)</f>
        <v>1.64</v>
      </c>
      <c r="DC69">
        <f t="shared" ref="DC69:DC83" si="25">ROUND(ROUND(AT69*AG69,2),6)</f>
        <v>0</v>
      </c>
      <c r="DD69" t="s">
        <v>3</v>
      </c>
      <c r="DE69" t="s">
        <v>3</v>
      </c>
      <c r="DF69">
        <f>ROUND(ROUND(AE69,2)*CX69,2)</f>
        <v>1.64</v>
      </c>
      <c r="DG69">
        <f t="shared" si="20"/>
        <v>0</v>
      </c>
      <c r="DH69">
        <f t="shared" si="21"/>
        <v>0</v>
      </c>
      <c r="DI69">
        <f t="shared" si="22"/>
        <v>0</v>
      </c>
      <c r="DJ69">
        <f>DF69</f>
        <v>1.64</v>
      </c>
      <c r="DK69">
        <v>1</v>
      </c>
      <c r="DL69" t="s">
        <v>3</v>
      </c>
      <c r="DM69">
        <v>0</v>
      </c>
      <c r="DN69" t="s">
        <v>3</v>
      </c>
      <c r="DO69">
        <v>0</v>
      </c>
    </row>
    <row r="70" spans="1:119" x14ac:dyDescent="0.2">
      <c r="A70">
        <f>ROW(Source!A44)</f>
        <v>44</v>
      </c>
      <c r="B70">
        <v>55858619</v>
      </c>
      <c r="C70">
        <v>51353963</v>
      </c>
      <c r="D70">
        <v>50042853</v>
      </c>
      <c r="E70">
        <v>1</v>
      </c>
      <c r="F70">
        <v>1</v>
      </c>
      <c r="G70">
        <v>1</v>
      </c>
      <c r="H70">
        <v>3</v>
      </c>
      <c r="I70" t="s">
        <v>141</v>
      </c>
      <c r="J70" t="s">
        <v>143</v>
      </c>
      <c r="K70" t="s">
        <v>142</v>
      </c>
      <c r="L70">
        <v>1371</v>
      </c>
      <c r="N70">
        <v>1013</v>
      </c>
      <c r="O70" t="s">
        <v>132</v>
      </c>
      <c r="P70" t="s">
        <v>132</v>
      </c>
      <c r="Q70">
        <v>1</v>
      </c>
      <c r="W70">
        <v>0</v>
      </c>
      <c r="X70">
        <v>-909976548</v>
      </c>
      <c r="Y70">
        <f t="shared" si="23"/>
        <v>1</v>
      </c>
      <c r="AA70">
        <v>3414.34</v>
      </c>
      <c r="AB70">
        <v>0</v>
      </c>
      <c r="AC70">
        <v>0</v>
      </c>
      <c r="AD70">
        <v>0</v>
      </c>
      <c r="AE70">
        <v>2291.5</v>
      </c>
      <c r="AF70">
        <v>0</v>
      </c>
      <c r="AG70">
        <v>0</v>
      </c>
      <c r="AH70">
        <v>0</v>
      </c>
      <c r="AI70">
        <v>1.49</v>
      </c>
      <c r="AJ70">
        <v>1</v>
      </c>
      <c r="AK70">
        <v>1</v>
      </c>
      <c r="AL70">
        <v>1</v>
      </c>
      <c r="AM70">
        <v>2</v>
      </c>
      <c r="AN70">
        <v>0</v>
      </c>
      <c r="AO70">
        <v>0</v>
      </c>
      <c r="AP70">
        <v>1</v>
      </c>
      <c r="AQ70">
        <v>0</v>
      </c>
      <c r="AR70">
        <v>0</v>
      </c>
      <c r="AS70" t="s">
        <v>3</v>
      </c>
      <c r="AT70">
        <v>1</v>
      </c>
      <c r="AU70" t="s">
        <v>3</v>
      </c>
      <c r="AV70">
        <v>0</v>
      </c>
      <c r="AW70">
        <v>1</v>
      </c>
      <c r="AX70">
        <v>-1</v>
      </c>
      <c r="AY70">
        <v>0</v>
      </c>
      <c r="AZ70">
        <v>0</v>
      </c>
      <c r="BA70" t="s">
        <v>3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V70">
        <v>0</v>
      </c>
      <c r="CW70">
        <v>0</v>
      </c>
      <c r="CX70">
        <f>ROUND(Y70*Source!I44,7)</f>
        <v>1</v>
      </c>
      <c r="CY70">
        <f>AA70</f>
        <v>3414.34</v>
      </c>
      <c r="CZ70">
        <f>AE70</f>
        <v>2291.5</v>
      </c>
      <c r="DA70">
        <f>AI70</f>
        <v>1.49</v>
      </c>
      <c r="DB70">
        <f t="shared" si="24"/>
        <v>2291.5</v>
      </c>
      <c r="DC70">
        <f t="shared" si="25"/>
        <v>0</v>
      </c>
      <c r="DD70" t="s">
        <v>3</v>
      </c>
      <c r="DE70" t="s">
        <v>3</v>
      </c>
      <c r="DF70">
        <f>ROUND(ROUND(AE70*AI70,2)*CX70,2)</f>
        <v>3414.34</v>
      </c>
      <c r="DG70">
        <f t="shared" si="20"/>
        <v>0</v>
      </c>
      <c r="DH70">
        <f t="shared" si="21"/>
        <v>0</v>
      </c>
      <c r="DI70">
        <f t="shared" si="22"/>
        <v>0</v>
      </c>
      <c r="DJ70">
        <f>DF70</f>
        <v>3414.34</v>
      </c>
      <c r="DK70">
        <v>0</v>
      </c>
      <c r="DL70" t="s">
        <v>3</v>
      </c>
      <c r="DM70">
        <v>0</v>
      </c>
      <c r="DN70" t="s">
        <v>3</v>
      </c>
      <c r="DO70">
        <v>0</v>
      </c>
    </row>
    <row r="71" spans="1:119" x14ac:dyDescent="0.2">
      <c r="A71">
        <f>ROW(Source!A44)</f>
        <v>44</v>
      </c>
      <c r="B71">
        <v>55858619</v>
      </c>
      <c r="C71">
        <v>51353963</v>
      </c>
      <c r="D71">
        <v>50043601</v>
      </c>
      <c r="E71">
        <v>1</v>
      </c>
      <c r="F71">
        <v>1</v>
      </c>
      <c r="G71">
        <v>1</v>
      </c>
      <c r="H71">
        <v>3</v>
      </c>
      <c r="I71" t="s">
        <v>425</v>
      </c>
      <c r="J71" t="s">
        <v>426</v>
      </c>
      <c r="K71" t="s">
        <v>427</v>
      </c>
      <c r="L71">
        <v>1346</v>
      </c>
      <c r="N71">
        <v>1009</v>
      </c>
      <c r="O71" t="s">
        <v>82</v>
      </c>
      <c r="P71" t="s">
        <v>82</v>
      </c>
      <c r="Q71">
        <v>1</v>
      </c>
      <c r="W71">
        <v>0</v>
      </c>
      <c r="X71">
        <v>212334824</v>
      </c>
      <c r="Y71">
        <f t="shared" si="23"/>
        <v>7.0000000000000007E-2</v>
      </c>
      <c r="AA71">
        <v>141.62</v>
      </c>
      <c r="AB71">
        <v>0</v>
      </c>
      <c r="AC71">
        <v>0</v>
      </c>
      <c r="AD71">
        <v>0</v>
      </c>
      <c r="AE71">
        <v>155.63</v>
      </c>
      <c r="AF71">
        <v>0</v>
      </c>
      <c r="AG71">
        <v>0</v>
      </c>
      <c r="AH71">
        <v>0</v>
      </c>
      <c r="AI71">
        <v>0.91</v>
      </c>
      <c r="AJ71">
        <v>1</v>
      </c>
      <c r="AK71">
        <v>1</v>
      </c>
      <c r="AL71">
        <v>1</v>
      </c>
      <c r="AM71">
        <v>2</v>
      </c>
      <c r="AN71">
        <v>0</v>
      </c>
      <c r="AO71">
        <v>0</v>
      </c>
      <c r="AP71">
        <v>1</v>
      </c>
      <c r="AQ71">
        <v>1</v>
      </c>
      <c r="AR71">
        <v>0</v>
      </c>
      <c r="AS71" t="s">
        <v>3</v>
      </c>
      <c r="AT71">
        <v>7.0000000000000007E-2</v>
      </c>
      <c r="AU71" t="s">
        <v>3</v>
      </c>
      <c r="AV71">
        <v>0</v>
      </c>
      <c r="AW71">
        <v>2</v>
      </c>
      <c r="AX71">
        <v>51353968</v>
      </c>
      <c r="AY71">
        <v>1</v>
      </c>
      <c r="AZ71">
        <v>0</v>
      </c>
      <c r="BA71">
        <v>73</v>
      </c>
      <c r="BB71">
        <v>1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10.8941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1</v>
      </c>
      <c r="BQ71">
        <v>10.8941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1</v>
      </c>
      <c r="CV71">
        <v>0</v>
      </c>
      <c r="CW71">
        <v>0</v>
      </c>
      <c r="CX71">
        <f>ROUND(Y71*Source!I44,7)</f>
        <v>7.0000000000000007E-2</v>
      </c>
      <c r="CY71">
        <f>AA71</f>
        <v>141.62</v>
      </c>
      <c r="CZ71">
        <f>AE71</f>
        <v>155.63</v>
      </c>
      <c r="DA71">
        <f>AI71</f>
        <v>0.91</v>
      </c>
      <c r="DB71">
        <f t="shared" si="24"/>
        <v>10.89</v>
      </c>
      <c r="DC71">
        <f t="shared" si="25"/>
        <v>0</v>
      </c>
      <c r="DD71" t="s">
        <v>3</v>
      </c>
      <c r="DE71" t="s">
        <v>3</v>
      </c>
      <c r="DF71">
        <f>ROUND(ROUND(AE71*AI71,2)*CX71,2)</f>
        <v>9.91</v>
      </c>
      <c r="DG71">
        <f t="shared" si="20"/>
        <v>0</v>
      </c>
      <c r="DH71">
        <f t="shared" si="21"/>
        <v>0</v>
      </c>
      <c r="DI71">
        <f t="shared" si="22"/>
        <v>0</v>
      </c>
      <c r="DJ71">
        <f>DF71</f>
        <v>9.91</v>
      </c>
      <c r="DK71">
        <v>0</v>
      </c>
      <c r="DL71" t="s">
        <v>3</v>
      </c>
      <c r="DM71">
        <v>0</v>
      </c>
      <c r="DN71" t="s">
        <v>3</v>
      </c>
      <c r="DO71">
        <v>0</v>
      </c>
    </row>
    <row r="72" spans="1:119" x14ac:dyDescent="0.2">
      <c r="A72">
        <f>ROW(Source!A44)</f>
        <v>44</v>
      </c>
      <c r="B72">
        <v>55858619</v>
      </c>
      <c r="C72">
        <v>51353963</v>
      </c>
      <c r="D72">
        <v>50044705</v>
      </c>
      <c r="E72">
        <v>1</v>
      </c>
      <c r="F72">
        <v>1</v>
      </c>
      <c r="G72">
        <v>1</v>
      </c>
      <c r="H72">
        <v>3</v>
      </c>
      <c r="I72" t="s">
        <v>428</v>
      </c>
      <c r="J72" t="s">
        <v>429</v>
      </c>
      <c r="K72" t="s">
        <v>430</v>
      </c>
      <c r="L72">
        <v>1425</v>
      </c>
      <c r="N72">
        <v>1013</v>
      </c>
      <c r="O72" t="s">
        <v>160</v>
      </c>
      <c r="P72" t="s">
        <v>160</v>
      </c>
      <c r="Q72">
        <v>1</v>
      </c>
      <c r="W72">
        <v>0</v>
      </c>
      <c r="X72">
        <v>627093046</v>
      </c>
      <c r="Y72">
        <f t="shared" si="23"/>
        <v>0.08</v>
      </c>
      <c r="AA72">
        <v>143.94</v>
      </c>
      <c r="AB72">
        <v>0</v>
      </c>
      <c r="AC72">
        <v>0</v>
      </c>
      <c r="AD72">
        <v>0</v>
      </c>
      <c r="AE72">
        <v>120.96</v>
      </c>
      <c r="AF72">
        <v>0</v>
      </c>
      <c r="AG72">
        <v>0</v>
      </c>
      <c r="AH72">
        <v>0</v>
      </c>
      <c r="AI72">
        <v>1.19</v>
      </c>
      <c r="AJ72">
        <v>1</v>
      </c>
      <c r="AK72">
        <v>1</v>
      </c>
      <c r="AL72">
        <v>1</v>
      </c>
      <c r="AM72">
        <v>2</v>
      </c>
      <c r="AN72">
        <v>0</v>
      </c>
      <c r="AO72">
        <v>0</v>
      </c>
      <c r="AP72">
        <v>1</v>
      </c>
      <c r="AQ72">
        <v>1</v>
      </c>
      <c r="AR72">
        <v>0</v>
      </c>
      <c r="AS72" t="s">
        <v>3</v>
      </c>
      <c r="AT72">
        <v>0.08</v>
      </c>
      <c r="AU72" t="s">
        <v>3</v>
      </c>
      <c r="AV72">
        <v>0</v>
      </c>
      <c r="AW72">
        <v>2</v>
      </c>
      <c r="AX72">
        <v>51353969</v>
      </c>
      <c r="AY72">
        <v>1</v>
      </c>
      <c r="AZ72">
        <v>0</v>
      </c>
      <c r="BA72">
        <v>74</v>
      </c>
      <c r="BB72">
        <v>1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9.6768000000000001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1</v>
      </c>
      <c r="BQ72">
        <v>9.6768000000000001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1</v>
      </c>
      <c r="CV72">
        <v>0</v>
      </c>
      <c r="CW72">
        <v>0</v>
      </c>
      <c r="CX72">
        <f>ROUND(Y72*Source!I44,7)</f>
        <v>0.08</v>
      </c>
      <c r="CY72">
        <f>AA72</f>
        <v>143.94</v>
      </c>
      <c r="CZ72">
        <f>AE72</f>
        <v>120.96</v>
      </c>
      <c r="DA72">
        <f>AI72</f>
        <v>1.19</v>
      </c>
      <c r="DB72">
        <f t="shared" si="24"/>
        <v>9.68</v>
      </c>
      <c r="DC72">
        <f t="shared" si="25"/>
        <v>0</v>
      </c>
      <c r="DD72" t="s">
        <v>3</v>
      </c>
      <c r="DE72" t="s">
        <v>3</v>
      </c>
      <c r="DF72">
        <f>ROUND(ROUND(AE72*AI72,2)*CX72,2)</f>
        <v>11.52</v>
      </c>
      <c r="DG72">
        <f t="shared" si="20"/>
        <v>0</v>
      </c>
      <c r="DH72">
        <f t="shared" si="21"/>
        <v>0</v>
      </c>
      <c r="DI72">
        <f t="shared" si="22"/>
        <v>0</v>
      </c>
      <c r="DJ72">
        <f>DF72</f>
        <v>11.52</v>
      </c>
      <c r="DK72">
        <v>0</v>
      </c>
      <c r="DL72" t="s">
        <v>3</v>
      </c>
      <c r="DM72">
        <v>0</v>
      </c>
      <c r="DN72" t="s">
        <v>3</v>
      </c>
      <c r="DO72">
        <v>0</v>
      </c>
    </row>
    <row r="73" spans="1:119" x14ac:dyDescent="0.2">
      <c r="A73">
        <f>ROW(Source!A46)</f>
        <v>46</v>
      </c>
      <c r="B73">
        <v>55858619</v>
      </c>
      <c r="C73">
        <v>51353983</v>
      </c>
      <c r="D73">
        <v>54569631</v>
      </c>
      <c r="E73">
        <v>117</v>
      </c>
      <c r="F73">
        <v>1</v>
      </c>
      <c r="G73">
        <v>1</v>
      </c>
      <c r="H73">
        <v>1</v>
      </c>
      <c r="I73" t="s">
        <v>431</v>
      </c>
      <c r="J73" t="s">
        <v>3</v>
      </c>
      <c r="K73" t="s">
        <v>432</v>
      </c>
      <c r="L73">
        <v>1191</v>
      </c>
      <c r="N73">
        <v>1013</v>
      </c>
      <c r="O73" t="s">
        <v>357</v>
      </c>
      <c r="P73" t="s">
        <v>357</v>
      </c>
      <c r="Q73">
        <v>1</v>
      </c>
      <c r="W73">
        <v>0</v>
      </c>
      <c r="X73">
        <v>1903532093</v>
      </c>
      <c r="Y73">
        <f t="shared" si="23"/>
        <v>0.03</v>
      </c>
      <c r="AA73">
        <v>0</v>
      </c>
      <c r="AB73">
        <v>0</v>
      </c>
      <c r="AC73">
        <v>0</v>
      </c>
      <c r="AD73">
        <v>435.21</v>
      </c>
      <c r="AE73">
        <v>0</v>
      </c>
      <c r="AF73">
        <v>0</v>
      </c>
      <c r="AG73">
        <v>0</v>
      </c>
      <c r="AH73">
        <v>435.21</v>
      </c>
      <c r="AI73">
        <v>1</v>
      </c>
      <c r="AJ73">
        <v>1</v>
      </c>
      <c r="AK73">
        <v>1</v>
      </c>
      <c r="AL73">
        <v>1</v>
      </c>
      <c r="AM73">
        <v>-2</v>
      </c>
      <c r="AN73">
        <v>0</v>
      </c>
      <c r="AO73">
        <v>0</v>
      </c>
      <c r="AP73">
        <v>1</v>
      </c>
      <c r="AQ73">
        <v>1</v>
      </c>
      <c r="AR73">
        <v>0</v>
      </c>
      <c r="AS73" t="s">
        <v>3</v>
      </c>
      <c r="AT73">
        <v>0.03</v>
      </c>
      <c r="AU73" t="s">
        <v>3</v>
      </c>
      <c r="AV73">
        <v>1</v>
      </c>
      <c r="AW73">
        <v>2</v>
      </c>
      <c r="AX73">
        <v>55858634</v>
      </c>
      <c r="AY73">
        <v>1</v>
      </c>
      <c r="AZ73">
        <v>0</v>
      </c>
      <c r="BA73">
        <v>75</v>
      </c>
      <c r="BB73">
        <v>1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13.056299999999998</v>
      </c>
      <c r="BN73">
        <v>0.03</v>
      </c>
      <c r="BO73">
        <v>0</v>
      </c>
      <c r="BP73">
        <v>1</v>
      </c>
      <c r="BQ73">
        <v>0</v>
      </c>
      <c r="BR73">
        <v>0</v>
      </c>
      <c r="BS73">
        <v>0</v>
      </c>
      <c r="BT73">
        <v>13.056299999999998</v>
      </c>
      <c r="BU73">
        <v>0.03</v>
      </c>
      <c r="BV73">
        <v>0</v>
      </c>
      <c r="BW73">
        <v>1</v>
      </c>
      <c r="CU73">
        <f>ROUND(AT73*Source!I46*AH73*AL73,2)</f>
        <v>323.8</v>
      </c>
      <c r="CV73">
        <f>ROUND(Y73*Source!I46,7)</f>
        <v>0.74399999999999999</v>
      </c>
      <c r="CW73">
        <v>0</v>
      </c>
      <c r="CX73">
        <f>ROUND(Y73*Source!I46,7)</f>
        <v>0.74399999999999999</v>
      </c>
      <c r="CY73">
        <f>AD73</f>
        <v>435.21</v>
      </c>
      <c r="CZ73">
        <f>AH73</f>
        <v>435.21</v>
      </c>
      <c r="DA73">
        <f>AL73</f>
        <v>1</v>
      </c>
      <c r="DB73">
        <f t="shared" si="24"/>
        <v>13.06</v>
      </c>
      <c r="DC73">
        <f t="shared" si="25"/>
        <v>0</v>
      </c>
      <c r="DD73" t="s">
        <v>3</v>
      </c>
      <c r="DE73" t="s">
        <v>3</v>
      </c>
      <c r="DF73">
        <f>ROUND(ROUND(AE73,2)*CX73,2)</f>
        <v>0</v>
      </c>
      <c r="DG73">
        <f t="shared" si="20"/>
        <v>0</v>
      </c>
      <c r="DH73">
        <f t="shared" si="21"/>
        <v>0</v>
      </c>
      <c r="DI73">
        <f t="shared" si="22"/>
        <v>323.8</v>
      </c>
      <c r="DJ73">
        <f>DI73</f>
        <v>323.8</v>
      </c>
      <c r="DK73">
        <v>1</v>
      </c>
      <c r="DL73" t="s">
        <v>3</v>
      </c>
      <c r="DM73">
        <v>0</v>
      </c>
      <c r="DN73" t="s">
        <v>3</v>
      </c>
      <c r="DO73">
        <v>0</v>
      </c>
    </row>
    <row r="74" spans="1:119" x14ac:dyDescent="0.2">
      <c r="A74">
        <f>ROW(Source!A46)</f>
        <v>46</v>
      </c>
      <c r="B74">
        <v>55858619</v>
      </c>
      <c r="C74">
        <v>51353983</v>
      </c>
      <c r="D74">
        <v>54644093</v>
      </c>
      <c r="E74">
        <v>1</v>
      </c>
      <c r="F74">
        <v>1</v>
      </c>
      <c r="G74">
        <v>1</v>
      </c>
      <c r="H74">
        <v>3</v>
      </c>
      <c r="I74" t="s">
        <v>153</v>
      </c>
      <c r="J74" t="s">
        <v>156</v>
      </c>
      <c r="K74" t="s">
        <v>154</v>
      </c>
      <c r="L74">
        <v>1302</v>
      </c>
      <c r="N74">
        <v>1003</v>
      </c>
      <c r="O74" t="s">
        <v>155</v>
      </c>
      <c r="P74" t="s">
        <v>155</v>
      </c>
      <c r="Q74">
        <v>10</v>
      </c>
      <c r="W74">
        <v>0</v>
      </c>
      <c r="X74">
        <v>-878733736</v>
      </c>
      <c r="Y74">
        <f t="shared" si="23"/>
        <v>0.1</v>
      </c>
      <c r="AA74">
        <v>2322.9</v>
      </c>
      <c r="AB74">
        <v>0</v>
      </c>
      <c r="AC74">
        <v>0</v>
      </c>
      <c r="AD74">
        <v>0</v>
      </c>
      <c r="AE74">
        <v>1451.81</v>
      </c>
      <c r="AF74">
        <v>0</v>
      </c>
      <c r="AG74">
        <v>0</v>
      </c>
      <c r="AH74">
        <v>0</v>
      </c>
      <c r="AI74">
        <v>1.6</v>
      </c>
      <c r="AJ74">
        <v>1</v>
      </c>
      <c r="AK74">
        <v>1</v>
      </c>
      <c r="AL74">
        <v>1</v>
      </c>
      <c r="AM74">
        <v>0</v>
      </c>
      <c r="AN74">
        <v>0</v>
      </c>
      <c r="AO74">
        <v>0</v>
      </c>
      <c r="AP74">
        <v>1</v>
      </c>
      <c r="AQ74">
        <v>0</v>
      </c>
      <c r="AR74">
        <v>0</v>
      </c>
      <c r="AS74" t="s">
        <v>3</v>
      </c>
      <c r="AT74">
        <v>0.1</v>
      </c>
      <c r="AU74" t="s">
        <v>3</v>
      </c>
      <c r="AV74">
        <v>0</v>
      </c>
      <c r="AW74">
        <v>1</v>
      </c>
      <c r="AX74">
        <v>-1</v>
      </c>
      <c r="AY74">
        <v>0</v>
      </c>
      <c r="AZ74">
        <v>0</v>
      </c>
      <c r="BA74" t="s">
        <v>3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V74">
        <v>0</v>
      </c>
      <c r="CW74">
        <v>0</v>
      </c>
      <c r="CX74">
        <f>ROUND(Y74*Source!I46,7)</f>
        <v>2.48</v>
      </c>
      <c r="CY74">
        <f>AA74</f>
        <v>2322.9</v>
      </c>
      <c r="CZ74">
        <f>AE74</f>
        <v>1451.81</v>
      </c>
      <c r="DA74">
        <f>AI74</f>
        <v>1.6</v>
      </c>
      <c r="DB74">
        <f t="shared" si="24"/>
        <v>145.18</v>
      </c>
      <c r="DC74">
        <f t="shared" si="25"/>
        <v>0</v>
      </c>
      <c r="DD74" t="s">
        <v>3</v>
      </c>
      <c r="DE74" t="s">
        <v>3</v>
      </c>
      <c r="DF74">
        <f>ROUND(ROUND(AE74*AI74,2)*CX74,2)</f>
        <v>5760.79</v>
      </c>
      <c r="DG74">
        <f t="shared" si="20"/>
        <v>0</v>
      </c>
      <c r="DH74">
        <f t="shared" si="21"/>
        <v>0</v>
      </c>
      <c r="DI74">
        <f t="shared" si="22"/>
        <v>0</v>
      </c>
      <c r="DJ74">
        <f>DF74</f>
        <v>5760.79</v>
      </c>
      <c r="DK74">
        <v>0</v>
      </c>
      <c r="DL74" t="s">
        <v>3</v>
      </c>
      <c r="DM74">
        <v>0</v>
      </c>
      <c r="DN74" t="s">
        <v>3</v>
      </c>
      <c r="DO74">
        <v>0</v>
      </c>
    </row>
    <row r="75" spans="1:119" x14ac:dyDescent="0.2">
      <c r="A75">
        <f>ROW(Source!A48)</f>
        <v>48</v>
      </c>
      <c r="B75">
        <v>55858619</v>
      </c>
      <c r="C75">
        <v>51354076</v>
      </c>
      <c r="D75">
        <v>49971127</v>
      </c>
      <c r="E75">
        <v>114</v>
      </c>
      <c r="F75">
        <v>1</v>
      </c>
      <c r="G75">
        <v>1</v>
      </c>
      <c r="H75">
        <v>1</v>
      </c>
      <c r="I75" t="s">
        <v>433</v>
      </c>
      <c r="J75" t="s">
        <v>3</v>
      </c>
      <c r="K75" t="s">
        <v>434</v>
      </c>
      <c r="L75">
        <v>1191</v>
      </c>
      <c r="N75">
        <v>1013</v>
      </c>
      <c r="O75" t="s">
        <v>357</v>
      </c>
      <c r="P75" t="s">
        <v>357</v>
      </c>
      <c r="Q75">
        <v>1</v>
      </c>
      <c r="W75">
        <v>0</v>
      </c>
      <c r="X75">
        <v>-1461236815</v>
      </c>
      <c r="Y75">
        <f t="shared" si="23"/>
        <v>7.41</v>
      </c>
      <c r="AA75">
        <v>0</v>
      </c>
      <c r="AB75">
        <v>0</v>
      </c>
      <c r="AC75">
        <v>0</v>
      </c>
      <c r="AD75">
        <v>377.79</v>
      </c>
      <c r="AE75">
        <v>0</v>
      </c>
      <c r="AF75">
        <v>0</v>
      </c>
      <c r="AG75">
        <v>0</v>
      </c>
      <c r="AH75">
        <v>377.79</v>
      </c>
      <c r="AI75">
        <v>1</v>
      </c>
      <c r="AJ75">
        <v>1</v>
      </c>
      <c r="AK75">
        <v>1</v>
      </c>
      <c r="AL75">
        <v>1</v>
      </c>
      <c r="AM75">
        <v>-2</v>
      </c>
      <c r="AN75">
        <v>0</v>
      </c>
      <c r="AO75">
        <v>0</v>
      </c>
      <c r="AP75">
        <v>1</v>
      </c>
      <c r="AQ75">
        <v>1</v>
      </c>
      <c r="AR75">
        <v>0</v>
      </c>
      <c r="AS75" t="s">
        <v>3</v>
      </c>
      <c r="AT75">
        <v>7.41</v>
      </c>
      <c r="AU75" t="s">
        <v>3</v>
      </c>
      <c r="AV75">
        <v>1</v>
      </c>
      <c r="AW75">
        <v>2</v>
      </c>
      <c r="AX75">
        <v>51354158</v>
      </c>
      <c r="AY75">
        <v>2</v>
      </c>
      <c r="AZ75">
        <v>131072</v>
      </c>
      <c r="BA75">
        <v>77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2799.4239000000002</v>
      </c>
      <c r="BN75">
        <v>7.41</v>
      </c>
      <c r="BO75">
        <v>0</v>
      </c>
      <c r="BP75">
        <v>1</v>
      </c>
      <c r="BQ75">
        <v>0</v>
      </c>
      <c r="BR75">
        <v>0</v>
      </c>
      <c r="BS75">
        <v>0</v>
      </c>
      <c r="BT75">
        <v>2799.4239000000002</v>
      </c>
      <c r="BU75">
        <v>7.41</v>
      </c>
      <c r="BV75">
        <v>0</v>
      </c>
      <c r="BW75">
        <v>1</v>
      </c>
      <c r="CU75">
        <f>ROUND(AT75*Source!I48*AH75*AL75,2)</f>
        <v>279.94</v>
      </c>
      <c r="CV75">
        <f>ROUND(Y75*Source!I48,7)</f>
        <v>0.74099999999999999</v>
      </c>
      <c r="CW75">
        <v>0</v>
      </c>
      <c r="CX75">
        <f>ROUND(Y75*Source!I48,7)</f>
        <v>0.74099999999999999</v>
      </c>
      <c r="CY75">
        <f>AD75</f>
        <v>377.79</v>
      </c>
      <c r="CZ75">
        <f>AH75</f>
        <v>377.79</v>
      </c>
      <c r="DA75">
        <f>AL75</f>
        <v>1</v>
      </c>
      <c r="DB75">
        <f t="shared" si="24"/>
        <v>2799.42</v>
      </c>
      <c r="DC75">
        <f t="shared" si="25"/>
        <v>0</v>
      </c>
      <c r="DD75" t="s">
        <v>3</v>
      </c>
      <c r="DE75" t="s">
        <v>3</v>
      </c>
      <c r="DF75">
        <f>ROUND(ROUND(AE75,2)*CX75,2)</f>
        <v>0</v>
      </c>
      <c r="DG75">
        <f t="shared" si="20"/>
        <v>0</v>
      </c>
      <c r="DH75">
        <f t="shared" si="21"/>
        <v>0</v>
      </c>
      <c r="DI75">
        <f t="shared" si="22"/>
        <v>279.94</v>
      </c>
      <c r="DJ75">
        <f>DI75</f>
        <v>279.94</v>
      </c>
      <c r="DK75">
        <v>1</v>
      </c>
      <c r="DL75" t="s">
        <v>3</v>
      </c>
      <c r="DM75">
        <v>0</v>
      </c>
      <c r="DN75" t="s">
        <v>3</v>
      </c>
      <c r="DO75">
        <v>0</v>
      </c>
    </row>
    <row r="76" spans="1:119" x14ac:dyDescent="0.2">
      <c r="A76">
        <f>ROW(Source!A48)</f>
        <v>48</v>
      </c>
      <c r="B76">
        <v>55858619</v>
      </c>
      <c r="C76">
        <v>51354076</v>
      </c>
      <c r="D76">
        <v>49971314</v>
      </c>
      <c r="E76">
        <v>114</v>
      </c>
      <c r="F76">
        <v>1</v>
      </c>
      <c r="G76">
        <v>1</v>
      </c>
      <c r="H76">
        <v>1</v>
      </c>
      <c r="I76" t="s">
        <v>358</v>
      </c>
      <c r="J76" t="s">
        <v>3</v>
      </c>
      <c r="K76" t="s">
        <v>359</v>
      </c>
      <c r="L76">
        <v>1191</v>
      </c>
      <c r="N76">
        <v>1013</v>
      </c>
      <c r="O76" t="s">
        <v>357</v>
      </c>
      <c r="P76" t="s">
        <v>357</v>
      </c>
      <c r="Q76">
        <v>1</v>
      </c>
      <c r="W76">
        <v>0</v>
      </c>
      <c r="X76">
        <v>-1417349443</v>
      </c>
      <c r="Y76">
        <f t="shared" si="23"/>
        <v>0.39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1</v>
      </c>
      <c r="AJ76">
        <v>1</v>
      </c>
      <c r="AK76">
        <v>1</v>
      </c>
      <c r="AL76">
        <v>1</v>
      </c>
      <c r="AM76">
        <v>-2</v>
      </c>
      <c r="AN76">
        <v>0</v>
      </c>
      <c r="AO76">
        <v>0</v>
      </c>
      <c r="AP76">
        <v>1</v>
      </c>
      <c r="AQ76">
        <v>1</v>
      </c>
      <c r="AR76">
        <v>0</v>
      </c>
      <c r="AS76" t="s">
        <v>3</v>
      </c>
      <c r="AT76">
        <v>0.39</v>
      </c>
      <c r="AU76" t="s">
        <v>3</v>
      </c>
      <c r="AV76">
        <v>2</v>
      </c>
      <c r="AW76">
        <v>2</v>
      </c>
      <c r="AX76">
        <v>51354159</v>
      </c>
      <c r="AY76">
        <v>1</v>
      </c>
      <c r="AZ76">
        <v>0</v>
      </c>
      <c r="BA76">
        <v>78</v>
      </c>
      <c r="BB76">
        <v>1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V76">
        <v>0</v>
      </c>
      <c r="CW76">
        <v>0</v>
      </c>
      <c r="CX76">
        <f>ROUND(Y76*Source!I48,7)</f>
        <v>3.9E-2</v>
      </c>
      <c r="CY76">
        <f>AD76</f>
        <v>0</v>
      </c>
      <c r="CZ76">
        <f>AH76</f>
        <v>0</v>
      </c>
      <c r="DA76">
        <f>AL76</f>
        <v>1</v>
      </c>
      <c r="DB76">
        <f t="shared" si="24"/>
        <v>0</v>
      </c>
      <c r="DC76">
        <f t="shared" si="25"/>
        <v>0</v>
      </c>
      <c r="DD76" t="s">
        <v>3</v>
      </c>
      <c r="DE76" t="s">
        <v>3</v>
      </c>
      <c r="DF76">
        <f>ROUND(ROUND(AE76,2)*CX76,2)</f>
        <v>0</v>
      </c>
      <c r="DG76">
        <f t="shared" si="20"/>
        <v>0</v>
      </c>
      <c r="DH76">
        <f t="shared" si="21"/>
        <v>0</v>
      </c>
      <c r="DI76">
        <f t="shared" si="22"/>
        <v>0</v>
      </c>
      <c r="DJ76">
        <f>DI76</f>
        <v>0</v>
      </c>
      <c r="DK76">
        <v>0</v>
      </c>
      <c r="DL76" t="s">
        <v>3</v>
      </c>
      <c r="DM76">
        <v>0</v>
      </c>
      <c r="DN76" t="s">
        <v>3</v>
      </c>
      <c r="DO76">
        <v>0</v>
      </c>
    </row>
    <row r="77" spans="1:119" x14ac:dyDescent="0.2">
      <c r="A77">
        <f>ROW(Source!A48)</f>
        <v>48</v>
      </c>
      <c r="B77">
        <v>55858619</v>
      </c>
      <c r="C77">
        <v>51354076</v>
      </c>
      <c r="D77">
        <v>50095945</v>
      </c>
      <c r="E77">
        <v>1</v>
      </c>
      <c r="F77">
        <v>1</v>
      </c>
      <c r="G77">
        <v>1</v>
      </c>
      <c r="H77">
        <v>2</v>
      </c>
      <c r="I77" t="s">
        <v>360</v>
      </c>
      <c r="J77" t="s">
        <v>361</v>
      </c>
      <c r="K77" t="s">
        <v>362</v>
      </c>
      <c r="L77">
        <v>1368</v>
      </c>
      <c r="N77">
        <v>1011</v>
      </c>
      <c r="O77" t="s">
        <v>363</v>
      </c>
      <c r="P77" t="s">
        <v>363</v>
      </c>
      <c r="Q77">
        <v>1</v>
      </c>
      <c r="W77">
        <v>0</v>
      </c>
      <c r="X77">
        <v>-92307625</v>
      </c>
      <c r="Y77">
        <f t="shared" si="23"/>
        <v>0.05</v>
      </c>
      <c r="AA77">
        <v>0</v>
      </c>
      <c r="AB77">
        <v>60.83</v>
      </c>
      <c r="AC77">
        <v>359.65</v>
      </c>
      <c r="AD77">
        <v>0</v>
      </c>
      <c r="AE77">
        <v>0</v>
      </c>
      <c r="AF77">
        <v>37.32</v>
      </c>
      <c r="AG77">
        <v>359.65</v>
      </c>
      <c r="AH77">
        <v>0</v>
      </c>
      <c r="AI77">
        <v>1</v>
      </c>
      <c r="AJ77">
        <v>1.63</v>
      </c>
      <c r="AK77">
        <v>1</v>
      </c>
      <c r="AL77">
        <v>1</v>
      </c>
      <c r="AM77">
        <v>2</v>
      </c>
      <c r="AN77">
        <v>0</v>
      </c>
      <c r="AO77">
        <v>0</v>
      </c>
      <c r="AP77">
        <v>1</v>
      </c>
      <c r="AQ77">
        <v>1</v>
      </c>
      <c r="AR77">
        <v>0</v>
      </c>
      <c r="AS77" t="s">
        <v>3</v>
      </c>
      <c r="AT77">
        <v>0.05</v>
      </c>
      <c r="AU77" t="s">
        <v>3</v>
      </c>
      <c r="AV77">
        <v>1</v>
      </c>
      <c r="AW77">
        <v>2</v>
      </c>
      <c r="AX77">
        <v>51354160</v>
      </c>
      <c r="AY77">
        <v>2</v>
      </c>
      <c r="AZ77">
        <v>65536</v>
      </c>
      <c r="BA77">
        <v>79</v>
      </c>
      <c r="BB77">
        <v>1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1.8660000000000001</v>
      </c>
      <c r="BL77">
        <v>17.982499999999998</v>
      </c>
      <c r="BM77">
        <v>0</v>
      </c>
      <c r="BN77">
        <v>0</v>
      </c>
      <c r="BO77">
        <v>0.05</v>
      </c>
      <c r="BP77">
        <v>1</v>
      </c>
      <c r="BQ77">
        <v>0</v>
      </c>
      <c r="BR77">
        <v>1.8660000000000001</v>
      </c>
      <c r="BS77">
        <v>17.982499999999998</v>
      </c>
      <c r="BT77">
        <v>0</v>
      </c>
      <c r="BU77">
        <v>0</v>
      </c>
      <c r="BV77">
        <v>0.05</v>
      </c>
      <c r="BW77">
        <v>1</v>
      </c>
      <c r="CV77">
        <v>0</v>
      </c>
      <c r="CW77">
        <f>ROUND(Y77*Source!I48*DO77,7)</f>
        <v>5.0000000000000001E-3</v>
      </c>
      <c r="CX77">
        <f>ROUND(Y77*Source!I48,7)</f>
        <v>5.0000000000000001E-3</v>
      </c>
      <c r="CY77">
        <f>AB77</f>
        <v>60.83</v>
      </c>
      <c r="CZ77">
        <f>AF77</f>
        <v>37.32</v>
      </c>
      <c r="DA77">
        <f>AJ77</f>
        <v>1.63</v>
      </c>
      <c r="DB77">
        <f t="shared" si="24"/>
        <v>1.87</v>
      </c>
      <c r="DC77">
        <f t="shared" si="25"/>
        <v>17.98</v>
      </c>
      <c r="DD77" t="s">
        <v>3</v>
      </c>
      <c r="DE77" t="s">
        <v>3</v>
      </c>
      <c r="DF77">
        <f>ROUND(ROUND(AE77,2)*CX77,2)</f>
        <v>0</v>
      </c>
      <c r="DG77">
        <f>ROUND(ROUND(AF77*AJ77,2)*CX77,2)</f>
        <v>0.3</v>
      </c>
      <c r="DH77">
        <f t="shared" si="21"/>
        <v>1.8</v>
      </c>
      <c r="DI77">
        <f t="shared" si="22"/>
        <v>0</v>
      </c>
      <c r="DJ77">
        <f>DG77+DH77</f>
        <v>2.1</v>
      </c>
      <c r="DK77">
        <v>0</v>
      </c>
      <c r="DL77" t="s">
        <v>364</v>
      </c>
      <c r="DM77">
        <v>3</v>
      </c>
      <c r="DN77" t="s">
        <v>357</v>
      </c>
      <c r="DO77">
        <v>1</v>
      </c>
    </row>
    <row r="78" spans="1:119" x14ac:dyDescent="0.2">
      <c r="A78">
        <f>ROW(Source!A48)</f>
        <v>48</v>
      </c>
      <c r="B78">
        <v>55858619</v>
      </c>
      <c r="C78">
        <v>51354076</v>
      </c>
      <c r="D78">
        <v>50096650</v>
      </c>
      <c r="E78">
        <v>1</v>
      </c>
      <c r="F78">
        <v>1</v>
      </c>
      <c r="G78">
        <v>1</v>
      </c>
      <c r="H78">
        <v>2</v>
      </c>
      <c r="I78" t="s">
        <v>382</v>
      </c>
      <c r="J78" t="s">
        <v>383</v>
      </c>
      <c r="K78" t="s">
        <v>384</v>
      </c>
      <c r="L78">
        <v>1368</v>
      </c>
      <c r="N78">
        <v>1011</v>
      </c>
      <c r="O78" t="s">
        <v>363</v>
      </c>
      <c r="P78" t="s">
        <v>363</v>
      </c>
      <c r="Q78">
        <v>1</v>
      </c>
      <c r="W78">
        <v>0</v>
      </c>
      <c r="X78">
        <v>-1152394969</v>
      </c>
      <c r="Y78">
        <f t="shared" si="23"/>
        <v>0.34</v>
      </c>
      <c r="AA78">
        <v>0</v>
      </c>
      <c r="AB78">
        <v>680.75</v>
      </c>
      <c r="AC78">
        <v>404.99</v>
      </c>
      <c r="AD78">
        <v>0</v>
      </c>
      <c r="AE78">
        <v>0</v>
      </c>
      <c r="AF78">
        <v>680.75</v>
      </c>
      <c r="AG78">
        <v>404.99</v>
      </c>
      <c r="AH78">
        <v>0</v>
      </c>
      <c r="AI78">
        <v>1</v>
      </c>
      <c r="AJ78">
        <v>1</v>
      </c>
      <c r="AK78">
        <v>1</v>
      </c>
      <c r="AL78">
        <v>1</v>
      </c>
      <c r="AM78">
        <v>-2</v>
      </c>
      <c r="AN78">
        <v>0</v>
      </c>
      <c r="AO78">
        <v>0</v>
      </c>
      <c r="AP78">
        <v>1</v>
      </c>
      <c r="AQ78">
        <v>1</v>
      </c>
      <c r="AR78">
        <v>0</v>
      </c>
      <c r="AS78" t="s">
        <v>3</v>
      </c>
      <c r="AT78">
        <v>0.34</v>
      </c>
      <c r="AU78" t="s">
        <v>3</v>
      </c>
      <c r="AV78">
        <v>1</v>
      </c>
      <c r="AW78">
        <v>2</v>
      </c>
      <c r="AX78">
        <v>51354161</v>
      </c>
      <c r="AY78">
        <v>2</v>
      </c>
      <c r="AZ78">
        <v>98304</v>
      </c>
      <c r="BA78">
        <v>80</v>
      </c>
      <c r="BB78">
        <v>1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231.45500000000001</v>
      </c>
      <c r="BL78">
        <v>137.69660000000002</v>
      </c>
      <c r="BM78">
        <v>0</v>
      </c>
      <c r="BN78">
        <v>0</v>
      </c>
      <c r="BO78">
        <v>0.34</v>
      </c>
      <c r="BP78">
        <v>1</v>
      </c>
      <c r="BQ78">
        <v>0</v>
      </c>
      <c r="BR78">
        <v>231.45500000000001</v>
      </c>
      <c r="BS78">
        <v>137.69660000000002</v>
      </c>
      <c r="BT78">
        <v>0</v>
      </c>
      <c r="BU78">
        <v>0</v>
      </c>
      <c r="BV78">
        <v>0.34</v>
      </c>
      <c r="BW78">
        <v>1</v>
      </c>
      <c r="CV78">
        <v>0</v>
      </c>
      <c r="CW78">
        <f>ROUND(Y78*Source!I48*DO78,7)</f>
        <v>3.4000000000000002E-2</v>
      </c>
      <c r="CX78">
        <f>ROUND(Y78*Source!I48,7)</f>
        <v>3.4000000000000002E-2</v>
      </c>
      <c r="CY78">
        <f>AB78</f>
        <v>680.75</v>
      </c>
      <c r="CZ78">
        <f>AF78</f>
        <v>680.75</v>
      </c>
      <c r="DA78">
        <f>AJ78</f>
        <v>1</v>
      </c>
      <c r="DB78">
        <f t="shared" si="24"/>
        <v>231.46</v>
      </c>
      <c r="DC78">
        <f t="shared" si="25"/>
        <v>137.69999999999999</v>
      </c>
      <c r="DD78" t="s">
        <v>3</v>
      </c>
      <c r="DE78" t="s">
        <v>3</v>
      </c>
      <c r="DF78">
        <f>ROUND(ROUND(AE78,2)*CX78,2)</f>
        <v>0</v>
      </c>
      <c r="DG78">
        <f>ROUND(ROUND(AF78,2)*CX78,2)</f>
        <v>23.15</v>
      </c>
      <c r="DH78">
        <f t="shared" si="21"/>
        <v>13.77</v>
      </c>
      <c r="DI78">
        <f t="shared" si="22"/>
        <v>0</v>
      </c>
      <c r="DJ78">
        <f>DG78+DH78</f>
        <v>36.92</v>
      </c>
      <c r="DK78">
        <v>1</v>
      </c>
      <c r="DL78" t="s">
        <v>385</v>
      </c>
      <c r="DM78">
        <v>4</v>
      </c>
      <c r="DN78" t="s">
        <v>357</v>
      </c>
      <c r="DO78">
        <v>1</v>
      </c>
    </row>
    <row r="79" spans="1:119" x14ac:dyDescent="0.2">
      <c r="A79">
        <f>ROW(Source!A48)</f>
        <v>48</v>
      </c>
      <c r="B79">
        <v>55858619</v>
      </c>
      <c r="C79">
        <v>51354076</v>
      </c>
      <c r="D79">
        <v>50097411</v>
      </c>
      <c r="E79">
        <v>1</v>
      </c>
      <c r="F79">
        <v>1</v>
      </c>
      <c r="G79">
        <v>1</v>
      </c>
      <c r="H79">
        <v>2</v>
      </c>
      <c r="I79" t="s">
        <v>435</v>
      </c>
      <c r="J79" t="s">
        <v>436</v>
      </c>
      <c r="K79" t="s">
        <v>437</v>
      </c>
      <c r="L79">
        <v>1368</v>
      </c>
      <c r="N79">
        <v>1011</v>
      </c>
      <c r="O79" t="s">
        <v>363</v>
      </c>
      <c r="P79" t="s">
        <v>363</v>
      </c>
      <c r="Q79">
        <v>1</v>
      </c>
      <c r="W79">
        <v>0</v>
      </c>
      <c r="X79">
        <v>-1270341665</v>
      </c>
      <c r="Y79">
        <f t="shared" si="23"/>
        <v>1.25</v>
      </c>
      <c r="AA79">
        <v>0</v>
      </c>
      <c r="AB79">
        <v>10.18</v>
      </c>
      <c r="AC79">
        <v>0</v>
      </c>
      <c r="AD79">
        <v>0</v>
      </c>
      <c r="AE79">
        <v>0</v>
      </c>
      <c r="AF79">
        <v>6.36</v>
      </c>
      <c r="AG79">
        <v>0</v>
      </c>
      <c r="AH79">
        <v>0</v>
      </c>
      <c r="AI79">
        <v>1</v>
      </c>
      <c r="AJ79">
        <v>1.6</v>
      </c>
      <c r="AK79">
        <v>1</v>
      </c>
      <c r="AL79">
        <v>1</v>
      </c>
      <c r="AM79">
        <v>2</v>
      </c>
      <c r="AN79">
        <v>0</v>
      </c>
      <c r="AO79">
        <v>0</v>
      </c>
      <c r="AP79">
        <v>1</v>
      </c>
      <c r="AQ79">
        <v>1</v>
      </c>
      <c r="AR79">
        <v>0</v>
      </c>
      <c r="AS79" t="s">
        <v>3</v>
      </c>
      <c r="AT79">
        <v>1.25</v>
      </c>
      <c r="AU79" t="s">
        <v>3</v>
      </c>
      <c r="AV79">
        <v>1</v>
      </c>
      <c r="AW79">
        <v>2</v>
      </c>
      <c r="AX79">
        <v>51354162</v>
      </c>
      <c r="AY79">
        <v>2</v>
      </c>
      <c r="AZ79">
        <v>32768</v>
      </c>
      <c r="BA79">
        <v>81</v>
      </c>
      <c r="BB79">
        <v>1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7.95</v>
      </c>
      <c r="BL79">
        <v>0</v>
      </c>
      <c r="BM79">
        <v>0</v>
      </c>
      <c r="BN79">
        <v>0</v>
      </c>
      <c r="BO79">
        <v>0</v>
      </c>
      <c r="BP79">
        <v>1</v>
      </c>
      <c r="BQ79">
        <v>0</v>
      </c>
      <c r="BR79">
        <v>7.95</v>
      </c>
      <c r="BS79">
        <v>0</v>
      </c>
      <c r="BT79">
        <v>0</v>
      </c>
      <c r="BU79">
        <v>0</v>
      </c>
      <c r="BV79">
        <v>0</v>
      </c>
      <c r="BW79">
        <v>1</v>
      </c>
      <c r="CV79">
        <v>0</v>
      </c>
      <c r="CW79">
        <f>ROUND(Y79*Source!I48*DO79,7)</f>
        <v>0</v>
      </c>
      <c r="CX79">
        <f>ROUND(Y79*Source!I48,7)</f>
        <v>0.125</v>
      </c>
      <c r="CY79">
        <f>AB79</f>
        <v>10.18</v>
      </c>
      <c r="CZ79">
        <f>AF79</f>
        <v>6.36</v>
      </c>
      <c r="DA79">
        <f>AJ79</f>
        <v>1.6</v>
      </c>
      <c r="DB79">
        <f t="shared" si="24"/>
        <v>7.95</v>
      </c>
      <c r="DC79">
        <f t="shared" si="25"/>
        <v>0</v>
      </c>
      <c r="DD79" t="s">
        <v>3</v>
      </c>
      <c r="DE79" t="s">
        <v>3</v>
      </c>
      <c r="DF79">
        <f>ROUND(ROUND(AE79,2)*CX79,2)</f>
        <v>0</v>
      </c>
      <c r="DG79">
        <f>ROUND(ROUND(AF79*AJ79,2)*CX79,2)</f>
        <v>1.27</v>
      </c>
      <c r="DH79">
        <f t="shared" si="21"/>
        <v>0</v>
      </c>
      <c r="DI79">
        <f t="shared" si="22"/>
        <v>0</v>
      </c>
      <c r="DJ79">
        <f>DG79+DH79</f>
        <v>1.27</v>
      </c>
      <c r="DK79">
        <v>0</v>
      </c>
      <c r="DL79" t="s">
        <v>3</v>
      </c>
      <c r="DM79">
        <v>0</v>
      </c>
      <c r="DN79" t="s">
        <v>3</v>
      </c>
      <c r="DO79">
        <v>0</v>
      </c>
    </row>
    <row r="80" spans="1:119" x14ac:dyDescent="0.2">
      <c r="A80">
        <f>ROW(Source!A48)</f>
        <v>48</v>
      </c>
      <c r="B80">
        <v>55858619</v>
      </c>
      <c r="C80">
        <v>51354076</v>
      </c>
      <c r="D80">
        <v>50042688</v>
      </c>
      <c r="E80">
        <v>1</v>
      </c>
      <c r="F80">
        <v>1</v>
      </c>
      <c r="G80">
        <v>1</v>
      </c>
      <c r="H80">
        <v>3</v>
      </c>
      <c r="I80" t="s">
        <v>163</v>
      </c>
      <c r="J80" t="s">
        <v>165</v>
      </c>
      <c r="K80" t="s">
        <v>164</v>
      </c>
      <c r="L80">
        <v>1327</v>
      </c>
      <c r="N80">
        <v>1005</v>
      </c>
      <c r="O80" t="s">
        <v>69</v>
      </c>
      <c r="P80" t="s">
        <v>69</v>
      </c>
      <c r="Q80">
        <v>1</v>
      </c>
      <c r="W80">
        <v>0</v>
      </c>
      <c r="X80">
        <v>-2108692517</v>
      </c>
      <c r="Y80">
        <f t="shared" si="23"/>
        <v>25</v>
      </c>
      <c r="AA80">
        <v>1634.33</v>
      </c>
      <c r="AB80">
        <v>0</v>
      </c>
      <c r="AC80">
        <v>0</v>
      </c>
      <c r="AD80">
        <v>0</v>
      </c>
      <c r="AE80">
        <v>1373.39</v>
      </c>
      <c r="AF80">
        <v>0</v>
      </c>
      <c r="AG80">
        <v>0</v>
      </c>
      <c r="AH80">
        <v>0</v>
      </c>
      <c r="AI80">
        <v>1.19</v>
      </c>
      <c r="AJ80">
        <v>1</v>
      </c>
      <c r="AK80">
        <v>1</v>
      </c>
      <c r="AL80">
        <v>1</v>
      </c>
      <c r="AM80">
        <v>2</v>
      </c>
      <c r="AN80">
        <v>0</v>
      </c>
      <c r="AO80">
        <v>0</v>
      </c>
      <c r="AP80">
        <v>1</v>
      </c>
      <c r="AQ80">
        <v>0</v>
      </c>
      <c r="AR80">
        <v>0</v>
      </c>
      <c r="AS80" t="s">
        <v>3</v>
      </c>
      <c r="AT80">
        <v>25</v>
      </c>
      <c r="AU80" t="s">
        <v>3</v>
      </c>
      <c r="AV80">
        <v>0</v>
      </c>
      <c r="AW80">
        <v>1</v>
      </c>
      <c r="AX80">
        <v>-1</v>
      </c>
      <c r="AY80">
        <v>0</v>
      </c>
      <c r="AZ80">
        <v>0</v>
      </c>
      <c r="BA80" t="s">
        <v>3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V80">
        <v>0</v>
      </c>
      <c r="CW80">
        <v>0</v>
      </c>
      <c r="CX80">
        <f>ROUND(Y80*Source!I48,7)</f>
        <v>2.5</v>
      </c>
      <c r="CY80">
        <f>AA80</f>
        <v>1634.33</v>
      </c>
      <c r="CZ80">
        <f>AE80</f>
        <v>1373.39</v>
      </c>
      <c r="DA80">
        <f>AI80</f>
        <v>1.19</v>
      </c>
      <c r="DB80">
        <f t="shared" si="24"/>
        <v>34334.75</v>
      </c>
      <c r="DC80">
        <f t="shared" si="25"/>
        <v>0</v>
      </c>
      <c r="DD80" t="s">
        <v>3</v>
      </c>
      <c r="DE80" t="s">
        <v>3</v>
      </c>
      <c r="DF80">
        <f>ROUND(ROUND(AE80*AI80,2)*CX80,2)</f>
        <v>4085.83</v>
      </c>
      <c r="DG80">
        <f t="shared" ref="DG80:DG85" si="26">ROUND(ROUND(AF80,2)*CX80,2)</f>
        <v>0</v>
      </c>
      <c r="DH80">
        <f t="shared" si="21"/>
        <v>0</v>
      </c>
      <c r="DI80">
        <f t="shared" si="22"/>
        <v>0</v>
      </c>
      <c r="DJ80">
        <f>DF80</f>
        <v>4085.83</v>
      </c>
      <c r="DK80">
        <v>0</v>
      </c>
      <c r="DL80" t="s">
        <v>3</v>
      </c>
      <c r="DM80">
        <v>0</v>
      </c>
      <c r="DN80" t="s">
        <v>3</v>
      </c>
      <c r="DO80">
        <v>0</v>
      </c>
    </row>
    <row r="81" spans="1:119" x14ac:dyDescent="0.2">
      <c r="A81">
        <f>ROW(Source!A48)</f>
        <v>48</v>
      </c>
      <c r="B81">
        <v>55858619</v>
      </c>
      <c r="C81">
        <v>51354076</v>
      </c>
      <c r="D81">
        <v>50061521</v>
      </c>
      <c r="E81">
        <v>1</v>
      </c>
      <c r="F81">
        <v>1</v>
      </c>
      <c r="G81">
        <v>1</v>
      </c>
      <c r="H81">
        <v>3</v>
      </c>
      <c r="I81" t="s">
        <v>167</v>
      </c>
      <c r="J81" t="s">
        <v>169</v>
      </c>
      <c r="K81" t="s">
        <v>168</v>
      </c>
      <c r="L81">
        <v>1346</v>
      </c>
      <c r="N81">
        <v>1009</v>
      </c>
      <c r="O81" t="s">
        <v>82</v>
      </c>
      <c r="P81" t="s">
        <v>82</v>
      </c>
      <c r="Q81">
        <v>1</v>
      </c>
      <c r="W81">
        <v>0</v>
      </c>
      <c r="X81">
        <v>41432369</v>
      </c>
      <c r="Y81">
        <f t="shared" si="23"/>
        <v>8</v>
      </c>
      <c r="AA81">
        <v>348.72</v>
      </c>
      <c r="AB81">
        <v>0</v>
      </c>
      <c r="AC81">
        <v>0</v>
      </c>
      <c r="AD81">
        <v>0</v>
      </c>
      <c r="AE81">
        <v>223.54</v>
      </c>
      <c r="AF81">
        <v>0</v>
      </c>
      <c r="AG81">
        <v>0</v>
      </c>
      <c r="AH81">
        <v>0</v>
      </c>
      <c r="AI81">
        <v>1.56</v>
      </c>
      <c r="AJ81">
        <v>1</v>
      </c>
      <c r="AK81">
        <v>1</v>
      </c>
      <c r="AL81">
        <v>1</v>
      </c>
      <c r="AM81">
        <v>2</v>
      </c>
      <c r="AN81">
        <v>0</v>
      </c>
      <c r="AO81">
        <v>0</v>
      </c>
      <c r="AP81">
        <v>1</v>
      </c>
      <c r="AQ81">
        <v>0</v>
      </c>
      <c r="AR81">
        <v>0</v>
      </c>
      <c r="AS81" t="s">
        <v>3</v>
      </c>
      <c r="AT81">
        <v>8</v>
      </c>
      <c r="AU81" t="s">
        <v>3</v>
      </c>
      <c r="AV81">
        <v>0</v>
      </c>
      <c r="AW81">
        <v>1</v>
      </c>
      <c r="AX81">
        <v>-1</v>
      </c>
      <c r="AY81">
        <v>0</v>
      </c>
      <c r="AZ81">
        <v>0</v>
      </c>
      <c r="BA81" t="s">
        <v>3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V81">
        <v>0</v>
      </c>
      <c r="CW81">
        <v>0</v>
      </c>
      <c r="CX81">
        <f>ROUND(Y81*Source!I48,7)</f>
        <v>0.8</v>
      </c>
      <c r="CY81">
        <f>AA81</f>
        <v>348.72</v>
      </c>
      <c r="CZ81">
        <f>AE81</f>
        <v>223.54</v>
      </c>
      <c r="DA81">
        <f>AI81</f>
        <v>1.56</v>
      </c>
      <c r="DB81">
        <f t="shared" si="24"/>
        <v>1788.32</v>
      </c>
      <c r="DC81">
        <f t="shared" si="25"/>
        <v>0</v>
      </c>
      <c r="DD81" t="s">
        <v>3</v>
      </c>
      <c r="DE81" t="s">
        <v>3</v>
      </c>
      <c r="DF81">
        <f>ROUND(ROUND(AE81*AI81,2)*CX81,2)</f>
        <v>278.98</v>
      </c>
      <c r="DG81">
        <f t="shared" si="26"/>
        <v>0</v>
      </c>
      <c r="DH81">
        <f t="shared" si="21"/>
        <v>0</v>
      </c>
      <c r="DI81">
        <f t="shared" si="22"/>
        <v>0</v>
      </c>
      <c r="DJ81">
        <f>DF81</f>
        <v>278.98</v>
      </c>
      <c r="DK81">
        <v>0</v>
      </c>
      <c r="DL81" t="s">
        <v>3</v>
      </c>
      <c r="DM81">
        <v>0</v>
      </c>
      <c r="DN81" t="s">
        <v>3</v>
      </c>
      <c r="DO81">
        <v>0</v>
      </c>
    </row>
    <row r="82" spans="1:119" x14ac:dyDescent="0.2">
      <c r="A82">
        <f>ROW(Source!A48)</f>
        <v>48</v>
      </c>
      <c r="B82">
        <v>55858619</v>
      </c>
      <c r="C82">
        <v>51354076</v>
      </c>
      <c r="D82">
        <v>50061911</v>
      </c>
      <c r="E82">
        <v>1</v>
      </c>
      <c r="F82">
        <v>1</v>
      </c>
      <c r="G82">
        <v>1</v>
      </c>
      <c r="H82">
        <v>3</v>
      </c>
      <c r="I82" t="s">
        <v>171</v>
      </c>
      <c r="J82" t="s">
        <v>173</v>
      </c>
      <c r="K82" t="s">
        <v>172</v>
      </c>
      <c r="L82">
        <v>1348</v>
      </c>
      <c r="N82">
        <v>1009</v>
      </c>
      <c r="O82" t="s">
        <v>29</v>
      </c>
      <c r="P82" t="s">
        <v>29</v>
      </c>
      <c r="Q82">
        <v>1000</v>
      </c>
      <c r="W82">
        <v>0</v>
      </c>
      <c r="X82">
        <v>-191797650</v>
      </c>
      <c r="Y82">
        <f t="shared" si="23"/>
        <v>2.5000000000000001E-3</v>
      </c>
      <c r="AA82">
        <v>245054.43</v>
      </c>
      <c r="AB82">
        <v>0</v>
      </c>
      <c r="AC82">
        <v>0</v>
      </c>
      <c r="AD82">
        <v>0</v>
      </c>
      <c r="AE82">
        <v>178871.85</v>
      </c>
      <c r="AF82">
        <v>0</v>
      </c>
      <c r="AG82">
        <v>0</v>
      </c>
      <c r="AH82">
        <v>0</v>
      </c>
      <c r="AI82">
        <v>1.37</v>
      </c>
      <c r="AJ82">
        <v>1</v>
      </c>
      <c r="AK82">
        <v>1</v>
      </c>
      <c r="AL82">
        <v>1</v>
      </c>
      <c r="AM82">
        <v>2</v>
      </c>
      <c r="AN82">
        <v>0</v>
      </c>
      <c r="AO82">
        <v>0</v>
      </c>
      <c r="AP82">
        <v>1</v>
      </c>
      <c r="AQ82">
        <v>0</v>
      </c>
      <c r="AR82">
        <v>0</v>
      </c>
      <c r="AS82" t="s">
        <v>3</v>
      </c>
      <c r="AT82">
        <v>2.5000000000000001E-3</v>
      </c>
      <c r="AU82" t="s">
        <v>3</v>
      </c>
      <c r="AV82">
        <v>0</v>
      </c>
      <c r="AW82">
        <v>1</v>
      </c>
      <c r="AX82">
        <v>-1</v>
      </c>
      <c r="AY82">
        <v>0</v>
      </c>
      <c r="AZ82">
        <v>0</v>
      </c>
      <c r="BA82" t="s">
        <v>3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V82">
        <v>0</v>
      </c>
      <c r="CW82">
        <v>0</v>
      </c>
      <c r="CX82">
        <f>ROUND(Y82*Source!I48,7)</f>
        <v>2.5000000000000001E-4</v>
      </c>
      <c r="CY82">
        <f>AA82</f>
        <v>245054.43</v>
      </c>
      <c r="CZ82">
        <f>AE82</f>
        <v>178871.85</v>
      </c>
      <c r="DA82">
        <f>AI82</f>
        <v>1.37</v>
      </c>
      <c r="DB82">
        <f t="shared" si="24"/>
        <v>447.18</v>
      </c>
      <c r="DC82">
        <f t="shared" si="25"/>
        <v>0</v>
      </c>
      <c r="DD82" t="s">
        <v>3</v>
      </c>
      <c r="DE82" t="s">
        <v>3</v>
      </c>
      <c r="DF82">
        <f>ROUND(ROUND(AE82*AI82,2)*CX82,2)</f>
        <v>61.26</v>
      </c>
      <c r="DG82">
        <f t="shared" si="26"/>
        <v>0</v>
      </c>
      <c r="DH82">
        <f t="shared" si="21"/>
        <v>0</v>
      </c>
      <c r="DI82">
        <f t="shared" si="22"/>
        <v>0</v>
      </c>
      <c r="DJ82">
        <f>DF82</f>
        <v>61.26</v>
      </c>
      <c r="DK82">
        <v>0</v>
      </c>
      <c r="DL82" t="s">
        <v>3</v>
      </c>
      <c r="DM82">
        <v>0</v>
      </c>
      <c r="DN82" t="s">
        <v>3</v>
      </c>
      <c r="DO82">
        <v>0</v>
      </c>
    </row>
    <row r="83" spans="1:119" x14ac:dyDescent="0.2">
      <c r="A83">
        <f>ROW(Source!A52)</f>
        <v>52</v>
      </c>
      <c r="B83">
        <v>55858619</v>
      </c>
      <c r="C83">
        <v>51354096</v>
      </c>
      <c r="D83">
        <v>49971079</v>
      </c>
      <c r="E83">
        <v>114</v>
      </c>
      <c r="F83">
        <v>1</v>
      </c>
      <c r="G83">
        <v>1</v>
      </c>
      <c r="H83">
        <v>1</v>
      </c>
      <c r="I83" t="s">
        <v>373</v>
      </c>
      <c r="J83" t="s">
        <v>3</v>
      </c>
      <c r="K83" t="s">
        <v>374</v>
      </c>
      <c r="L83">
        <v>1191</v>
      </c>
      <c r="N83">
        <v>1013</v>
      </c>
      <c r="O83" t="s">
        <v>357</v>
      </c>
      <c r="P83" t="s">
        <v>357</v>
      </c>
      <c r="Q83">
        <v>1</v>
      </c>
      <c r="W83">
        <v>0</v>
      </c>
      <c r="X83">
        <v>370475345</v>
      </c>
      <c r="Y83">
        <f t="shared" si="23"/>
        <v>25.7</v>
      </c>
      <c r="AA83">
        <v>0</v>
      </c>
      <c r="AB83">
        <v>0</v>
      </c>
      <c r="AC83">
        <v>0</v>
      </c>
      <c r="AD83">
        <v>329.43</v>
      </c>
      <c r="AE83">
        <v>0</v>
      </c>
      <c r="AF83">
        <v>0</v>
      </c>
      <c r="AG83">
        <v>0</v>
      </c>
      <c r="AH83">
        <v>329.43</v>
      </c>
      <c r="AI83">
        <v>1</v>
      </c>
      <c r="AJ83">
        <v>1</v>
      </c>
      <c r="AK83">
        <v>1</v>
      </c>
      <c r="AL83">
        <v>1</v>
      </c>
      <c r="AM83">
        <v>-2</v>
      </c>
      <c r="AN83">
        <v>0</v>
      </c>
      <c r="AO83">
        <v>0</v>
      </c>
      <c r="AP83">
        <v>0</v>
      </c>
      <c r="AQ83">
        <v>1</v>
      </c>
      <c r="AR83">
        <v>0</v>
      </c>
      <c r="AS83" t="s">
        <v>3</v>
      </c>
      <c r="AT83">
        <v>25.7</v>
      </c>
      <c r="AU83" t="s">
        <v>3</v>
      </c>
      <c r="AV83">
        <v>1</v>
      </c>
      <c r="AW83">
        <v>2</v>
      </c>
      <c r="AX83">
        <v>51354097</v>
      </c>
      <c r="AY83">
        <v>2</v>
      </c>
      <c r="AZ83">
        <v>131072</v>
      </c>
      <c r="BA83">
        <v>85</v>
      </c>
      <c r="BB83">
        <v>1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8466.3510000000006</v>
      </c>
      <c r="BN83">
        <v>25.7</v>
      </c>
      <c r="BO83">
        <v>0</v>
      </c>
      <c r="BP83">
        <v>1</v>
      </c>
      <c r="BQ83">
        <v>0</v>
      </c>
      <c r="BR83">
        <v>0</v>
      </c>
      <c r="BS83">
        <v>0</v>
      </c>
      <c r="BT83">
        <v>8466.3510000000006</v>
      </c>
      <c r="BU83">
        <v>25.7</v>
      </c>
      <c r="BV83">
        <v>0</v>
      </c>
      <c r="BW83">
        <v>1</v>
      </c>
      <c r="CU83">
        <f>ROUND(AT83*Source!I52*AH83*AL83,2)</f>
        <v>2539.91</v>
      </c>
      <c r="CV83">
        <f>ROUND(Y83*Source!I52,7)</f>
        <v>7.71</v>
      </c>
      <c r="CW83">
        <v>0</v>
      </c>
      <c r="CX83">
        <f>ROUND(Y83*Source!I52,7)</f>
        <v>7.71</v>
      </c>
      <c r="CY83">
        <f>AD83</f>
        <v>329.43</v>
      </c>
      <c r="CZ83">
        <f>AH83</f>
        <v>329.43</v>
      </c>
      <c r="DA83">
        <f>AL83</f>
        <v>1</v>
      </c>
      <c r="DB83">
        <f t="shared" si="24"/>
        <v>8466.35</v>
      </c>
      <c r="DC83">
        <f t="shared" si="25"/>
        <v>0</v>
      </c>
      <c r="DD83" t="s">
        <v>3</v>
      </c>
      <c r="DE83" t="s">
        <v>3</v>
      </c>
      <c r="DF83">
        <f>ROUND(ROUND(AE83,2)*CX83,2)</f>
        <v>0</v>
      </c>
      <c r="DG83">
        <f t="shared" si="26"/>
        <v>0</v>
      </c>
      <c r="DH83">
        <f t="shared" si="21"/>
        <v>0</v>
      </c>
      <c r="DI83">
        <f t="shared" si="22"/>
        <v>2539.91</v>
      </c>
      <c r="DJ83">
        <f>DI83</f>
        <v>2539.91</v>
      </c>
      <c r="DK83">
        <v>1</v>
      </c>
      <c r="DL83" t="s">
        <v>3</v>
      </c>
      <c r="DM83">
        <v>0</v>
      </c>
      <c r="DN83" t="s">
        <v>3</v>
      </c>
      <c r="DO83">
        <v>0</v>
      </c>
    </row>
    <row r="84" spans="1:119" x14ac:dyDescent="0.2">
      <c r="A84">
        <f>ROW(Source!A53)</f>
        <v>53</v>
      </c>
      <c r="B84">
        <v>55858619</v>
      </c>
      <c r="C84">
        <v>51354098</v>
      </c>
      <c r="D84">
        <v>49971143</v>
      </c>
      <c r="E84">
        <v>114</v>
      </c>
      <c r="F84">
        <v>1</v>
      </c>
      <c r="G84">
        <v>1</v>
      </c>
      <c r="H84">
        <v>1</v>
      </c>
      <c r="I84" t="s">
        <v>418</v>
      </c>
      <c r="J84" t="s">
        <v>3</v>
      </c>
      <c r="K84" t="s">
        <v>419</v>
      </c>
      <c r="L84">
        <v>1191</v>
      </c>
      <c r="N84">
        <v>1013</v>
      </c>
      <c r="O84" t="s">
        <v>357</v>
      </c>
      <c r="P84" t="s">
        <v>357</v>
      </c>
      <c r="Q84">
        <v>1</v>
      </c>
      <c r="W84">
        <v>0</v>
      </c>
      <c r="X84">
        <v>888410196</v>
      </c>
      <c r="Y84">
        <f>(AT84*ROUND(1.15,7))</f>
        <v>5.3475000000000001</v>
      </c>
      <c r="AA84">
        <v>0</v>
      </c>
      <c r="AB84">
        <v>0</v>
      </c>
      <c r="AC84">
        <v>0</v>
      </c>
      <c r="AD84">
        <v>404.99</v>
      </c>
      <c r="AE84">
        <v>0</v>
      </c>
      <c r="AF84">
        <v>0</v>
      </c>
      <c r="AG84">
        <v>0</v>
      </c>
      <c r="AH84">
        <v>404.99</v>
      </c>
      <c r="AI84">
        <v>1</v>
      </c>
      <c r="AJ84">
        <v>1</v>
      </c>
      <c r="AK84">
        <v>1</v>
      </c>
      <c r="AL84">
        <v>1</v>
      </c>
      <c r="AM84">
        <v>-2</v>
      </c>
      <c r="AN84">
        <v>0</v>
      </c>
      <c r="AO84">
        <v>0</v>
      </c>
      <c r="AP84">
        <v>1</v>
      </c>
      <c r="AQ84">
        <v>1</v>
      </c>
      <c r="AR84">
        <v>0</v>
      </c>
      <c r="AS84" t="s">
        <v>3</v>
      </c>
      <c r="AT84">
        <v>4.6500000000000004</v>
      </c>
      <c r="AU84" t="s">
        <v>47</v>
      </c>
      <c r="AV84">
        <v>1</v>
      </c>
      <c r="AW84">
        <v>2</v>
      </c>
      <c r="AX84">
        <v>51354099</v>
      </c>
      <c r="AY84">
        <v>2</v>
      </c>
      <c r="AZ84">
        <v>131072</v>
      </c>
      <c r="BA84">
        <v>86</v>
      </c>
      <c r="BB84">
        <v>1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1883.2035000000001</v>
      </c>
      <c r="BN84">
        <v>4.6500000000000004</v>
      </c>
      <c r="BO84">
        <v>0</v>
      </c>
      <c r="BP84">
        <v>1</v>
      </c>
      <c r="BQ84">
        <v>0</v>
      </c>
      <c r="BR84">
        <v>0</v>
      </c>
      <c r="BS84">
        <v>0</v>
      </c>
      <c r="BT84">
        <v>2165.684025</v>
      </c>
      <c r="BU84">
        <v>5.3475000000000001</v>
      </c>
      <c r="BV84">
        <v>0</v>
      </c>
      <c r="BW84">
        <v>1</v>
      </c>
      <c r="CU84">
        <f>ROUND(AT84*Source!I53*AH84*AL84,2)</f>
        <v>564.96</v>
      </c>
      <c r="CV84">
        <f>ROUND(Y84*Source!I53,7)</f>
        <v>1.60425</v>
      </c>
      <c r="CW84">
        <v>0</v>
      </c>
      <c r="CX84">
        <f>ROUND(Y84*Source!I53,7)</f>
        <v>1.60425</v>
      </c>
      <c r="CY84">
        <f>AD84</f>
        <v>404.99</v>
      </c>
      <c r="CZ84">
        <f>AH84</f>
        <v>404.99</v>
      </c>
      <c r="DA84">
        <f>AL84</f>
        <v>1</v>
      </c>
      <c r="DB84">
        <f>ROUND((ROUND(AT84*CZ84,2)*ROUND(1.15,7)),6)</f>
        <v>2165.6799999999998</v>
      </c>
      <c r="DC84">
        <f>ROUND((ROUND(AT84*AG84,2)*ROUND(1.15,7)),6)</f>
        <v>0</v>
      </c>
      <c r="DD84" t="s">
        <v>3</v>
      </c>
      <c r="DE84" t="s">
        <v>3</v>
      </c>
      <c r="DF84">
        <f>ROUND(ROUND(AE84,2)*CX84,2)</f>
        <v>0</v>
      </c>
      <c r="DG84">
        <f t="shared" si="26"/>
        <v>0</v>
      </c>
      <c r="DH84">
        <f t="shared" si="21"/>
        <v>0</v>
      </c>
      <c r="DI84">
        <f t="shared" si="22"/>
        <v>649.71</v>
      </c>
      <c r="DJ84">
        <f>DI84</f>
        <v>649.71</v>
      </c>
      <c r="DK84">
        <v>1</v>
      </c>
      <c r="DL84" t="s">
        <v>3</v>
      </c>
      <c r="DM84">
        <v>0</v>
      </c>
      <c r="DN84" t="s">
        <v>3</v>
      </c>
      <c r="DO84">
        <v>0</v>
      </c>
    </row>
    <row r="85" spans="1:119" x14ac:dyDescent="0.2">
      <c r="A85">
        <f>ROW(Source!A53)</f>
        <v>53</v>
      </c>
      <c r="B85">
        <v>55858619</v>
      </c>
      <c r="C85">
        <v>51354098</v>
      </c>
      <c r="D85">
        <v>49971314</v>
      </c>
      <c r="E85">
        <v>114</v>
      </c>
      <c r="F85">
        <v>1</v>
      </c>
      <c r="G85">
        <v>1</v>
      </c>
      <c r="H85">
        <v>1</v>
      </c>
      <c r="I85" t="s">
        <v>358</v>
      </c>
      <c r="J85" t="s">
        <v>3</v>
      </c>
      <c r="K85" t="s">
        <v>359</v>
      </c>
      <c r="L85">
        <v>1191</v>
      </c>
      <c r="N85">
        <v>1013</v>
      </c>
      <c r="O85" t="s">
        <v>357</v>
      </c>
      <c r="P85" t="s">
        <v>357</v>
      </c>
      <c r="Q85">
        <v>1</v>
      </c>
      <c r="W85">
        <v>0</v>
      </c>
      <c r="X85">
        <v>-1417349443</v>
      </c>
      <c r="Y85">
        <f>(AT85*ROUND(1.25,7))</f>
        <v>2.5000000000000001E-2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1</v>
      </c>
      <c r="AJ85">
        <v>1</v>
      </c>
      <c r="AK85">
        <v>1</v>
      </c>
      <c r="AL85">
        <v>1</v>
      </c>
      <c r="AM85">
        <v>-2</v>
      </c>
      <c r="AN85">
        <v>0</v>
      </c>
      <c r="AO85">
        <v>0</v>
      </c>
      <c r="AP85">
        <v>1</v>
      </c>
      <c r="AQ85">
        <v>1</v>
      </c>
      <c r="AR85">
        <v>0</v>
      </c>
      <c r="AS85" t="s">
        <v>3</v>
      </c>
      <c r="AT85">
        <v>0.02</v>
      </c>
      <c r="AU85" t="s">
        <v>46</v>
      </c>
      <c r="AV85">
        <v>2</v>
      </c>
      <c r="AW85">
        <v>2</v>
      </c>
      <c r="AX85">
        <v>51354100</v>
      </c>
      <c r="AY85">
        <v>1</v>
      </c>
      <c r="AZ85">
        <v>0</v>
      </c>
      <c r="BA85">
        <v>87</v>
      </c>
      <c r="BB85">
        <v>1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V85">
        <v>0</v>
      </c>
      <c r="CW85">
        <v>0</v>
      </c>
      <c r="CX85">
        <f>ROUND(Y85*Source!I53,7)</f>
        <v>7.4999999999999997E-3</v>
      </c>
      <c r="CY85">
        <f>AD85</f>
        <v>0</v>
      </c>
      <c r="CZ85">
        <f>AH85</f>
        <v>0</v>
      </c>
      <c r="DA85">
        <f>AL85</f>
        <v>1</v>
      </c>
      <c r="DB85">
        <f>ROUND((ROUND(AT85*CZ85,2)*ROUND(1.25,7)),6)</f>
        <v>0</v>
      </c>
      <c r="DC85">
        <f>ROUND((ROUND(AT85*AG85,2)*ROUND(1.25,7)),6)</f>
        <v>0</v>
      </c>
      <c r="DD85" t="s">
        <v>3</v>
      </c>
      <c r="DE85" t="s">
        <v>3</v>
      </c>
      <c r="DF85">
        <f>ROUND(ROUND(AE85,2)*CX85,2)</f>
        <v>0</v>
      </c>
      <c r="DG85">
        <f t="shared" si="26"/>
        <v>0</v>
      </c>
      <c r="DH85">
        <f t="shared" si="21"/>
        <v>0</v>
      </c>
      <c r="DI85">
        <f t="shared" si="22"/>
        <v>0</v>
      </c>
      <c r="DJ85">
        <f>DI85</f>
        <v>0</v>
      </c>
      <c r="DK85">
        <v>0</v>
      </c>
      <c r="DL85" t="s">
        <v>3</v>
      </c>
      <c r="DM85">
        <v>0</v>
      </c>
      <c r="DN85" t="s">
        <v>3</v>
      </c>
      <c r="DO85">
        <v>0</v>
      </c>
    </row>
    <row r="86" spans="1:119" x14ac:dyDescent="0.2">
      <c r="A86">
        <f>ROW(Source!A53)</f>
        <v>53</v>
      </c>
      <c r="B86">
        <v>55858619</v>
      </c>
      <c r="C86">
        <v>51354098</v>
      </c>
      <c r="D86">
        <v>50095945</v>
      </c>
      <c r="E86">
        <v>1</v>
      </c>
      <c r="F86">
        <v>1</v>
      </c>
      <c r="G86">
        <v>1</v>
      </c>
      <c r="H86">
        <v>2</v>
      </c>
      <c r="I86" t="s">
        <v>360</v>
      </c>
      <c r="J86" t="s">
        <v>361</v>
      </c>
      <c r="K86" t="s">
        <v>362</v>
      </c>
      <c r="L86">
        <v>1368</v>
      </c>
      <c r="N86">
        <v>1011</v>
      </c>
      <c r="O86" t="s">
        <v>363</v>
      </c>
      <c r="P86" t="s">
        <v>363</v>
      </c>
      <c r="Q86">
        <v>1</v>
      </c>
      <c r="W86">
        <v>0</v>
      </c>
      <c r="X86">
        <v>-92307625</v>
      </c>
      <c r="Y86">
        <f>(AT86*ROUND(1.25,7))</f>
        <v>1.2500000000000001E-2</v>
      </c>
      <c r="AA86">
        <v>0</v>
      </c>
      <c r="AB86">
        <v>60.83</v>
      </c>
      <c r="AC86">
        <v>359.65</v>
      </c>
      <c r="AD86">
        <v>0</v>
      </c>
      <c r="AE86">
        <v>0</v>
      </c>
      <c r="AF86">
        <v>37.32</v>
      </c>
      <c r="AG86">
        <v>359.65</v>
      </c>
      <c r="AH86">
        <v>0</v>
      </c>
      <c r="AI86">
        <v>1</v>
      </c>
      <c r="AJ86">
        <v>1.63</v>
      </c>
      <c r="AK86">
        <v>1</v>
      </c>
      <c r="AL86">
        <v>1</v>
      </c>
      <c r="AM86">
        <v>2</v>
      </c>
      <c r="AN86">
        <v>0</v>
      </c>
      <c r="AO86">
        <v>0</v>
      </c>
      <c r="AP86">
        <v>1</v>
      </c>
      <c r="AQ86">
        <v>1</v>
      </c>
      <c r="AR86">
        <v>0</v>
      </c>
      <c r="AS86" t="s">
        <v>3</v>
      </c>
      <c r="AT86">
        <v>0.01</v>
      </c>
      <c r="AU86" t="s">
        <v>46</v>
      </c>
      <c r="AV86">
        <v>1</v>
      </c>
      <c r="AW86">
        <v>2</v>
      </c>
      <c r="AX86">
        <v>51354101</v>
      </c>
      <c r="AY86">
        <v>2</v>
      </c>
      <c r="AZ86">
        <v>65536</v>
      </c>
      <c r="BA86">
        <v>88</v>
      </c>
      <c r="BB86">
        <v>1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0.37320000000000003</v>
      </c>
      <c r="BL86">
        <v>3.5964999999999998</v>
      </c>
      <c r="BM86">
        <v>0</v>
      </c>
      <c r="BN86">
        <v>0</v>
      </c>
      <c r="BO86">
        <v>0.01</v>
      </c>
      <c r="BP86">
        <v>1</v>
      </c>
      <c r="BQ86">
        <v>0</v>
      </c>
      <c r="BR86">
        <v>0.46650000000000003</v>
      </c>
      <c r="BS86">
        <v>4.4956249999999995</v>
      </c>
      <c r="BT86">
        <v>0</v>
      </c>
      <c r="BU86">
        <v>0</v>
      </c>
      <c r="BV86">
        <v>1.2500000000000001E-2</v>
      </c>
      <c r="BW86">
        <v>1</v>
      </c>
      <c r="CV86">
        <v>0</v>
      </c>
      <c r="CW86">
        <f>ROUND(Y86*Source!I53*DO86,7)</f>
        <v>3.7499999999999999E-3</v>
      </c>
      <c r="CX86">
        <f>ROUND(Y86*Source!I53,7)</f>
        <v>3.7499999999999999E-3</v>
      </c>
      <c r="CY86">
        <f>AB86</f>
        <v>60.83</v>
      </c>
      <c r="CZ86">
        <f>AF86</f>
        <v>37.32</v>
      </c>
      <c r="DA86">
        <f>AJ86</f>
        <v>1.63</v>
      </c>
      <c r="DB86">
        <f>ROUND((ROUND(AT86*CZ86,2)*ROUND(1.25,7)),6)</f>
        <v>0.46250000000000002</v>
      </c>
      <c r="DC86">
        <f>ROUND((ROUND(AT86*AG86,2)*ROUND(1.25,7)),6)</f>
        <v>4.5</v>
      </c>
      <c r="DD86" t="s">
        <v>3</v>
      </c>
      <c r="DE86" t="s">
        <v>3</v>
      </c>
      <c r="DF86">
        <f>ROUND(ROUND(AE86,2)*CX86,2)</f>
        <v>0</v>
      </c>
      <c r="DG86">
        <f>ROUND(ROUND(AF86*AJ86,2)*CX86,2)</f>
        <v>0.23</v>
      </c>
      <c r="DH86">
        <f t="shared" si="21"/>
        <v>1.35</v>
      </c>
      <c r="DI86">
        <f t="shared" si="22"/>
        <v>0</v>
      </c>
      <c r="DJ86">
        <f>DG86+DH86</f>
        <v>1.58</v>
      </c>
      <c r="DK86">
        <v>0</v>
      </c>
      <c r="DL86" t="s">
        <v>364</v>
      </c>
      <c r="DM86">
        <v>3</v>
      </c>
      <c r="DN86" t="s">
        <v>357</v>
      </c>
      <c r="DO86">
        <v>1</v>
      </c>
    </row>
    <row r="87" spans="1:119" x14ac:dyDescent="0.2">
      <c r="A87">
        <f>ROW(Source!A53)</f>
        <v>53</v>
      </c>
      <c r="B87">
        <v>55858619</v>
      </c>
      <c r="C87">
        <v>51354098</v>
      </c>
      <c r="D87">
        <v>50096650</v>
      </c>
      <c r="E87">
        <v>1</v>
      </c>
      <c r="F87">
        <v>1</v>
      </c>
      <c r="G87">
        <v>1</v>
      </c>
      <c r="H87">
        <v>2</v>
      </c>
      <c r="I87" t="s">
        <v>382</v>
      </c>
      <c r="J87" t="s">
        <v>383</v>
      </c>
      <c r="K87" t="s">
        <v>384</v>
      </c>
      <c r="L87">
        <v>1368</v>
      </c>
      <c r="N87">
        <v>1011</v>
      </c>
      <c r="O87" t="s">
        <v>363</v>
      </c>
      <c r="P87" t="s">
        <v>363</v>
      </c>
      <c r="Q87">
        <v>1</v>
      </c>
      <c r="W87">
        <v>0</v>
      </c>
      <c r="X87">
        <v>-1152394969</v>
      </c>
      <c r="Y87">
        <f>(AT87*ROUND(1.25,7))</f>
        <v>1.2500000000000001E-2</v>
      </c>
      <c r="AA87">
        <v>0</v>
      </c>
      <c r="AB87">
        <v>680.75</v>
      </c>
      <c r="AC87">
        <v>404.99</v>
      </c>
      <c r="AD87">
        <v>0</v>
      </c>
      <c r="AE87">
        <v>0</v>
      </c>
      <c r="AF87">
        <v>680.75</v>
      </c>
      <c r="AG87">
        <v>404.99</v>
      </c>
      <c r="AH87">
        <v>0</v>
      </c>
      <c r="AI87">
        <v>1</v>
      </c>
      <c r="AJ87">
        <v>1</v>
      </c>
      <c r="AK87">
        <v>1</v>
      </c>
      <c r="AL87">
        <v>1</v>
      </c>
      <c r="AM87">
        <v>-2</v>
      </c>
      <c r="AN87">
        <v>0</v>
      </c>
      <c r="AO87">
        <v>0</v>
      </c>
      <c r="AP87">
        <v>1</v>
      </c>
      <c r="AQ87">
        <v>1</v>
      </c>
      <c r="AR87">
        <v>0</v>
      </c>
      <c r="AS87" t="s">
        <v>3</v>
      </c>
      <c r="AT87">
        <v>0.01</v>
      </c>
      <c r="AU87" t="s">
        <v>46</v>
      </c>
      <c r="AV87">
        <v>1</v>
      </c>
      <c r="AW87">
        <v>2</v>
      </c>
      <c r="AX87">
        <v>51354102</v>
      </c>
      <c r="AY87">
        <v>2</v>
      </c>
      <c r="AZ87">
        <v>98304</v>
      </c>
      <c r="BA87">
        <v>89</v>
      </c>
      <c r="BB87">
        <v>1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6.8075000000000001</v>
      </c>
      <c r="BL87">
        <v>4.0499000000000001</v>
      </c>
      <c r="BM87">
        <v>0</v>
      </c>
      <c r="BN87">
        <v>0</v>
      </c>
      <c r="BO87">
        <v>0.01</v>
      </c>
      <c r="BP87">
        <v>1</v>
      </c>
      <c r="BQ87">
        <v>0</v>
      </c>
      <c r="BR87">
        <v>8.5093750000000004</v>
      </c>
      <c r="BS87">
        <v>5.0623750000000003</v>
      </c>
      <c r="BT87">
        <v>0</v>
      </c>
      <c r="BU87">
        <v>0</v>
      </c>
      <c r="BV87">
        <v>1.2500000000000001E-2</v>
      </c>
      <c r="BW87">
        <v>1</v>
      </c>
      <c r="CV87">
        <v>0</v>
      </c>
      <c r="CW87">
        <f>ROUND(Y87*Source!I53*DO87,7)</f>
        <v>3.7499999999999999E-3</v>
      </c>
      <c r="CX87">
        <f>ROUND(Y87*Source!I53,7)</f>
        <v>3.7499999999999999E-3</v>
      </c>
      <c r="CY87">
        <f>AB87</f>
        <v>680.75</v>
      </c>
      <c r="CZ87">
        <f>AF87</f>
        <v>680.75</v>
      </c>
      <c r="DA87">
        <f>AJ87</f>
        <v>1</v>
      </c>
      <c r="DB87">
        <f>ROUND((ROUND(AT87*CZ87,2)*ROUND(1.25,7)),6)</f>
        <v>8.5124999999999993</v>
      </c>
      <c r="DC87">
        <f>ROUND((ROUND(AT87*AG87,2)*ROUND(1.25,7)),6)</f>
        <v>5.0625</v>
      </c>
      <c r="DD87" t="s">
        <v>3</v>
      </c>
      <c r="DE87" t="s">
        <v>3</v>
      </c>
      <c r="DF87">
        <f>ROUND(ROUND(AE87,2)*CX87,2)</f>
        <v>0</v>
      </c>
      <c r="DG87">
        <f>ROUND(ROUND(AF87,2)*CX87,2)</f>
        <v>2.5499999999999998</v>
      </c>
      <c r="DH87">
        <f t="shared" si="21"/>
        <v>1.52</v>
      </c>
      <c r="DI87">
        <f t="shared" si="22"/>
        <v>0</v>
      </c>
      <c r="DJ87">
        <f>DG87+DH87</f>
        <v>4.07</v>
      </c>
      <c r="DK87">
        <v>1</v>
      </c>
      <c r="DL87" t="s">
        <v>385</v>
      </c>
      <c r="DM87">
        <v>4</v>
      </c>
      <c r="DN87" t="s">
        <v>357</v>
      </c>
      <c r="DO87">
        <v>1</v>
      </c>
    </row>
    <row r="88" spans="1:119" x14ac:dyDescent="0.2">
      <c r="A88">
        <f>ROW(Source!A53)</f>
        <v>53</v>
      </c>
      <c r="B88">
        <v>55858619</v>
      </c>
      <c r="C88">
        <v>51354098</v>
      </c>
      <c r="D88">
        <v>50045462</v>
      </c>
      <c r="E88">
        <v>1</v>
      </c>
      <c r="F88">
        <v>1</v>
      </c>
      <c r="G88">
        <v>1</v>
      </c>
      <c r="H88">
        <v>3</v>
      </c>
      <c r="I88" t="s">
        <v>420</v>
      </c>
      <c r="J88" t="s">
        <v>421</v>
      </c>
      <c r="K88" t="s">
        <v>422</v>
      </c>
      <c r="L88">
        <v>1346</v>
      </c>
      <c r="N88">
        <v>1009</v>
      </c>
      <c r="O88" t="s">
        <v>82</v>
      </c>
      <c r="P88" t="s">
        <v>82</v>
      </c>
      <c r="Q88">
        <v>1</v>
      </c>
      <c r="W88">
        <v>0</v>
      </c>
      <c r="X88">
        <v>-130701290</v>
      </c>
      <c r="Y88">
        <f>AT88</f>
        <v>0.1</v>
      </c>
      <c r="AA88">
        <v>89.21</v>
      </c>
      <c r="AB88">
        <v>0</v>
      </c>
      <c r="AC88">
        <v>0</v>
      </c>
      <c r="AD88">
        <v>0</v>
      </c>
      <c r="AE88">
        <v>56.11</v>
      </c>
      <c r="AF88">
        <v>0</v>
      </c>
      <c r="AG88">
        <v>0</v>
      </c>
      <c r="AH88">
        <v>0</v>
      </c>
      <c r="AI88">
        <v>1.59</v>
      </c>
      <c r="AJ88">
        <v>1</v>
      </c>
      <c r="AK88">
        <v>1</v>
      </c>
      <c r="AL88">
        <v>1</v>
      </c>
      <c r="AM88">
        <v>2</v>
      </c>
      <c r="AN88">
        <v>0</v>
      </c>
      <c r="AO88">
        <v>0</v>
      </c>
      <c r="AP88">
        <v>0</v>
      </c>
      <c r="AQ88">
        <v>1</v>
      </c>
      <c r="AR88">
        <v>0</v>
      </c>
      <c r="AS88" t="s">
        <v>3</v>
      </c>
      <c r="AT88">
        <v>0.1</v>
      </c>
      <c r="AU88" t="s">
        <v>3</v>
      </c>
      <c r="AV88">
        <v>0</v>
      </c>
      <c r="AW88">
        <v>2</v>
      </c>
      <c r="AX88">
        <v>51354103</v>
      </c>
      <c r="AY88">
        <v>1</v>
      </c>
      <c r="AZ88">
        <v>0</v>
      </c>
      <c r="BA88">
        <v>90</v>
      </c>
      <c r="BB88">
        <v>1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5.6110000000000007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1</v>
      </c>
      <c r="BQ88">
        <v>5.6110000000000007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1</v>
      </c>
      <c r="CV88">
        <v>0</v>
      </c>
      <c r="CW88">
        <v>0</v>
      </c>
      <c r="CX88">
        <f>ROUND(Y88*Source!I53,7)</f>
        <v>0.03</v>
      </c>
      <c r="CY88">
        <f>AA88</f>
        <v>89.21</v>
      </c>
      <c r="CZ88">
        <f>AE88</f>
        <v>56.11</v>
      </c>
      <c r="DA88">
        <f>AI88</f>
        <v>1.59</v>
      </c>
      <c r="DB88">
        <f>ROUND(ROUND(AT88*CZ88,2),6)</f>
        <v>5.61</v>
      </c>
      <c r="DC88">
        <f>ROUND(ROUND(AT88*AG88,2),6)</f>
        <v>0</v>
      </c>
      <c r="DD88" t="s">
        <v>3</v>
      </c>
      <c r="DE88" t="s">
        <v>3</v>
      </c>
      <c r="DF88">
        <f>ROUND(ROUND(AE88*AI88,2)*CX88,2)</f>
        <v>2.68</v>
      </c>
      <c r="DG88">
        <f>ROUND(ROUND(AF88,2)*CX88,2)</f>
        <v>0</v>
      </c>
      <c r="DH88">
        <f t="shared" si="21"/>
        <v>0</v>
      </c>
      <c r="DI88">
        <f t="shared" si="22"/>
        <v>0</v>
      </c>
      <c r="DJ88">
        <f>DF88</f>
        <v>2.68</v>
      </c>
      <c r="DK88">
        <v>0</v>
      </c>
      <c r="DL88" t="s">
        <v>3</v>
      </c>
      <c r="DM88">
        <v>0</v>
      </c>
      <c r="DN88" t="s">
        <v>3</v>
      </c>
      <c r="DO88">
        <v>0</v>
      </c>
    </row>
    <row r="89" spans="1:119" x14ac:dyDescent="0.2">
      <c r="A89">
        <f>ROW(Source!A53)</f>
        <v>53</v>
      </c>
      <c r="B89">
        <v>55858619</v>
      </c>
      <c r="C89">
        <v>51354098</v>
      </c>
      <c r="D89">
        <v>50061872</v>
      </c>
      <c r="E89">
        <v>1</v>
      </c>
      <c r="F89">
        <v>1</v>
      </c>
      <c r="G89">
        <v>1</v>
      </c>
      <c r="H89">
        <v>3</v>
      </c>
      <c r="I89" t="s">
        <v>191</v>
      </c>
      <c r="J89" t="s">
        <v>193</v>
      </c>
      <c r="K89" t="s">
        <v>192</v>
      </c>
      <c r="L89">
        <v>1346</v>
      </c>
      <c r="N89">
        <v>1009</v>
      </c>
      <c r="O89" t="s">
        <v>82</v>
      </c>
      <c r="P89" t="s">
        <v>82</v>
      </c>
      <c r="Q89">
        <v>1</v>
      </c>
      <c r="W89">
        <v>0</v>
      </c>
      <c r="X89">
        <v>-1982032948</v>
      </c>
      <c r="Y89">
        <f>AT89</f>
        <v>10.3</v>
      </c>
      <c r="AA89">
        <v>90.2</v>
      </c>
      <c r="AB89">
        <v>0</v>
      </c>
      <c r="AC89">
        <v>0</v>
      </c>
      <c r="AD89">
        <v>0</v>
      </c>
      <c r="AE89">
        <v>65.84</v>
      </c>
      <c r="AF89">
        <v>0</v>
      </c>
      <c r="AG89">
        <v>0</v>
      </c>
      <c r="AH89">
        <v>0</v>
      </c>
      <c r="AI89">
        <v>1.37</v>
      </c>
      <c r="AJ89">
        <v>1</v>
      </c>
      <c r="AK89">
        <v>1</v>
      </c>
      <c r="AL89">
        <v>1</v>
      </c>
      <c r="AM89">
        <v>2</v>
      </c>
      <c r="AN89">
        <v>0</v>
      </c>
      <c r="AO89">
        <v>0</v>
      </c>
      <c r="AP89">
        <v>1</v>
      </c>
      <c r="AQ89">
        <v>0</v>
      </c>
      <c r="AR89">
        <v>0</v>
      </c>
      <c r="AS89" t="s">
        <v>3</v>
      </c>
      <c r="AT89">
        <v>10.3</v>
      </c>
      <c r="AU89" t="s">
        <v>3</v>
      </c>
      <c r="AV89">
        <v>0</v>
      </c>
      <c r="AW89">
        <v>1</v>
      </c>
      <c r="AX89">
        <v>-1</v>
      </c>
      <c r="AY89">
        <v>0</v>
      </c>
      <c r="AZ89">
        <v>0</v>
      </c>
      <c r="BA89" t="s">
        <v>3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V89">
        <v>0</v>
      </c>
      <c r="CW89">
        <v>0</v>
      </c>
      <c r="CX89">
        <f>ROUND(Y89*Source!I53,7)</f>
        <v>3.09</v>
      </c>
      <c r="CY89">
        <f>AA89</f>
        <v>90.2</v>
      </c>
      <c r="CZ89">
        <f>AE89</f>
        <v>65.84</v>
      </c>
      <c r="DA89">
        <f>AI89</f>
        <v>1.37</v>
      </c>
      <c r="DB89">
        <f>ROUND(ROUND(AT89*CZ89,2),6)</f>
        <v>678.15</v>
      </c>
      <c r="DC89">
        <f>ROUND(ROUND(AT89*AG89,2),6)</f>
        <v>0</v>
      </c>
      <c r="DD89" t="s">
        <v>3</v>
      </c>
      <c r="DE89" t="s">
        <v>3</v>
      </c>
      <c r="DF89">
        <f>ROUND(ROUND(AE89*AI89,2)*CX89,2)</f>
        <v>278.72000000000003</v>
      </c>
      <c r="DG89">
        <f>ROUND(ROUND(AF89,2)*CX89,2)</f>
        <v>0</v>
      </c>
      <c r="DH89">
        <f t="shared" si="21"/>
        <v>0</v>
      </c>
      <c r="DI89">
        <f t="shared" si="22"/>
        <v>0</v>
      </c>
      <c r="DJ89">
        <f>DF89</f>
        <v>278.72000000000003</v>
      </c>
      <c r="DK89">
        <v>0</v>
      </c>
      <c r="DL89" t="s">
        <v>3</v>
      </c>
      <c r="DM89">
        <v>0</v>
      </c>
      <c r="DN89" t="s">
        <v>3</v>
      </c>
      <c r="DO89">
        <v>0</v>
      </c>
    </row>
    <row r="90" spans="1:119" x14ac:dyDescent="0.2">
      <c r="A90">
        <f>ROW(Source!A55)</f>
        <v>55</v>
      </c>
      <c r="B90">
        <v>55858619</v>
      </c>
      <c r="C90">
        <v>51354106</v>
      </c>
      <c r="D90">
        <v>49971127</v>
      </c>
      <c r="E90">
        <v>114</v>
      </c>
      <c r="F90">
        <v>1</v>
      </c>
      <c r="G90">
        <v>1</v>
      </c>
      <c r="H90">
        <v>1</v>
      </c>
      <c r="I90" t="s">
        <v>433</v>
      </c>
      <c r="J90" t="s">
        <v>3</v>
      </c>
      <c r="K90" t="s">
        <v>434</v>
      </c>
      <c r="L90">
        <v>1191</v>
      </c>
      <c r="N90">
        <v>1013</v>
      </c>
      <c r="O90" t="s">
        <v>357</v>
      </c>
      <c r="P90" t="s">
        <v>357</v>
      </c>
      <c r="Q90">
        <v>1</v>
      </c>
      <c r="W90">
        <v>0</v>
      </c>
      <c r="X90">
        <v>-1461236815</v>
      </c>
      <c r="Y90">
        <f>(AT90*ROUND(1.15,7))</f>
        <v>44.849999999999994</v>
      </c>
      <c r="AA90">
        <v>0</v>
      </c>
      <c r="AB90">
        <v>0</v>
      </c>
      <c r="AC90">
        <v>0</v>
      </c>
      <c r="AD90">
        <v>377.79</v>
      </c>
      <c r="AE90">
        <v>0</v>
      </c>
      <c r="AF90">
        <v>0</v>
      </c>
      <c r="AG90">
        <v>0</v>
      </c>
      <c r="AH90">
        <v>377.79</v>
      </c>
      <c r="AI90">
        <v>1</v>
      </c>
      <c r="AJ90">
        <v>1</v>
      </c>
      <c r="AK90">
        <v>1</v>
      </c>
      <c r="AL90">
        <v>1</v>
      </c>
      <c r="AM90">
        <v>-2</v>
      </c>
      <c r="AN90">
        <v>0</v>
      </c>
      <c r="AO90">
        <v>0</v>
      </c>
      <c r="AP90">
        <v>1</v>
      </c>
      <c r="AQ90">
        <v>1</v>
      </c>
      <c r="AR90">
        <v>0</v>
      </c>
      <c r="AS90" t="s">
        <v>3</v>
      </c>
      <c r="AT90">
        <v>39</v>
      </c>
      <c r="AU90" t="s">
        <v>47</v>
      </c>
      <c r="AV90">
        <v>1</v>
      </c>
      <c r="AW90">
        <v>2</v>
      </c>
      <c r="AX90">
        <v>51354107</v>
      </c>
      <c r="AY90">
        <v>2</v>
      </c>
      <c r="AZ90">
        <v>131072</v>
      </c>
      <c r="BA90">
        <v>92</v>
      </c>
      <c r="BB90">
        <v>1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14733.810000000001</v>
      </c>
      <c r="BN90">
        <v>39</v>
      </c>
      <c r="BO90">
        <v>0</v>
      </c>
      <c r="BP90">
        <v>1</v>
      </c>
      <c r="BQ90">
        <v>0</v>
      </c>
      <c r="BR90">
        <v>0</v>
      </c>
      <c r="BS90">
        <v>0</v>
      </c>
      <c r="BT90">
        <v>16943.8815</v>
      </c>
      <c r="BU90">
        <v>44.849999999999994</v>
      </c>
      <c r="BV90">
        <v>0</v>
      </c>
      <c r="BW90">
        <v>1</v>
      </c>
      <c r="CU90">
        <f>ROUND(AT90*Source!I55*AH90*AL90,2)</f>
        <v>4420.1400000000003</v>
      </c>
      <c r="CV90">
        <f>ROUND(Y90*Source!I55,7)</f>
        <v>13.455</v>
      </c>
      <c r="CW90">
        <v>0</v>
      </c>
      <c r="CX90">
        <f>ROUND(Y90*Source!I55,7)</f>
        <v>13.455</v>
      </c>
      <c r="CY90">
        <f>AD90</f>
        <v>377.79</v>
      </c>
      <c r="CZ90">
        <f>AH90</f>
        <v>377.79</v>
      </c>
      <c r="DA90">
        <f>AL90</f>
        <v>1</v>
      </c>
      <c r="DB90">
        <f>ROUND((ROUND(AT90*CZ90,2)*ROUND(1.15,7)),6)</f>
        <v>16943.8815</v>
      </c>
      <c r="DC90">
        <f>ROUND((ROUND(AT90*AG90,2)*ROUND(1.15,7)),6)</f>
        <v>0</v>
      </c>
      <c r="DD90" t="s">
        <v>3</v>
      </c>
      <c r="DE90" t="s">
        <v>3</v>
      </c>
      <c r="DF90">
        <f>ROUND(ROUND(AE90,2)*CX90,2)</f>
        <v>0</v>
      </c>
      <c r="DG90">
        <f>ROUND(ROUND(AF90,2)*CX90,2)</f>
        <v>0</v>
      </c>
      <c r="DH90">
        <f t="shared" si="21"/>
        <v>0</v>
      </c>
      <c r="DI90">
        <f t="shared" si="22"/>
        <v>5083.16</v>
      </c>
      <c r="DJ90">
        <f>DI90</f>
        <v>5083.16</v>
      </c>
      <c r="DK90">
        <v>1</v>
      </c>
      <c r="DL90" t="s">
        <v>3</v>
      </c>
      <c r="DM90">
        <v>0</v>
      </c>
      <c r="DN90" t="s">
        <v>3</v>
      </c>
      <c r="DO90">
        <v>0</v>
      </c>
    </row>
    <row r="91" spans="1:119" x14ac:dyDescent="0.2">
      <c r="A91">
        <f>ROW(Source!A55)</f>
        <v>55</v>
      </c>
      <c r="B91">
        <v>55858619</v>
      </c>
      <c r="C91">
        <v>51354106</v>
      </c>
      <c r="D91">
        <v>49971314</v>
      </c>
      <c r="E91">
        <v>114</v>
      </c>
      <c r="F91">
        <v>1</v>
      </c>
      <c r="G91">
        <v>1</v>
      </c>
      <c r="H91">
        <v>1</v>
      </c>
      <c r="I91" t="s">
        <v>358</v>
      </c>
      <c r="J91" t="s">
        <v>3</v>
      </c>
      <c r="K91" t="s">
        <v>359</v>
      </c>
      <c r="L91">
        <v>1191</v>
      </c>
      <c r="N91">
        <v>1013</v>
      </c>
      <c r="O91" t="s">
        <v>357</v>
      </c>
      <c r="P91" t="s">
        <v>357</v>
      </c>
      <c r="Q91">
        <v>1</v>
      </c>
      <c r="W91">
        <v>0</v>
      </c>
      <c r="X91">
        <v>-1417349443</v>
      </c>
      <c r="Y91">
        <f>(AT91*ROUND(1.25,7))</f>
        <v>0.21250000000000002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M91">
        <v>-2</v>
      </c>
      <c r="AN91">
        <v>0</v>
      </c>
      <c r="AO91">
        <v>0</v>
      </c>
      <c r="AP91">
        <v>1</v>
      </c>
      <c r="AQ91">
        <v>1</v>
      </c>
      <c r="AR91">
        <v>0</v>
      </c>
      <c r="AS91" t="s">
        <v>3</v>
      </c>
      <c r="AT91">
        <v>0.17</v>
      </c>
      <c r="AU91" t="s">
        <v>46</v>
      </c>
      <c r="AV91">
        <v>2</v>
      </c>
      <c r="AW91">
        <v>2</v>
      </c>
      <c r="AX91">
        <v>51354108</v>
      </c>
      <c r="AY91">
        <v>1</v>
      </c>
      <c r="AZ91">
        <v>0</v>
      </c>
      <c r="BA91">
        <v>93</v>
      </c>
      <c r="BB91">
        <v>1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V91">
        <v>0</v>
      </c>
      <c r="CW91">
        <v>0</v>
      </c>
      <c r="CX91">
        <f>ROUND(Y91*Source!I55,7)</f>
        <v>6.3750000000000001E-2</v>
      </c>
      <c r="CY91">
        <f>AD91</f>
        <v>0</v>
      </c>
      <c r="CZ91">
        <f>AH91</f>
        <v>0</v>
      </c>
      <c r="DA91">
        <f>AL91</f>
        <v>1</v>
      </c>
      <c r="DB91">
        <f>ROUND((ROUND(AT91*CZ91,2)*ROUND(1.25,7)),6)</f>
        <v>0</v>
      </c>
      <c r="DC91">
        <f>ROUND((ROUND(AT91*AG91,2)*ROUND(1.25,7)),6)</f>
        <v>0</v>
      </c>
      <c r="DD91" t="s">
        <v>3</v>
      </c>
      <c r="DE91" t="s">
        <v>3</v>
      </c>
      <c r="DF91">
        <f>ROUND(ROUND(AE91,2)*CX91,2)</f>
        <v>0</v>
      </c>
      <c r="DG91">
        <f>ROUND(ROUND(AF91,2)*CX91,2)</f>
        <v>0</v>
      </c>
      <c r="DH91">
        <f t="shared" si="21"/>
        <v>0</v>
      </c>
      <c r="DI91">
        <f t="shared" si="22"/>
        <v>0</v>
      </c>
      <c r="DJ91">
        <f>DI91</f>
        <v>0</v>
      </c>
      <c r="DK91">
        <v>0</v>
      </c>
      <c r="DL91" t="s">
        <v>3</v>
      </c>
      <c r="DM91">
        <v>0</v>
      </c>
      <c r="DN91" t="s">
        <v>3</v>
      </c>
      <c r="DO91">
        <v>0</v>
      </c>
    </row>
    <row r="92" spans="1:119" x14ac:dyDescent="0.2">
      <c r="A92">
        <f>ROW(Source!A55)</f>
        <v>55</v>
      </c>
      <c r="B92">
        <v>55858619</v>
      </c>
      <c r="C92">
        <v>51354106</v>
      </c>
      <c r="D92">
        <v>50095945</v>
      </c>
      <c r="E92">
        <v>1</v>
      </c>
      <c r="F92">
        <v>1</v>
      </c>
      <c r="G92">
        <v>1</v>
      </c>
      <c r="H92">
        <v>2</v>
      </c>
      <c r="I92" t="s">
        <v>360</v>
      </c>
      <c r="J92" t="s">
        <v>361</v>
      </c>
      <c r="K92" t="s">
        <v>362</v>
      </c>
      <c r="L92">
        <v>1368</v>
      </c>
      <c r="N92">
        <v>1011</v>
      </c>
      <c r="O92" t="s">
        <v>363</v>
      </c>
      <c r="P92" t="s">
        <v>363</v>
      </c>
      <c r="Q92">
        <v>1</v>
      </c>
      <c r="W92">
        <v>0</v>
      </c>
      <c r="X92">
        <v>-92307625</v>
      </c>
      <c r="Y92">
        <f>(AT92*ROUND(1.25,7))</f>
        <v>2.5000000000000001E-2</v>
      </c>
      <c r="AA92">
        <v>0</v>
      </c>
      <c r="AB92">
        <v>60.83</v>
      </c>
      <c r="AC92">
        <v>359.65</v>
      </c>
      <c r="AD92">
        <v>0</v>
      </c>
      <c r="AE92">
        <v>0</v>
      </c>
      <c r="AF92">
        <v>37.32</v>
      </c>
      <c r="AG92">
        <v>359.65</v>
      </c>
      <c r="AH92">
        <v>0</v>
      </c>
      <c r="AI92">
        <v>1</v>
      </c>
      <c r="AJ92">
        <v>1.63</v>
      </c>
      <c r="AK92">
        <v>1</v>
      </c>
      <c r="AL92">
        <v>1</v>
      </c>
      <c r="AM92">
        <v>2</v>
      </c>
      <c r="AN92">
        <v>0</v>
      </c>
      <c r="AO92">
        <v>0</v>
      </c>
      <c r="AP92">
        <v>1</v>
      </c>
      <c r="AQ92">
        <v>1</v>
      </c>
      <c r="AR92">
        <v>0</v>
      </c>
      <c r="AS92" t="s">
        <v>3</v>
      </c>
      <c r="AT92">
        <v>0.02</v>
      </c>
      <c r="AU92" t="s">
        <v>46</v>
      </c>
      <c r="AV92">
        <v>1</v>
      </c>
      <c r="AW92">
        <v>2</v>
      </c>
      <c r="AX92">
        <v>51354109</v>
      </c>
      <c r="AY92">
        <v>2</v>
      </c>
      <c r="AZ92">
        <v>65536</v>
      </c>
      <c r="BA92">
        <v>94</v>
      </c>
      <c r="BB92">
        <v>1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0.74640000000000006</v>
      </c>
      <c r="BL92">
        <v>7.1929999999999996</v>
      </c>
      <c r="BM92">
        <v>0</v>
      </c>
      <c r="BN92">
        <v>0</v>
      </c>
      <c r="BO92">
        <v>0.02</v>
      </c>
      <c r="BP92">
        <v>1</v>
      </c>
      <c r="BQ92">
        <v>0</v>
      </c>
      <c r="BR92">
        <v>0.93300000000000005</v>
      </c>
      <c r="BS92">
        <v>8.9912499999999991</v>
      </c>
      <c r="BT92">
        <v>0</v>
      </c>
      <c r="BU92">
        <v>0</v>
      </c>
      <c r="BV92">
        <v>2.5000000000000001E-2</v>
      </c>
      <c r="BW92">
        <v>1</v>
      </c>
      <c r="CV92">
        <v>0</v>
      </c>
      <c r="CW92">
        <f>ROUND(Y92*Source!I55*DO92,7)</f>
        <v>7.4999999999999997E-3</v>
      </c>
      <c r="CX92">
        <f>ROUND(Y92*Source!I55,7)</f>
        <v>7.4999999999999997E-3</v>
      </c>
      <c r="CY92">
        <f>AB92</f>
        <v>60.83</v>
      </c>
      <c r="CZ92">
        <f>AF92</f>
        <v>37.32</v>
      </c>
      <c r="DA92">
        <f>AJ92</f>
        <v>1.63</v>
      </c>
      <c r="DB92">
        <f>ROUND((ROUND(AT92*CZ92,2)*ROUND(1.25,7)),6)</f>
        <v>0.9375</v>
      </c>
      <c r="DC92">
        <f>ROUND((ROUND(AT92*AG92,2)*ROUND(1.25,7)),6)</f>
        <v>8.9875000000000007</v>
      </c>
      <c r="DD92" t="s">
        <v>3</v>
      </c>
      <c r="DE92" t="s">
        <v>3</v>
      </c>
      <c r="DF92">
        <f>ROUND(ROUND(AE92,2)*CX92,2)</f>
        <v>0</v>
      </c>
      <c r="DG92">
        <f>ROUND(ROUND(AF92*AJ92,2)*CX92,2)</f>
        <v>0.46</v>
      </c>
      <c r="DH92">
        <f t="shared" si="21"/>
        <v>2.7</v>
      </c>
      <c r="DI92">
        <f t="shared" si="22"/>
        <v>0</v>
      </c>
      <c r="DJ92">
        <f>DG92+DH92</f>
        <v>3.16</v>
      </c>
      <c r="DK92">
        <v>0</v>
      </c>
      <c r="DL92" t="s">
        <v>364</v>
      </c>
      <c r="DM92">
        <v>3</v>
      </c>
      <c r="DN92" t="s">
        <v>357</v>
      </c>
      <c r="DO92">
        <v>1</v>
      </c>
    </row>
    <row r="93" spans="1:119" x14ac:dyDescent="0.2">
      <c r="A93">
        <f>ROW(Source!A55)</f>
        <v>55</v>
      </c>
      <c r="B93">
        <v>55858619</v>
      </c>
      <c r="C93">
        <v>51354106</v>
      </c>
      <c r="D93">
        <v>50096650</v>
      </c>
      <c r="E93">
        <v>1</v>
      </c>
      <c r="F93">
        <v>1</v>
      </c>
      <c r="G93">
        <v>1</v>
      </c>
      <c r="H93">
        <v>2</v>
      </c>
      <c r="I93" t="s">
        <v>382</v>
      </c>
      <c r="J93" t="s">
        <v>383</v>
      </c>
      <c r="K93" t="s">
        <v>384</v>
      </c>
      <c r="L93">
        <v>1368</v>
      </c>
      <c r="N93">
        <v>1011</v>
      </c>
      <c r="O93" t="s">
        <v>363</v>
      </c>
      <c r="P93" t="s">
        <v>363</v>
      </c>
      <c r="Q93">
        <v>1</v>
      </c>
      <c r="W93">
        <v>0</v>
      </c>
      <c r="X93">
        <v>-1152394969</v>
      </c>
      <c r="Y93">
        <f>(AT93*ROUND(1.25,7))</f>
        <v>0.1875</v>
      </c>
      <c r="AA93">
        <v>0</v>
      </c>
      <c r="AB93">
        <v>680.75</v>
      </c>
      <c r="AC93">
        <v>404.99</v>
      </c>
      <c r="AD93">
        <v>0</v>
      </c>
      <c r="AE93">
        <v>0</v>
      </c>
      <c r="AF93">
        <v>680.75</v>
      </c>
      <c r="AG93">
        <v>404.99</v>
      </c>
      <c r="AH93">
        <v>0</v>
      </c>
      <c r="AI93">
        <v>1</v>
      </c>
      <c r="AJ93">
        <v>1</v>
      </c>
      <c r="AK93">
        <v>1</v>
      </c>
      <c r="AL93">
        <v>1</v>
      </c>
      <c r="AM93">
        <v>-2</v>
      </c>
      <c r="AN93">
        <v>0</v>
      </c>
      <c r="AO93">
        <v>0</v>
      </c>
      <c r="AP93">
        <v>1</v>
      </c>
      <c r="AQ93">
        <v>1</v>
      </c>
      <c r="AR93">
        <v>0</v>
      </c>
      <c r="AS93" t="s">
        <v>3</v>
      </c>
      <c r="AT93">
        <v>0.15</v>
      </c>
      <c r="AU93" t="s">
        <v>46</v>
      </c>
      <c r="AV93">
        <v>1</v>
      </c>
      <c r="AW93">
        <v>2</v>
      </c>
      <c r="AX93">
        <v>51354110</v>
      </c>
      <c r="AY93">
        <v>2</v>
      </c>
      <c r="AZ93">
        <v>98304</v>
      </c>
      <c r="BA93">
        <v>95</v>
      </c>
      <c r="BB93">
        <v>1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102.1125</v>
      </c>
      <c r="BL93">
        <v>60.7485</v>
      </c>
      <c r="BM93">
        <v>0</v>
      </c>
      <c r="BN93">
        <v>0</v>
      </c>
      <c r="BO93">
        <v>0.15</v>
      </c>
      <c r="BP93">
        <v>1</v>
      </c>
      <c r="BQ93">
        <v>0</v>
      </c>
      <c r="BR93">
        <v>127.640625</v>
      </c>
      <c r="BS93">
        <v>75.935625000000002</v>
      </c>
      <c r="BT93">
        <v>0</v>
      </c>
      <c r="BU93">
        <v>0</v>
      </c>
      <c r="BV93">
        <v>0.1875</v>
      </c>
      <c r="BW93">
        <v>1</v>
      </c>
      <c r="CV93">
        <v>0</v>
      </c>
      <c r="CW93">
        <f>ROUND(Y93*Source!I55*DO93,7)</f>
        <v>5.6250000000000001E-2</v>
      </c>
      <c r="CX93">
        <f>ROUND(Y93*Source!I55,7)</f>
        <v>5.6250000000000001E-2</v>
      </c>
      <c r="CY93">
        <f>AB93</f>
        <v>680.75</v>
      </c>
      <c r="CZ93">
        <f>AF93</f>
        <v>680.75</v>
      </c>
      <c r="DA93">
        <f>AJ93</f>
        <v>1</v>
      </c>
      <c r="DB93">
        <f>ROUND((ROUND(AT93*CZ93,2)*ROUND(1.25,7)),6)</f>
        <v>127.6375</v>
      </c>
      <c r="DC93">
        <f>ROUND((ROUND(AT93*AG93,2)*ROUND(1.25,7)),6)</f>
        <v>75.9375</v>
      </c>
      <c r="DD93" t="s">
        <v>3</v>
      </c>
      <c r="DE93" t="s">
        <v>3</v>
      </c>
      <c r="DF93">
        <f>ROUND(ROUND(AE93,2)*CX93,2)</f>
        <v>0</v>
      </c>
      <c r="DG93">
        <f>ROUND(ROUND(AF93,2)*CX93,2)</f>
        <v>38.29</v>
      </c>
      <c r="DH93">
        <f t="shared" si="21"/>
        <v>22.78</v>
      </c>
      <c r="DI93">
        <f t="shared" si="22"/>
        <v>0</v>
      </c>
      <c r="DJ93">
        <f>DG93+DH93</f>
        <v>61.07</v>
      </c>
      <c r="DK93">
        <v>1</v>
      </c>
      <c r="DL93" t="s">
        <v>385</v>
      </c>
      <c r="DM93">
        <v>4</v>
      </c>
      <c r="DN93" t="s">
        <v>357</v>
      </c>
      <c r="DO93">
        <v>1</v>
      </c>
    </row>
    <row r="94" spans="1:119" x14ac:dyDescent="0.2">
      <c r="A94">
        <f>ROW(Source!A55)</f>
        <v>55</v>
      </c>
      <c r="B94">
        <v>55858619</v>
      </c>
      <c r="C94">
        <v>51354106</v>
      </c>
      <c r="D94">
        <v>50045113</v>
      </c>
      <c r="E94">
        <v>1</v>
      </c>
      <c r="F94">
        <v>1</v>
      </c>
      <c r="G94">
        <v>1</v>
      </c>
      <c r="H94">
        <v>3</v>
      </c>
      <c r="I94" t="s">
        <v>438</v>
      </c>
      <c r="J94" t="s">
        <v>439</v>
      </c>
      <c r="K94" t="s">
        <v>440</v>
      </c>
      <c r="L94">
        <v>1327</v>
      </c>
      <c r="N94">
        <v>1005</v>
      </c>
      <c r="O94" t="s">
        <v>69</v>
      </c>
      <c r="P94" t="s">
        <v>69</v>
      </c>
      <c r="Q94">
        <v>1</v>
      </c>
      <c r="W94">
        <v>0</v>
      </c>
      <c r="X94">
        <v>-327118913</v>
      </c>
      <c r="Y94">
        <f>AT94</f>
        <v>0.84</v>
      </c>
      <c r="AA94">
        <v>744.02</v>
      </c>
      <c r="AB94">
        <v>0</v>
      </c>
      <c r="AC94">
        <v>0</v>
      </c>
      <c r="AD94">
        <v>0</v>
      </c>
      <c r="AE94">
        <v>531.44000000000005</v>
      </c>
      <c r="AF94">
        <v>0</v>
      </c>
      <c r="AG94">
        <v>0</v>
      </c>
      <c r="AH94">
        <v>0</v>
      </c>
      <c r="AI94">
        <v>1.4</v>
      </c>
      <c r="AJ94">
        <v>1</v>
      </c>
      <c r="AK94">
        <v>1</v>
      </c>
      <c r="AL94">
        <v>1</v>
      </c>
      <c r="AM94">
        <v>2</v>
      </c>
      <c r="AN94">
        <v>0</v>
      </c>
      <c r="AO94">
        <v>0</v>
      </c>
      <c r="AP94">
        <v>0</v>
      </c>
      <c r="AQ94">
        <v>1</v>
      </c>
      <c r="AR94">
        <v>0</v>
      </c>
      <c r="AS94" t="s">
        <v>3</v>
      </c>
      <c r="AT94">
        <v>0.84</v>
      </c>
      <c r="AU94" t="s">
        <v>3</v>
      </c>
      <c r="AV94">
        <v>0</v>
      </c>
      <c r="AW94">
        <v>2</v>
      </c>
      <c r="AX94">
        <v>51354111</v>
      </c>
      <c r="AY94">
        <v>1</v>
      </c>
      <c r="AZ94">
        <v>0</v>
      </c>
      <c r="BA94">
        <v>96</v>
      </c>
      <c r="BB94">
        <v>1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446.40960000000001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1</v>
      </c>
      <c r="BQ94">
        <v>446.40960000000001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1</v>
      </c>
      <c r="CV94">
        <v>0</v>
      </c>
      <c r="CW94">
        <v>0</v>
      </c>
      <c r="CX94">
        <f>ROUND(Y94*Source!I55,7)</f>
        <v>0.252</v>
      </c>
      <c r="CY94">
        <f>AA94</f>
        <v>744.02</v>
      </c>
      <c r="CZ94">
        <f>AE94</f>
        <v>531.44000000000005</v>
      </c>
      <c r="DA94">
        <f>AI94</f>
        <v>1.4</v>
      </c>
      <c r="DB94">
        <f>ROUND(ROUND(AT94*CZ94,2),6)</f>
        <v>446.41</v>
      </c>
      <c r="DC94">
        <f>ROUND(ROUND(AT94*AG94,2),6)</f>
        <v>0</v>
      </c>
      <c r="DD94" t="s">
        <v>3</v>
      </c>
      <c r="DE94" t="s">
        <v>3</v>
      </c>
      <c r="DF94">
        <f>ROUND(ROUND(AE94*AI94,2)*CX94,2)</f>
        <v>187.49</v>
      </c>
      <c r="DG94">
        <f>ROUND(ROUND(AF94,2)*CX94,2)</f>
        <v>0</v>
      </c>
      <c r="DH94">
        <f t="shared" si="21"/>
        <v>0</v>
      </c>
      <c r="DI94">
        <f t="shared" si="22"/>
        <v>0</v>
      </c>
      <c r="DJ94">
        <f>DF94</f>
        <v>187.49</v>
      </c>
      <c r="DK94">
        <v>0</v>
      </c>
      <c r="DL94" t="s">
        <v>3</v>
      </c>
      <c r="DM94">
        <v>0</v>
      </c>
      <c r="DN94" t="s">
        <v>3</v>
      </c>
      <c r="DO94">
        <v>0</v>
      </c>
    </row>
    <row r="95" spans="1:119" x14ac:dyDescent="0.2">
      <c r="A95">
        <f>ROW(Source!A55)</f>
        <v>55</v>
      </c>
      <c r="B95">
        <v>55858619</v>
      </c>
      <c r="C95">
        <v>51354106</v>
      </c>
      <c r="D95">
        <v>50045462</v>
      </c>
      <c r="E95">
        <v>1</v>
      </c>
      <c r="F95">
        <v>1</v>
      </c>
      <c r="G95">
        <v>1</v>
      </c>
      <c r="H95">
        <v>3</v>
      </c>
      <c r="I95" t="s">
        <v>420</v>
      </c>
      <c r="J95" t="s">
        <v>421</v>
      </c>
      <c r="K95" t="s">
        <v>422</v>
      </c>
      <c r="L95">
        <v>1346</v>
      </c>
      <c r="N95">
        <v>1009</v>
      </c>
      <c r="O95" t="s">
        <v>82</v>
      </c>
      <c r="P95" t="s">
        <v>82</v>
      </c>
      <c r="Q95">
        <v>1</v>
      </c>
      <c r="W95">
        <v>0</v>
      </c>
      <c r="X95">
        <v>-130701290</v>
      </c>
      <c r="Y95">
        <f>AT95</f>
        <v>0.31</v>
      </c>
      <c r="AA95">
        <v>89.21</v>
      </c>
      <c r="AB95">
        <v>0</v>
      </c>
      <c r="AC95">
        <v>0</v>
      </c>
      <c r="AD95">
        <v>0</v>
      </c>
      <c r="AE95">
        <v>56.11</v>
      </c>
      <c r="AF95">
        <v>0</v>
      </c>
      <c r="AG95">
        <v>0</v>
      </c>
      <c r="AH95">
        <v>0</v>
      </c>
      <c r="AI95">
        <v>1.59</v>
      </c>
      <c r="AJ95">
        <v>1</v>
      </c>
      <c r="AK95">
        <v>1</v>
      </c>
      <c r="AL95">
        <v>1</v>
      </c>
      <c r="AM95">
        <v>2</v>
      </c>
      <c r="AN95">
        <v>0</v>
      </c>
      <c r="AO95">
        <v>0</v>
      </c>
      <c r="AP95">
        <v>0</v>
      </c>
      <c r="AQ95">
        <v>1</v>
      </c>
      <c r="AR95">
        <v>0</v>
      </c>
      <c r="AS95" t="s">
        <v>3</v>
      </c>
      <c r="AT95">
        <v>0.31</v>
      </c>
      <c r="AU95" t="s">
        <v>3</v>
      </c>
      <c r="AV95">
        <v>0</v>
      </c>
      <c r="AW95">
        <v>2</v>
      </c>
      <c r="AX95">
        <v>51354112</v>
      </c>
      <c r="AY95">
        <v>1</v>
      </c>
      <c r="AZ95">
        <v>0</v>
      </c>
      <c r="BA95">
        <v>97</v>
      </c>
      <c r="BB95">
        <v>1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17.394099999999998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1</v>
      </c>
      <c r="BQ95">
        <v>17.394099999999998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1</v>
      </c>
      <c r="CV95">
        <v>0</v>
      </c>
      <c r="CW95">
        <v>0</v>
      </c>
      <c r="CX95">
        <f>ROUND(Y95*Source!I55,7)</f>
        <v>9.2999999999999999E-2</v>
      </c>
      <c r="CY95">
        <f>AA95</f>
        <v>89.21</v>
      </c>
      <c r="CZ95">
        <f>AE95</f>
        <v>56.11</v>
      </c>
      <c r="DA95">
        <f>AI95</f>
        <v>1.59</v>
      </c>
      <c r="DB95">
        <f>ROUND(ROUND(AT95*CZ95,2),6)</f>
        <v>17.39</v>
      </c>
      <c r="DC95">
        <f>ROUND(ROUND(AT95*AG95,2),6)</f>
        <v>0</v>
      </c>
      <c r="DD95" t="s">
        <v>3</v>
      </c>
      <c r="DE95" t="s">
        <v>3</v>
      </c>
      <c r="DF95">
        <f>ROUND(ROUND(AE95*AI95,2)*CX95,2)</f>
        <v>8.3000000000000007</v>
      </c>
      <c r="DG95">
        <f>ROUND(ROUND(AF95,2)*CX95,2)</f>
        <v>0</v>
      </c>
      <c r="DH95">
        <f t="shared" si="21"/>
        <v>0</v>
      </c>
      <c r="DI95">
        <f t="shared" si="22"/>
        <v>0</v>
      </c>
      <c r="DJ95">
        <f>DF95</f>
        <v>8.3000000000000007</v>
      </c>
      <c r="DK95">
        <v>0</v>
      </c>
      <c r="DL95" t="s">
        <v>3</v>
      </c>
      <c r="DM95">
        <v>0</v>
      </c>
      <c r="DN95" t="s">
        <v>3</v>
      </c>
      <c r="DO95">
        <v>0</v>
      </c>
    </row>
    <row r="96" spans="1:119" x14ac:dyDescent="0.2">
      <c r="A96">
        <f>ROW(Source!A55)</f>
        <v>55</v>
      </c>
      <c r="B96">
        <v>55858619</v>
      </c>
      <c r="C96">
        <v>51354106</v>
      </c>
      <c r="D96">
        <v>50061878</v>
      </c>
      <c r="E96">
        <v>1</v>
      </c>
      <c r="F96">
        <v>1</v>
      </c>
      <c r="G96">
        <v>1</v>
      </c>
      <c r="H96">
        <v>3</v>
      </c>
      <c r="I96" t="s">
        <v>199</v>
      </c>
      <c r="J96" t="s">
        <v>201</v>
      </c>
      <c r="K96" t="s">
        <v>200</v>
      </c>
      <c r="L96">
        <v>1348</v>
      </c>
      <c r="N96">
        <v>1009</v>
      </c>
      <c r="O96" t="s">
        <v>29</v>
      </c>
      <c r="P96" t="s">
        <v>29</v>
      </c>
      <c r="Q96">
        <v>1000</v>
      </c>
      <c r="W96">
        <v>0</v>
      </c>
      <c r="X96">
        <v>1390565826</v>
      </c>
      <c r="Y96">
        <f>AT96</f>
        <v>6.3E-2</v>
      </c>
      <c r="AA96">
        <v>162181.29</v>
      </c>
      <c r="AB96">
        <v>0</v>
      </c>
      <c r="AC96">
        <v>0</v>
      </c>
      <c r="AD96">
        <v>0</v>
      </c>
      <c r="AE96">
        <v>87665.56</v>
      </c>
      <c r="AF96">
        <v>0</v>
      </c>
      <c r="AG96">
        <v>0</v>
      </c>
      <c r="AH96">
        <v>0</v>
      </c>
      <c r="AI96">
        <v>1.85</v>
      </c>
      <c r="AJ96">
        <v>1</v>
      </c>
      <c r="AK96">
        <v>1</v>
      </c>
      <c r="AL96">
        <v>1</v>
      </c>
      <c r="AM96">
        <v>2</v>
      </c>
      <c r="AN96">
        <v>0</v>
      </c>
      <c r="AO96">
        <v>0</v>
      </c>
      <c r="AP96">
        <v>1</v>
      </c>
      <c r="AQ96">
        <v>0</v>
      </c>
      <c r="AR96">
        <v>0</v>
      </c>
      <c r="AS96" t="s">
        <v>3</v>
      </c>
      <c r="AT96">
        <v>6.3E-2</v>
      </c>
      <c r="AU96" t="s">
        <v>3</v>
      </c>
      <c r="AV96">
        <v>0</v>
      </c>
      <c r="AW96">
        <v>1</v>
      </c>
      <c r="AX96">
        <v>-1</v>
      </c>
      <c r="AY96">
        <v>0</v>
      </c>
      <c r="AZ96">
        <v>0</v>
      </c>
      <c r="BA96" t="s">
        <v>3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V96">
        <v>0</v>
      </c>
      <c r="CW96">
        <v>0</v>
      </c>
      <c r="CX96">
        <f>ROUND(Y96*Source!I55,7)</f>
        <v>1.89E-2</v>
      </c>
      <c r="CY96">
        <f>AA96</f>
        <v>162181.29</v>
      </c>
      <c r="CZ96">
        <f>AE96</f>
        <v>87665.56</v>
      </c>
      <c r="DA96">
        <f>AI96</f>
        <v>1.85</v>
      </c>
      <c r="DB96">
        <f>ROUND(ROUND(AT96*CZ96,2),6)</f>
        <v>5522.93</v>
      </c>
      <c r="DC96">
        <f>ROUND(ROUND(AT96*AG96,2),6)</f>
        <v>0</v>
      </c>
      <c r="DD96" t="s">
        <v>3</v>
      </c>
      <c r="DE96" t="s">
        <v>3</v>
      </c>
      <c r="DF96">
        <f>ROUND(ROUND(AE96*AI96,2)*CX96,2)</f>
        <v>3065.23</v>
      </c>
      <c r="DG96">
        <f>ROUND(ROUND(AF96,2)*CX96,2)</f>
        <v>0</v>
      </c>
      <c r="DH96">
        <f t="shared" si="21"/>
        <v>0</v>
      </c>
      <c r="DI96">
        <f t="shared" si="22"/>
        <v>0</v>
      </c>
      <c r="DJ96">
        <f>DF96</f>
        <v>3065.23</v>
      </c>
      <c r="DK96">
        <v>0</v>
      </c>
      <c r="DL96" t="s">
        <v>3</v>
      </c>
      <c r="DM96">
        <v>0</v>
      </c>
      <c r="DN96" t="s">
        <v>3</v>
      </c>
      <c r="DO96">
        <v>0</v>
      </c>
    </row>
    <row r="97" spans="1:119" x14ac:dyDescent="0.2">
      <c r="A97">
        <f>ROW(Source!A55)</f>
        <v>55</v>
      </c>
      <c r="B97">
        <v>55858619</v>
      </c>
      <c r="C97">
        <v>51354106</v>
      </c>
      <c r="D97">
        <v>50062439</v>
      </c>
      <c r="E97">
        <v>1</v>
      </c>
      <c r="F97">
        <v>1</v>
      </c>
      <c r="G97">
        <v>1</v>
      </c>
      <c r="H97">
        <v>3</v>
      </c>
      <c r="I97" t="s">
        <v>441</v>
      </c>
      <c r="J97" t="s">
        <v>442</v>
      </c>
      <c r="K97" t="s">
        <v>443</v>
      </c>
      <c r="L97">
        <v>1348</v>
      </c>
      <c r="N97">
        <v>1009</v>
      </c>
      <c r="O97" t="s">
        <v>29</v>
      </c>
      <c r="P97" t="s">
        <v>29</v>
      </c>
      <c r="Q97">
        <v>1000</v>
      </c>
      <c r="W97">
        <v>0</v>
      </c>
      <c r="X97">
        <v>-1265136668</v>
      </c>
      <c r="Y97">
        <f>AT97</f>
        <v>5.0999999999999997E-2</v>
      </c>
      <c r="AA97">
        <v>41390.22</v>
      </c>
      <c r="AB97">
        <v>0</v>
      </c>
      <c r="AC97">
        <v>0</v>
      </c>
      <c r="AD97">
        <v>0</v>
      </c>
      <c r="AE97">
        <v>25237.94</v>
      </c>
      <c r="AF97">
        <v>0</v>
      </c>
      <c r="AG97">
        <v>0</v>
      </c>
      <c r="AH97">
        <v>0</v>
      </c>
      <c r="AI97">
        <v>1.64</v>
      </c>
      <c r="AJ97">
        <v>1</v>
      </c>
      <c r="AK97">
        <v>1</v>
      </c>
      <c r="AL97">
        <v>1</v>
      </c>
      <c r="AM97">
        <v>2</v>
      </c>
      <c r="AN97">
        <v>0</v>
      </c>
      <c r="AO97">
        <v>0</v>
      </c>
      <c r="AP97">
        <v>0</v>
      </c>
      <c r="AQ97">
        <v>1</v>
      </c>
      <c r="AR97">
        <v>0</v>
      </c>
      <c r="AS97" t="s">
        <v>3</v>
      </c>
      <c r="AT97">
        <v>5.0999999999999997E-2</v>
      </c>
      <c r="AU97" t="s">
        <v>3</v>
      </c>
      <c r="AV97">
        <v>0</v>
      </c>
      <c r="AW97">
        <v>2</v>
      </c>
      <c r="AX97">
        <v>51354114</v>
      </c>
      <c r="AY97">
        <v>1</v>
      </c>
      <c r="AZ97">
        <v>0</v>
      </c>
      <c r="BA97">
        <v>99</v>
      </c>
      <c r="BB97">
        <v>1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1287.1349399999999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1</v>
      </c>
      <c r="BQ97">
        <v>1287.1349399999999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1</v>
      </c>
      <c r="CV97">
        <v>0</v>
      </c>
      <c r="CW97">
        <v>0</v>
      </c>
      <c r="CX97">
        <f>ROUND(Y97*Source!I55,7)</f>
        <v>1.5299999999999999E-2</v>
      </c>
      <c r="CY97">
        <f>AA97</f>
        <v>41390.22</v>
      </c>
      <c r="CZ97">
        <f>AE97</f>
        <v>25237.94</v>
      </c>
      <c r="DA97">
        <f>AI97</f>
        <v>1.64</v>
      </c>
      <c r="DB97">
        <f>ROUND(ROUND(AT97*CZ97,2),6)</f>
        <v>1287.1300000000001</v>
      </c>
      <c r="DC97">
        <f>ROUND(ROUND(AT97*AG97,2),6)</f>
        <v>0</v>
      </c>
      <c r="DD97" t="s">
        <v>3</v>
      </c>
      <c r="DE97" t="s">
        <v>3</v>
      </c>
      <c r="DF97">
        <f>ROUND(ROUND(AE97*AI97,2)*CX97,2)</f>
        <v>633.27</v>
      </c>
      <c r="DG97">
        <f>ROUND(ROUND(AF97,2)*CX97,2)</f>
        <v>0</v>
      </c>
      <c r="DH97">
        <f t="shared" si="21"/>
        <v>0</v>
      </c>
      <c r="DI97">
        <f t="shared" si="22"/>
        <v>0</v>
      </c>
      <c r="DJ97">
        <f>DF97</f>
        <v>633.27</v>
      </c>
      <c r="DK97">
        <v>0</v>
      </c>
      <c r="DL97" t="s">
        <v>3</v>
      </c>
      <c r="DM97">
        <v>0</v>
      </c>
      <c r="DN97" t="s">
        <v>3</v>
      </c>
      <c r="DO97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9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ROW(Source!A24)</f>
        <v>24</v>
      </c>
      <c r="B1">
        <v>51353873</v>
      </c>
      <c r="C1">
        <v>51353872</v>
      </c>
      <c r="D1">
        <v>49971113</v>
      </c>
      <c r="E1">
        <v>114</v>
      </c>
      <c r="F1">
        <v>1</v>
      </c>
      <c r="G1">
        <v>1</v>
      </c>
      <c r="H1">
        <v>1</v>
      </c>
      <c r="I1" t="s">
        <v>355</v>
      </c>
      <c r="J1" t="s">
        <v>3</v>
      </c>
      <c r="K1" t="s">
        <v>356</v>
      </c>
      <c r="L1">
        <v>1191</v>
      </c>
      <c r="N1">
        <v>1013</v>
      </c>
      <c r="O1" t="s">
        <v>357</v>
      </c>
      <c r="P1" t="s">
        <v>357</v>
      </c>
      <c r="Q1">
        <v>1</v>
      </c>
      <c r="X1">
        <v>78.739999999999995</v>
      </c>
      <c r="Y1">
        <v>0</v>
      </c>
      <c r="Z1">
        <v>0</v>
      </c>
      <c r="AA1">
        <v>0</v>
      </c>
      <c r="AB1">
        <v>329.55</v>
      </c>
      <c r="AC1">
        <v>0</v>
      </c>
      <c r="AD1">
        <v>1</v>
      </c>
      <c r="AE1">
        <v>1</v>
      </c>
      <c r="AF1" t="s">
        <v>3</v>
      </c>
      <c r="AG1">
        <v>78.739999999999995</v>
      </c>
      <c r="AH1">
        <v>2</v>
      </c>
      <c r="AI1">
        <v>51353873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ROW(Source!A24)</f>
        <v>24</v>
      </c>
      <c r="B2">
        <v>51353874</v>
      </c>
      <c r="C2">
        <v>51353872</v>
      </c>
      <c r="D2">
        <v>49971314</v>
      </c>
      <c r="E2">
        <v>114</v>
      </c>
      <c r="F2">
        <v>1</v>
      </c>
      <c r="G2">
        <v>1</v>
      </c>
      <c r="H2">
        <v>1</v>
      </c>
      <c r="I2" t="s">
        <v>358</v>
      </c>
      <c r="J2" t="s">
        <v>3</v>
      </c>
      <c r="K2" t="s">
        <v>359</v>
      </c>
      <c r="L2">
        <v>1191</v>
      </c>
      <c r="N2">
        <v>1013</v>
      </c>
      <c r="O2" t="s">
        <v>357</v>
      </c>
      <c r="P2" t="s">
        <v>357</v>
      </c>
      <c r="Q2">
        <v>1</v>
      </c>
      <c r="X2">
        <v>0.79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0.79</v>
      </c>
      <c r="AH2">
        <v>2</v>
      </c>
      <c r="AI2">
        <v>51353874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ROW(Source!A24)</f>
        <v>24</v>
      </c>
      <c r="B3">
        <v>51353875</v>
      </c>
      <c r="C3">
        <v>51353872</v>
      </c>
      <c r="D3">
        <v>50095945</v>
      </c>
      <c r="E3">
        <v>1</v>
      </c>
      <c r="F3">
        <v>1</v>
      </c>
      <c r="G3">
        <v>1</v>
      </c>
      <c r="H3">
        <v>2</v>
      </c>
      <c r="I3" t="s">
        <v>360</v>
      </c>
      <c r="J3" t="s">
        <v>361</v>
      </c>
      <c r="K3" t="s">
        <v>362</v>
      </c>
      <c r="L3">
        <v>1368</v>
      </c>
      <c r="N3">
        <v>1011</v>
      </c>
      <c r="O3" t="s">
        <v>363</v>
      </c>
      <c r="P3" t="s">
        <v>363</v>
      </c>
      <c r="Q3">
        <v>1</v>
      </c>
      <c r="X3">
        <v>0.79</v>
      </c>
      <c r="Y3">
        <v>0</v>
      </c>
      <c r="Z3">
        <v>37.32</v>
      </c>
      <c r="AA3">
        <v>335.19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0.79</v>
      </c>
      <c r="AH3">
        <v>2</v>
      </c>
      <c r="AI3">
        <v>51353875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ROW(Source!A24)</f>
        <v>24</v>
      </c>
      <c r="B4">
        <v>51353876</v>
      </c>
      <c r="C4">
        <v>51353872</v>
      </c>
      <c r="D4">
        <v>49977009</v>
      </c>
      <c r="E4">
        <v>114</v>
      </c>
      <c r="F4">
        <v>1</v>
      </c>
      <c r="G4">
        <v>1</v>
      </c>
      <c r="H4">
        <v>3</v>
      </c>
      <c r="I4" t="s">
        <v>27</v>
      </c>
      <c r="J4" t="s">
        <v>3</v>
      </c>
      <c r="K4" t="s">
        <v>28</v>
      </c>
      <c r="L4">
        <v>1348</v>
      </c>
      <c r="N4">
        <v>1009</v>
      </c>
      <c r="O4" t="s">
        <v>29</v>
      </c>
      <c r="P4" t="s">
        <v>29</v>
      </c>
      <c r="Q4">
        <v>1000</v>
      </c>
      <c r="X4">
        <v>4.3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 t="s">
        <v>3</v>
      </c>
      <c r="AG4">
        <v>4.3</v>
      </c>
      <c r="AH4">
        <v>2</v>
      </c>
      <c r="AI4">
        <v>51353876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ROW(Source!A26)</f>
        <v>26</v>
      </c>
      <c r="B5">
        <v>55858641</v>
      </c>
      <c r="C5">
        <v>55858640</v>
      </c>
      <c r="D5">
        <v>54569595</v>
      </c>
      <c r="E5">
        <v>117</v>
      </c>
      <c r="F5">
        <v>1</v>
      </c>
      <c r="G5">
        <v>1</v>
      </c>
      <c r="H5">
        <v>1</v>
      </c>
      <c r="I5" t="s">
        <v>365</v>
      </c>
      <c r="J5" t="s">
        <v>3</v>
      </c>
      <c r="K5" t="s">
        <v>366</v>
      </c>
      <c r="L5">
        <v>1191</v>
      </c>
      <c r="N5">
        <v>1013</v>
      </c>
      <c r="O5" t="s">
        <v>357</v>
      </c>
      <c r="P5" t="s">
        <v>357</v>
      </c>
      <c r="Q5">
        <v>1</v>
      </c>
      <c r="X5">
        <v>49.59</v>
      </c>
      <c r="Y5">
        <v>0</v>
      </c>
      <c r="Z5">
        <v>0</v>
      </c>
      <c r="AA5">
        <v>0</v>
      </c>
      <c r="AB5">
        <v>359.65</v>
      </c>
      <c r="AC5">
        <v>0</v>
      </c>
      <c r="AD5">
        <v>1</v>
      </c>
      <c r="AE5">
        <v>1</v>
      </c>
      <c r="AF5" t="s">
        <v>3</v>
      </c>
      <c r="AG5">
        <v>49.59</v>
      </c>
      <c r="AH5">
        <v>2</v>
      </c>
      <c r="AI5">
        <v>55858641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ROW(Source!A26)</f>
        <v>26</v>
      </c>
      <c r="B6">
        <v>55858642</v>
      </c>
      <c r="C6">
        <v>55858640</v>
      </c>
      <c r="D6">
        <v>54577389</v>
      </c>
      <c r="E6">
        <v>1</v>
      </c>
      <c r="F6">
        <v>1</v>
      </c>
      <c r="G6">
        <v>1</v>
      </c>
      <c r="H6">
        <v>2</v>
      </c>
      <c r="I6" t="s">
        <v>367</v>
      </c>
      <c r="J6" t="s">
        <v>368</v>
      </c>
      <c r="K6" t="s">
        <v>369</v>
      </c>
      <c r="L6">
        <v>1368</v>
      </c>
      <c r="N6">
        <v>1011</v>
      </c>
      <c r="O6" t="s">
        <v>363</v>
      </c>
      <c r="P6" t="s">
        <v>363</v>
      </c>
      <c r="Q6">
        <v>1</v>
      </c>
      <c r="X6">
        <v>23.08</v>
      </c>
      <c r="Y6">
        <v>0</v>
      </c>
      <c r="Z6">
        <v>115.43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23.08</v>
      </c>
      <c r="AH6">
        <v>2</v>
      </c>
      <c r="AI6">
        <v>55858642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ROW(Source!A26)</f>
        <v>26</v>
      </c>
      <c r="B7">
        <v>55858643</v>
      </c>
      <c r="C7">
        <v>55858640</v>
      </c>
      <c r="D7">
        <v>54577778</v>
      </c>
      <c r="E7">
        <v>1</v>
      </c>
      <c r="F7">
        <v>1</v>
      </c>
      <c r="G7">
        <v>1</v>
      </c>
      <c r="H7">
        <v>2</v>
      </c>
      <c r="I7" t="s">
        <v>370</v>
      </c>
      <c r="J7" t="s">
        <v>371</v>
      </c>
      <c r="K7" t="s">
        <v>372</v>
      </c>
      <c r="L7">
        <v>1368</v>
      </c>
      <c r="N7">
        <v>1011</v>
      </c>
      <c r="O7" t="s">
        <v>363</v>
      </c>
      <c r="P7" t="s">
        <v>363</v>
      </c>
      <c r="Q7">
        <v>1</v>
      </c>
      <c r="X7">
        <v>46.16</v>
      </c>
      <c r="Y7">
        <v>0</v>
      </c>
      <c r="Z7">
        <v>2.11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46.16</v>
      </c>
      <c r="AH7">
        <v>2</v>
      </c>
      <c r="AI7">
        <v>55858643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ROW(Source!A27)</f>
        <v>27</v>
      </c>
      <c r="B8">
        <v>51353879</v>
      </c>
      <c r="C8">
        <v>51353878</v>
      </c>
      <c r="D8">
        <v>49971079</v>
      </c>
      <c r="E8">
        <v>114</v>
      </c>
      <c r="F8">
        <v>1</v>
      </c>
      <c r="G8">
        <v>1</v>
      </c>
      <c r="H8">
        <v>1</v>
      </c>
      <c r="I8" t="s">
        <v>373</v>
      </c>
      <c r="J8" t="s">
        <v>3</v>
      </c>
      <c r="K8" t="s">
        <v>374</v>
      </c>
      <c r="L8">
        <v>1191</v>
      </c>
      <c r="N8">
        <v>1013</v>
      </c>
      <c r="O8" t="s">
        <v>357</v>
      </c>
      <c r="P8" t="s">
        <v>357</v>
      </c>
      <c r="Q8">
        <v>1</v>
      </c>
      <c r="X8">
        <v>135</v>
      </c>
      <c r="Y8">
        <v>0</v>
      </c>
      <c r="Z8">
        <v>0</v>
      </c>
      <c r="AA8">
        <v>0</v>
      </c>
      <c r="AB8">
        <v>307.02</v>
      </c>
      <c r="AC8">
        <v>0</v>
      </c>
      <c r="AD8">
        <v>1</v>
      </c>
      <c r="AE8">
        <v>1</v>
      </c>
      <c r="AF8" t="s">
        <v>47</v>
      </c>
      <c r="AG8">
        <v>155.25</v>
      </c>
      <c r="AH8">
        <v>2</v>
      </c>
      <c r="AI8">
        <v>51353879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ROW(Source!A27)</f>
        <v>27</v>
      </c>
      <c r="B9">
        <v>51353880</v>
      </c>
      <c r="C9">
        <v>51353878</v>
      </c>
      <c r="D9">
        <v>49971314</v>
      </c>
      <c r="E9">
        <v>114</v>
      </c>
      <c r="F9">
        <v>1</v>
      </c>
      <c r="G9">
        <v>1</v>
      </c>
      <c r="H9">
        <v>1</v>
      </c>
      <c r="I9" t="s">
        <v>358</v>
      </c>
      <c r="J9" t="s">
        <v>3</v>
      </c>
      <c r="K9" t="s">
        <v>359</v>
      </c>
      <c r="L9">
        <v>1191</v>
      </c>
      <c r="N9">
        <v>1013</v>
      </c>
      <c r="O9" t="s">
        <v>357</v>
      </c>
      <c r="P9" t="s">
        <v>357</v>
      </c>
      <c r="Q9">
        <v>1</v>
      </c>
      <c r="X9">
        <v>18.12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2</v>
      </c>
      <c r="AF9" t="s">
        <v>46</v>
      </c>
      <c r="AG9">
        <v>22.650000000000002</v>
      </c>
      <c r="AH9">
        <v>2</v>
      </c>
      <c r="AI9">
        <v>51353880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ROW(Source!A27)</f>
        <v>27</v>
      </c>
      <c r="B10">
        <v>51353881</v>
      </c>
      <c r="C10">
        <v>51353878</v>
      </c>
      <c r="D10">
        <v>50095707</v>
      </c>
      <c r="E10">
        <v>1</v>
      </c>
      <c r="F10">
        <v>1</v>
      </c>
      <c r="G10">
        <v>1</v>
      </c>
      <c r="H10">
        <v>2</v>
      </c>
      <c r="I10" t="s">
        <v>375</v>
      </c>
      <c r="J10" t="s">
        <v>376</v>
      </c>
      <c r="K10" t="s">
        <v>377</v>
      </c>
      <c r="L10">
        <v>1368</v>
      </c>
      <c r="N10">
        <v>1011</v>
      </c>
      <c r="O10" t="s">
        <v>363</v>
      </c>
      <c r="P10" t="s">
        <v>363</v>
      </c>
      <c r="Q10">
        <v>1</v>
      </c>
      <c r="X10">
        <v>18</v>
      </c>
      <c r="Y10">
        <v>0</v>
      </c>
      <c r="Z10">
        <v>622.62</v>
      </c>
      <c r="AA10">
        <v>507.01</v>
      </c>
      <c r="AB10">
        <v>0</v>
      </c>
      <c r="AC10">
        <v>0</v>
      </c>
      <c r="AD10">
        <v>1</v>
      </c>
      <c r="AE10">
        <v>0</v>
      </c>
      <c r="AF10" t="s">
        <v>46</v>
      </c>
      <c r="AG10">
        <v>22.5</v>
      </c>
      <c r="AH10">
        <v>2</v>
      </c>
      <c r="AI10">
        <v>51353881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ROW(Source!A27)</f>
        <v>27</v>
      </c>
      <c r="B11">
        <v>51353882</v>
      </c>
      <c r="C11">
        <v>51353878</v>
      </c>
      <c r="D11">
        <v>50096015</v>
      </c>
      <c r="E11">
        <v>1</v>
      </c>
      <c r="F11">
        <v>1</v>
      </c>
      <c r="G11">
        <v>1</v>
      </c>
      <c r="H11">
        <v>2</v>
      </c>
      <c r="I11" t="s">
        <v>379</v>
      </c>
      <c r="J11" t="s">
        <v>380</v>
      </c>
      <c r="K11" t="s">
        <v>381</v>
      </c>
      <c r="L11">
        <v>1368</v>
      </c>
      <c r="N11">
        <v>1011</v>
      </c>
      <c r="O11" t="s">
        <v>363</v>
      </c>
      <c r="P11" t="s">
        <v>363</v>
      </c>
      <c r="Q11">
        <v>1</v>
      </c>
      <c r="X11">
        <v>5.93</v>
      </c>
      <c r="Y11">
        <v>0</v>
      </c>
      <c r="Z11">
        <v>8.5399999999999991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46</v>
      </c>
      <c r="AG11">
        <v>7.4124999999999996</v>
      </c>
      <c r="AH11">
        <v>2</v>
      </c>
      <c r="AI11">
        <v>51353882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ROW(Source!A27)</f>
        <v>27</v>
      </c>
      <c r="B12">
        <v>51353883</v>
      </c>
      <c r="C12">
        <v>51353878</v>
      </c>
      <c r="D12">
        <v>50096650</v>
      </c>
      <c r="E12">
        <v>1</v>
      </c>
      <c r="F12">
        <v>1</v>
      </c>
      <c r="G12">
        <v>1</v>
      </c>
      <c r="H12">
        <v>2</v>
      </c>
      <c r="I12" t="s">
        <v>382</v>
      </c>
      <c r="J12" t="s">
        <v>383</v>
      </c>
      <c r="K12" t="s">
        <v>384</v>
      </c>
      <c r="L12">
        <v>1368</v>
      </c>
      <c r="N12">
        <v>1011</v>
      </c>
      <c r="O12" t="s">
        <v>363</v>
      </c>
      <c r="P12" t="s">
        <v>363</v>
      </c>
      <c r="Q12">
        <v>1</v>
      </c>
      <c r="X12">
        <v>0.12</v>
      </c>
      <c r="Y12">
        <v>0</v>
      </c>
      <c r="Z12">
        <v>633.01</v>
      </c>
      <c r="AA12">
        <v>377.44</v>
      </c>
      <c r="AB12">
        <v>0</v>
      </c>
      <c r="AC12">
        <v>0</v>
      </c>
      <c r="AD12">
        <v>1</v>
      </c>
      <c r="AE12">
        <v>0</v>
      </c>
      <c r="AF12" t="s">
        <v>46</v>
      </c>
      <c r="AG12">
        <v>0.15</v>
      </c>
      <c r="AH12">
        <v>2</v>
      </c>
      <c r="AI12">
        <v>51353883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ROW(Source!A27)</f>
        <v>27</v>
      </c>
      <c r="B13">
        <v>51353884</v>
      </c>
      <c r="C13">
        <v>51353878</v>
      </c>
      <c r="D13">
        <v>50042837</v>
      </c>
      <c r="E13">
        <v>1</v>
      </c>
      <c r="F13">
        <v>1</v>
      </c>
      <c r="G13">
        <v>1</v>
      </c>
      <c r="H13">
        <v>3</v>
      </c>
      <c r="I13" t="s">
        <v>386</v>
      </c>
      <c r="J13" t="s">
        <v>387</v>
      </c>
      <c r="K13" t="s">
        <v>388</v>
      </c>
      <c r="L13">
        <v>1339</v>
      </c>
      <c r="N13">
        <v>1007</v>
      </c>
      <c r="O13" t="s">
        <v>33</v>
      </c>
      <c r="P13" t="s">
        <v>33</v>
      </c>
      <c r="Q13">
        <v>1</v>
      </c>
      <c r="X13">
        <v>1.75</v>
      </c>
      <c r="Y13">
        <v>35.71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1.75</v>
      </c>
      <c r="AH13">
        <v>2</v>
      </c>
      <c r="AI13">
        <v>51353884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ROW(Source!A27)</f>
        <v>27</v>
      </c>
      <c r="B14">
        <v>51353885</v>
      </c>
      <c r="C14">
        <v>51353878</v>
      </c>
      <c r="D14">
        <v>50043148</v>
      </c>
      <c r="E14">
        <v>1</v>
      </c>
      <c r="F14">
        <v>1</v>
      </c>
      <c r="G14">
        <v>1</v>
      </c>
      <c r="H14">
        <v>3</v>
      </c>
      <c r="I14" t="s">
        <v>389</v>
      </c>
      <c r="J14" t="s">
        <v>390</v>
      </c>
      <c r="K14" t="s">
        <v>391</v>
      </c>
      <c r="L14">
        <v>1327</v>
      </c>
      <c r="N14">
        <v>1005</v>
      </c>
      <c r="O14" t="s">
        <v>69</v>
      </c>
      <c r="P14" t="s">
        <v>69</v>
      </c>
      <c r="Q14">
        <v>1</v>
      </c>
      <c r="X14">
        <v>250</v>
      </c>
      <c r="Y14">
        <v>12.83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250</v>
      </c>
      <c r="AH14">
        <v>2</v>
      </c>
      <c r="AI14">
        <v>51353885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ROW(Source!A27)</f>
        <v>27</v>
      </c>
      <c r="B15">
        <v>51353886</v>
      </c>
      <c r="C15">
        <v>51353878</v>
      </c>
      <c r="D15">
        <v>49972423</v>
      </c>
      <c r="E15">
        <v>114</v>
      </c>
      <c r="F15">
        <v>1</v>
      </c>
      <c r="G15">
        <v>1</v>
      </c>
      <c r="H15">
        <v>3</v>
      </c>
      <c r="I15" t="s">
        <v>444</v>
      </c>
      <c r="J15" t="s">
        <v>3</v>
      </c>
      <c r="K15" t="s">
        <v>445</v>
      </c>
      <c r="L15">
        <v>1339</v>
      </c>
      <c r="N15">
        <v>1007</v>
      </c>
      <c r="O15" t="s">
        <v>33</v>
      </c>
      <c r="P15" t="s">
        <v>33</v>
      </c>
      <c r="Q15">
        <v>1</v>
      </c>
      <c r="X15">
        <v>102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 t="s">
        <v>3</v>
      </c>
      <c r="AG15">
        <v>102</v>
      </c>
      <c r="AH15">
        <v>3</v>
      </c>
      <c r="AI15">
        <v>-1</v>
      </c>
      <c r="AJ15" t="s">
        <v>3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ROW(Source!A29)</f>
        <v>29</v>
      </c>
      <c r="B16">
        <v>51353891</v>
      </c>
      <c r="C16">
        <v>51353890</v>
      </c>
      <c r="D16">
        <v>49971123</v>
      </c>
      <c r="E16">
        <v>114</v>
      </c>
      <c r="F16">
        <v>1</v>
      </c>
      <c r="G16">
        <v>1</v>
      </c>
      <c r="H16">
        <v>1</v>
      </c>
      <c r="I16" t="s">
        <v>392</v>
      </c>
      <c r="J16" t="s">
        <v>3</v>
      </c>
      <c r="K16" t="s">
        <v>393</v>
      </c>
      <c r="L16">
        <v>1191</v>
      </c>
      <c r="N16">
        <v>1013</v>
      </c>
      <c r="O16" t="s">
        <v>357</v>
      </c>
      <c r="P16" t="s">
        <v>357</v>
      </c>
      <c r="Q16">
        <v>1</v>
      </c>
      <c r="X16">
        <v>310.42</v>
      </c>
      <c r="Y16">
        <v>0</v>
      </c>
      <c r="Z16">
        <v>0</v>
      </c>
      <c r="AA16">
        <v>0</v>
      </c>
      <c r="AB16">
        <v>343.64</v>
      </c>
      <c r="AC16">
        <v>0</v>
      </c>
      <c r="AD16">
        <v>1</v>
      </c>
      <c r="AE16">
        <v>1</v>
      </c>
      <c r="AF16" t="s">
        <v>47</v>
      </c>
      <c r="AG16">
        <v>356.983</v>
      </c>
      <c r="AH16">
        <v>2</v>
      </c>
      <c r="AI16">
        <v>51353891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ROW(Source!A29)</f>
        <v>29</v>
      </c>
      <c r="B17">
        <v>51353892</v>
      </c>
      <c r="C17">
        <v>51353890</v>
      </c>
      <c r="D17">
        <v>49971314</v>
      </c>
      <c r="E17">
        <v>114</v>
      </c>
      <c r="F17">
        <v>1</v>
      </c>
      <c r="G17">
        <v>1</v>
      </c>
      <c r="H17">
        <v>1</v>
      </c>
      <c r="I17" t="s">
        <v>358</v>
      </c>
      <c r="J17" t="s">
        <v>3</v>
      </c>
      <c r="K17" t="s">
        <v>359</v>
      </c>
      <c r="L17">
        <v>1191</v>
      </c>
      <c r="N17">
        <v>1013</v>
      </c>
      <c r="O17" t="s">
        <v>357</v>
      </c>
      <c r="P17" t="s">
        <v>357</v>
      </c>
      <c r="Q17">
        <v>1</v>
      </c>
      <c r="X17">
        <v>1.73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2</v>
      </c>
      <c r="AF17" t="s">
        <v>46</v>
      </c>
      <c r="AG17">
        <v>2.1625000000000001</v>
      </c>
      <c r="AH17">
        <v>2</v>
      </c>
      <c r="AI17">
        <v>51353892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ROW(Source!A29)</f>
        <v>29</v>
      </c>
      <c r="B18">
        <v>51353893</v>
      </c>
      <c r="C18">
        <v>51353890</v>
      </c>
      <c r="D18">
        <v>50095706</v>
      </c>
      <c r="E18">
        <v>1</v>
      </c>
      <c r="F18">
        <v>1</v>
      </c>
      <c r="G18">
        <v>1</v>
      </c>
      <c r="H18">
        <v>2</v>
      </c>
      <c r="I18" t="s">
        <v>394</v>
      </c>
      <c r="J18" t="s">
        <v>395</v>
      </c>
      <c r="K18" t="s">
        <v>396</v>
      </c>
      <c r="L18">
        <v>1368</v>
      </c>
      <c r="N18">
        <v>1011</v>
      </c>
      <c r="O18" t="s">
        <v>363</v>
      </c>
      <c r="P18" t="s">
        <v>363</v>
      </c>
      <c r="Q18">
        <v>1</v>
      </c>
      <c r="X18">
        <v>0.02</v>
      </c>
      <c r="Y18">
        <v>0</v>
      </c>
      <c r="Z18">
        <v>251.77</v>
      </c>
      <c r="AA18">
        <v>507.01</v>
      </c>
      <c r="AB18">
        <v>0</v>
      </c>
      <c r="AC18">
        <v>0</v>
      </c>
      <c r="AD18">
        <v>1</v>
      </c>
      <c r="AE18">
        <v>0</v>
      </c>
      <c r="AF18" t="s">
        <v>46</v>
      </c>
      <c r="AG18">
        <v>2.5000000000000001E-2</v>
      </c>
      <c r="AH18">
        <v>2</v>
      </c>
      <c r="AI18">
        <v>51353893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ROW(Source!A29)</f>
        <v>29</v>
      </c>
      <c r="B19">
        <v>51353894</v>
      </c>
      <c r="C19">
        <v>51353890</v>
      </c>
      <c r="D19">
        <v>50095759</v>
      </c>
      <c r="E19">
        <v>1</v>
      </c>
      <c r="F19">
        <v>1</v>
      </c>
      <c r="G19">
        <v>1</v>
      </c>
      <c r="H19">
        <v>2</v>
      </c>
      <c r="I19" t="s">
        <v>397</v>
      </c>
      <c r="J19" t="s">
        <v>398</v>
      </c>
      <c r="K19" t="s">
        <v>399</v>
      </c>
      <c r="L19">
        <v>1368</v>
      </c>
      <c r="N19">
        <v>1011</v>
      </c>
      <c r="O19" t="s">
        <v>363</v>
      </c>
      <c r="P19" t="s">
        <v>363</v>
      </c>
      <c r="Q19">
        <v>1</v>
      </c>
      <c r="X19">
        <v>0.01</v>
      </c>
      <c r="Y19">
        <v>0</v>
      </c>
      <c r="Z19">
        <v>1687.96</v>
      </c>
      <c r="AA19">
        <v>507.01</v>
      </c>
      <c r="AB19">
        <v>0</v>
      </c>
      <c r="AC19">
        <v>0</v>
      </c>
      <c r="AD19">
        <v>1</v>
      </c>
      <c r="AE19">
        <v>0</v>
      </c>
      <c r="AF19" t="s">
        <v>46</v>
      </c>
      <c r="AG19">
        <v>1.2500000000000001E-2</v>
      </c>
      <c r="AH19">
        <v>2</v>
      </c>
      <c r="AI19">
        <v>51353894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ROW(Source!A29)</f>
        <v>29</v>
      </c>
      <c r="B20">
        <v>51353895</v>
      </c>
      <c r="C20">
        <v>51353890</v>
      </c>
      <c r="D20">
        <v>50096050</v>
      </c>
      <c r="E20">
        <v>1</v>
      </c>
      <c r="F20">
        <v>1</v>
      </c>
      <c r="G20">
        <v>1</v>
      </c>
      <c r="H20">
        <v>2</v>
      </c>
      <c r="I20" t="s">
        <v>400</v>
      </c>
      <c r="J20" t="s">
        <v>401</v>
      </c>
      <c r="K20" t="s">
        <v>402</v>
      </c>
      <c r="L20">
        <v>1368</v>
      </c>
      <c r="N20">
        <v>1011</v>
      </c>
      <c r="O20" t="s">
        <v>363</v>
      </c>
      <c r="P20" t="s">
        <v>363</v>
      </c>
      <c r="Q20">
        <v>1</v>
      </c>
      <c r="X20">
        <v>1.69</v>
      </c>
      <c r="Y20">
        <v>0</v>
      </c>
      <c r="Z20">
        <v>2.31</v>
      </c>
      <c r="AA20">
        <v>335.19</v>
      </c>
      <c r="AB20">
        <v>0</v>
      </c>
      <c r="AC20">
        <v>0</v>
      </c>
      <c r="AD20">
        <v>1</v>
      </c>
      <c r="AE20">
        <v>0</v>
      </c>
      <c r="AF20" t="s">
        <v>46</v>
      </c>
      <c r="AG20">
        <v>2.1124999999999998</v>
      </c>
      <c r="AH20">
        <v>2</v>
      </c>
      <c r="AI20">
        <v>51353895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ROW(Source!A29)</f>
        <v>29</v>
      </c>
      <c r="B21">
        <v>51353896</v>
      </c>
      <c r="C21">
        <v>51353890</v>
      </c>
      <c r="D21">
        <v>50096650</v>
      </c>
      <c r="E21">
        <v>1</v>
      </c>
      <c r="F21">
        <v>1</v>
      </c>
      <c r="G21">
        <v>1</v>
      </c>
      <c r="H21">
        <v>2</v>
      </c>
      <c r="I21" t="s">
        <v>382</v>
      </c>
      <c r="J21" t="s">
        <v>383</v>
      </c>
      <c r="K21" t="s">
        <v>384</v>
      </c>
      <c r="L21">
        <v>1368</v>
      </c>
      <c r="N21">
        <v>1011</v>
      </c>
      <c r="O21" t="s">
        <v>363</v>
      </c>
      <c r="P21" t="s">
        <v>363</v>
      </c>
      <c r="Q21">
        <v>1</v>
      </c>
      <c r="X21">
        <v>0.01</v>
      </c>
      <c r="Y21">
        <v>0</v>
      </c>
      <c r="Z21">
        <v>633.01</v>
      </c>
      <c r="AA21">
        <v>377.44</v>
      </c>
      <c r="AB21">
        <v>0</v>
      </c>
      <c r="AC21">
        <v>0</v>
      </c>
      <c r="AD21">
        <v>1</v>
      </c>
      <c r="AE21">
        <v>0</v>
      </c>
      <c r="AF21" t="s">
        <v>46</v>
      </c>
      <c r="AG21">
        <v>1.2500000000000001E-2</v>
      </c>
      <c r="AH21">
        <v>2</v>
      </c>
      <c r="AI21">
        <v>51353896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ROW(Source!A29)</f>
        <v>29</v>
      </c>
      <c r="B22">
        <v>51353897</v>
      </c>
      <c r="C22">
        <v>51353890</v>
      </c>
      <c r="D22">
        <v>50042837</v>
      </c>
      <c r="E22">
        <v>1</v>
      </c>
      <c r="F22">
        <v>1</v>
      </c>
      <c r="G22">
        <v>1</v>
      </c>
      <c r="H22">
        <v>3</v>
      </c>
      <c r="I22" t="s">
        <v>386</v>
      </c>
      <c r="J22" t="s">
        <v>387</v>
      </c>
      <c r="K22" t="s">
        <v>388</v>
      </c>
      <c r="L22">
        <v>1339</v>
      </c>
      <c r="N22">
        <v>1007</v>
      </c>
      <c r="O22" t="s">
        <v>33</v>
      </c>
      <c r="P22" t="s">
        <v>33</v>
      </c>
      <c r="Q22">
        <v>1</v>
      </c>
      <c r="X22">
        <v>0.44</v>
      </c>
      <c r="Y22">
        <v>35.71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0.44</v>
      </c>
      <c r="AH22">
        <v>2</v>
      </c>
      <c r="AI22">
        <v>51353897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ROW(Source!A29)</f>
        <v>29</v>
      </c>
      <c r="B23">
        <v>51353898</v>
      </c>
      <c r="C23">
        <v>51353890</v>
      </c>
      <c r="D23">
        <v>50042849</v>
      </c>
      <c r="E23">
        <v>1</v>
      </c>
      <c r="F23">
        <v>1</v>
      </c>
      <c r="G23">
        <v>1</v>
      </c>
      <c r="H23">
        <v>3</v>
      </c>
      <c r="I23" t="s">
        <v>403</v>
      </c>
      <c r="J23" t="s">
        <v>404</v>
      </c>
      <c r="K23" t="s">
        <v>405</v>
      </c>
      <c r="L23">
        <v>1383</v>
      </c>
      <c r="N23">
        <v>1013</v>
      </c>
      <c r="O23" t="s">
        <v>406</v>
      </c>
      <c r="P23" t="s">
        <v>406</v>
      </c>
      <c r="Q23">
        <v>1</v>
      </c>
      <c r="X23">
        <v>3.2500000000000001E-2</v>
      </c>
      <c r="Y23">
        <v>6.59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3.2500000000000001E-2</v>
      </c>
      <c r="AH23">
        <v>2</v>
      </c>
      <c r="AI23">
        <v>51353898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ROW(Source!A29)</f>
        <v>29</v>
      </c>
      <c r="B24">
        <v>51353899</v>
      </c>
      <c r="C24">
        <v>51353890</v>
      </c>
      <c r="D24">
        <v>50047203</v>
      </c>
      <c r="E24">
        <v>1</v>
      </c>
      <c r="F24">
        <v>1</v>
      </c>
      <c r="G24">
        <v>1</v>
      </c>
      <c r="H24">
        <v>3</v>
      </c>
      <c r="I24" t="s">
        <v>90</v>
      </c>
      <c r="J24" t="s">
        <v>92</v>
      </c>
      <c r="K24" t="s">
        <v>91</v>
      </c>
      <c r="L24">
        <v>1348</v>
      </c>
      <c r="N24">
        <v>1009</v>
      </c>
      <c r="O24" t="s">
        <v>29</v>
      </c>
      <c r="P24" t="s">
        <v>29</v>
      </c>
      <c r="Q24">
        <v>1000</v>
      </c>
      <c r="X24">
        <v>1.2999999999999999E-2</v>
      </c>
      <c r="Y24">
        <v>37800.300000000003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1.2999999999999999E-2</v>
      </c>
      <c r="AH24">
        <v>2</v>
      </c>
      <c r="AI24">
        <v>51353899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ROW(Source!A29)</f>
        <v>29</v>
      </c>
      <c r="B25">
        <v>51353900</v>
      </c>
      <c r="C25">
        <v>51353890</v>
      </c>
      <c r="D25">
        <v>49973246</v>
      </c>
      <c r="E25">
        <v>114</v>
      </c>
      <c r="F25">
        <v>1</v>
      </c>
      <c r="G25">
        <v>1</v>
      </c>
      <c r="H25">
        <v>3</v>
      </c>
      <c r="I25" t="s">
        <v>446</v>
      </c>
      <c r="J25" t="s">
        <v>3</v>
      </c>
      <c r="K25" t="s">
        <v>447</v>
      </c>
      <c r="L25">
        <v>1327</v>
      </c>
      <c r="N25">
        <v>1005</v>
      </c>
      <c r="O25" t="s">
        <v>69</v>
      </c>
      <c r="P25" t="s">
        <v>69</v>
      </c>
      <c r="Q25">
        <v>1</v>
      </c>
      <c r="X25">
        <v>102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 t="s">
        <v>3</v>
      </c>
      <c r="AG25">
        <v>102</v>
      </c>
      <c r="AH25">
        <v>3</v>
      </c>
      <c r="AI25">
        <v>-1</v>
      </c>
      <c r="AJ25" t="s">
        <v>3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ROW(Source!A29)</f>
        <v>29</v>
      </c>
      <c r="B26">
        <v>51353901</v>
      </c>
      <c r="C26">
        <v>51353890</v>
      </c>
      <c r="D26">
        <v>49974225</v>
      </c>
      <c r="E26">
        <v>114</v>
      </c>
      <c r="F26">
        <v>1</v>
      </c>
      <c r="G26">
        <v>1</v>
      </c>
      <c r="H26">
        <v>3</v>
      </c>
      <c r="I26" t="s">
        <v>448</v>
      </c>
      <c r="J26" t="s">
        <v>3</v>
      </c>
      <c r="K26" t="s">
        <v>449</v>
      </c>
      <c r="L26">
        <v>1339</v>
      </c>
      <c r="N26">
        <v>1007</v>
      </c>
      <c r="O26" t="s">
        <v>33</v>
      </c>
      <c r="P26" t="s">
        <v>33</v>
      </c>
      <c r="Q26">
        <v>1</v>
      </c>
      <c r="X26">
        <v>0.01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 t="s">
        <v>3</v>
      </c>
      <c r="AG26">
        <v>0.01</v>
      </c>
      <c r="AH26">
        <v>3</v>
      </c>
      <c r="AI26">
        <v>-1</v>
      </c>
      <c r="AJ26" t="s">
        <v>3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ROW(Source!A29)</f>
        <v>29</v>
      </c>
      <c r="B27">
        <v>51353902</v>
      </c>
      <c r="C27">
        <v>51353890</v>
      </c>
      <c r="D27">
        <v>49974814</v>
      </c>
      <c r="E27">
        <v>114</v>
      </c>
      <c r="F27">
        <v>1</v>
      </c>
      <c r="G27">
        <v>1</v>
      </c>
      <c r="H27">
        <v>3</v>
      </c>
      <c r="I27" t="s">
        <v>450</v>
      </c>
      <c r="J27" t="s">
        <v>3</v>
      </c>
      <c r="K27" t="s">
        <v>451</v>
      </c>
      <c r="L27">
        <v>1348</v>
      </c>
      <c r="N27">
        <v>1009</v>
      </c>
      <c r="O27" t="s">
        <v>29</v>
      </c>
      <c r="P27" t="s">
        <v>29</v>
      </c>
      <c r="Q27">
        <v>1000</v>
      </c>
      <c r="X27">
        <v>1.2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 t="s">
        <v>3</v>
      </c>
      <c r="AG27">
        <v>1.2</v>
      </c>
      <c r="AH27">
        <v>3</v>
      </c>
      <c r="AI27">
        <v>-1</v>
      </c>
      <c r="AJ27" t="s">
        <v>3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ROW(Source!A29)</f>
        <v>29</v>
      </c>
      <c r="B28">
        <v>51353903</v>
      </c>
      <c r="C28">
        <v>51353890</v>
      </c>
      <c r="D28">
        <v>49974971</v>
      </c>
      <c r="E28">
        <v>114</v>
      </c>
      <c r="F28">
        <v>1</v>
      </c>
      <c r="G28">
        <v>1</v>
      </c>
      <c r="H28">
        <v>3</v>
      </c>
      <c r="I28" t="s">
        <v>452</v>
      </c>
      <c r="J28" t="s">
        <v>3</v>
      </c>
      <c r="K28" t="s">
        <v>453</v>
      </c>
      <c r="L28">
        <v>1348</v>
      </c>
      <c r="N28">
        <v>1009</v>
      </c>
      <c r="O28" t="s">
        <v>29</v>
      </c>
      <c r="P28" t="s">
        <v>29</v>
      </c>
      <c r="Q28">
        <v>1000</v>
      </c>
      <c r="X28">
        <v>0</v>
      </c>
      <c r="Y28">
        <v>0</v>
      </c>
      <c r="Z28">
        <v>0</v>
      </c>
      <c r="AA28">
        <v>0</v>
      </c>
      <c r="AB28">
        <v>0</v>
      </c>
      <c r="AC28">
        <v>1</v>
      </c>
      <c r="AD28">
        <v>0</v>
      </c>
      <c r="AE28">
        <v>0</v>
      </c>
      <c r="AF28" t="s">
        <v>3</v>
      </c>
      <c r="AG28">
        <v>0</v>
      </c>
      <c r="AH28">
        <v>3</v>
      </c>
      <c r="AI28">
        <v>-1</v>
      </c>
      <c r="AJ28" t="s">
        <v>3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ROW(Source!A34)</f>
        <v>34</v>
      </c>
      <c r="B29">
        <v>51354034</v>
      </c>
      <c r="C29">
        <v>51354033</v>
      </c>
      <c r="D29">
        <v>49971137</v>
      </c>
      <c r="E29">
        <v>114</v>
      </c>
      <c r="F29">
        <v>1</v>
      </c>
      <c r="G29">
        <v>1</v>
      </c>
      <c r="H29">
        <v>1</v>
      </c>
      <c r="I29" t="s">
        <v>407</v>
      </c>
      <c r="J29" t="s">
        <v>3</v>
      </c>
      <c r="K29" t="s">
        <v>408</v>
      </c>
      <c r="L29">
        <v>1191</v>
      </c>
      <c r="N29">
        <v>1013</v>
      </c>
      <c r="O29" t="s">
        <v>357</v>
      </c>
      <c r="P29" t="s">
        <v>357</v>
      </c>
      <c r="Q29">
        <v>1</v>
      </c>
      <c r="X29">
        <v>29.41</v>
      </c>
      <c r="Y29">
        <v>0</v>
      </c>
      <c r="Z29">
        <v>0</v>
      </c>
      <c r="AA29">
        <v>0</v>
      </c>
      <c r="AB29">
        <v>368.99</v>
      </c>
      <c r="AC29">
        <v>0</v>
      </c>
      <c r="AD29">
        <v>1</v>
      </c>
      <c r="AE29">
        <v>1</v>
      </c>
      <c r="AF29" t="s">
        <v>47</v>
      </c>
      <c r="AG29">
        <v>33.8215</v>
      </c>
      <c r="AH29">
        <v>2</v>
      </c>
      <c r="AI29">
        <v>51354034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ROW(Source!A34)</f>
        <v>34</v>
      </c>
      <c r="B30">
        <v>51354035</v>
      </c>
      <c r="C30">
        <v>51354033</v>
      </c>
      <c r="D30">
        <v>49971314</v>
      </c>
      <c r="E30">
        <v>114</v>
      </c>
      <c r="F30">
        <v>1</v>
      </c>
      <c r="G30">
        <v>1</v>
      </c>
      <c r="H30">
        <v>1</v>
      </c>
      <c r="I30" t="s">
        <v>358</v>
      </c>
      <c r="J30" t="s">
        <v>3</v>
      </c>
      <c r="K30" t="s">
        <v>359</v>
      </c>
      <c r="L30">
        <v>1191</v>
      </c>
      <c r="N30">
        <v>1013</v>
      </c>
      <c r="O30" t="s">
        <v>357</v>
      </c>
      <c r="P30" t="s">
        <v>357</v>
      </c>
      <c r="Q30">
        <v>1</v>
      </c>
      <c r="X30">
        <v>0.31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2</v>
      </c>
      <c r="AF30" t="s">
        <v>46</v>
      </c>
      <c r="AG30">
        <v>0.38750000000000001</v>
      </c>
      <c r="AH30">
        <v>2</v>
      </c>
      <c r="AI30">
        <v>51354035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ROW(Source!A34)</f>
        <v>34</v>
      </c>
      <c r="B31">
        <v>51354036</v>
      </c>
      <c r="C31">
        <v>51354033</v>
      </c>
      <c r="D31">
        <v>50095945</v>
      </c>
      <c r="E31">
        <v>1</v>
      </c>
      <c r="F31">
        <v>1</v>
      </c>
      <c r="G31">
        <v>1</v>
      </c>
      <c r="H31">
        <v>2</v>
      </c>
      <c r="I31" t="s">
        <v>360</v>
      </c>
      <c r="J31" t="s">
        <v>361</v>
      </c>
      <c r="K31" t="s">
        <v>362</v>
      </c>
      <c r="L31">
        <v>1368</v>
      </c>
      <c r="N31">
        <v>1011</v>
      </c>
      <c r="O31" t="s">
        <v>363</v>
      </c>
      <c r="P31" t="s">
        <v>363</v>
      </c>
      <c r="Q31">
        <v>1</v>
      </c>
      <c r="X31">
        <v>0.01</v>
      </c>
      <c r="Y31">
        <v>0</v>
      </c>
      <c r="Z31">
        <v>37.32</v>
      </c>
      <c r="AA31">
        <v>335.19</v>
      </c>
      <c r="AB31">
        <v>0</v>
      </c>
      <c r="AC31">
        <v>0</v>
      </c>
      <c r="AD31">
        <v>1</v>
      </c>
      <c r="AE31">
        <v>0</v>
      </c>
      <c r="AF31" t="s">
        <v>46</v>
      </c>
      <c r="AG31">
        <v>1.2500000000000001E-2</v>
      </c>
      <c r="AH31">
        <v>2</v>
      </c>
      <c r="AI31">
        <v>51354036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ROW(Source!A34)</f>
        <v>34</v>
      </c>
      <c r="B32">
        <v>51354037</v>
      </c>
      <c r="C32">
        <v>51354033</v>
      </c>
      <c r="D32">
        <v>50096650</v>
      </c>
      <c r="E32">
        <v>1</v>
      </c>
      <c r="F32">
        <v>1</v>
      </c>
      <c r="G32">
        <v>1</v>
      </c>
      <c r="H32">
        <v>2</v>
      </c>
      <c r="I32" t="s">
        <v>382</v>
      </c>
      <c r="J32" t="s">
        <v>383</v>
      </c>
      <c r="K32" t="s">
        <v>384</v>
      </c>
      <c r="L32">
        <v>1368</v>
      </c>
      <c r="N32">
        <v>1011</v>
      </c>
      <c r="O32" t="s">
        <v>363</v>
      </c>
      <c r="P32" t="s">
        <v>363</v>
      </c>
      <c r="Q32">
        <v>1</v>
      </c>
      <c r="X32">
        <v>0.3</v>
      </c>
      <c r="Y32">
        <v>0</v>
      </c>
      <c r="Z32">
        <v>633.01</v>
      </c>
      <c r="AA32">
        <v>377.44</v>
      </c>
      <c r="AB32">
        <v>0</v>
      </c>
      <c r="AC32">
        <v>0</v>
      </c>
      <c r="AD32">
        <v>1</v>
      </c>
      <c r="AE32">
        <v>0</v>
      </c>
      <c r="AF32" t="s">
        <v>46</v>
      </c>
      <c r="AG32">
        <v>0.375</v>
      </c>
      <c r="AH32">
        <v>2</v>
      </c>
      <c r="AI32">
        <v>51354037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ROW(Source!A34)</f>
        <v>34</v>
      </c>
      <c r="B33">
        <v>51354038</v>
      </c>
      <c r="C33">
        <v>51354033</v>
      </c>
      <c r="D33">
        <v>50042837</v>
      </c>
      <c r="E33">
        <v>1</v>
      </c>
      <c r="F33">
        <v>1</v>
      </c>
      <c r="G33">
        <v>1</v>
      </c>
      <c r="H33">
        <v>3</v>
      </c>
      <c r="I33" t="s">
        <v>386</v>
      </c>
      <c r="J33" t="s">
        <v>387</v>
      </c>
      <c r="K33" t="s">
        <v>388</v>
      </c>
      <c r="L33">
        <v>1339</v>
      </c>
      <c r="N33">
        <v>1007</v>
      </c>
      <c r="O33" t="s">
        <v>33</v>
      </c>
      <c r="P33" t="s">
        <v>33</v>
      </c>
      <c r="Q33">
        <v>1</v>
      </c>
      <c r="X33">
        <v>0.01</v>
      </c>
      <c r="Y33">
        <v>35.71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0.01</v>
      </c>
      <c r="AH33">
        <v>2</v>
      </c>
      <c r="AI33">
        <v>51354038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ROW(Source!A34)</f>
        <v>34</v>
      </c>
      <c r="B34">
        <v>51354039</v>
      </c>
      <c r="C34">
        <v>51354033</v>
      </c>
      <c r="D34">
        <v>50042849</v>
      </c>
      <c r="E34">
        <v>1</v>
      </c>
      <c r="F34">
        <v>1</v>
      </c>
      <c r="G34">
        <v>1</v>
      </c>
      <c r="H34">
        <v>3</v>
      </c>
      <c r="I34" t="s">
        <v>403</v>
      </c>
      <c r="J34" t="s">
        <v>404</v>
      </c>
      <c r="K34" t="s">
        <v>405</v>
      </c>
      <c r="L34">
        <v>1383</v>
      </c>
      <c r="N34">
        <v>1013</v>
      </c>
      <c r="O34" t="s">
        <v>406</v>
      </c>
      <c r="P34" t="s">
        <v>406</v>
      </c>
      <c r="Q34">
        <v>1</v>
      </c>
      <c r="X34">
        <v>0.09</v>
      </c>
      <c r="Y34">
        <v>6.59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0.09</v>
      </c>
      <c r="AH34">
        <v>2</v>
      </c>
      <c r="AI34">
        <v>51354039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ROW(Source!A34)</f>
        <v>34</v>
      </c>
      <c r="B35">
        <v>51354040</v>
      </c>
      <c r="C35">
        <v>51354033</v>
      </c>
      <c r="D35">
        <v>49972534</v>
      </c>
      <c r="E35">
        <v>114</v>
      </c>
      <c r="F35">
        <v>1</v>
      </c>
      <c r="G35">
        <v>1</v>
      </c>
      <c r="H35">
        <v>3</v>
      </c>
      <c r="I35" t="s">
        <v>454</v>
      </c>
      <c r="J35" t="s">
        <v>3</v>
      </c>
      <c r="K35" t="s">
        <v>455</v>
      </c>
      <c r="L35">
        <v>1348</v>
      </c>
      <c r="N35">
        <v>1009</v>
      </c>
      <c r="O35" t="s">
        <v>29</v>
      </c>
      <c r="P35" t="s">
        <v>29</v>
      </c>
      <c r="Q35">
        <v>1000</v>
      </c>
      <c r="X35">
        <v>0.01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 t="s">
        <v>3</v>
      </c>
      <c r="AG35">
        <v>0.01</v>
      </c>
      <c r="AH35">
        <v>3</v>
      </c>
      <c r="AI35">
        <v>-1</v>
      </c>
      <c r="AJ35" t="s">
        <v>3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ROW(Source!A34)</f>
        <v>34</v>
      </c>
      <c r="B36">
        <v>51354041</v>
      </c>
      <c r="C36">
        <v>51354033</v>
      </c>
      <c r="D36">
        <v>49973245</v>
      </c>
      <c r="E36">
        <v>114</v>
      </c>
      <c r="F36">
        <v>1</v>
      </c>
      <c r="G36">
        <v>1</v>
      </c>
      <c r="H36">
        <v>3</v>
      </c>
      <c r="I36" t="s">
        <v>446</v>
      </c>
      <c r="J36" t="s">
        <v>3</v>
      </c>
      <c r="K36" t="s">
        <v>456</v>
      </c>
      <c r="L36">
        <v>1327</v>
      </c>
      <c r="N36">
        <v>1005</v>
      </c>
      <c r="O36" t="s">
        <v>69</v>
      </c>
      <c r="P36" t="s">
        <v>69</v>
      </c>
      <c r="Q36">
        <v>1</v>
      </c>
      <c r="X36">
        <v>10.199999999999999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 t="s">
        <v>3</v>
      </c>
      <c r="AG36">
        <v>10.199999999999999</v>
      </c>
      <c r="AH36">
        <v>3</v>
      </c>
      <c r="AI36">
        <v>-1</v>
      </c>
      <c r="AJ36" t="s">
        <v>3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ROW(Source!A34)</f>
        <v>34</v>
      </c>
      <c r="B37">
        <v>51354042</v>
      </c>
      <c r="C37">
        <v>51354033</v>
      </c>
      <c r="D37">
        <v>49974814</v>
      </c>
      <c r="E37">
        <v>114</v>
      </c>
      <c r="F37">
        <v>1</v>
      </c>
      <c r="G37">
        <v>1</v>
      </c>
      <c r="H37">
        <v>3</v>
      </c>
      <c r="I37" t="s">
        <v>450</v>
      </c>
      <c r="J37" t="s">
        <v>3</v>
      </c>
      <c r="K37" t="s">
        <v>451</v>
      </c>
      <c r="L37">
        <v>1348</v>
      </c>
      <c r="N37">
        <v>1009</v>
      </c>
      <c r="O37" t="s">
        <v>29</v>
      </c>
      <c r="P37" t="s">
        <v>29</v>
      </c>
      <c r="Q37">
        <v>1000</v>
      </c>
      <c r="X37">
        <v>0.04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 t="s">
        <v>3</v>
      </c>
      <c r="AG37">
        <v>0.04</v>
      </c>
      <c r="AH37">
        <v>3</v>
      </c>
      <c r="AI37">
        <v>-1</v>
      </c>
      <c r="AJ37" t="s">
        <v>3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ROW(Source!A38)</f>
        <v>38</v>
      </c>
      <c r="B38">
        <v>51353917</v>
      </c>
      <c r="C38">
        <v>51353916</v>
      </c>
      <c r="D38">
        <v>49971137</v>
      </c>
      <c r="E38">
        <v>114</v>
      </c>
      <c r="F38">
        <v>1</v>
      </c>
      <c r="G38">
        <v>1</v>
      </c>
      <c r="H38">
        <v>1</v>
      </c>
      <c r="I38" t="s">
        <v>407</v>
      </c>
      <c r="J38" t="s">
        <v>3</v>
      </c>
      <c r="K38" t="s">
        <v>408</v>
      </c>
      <c r="L38">
        <v>1191</v>
      </c>
      <c r="N38">
        <v>1013</v>
      </c>
      <c r="O38" t="s">
        <v>357</v>
      </c>
      <c r="P38" t="s">
        <v>357</v>
      </c>
      <c r="Q38">
        <v>1</v>
      </c>
      <c r="X38">
        <v>41.5</v>
      </c>
      <c r="Y38">
        <v>0</v>
      </c>
      <c r="Z38">
        <v>0</v>
      </c>
      <c r="AA38">
        <v>0</v>
      </c>
      <c r="AB38">
        <v>368.99</v>
      </c>
      <c r="AC38">
        <v>0</v>
      </c>
      <c r="AD38">
        <v>1</v>
      </c>
      <c r="AE38">
        <v>1</v>
      </c>
      <c r="AF38" t="s">
        <v>101</v>
      </c>
      <c r="AG38">
        <v>29.049999999999997</v>
      </c>
      <c r="AH38">
        <v>2</v>
      </c>
      <c r="AI38">
        <v>51353917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ROW(Source!A38)</f>
        <v>38</v>
      </c>
      <c r="B39">
        <v>51353918</v>
      </c>
      <c r="C39">
        <v>51353916</v>
      </c>
      <c r="D39">
        <v>49971314</v>
      </c>
      <c r="E39">
        <v>114</v>
      </c>
      <c r="F39">
        <v>1</v>
      </c>
      <c r="G39">
        <v>1</v>
      </c>
      <c r="H39">
        <v>1</v>
      </c>
      <c r="I39" t="s">
        <v>358</v>
      </c>
      <c r="J39" t="s">
        <v>3</v>
      </c>
      <c r="K39" t="s">
        <v>359</v>
      </c>
      <c r="L39">
        <v>1191</v>
      </c>
      <c r="N39">
        <v>1013</v>
      </c>
      <c r="O39" t="s">
        <v>357</v>
      </c>
      <c r="P39" t="s">
        <v>357</v>
      </c>
      <c r="Q39">
        <v>1</v>
      </c>
      <c r="X39">
        <v>2.59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2</v>
      </c>
      <c r="AF39" t="s">
        <v>101</v>
      </c>
      <c r="AG39">
        <v>1.8129999999999997</v>
      </c>
      <c r="AH39">
        <v>2</v>
      </c>
      <c r="AI39">
        <v>51353918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ROW(Source!A38)</f>
        <v>38</v>
      </c>
      <c r="B40">
        <v>51353919</v>
      </c>
      <c r="C40">
        <v>51353916</v>
      </c>
      <c r="D40">
        <v>50095945</v>
      </c>
      <c r="E40">
        <v>1</v>
      </c>
      <c r="F40">
        <v>1</v>
      </c>
      <c r="G40">
        <v>1</v>
      </c>
      <c r="H40">
        <v>2</v>
      </c>
      <c r="I40" t="s">
        <v>360</v>
      </c>
      <c r="J40" t="s">
        <v>361</v>
      </c>
      <c r="K40" t="s">
        <v>362</v>
      </c>
      <c r="L40">
        <v>1368</v>
      </c>
      <c r="N40">
        <v>1011</v>
      </c>
      <c r="O40" t="s">
        <v>363</v>
      </c>
      <c r="P40" t="s">
        <v>363</v>
      </c>
      <c r="Q40">
        <v>1</v>
      </c>
      <c r="X40">
        <v>0.38</v>
      </c>
      <c r="Y40">
        <v>0</v>
      </c>
      <c r="Z40">
        <v>37.32</v>
      </c>
      <c r="AA40">
        <v>335.19</v>
      </c>
      <c r="AB40">
        <v>0</v>
      </c>
      <c r="AC40">
        <v>0</v>
      </c>
      <c r="AD40">
        <v>1</v>
      </c>
      <c r="AE40">
        <v>0</v>
      </c>
      <c r="AF40" t="s">
        <v>101</v>
      </c>
      <c r="AG40">
        <v>0.26599999999999996</v>
      </c>
      <c r="AH40">
        <v>2</v>
      </c>
      <c r="AI40">
        <v>51353919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ROW(Source!A38)</f>
        <v>38</v>
      </c>
      <c r="B41">
        <v>51353920</v>
      </c>
      <c r="C41">
        <v>51353916</v>
      </c>
      <c r="D41">
        <v>50096650</v>
      </c>
      <c r="E41">
        <v>1</v>
      </c>
      <c r="F41">
        <v>1</v>
      </c>
      <c r="G41">
        <v>1</v>
      </c>
      <c r="H41">
        <v>2</v>
      </c>
      <c r="I41" t="s">
        <v>382</v>
      </c>
      <c r="J41" t="s">
        <v>383</v>
      </c>
      <c r="K41" t="s">
        <v>384</v>
      </c>
      <c r="L41">
        <v>1368</v>
      </c>
      <c r="N41">
        <v>1011</v>
      </c>
      <c r="O41" t="s">
        <v>363</v>
      </c>
      <c r="P41" t="s">
        <v>363</v>
      </c>
      <c r="Q41">
        <v>1</v>
      </c>
      <c r="X41">
        <v>2.21</v>
      </c>
      <c r="Y41">
        <v>0</v>
      </c>
      <c r="Z41">
        <v>633.01</v>
      </c>
      <c r="AA41">
        <v>377.44</v>
      </c>
      <c r="AB41">
        <v>0</v>
      </c>
      <c r="AC41">
        <v>0</v>
      </c>
      <c r="AD41">
        <v>1</v>
      </c>
      <c r="AE41">
        <v>0</v>
      </c>
      <c r="AF41" t="s">
        <v>101</v>
      </c>
      <c r="AG41">
        <v>1.5469999999999999</v>
      </c>
      <c r="AH41">
        <v>2</v>
      </c>
      <c r="AI41">
        <v>51353920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ROW(Source!A38)</f>
        <v>38</v>
      </c>
      <c r="B42">
        <v>51353921</v>
      </c>
      <c r="C42">
        <v>51353916</v>
      </c>
      <c r="D42">
        <v>50096845</v>
      </c>
      <c r="E42">
        <v>1</v>
      </c>
      <c r="F42">
        <v>1</v>
      </c>
      <c r="G42">
        <v>1</v>
      </c>
      <c r="H42">
        <v>2</v>
      </c>
      <c r="I42" t="s">
        <v>409</v>
      </c>
      <c r="J42" t="s">
        <v>410</v>
      </c>
      <c r="K42" t="s">
        <v>411</v>
      </c>
      <c r="L42">
        <v>1368</v>
      </c>
      <c r="N42">
        <v>1011</v>
      </c>
      <c r="O42" t="s">
        <v>363</v>
      </c>
      <c r="P42" t="s">
        <v>363</v>
      </c>
      <c r="Q42">
        <v>1</v>
      </c>
      <c r="X42">
        <v>5.8</v>
      </c>
      <c r="Y42">
        <v>0</v>
      </c>
      <c r="Z42">
        <v>31.57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101</v>
      </c>
      <c r="AG42">
        <v>4.0599999999999996</v>
      </c>
      <c r="AH42">
        <v>2</v>
      </c>
      <c r="AI42">
        <v>51353921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ROW(Source!A38)</f>
        <v>38</v>
      </c>
      <c r="B43">
        <v>51353922</v>
      </c>
      <c r="C43">
        <v>51353916</v>
      </c>
      <c r="D43">
        <v>50042837</v>
      </c>
      <c r="E43">
        <v>1</v>
      </c>
      <c r="F43">
        <v>1</v>
      </c>
      <c r="G43">
        <v>1</v>
      </c>
      <c r="H43">
        <v>3</v>
      </c>
      <c r="I43" t="s">
        <v>386</v>
      </c>
      <c r="J43" t="s">
        <v>387</v>
      </c>
      <c r="K43" t="s">
        <v>388</v>
      </c>
      <c r="L43">
        <v>1339</v>
      </c>
      <c r="N43">
        <v>1007</v>
      </c>
      <c r="O43" t="s">
        <v>33</v>
      </c>
      <c r="P43" t="s">
        <v>33</v>
      </c>
      <c r="Q43">
        <v>1</v>
      </c>
      <c r="X43">
        <v>0.1</v>
      </c>
      <c r="Y43">
        <v>35.71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100</v>
      </c>
      <c r="AG43">
        <v>0</v>
      </c>
      <c r="AH43">
        <v>2</v>
      </c>
      <c r="AI43">
        <v>51353922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ROW(Source!A38)</f>
        <v>38</v>
      </c>
      <c r="B44">
        <v>51353923</v>
      </c>
      <c r="C44">
        <v>51353916</v>
      </c>
      <c r="D44">
        <v>50043547</v>
      </c>
      <c r="E44">
        <v>1</v>
      </c>
      <c r="F44">
        <v>1</v>
      </c>
      <c r="G44">
        <v>1</v>
      </c>
      <c r="H44">
        <v>3</v>
      </c>
      <c r="I44" t="s">
        <v>412</v>
      </c>
      <c r="J44" t="s">
        <v>413</v>
      </c>
      <c r="K44" t="s">
        <v>414</v>
      </c>
      <c r="L44">
        <v>1348</v>
      </c>
      <c r="N44">
        <v>1009</v>
      </c>
      <c r="O44" t="s">
        <v>29</v>
      </c>
      <c r="P44" t="s">
        <v>29</v>
      </c>
      <c r="Q44">
        <v>1000</v>
      </c>
      <c r="X44">
        <v>0.02</v>
      </c>
      <c r="Y44">
        <v>148198.01999999999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100</v>
      </c>
      <c r="AG44">
        <v>0</v>
      </c>
      <c r="AH44">
        <v>2</v>
      </c>
      <c r="AI44">
        <v>51353923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ROW(Source!A38)</f>
        <v>38</v>
      </c>
      <c r="B45">
        <v>51353924</v>
      </c>
      <c r="C45">
        <v>51353916</v>
      </c>
      <c r="D45">
        <v>50046256</v>
      </c>
      <c r="E45">
        <v>1</v>
      </c>
      <c r="F45">
        <v>1</v>
      </c>
      <c r="G45">
        <v>1</v>
      </c>
      <c r="H45">
        <v>3</v>
      </c>
      <c r="I45" t="s">
        <v>415</v>
      </c>
      <c r="J45" t="s">
        <v>416</v>
      </c>
      <c r="K45" t="s">
        <v>417</v>
      </c>
      <c r="L45">
        <v>1348</v>
      </c>
      <c r="N45">
        <v>1009</v>
      </c>
      <c r="O45" t="s">
        <v>29</v>
      </c>
      <c r="P45" t="s">
        <v>29</v>
      </c>
      <c r="Q45">
        <v>1000</v>
      </c>
      <c r="X45">
        <v>0.15</v>
      </c>
      <c r="Y45">
        <v>4800.8500000000004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100</v>
      </c>
      <c r="AG45">
        <v>0</v>
      </c>
      <c r="AH45">
        <v>2</v>
      </c>
      <c r="AI45">
        <v>51353924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ROW(Source!A38)</f>
        <v>38</v>
      </c>
      <c r="B46">
        <v>51353925</v>
      </c>
      <c r="C46">
        <v>51353916</v>
      </c>
      <c r="D46">
        <v>49973359</v>
      </c>
      <c r="E46">
        <v>114</v>
      </c>
      <c r="F46">
        <v>1</v>
      </c>
      <c r="G46">
        <v>1</v>
      </c>
      <c r="H46">
        <v>3</v>
      </c>
      <c r="I46" t="s">
        <v>457</v>
      </c>
      <c r="J46" t="s">
        <v>3</v>
      </c>
      <c r="K46" t="s">
        <v>458</v>
      </c>
      <c r="L46">
        <v>1301</v>
      </c>
      <c r="N46">
        <v>1003</v>
      </c>
      <c r="O46" t="s">
        <v>113</v>
      </c>
      <c r="P46" t="s">
        <v>113</v>
      </c>
      <c r="Q46">
        <v>1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0</v>
      </c>
      <c r="AE46">
        <v>0</v>
      </c>
      <c r="AF46" t="s">
        <v>100</v>
      </c>
      <c r="AG46">
        <v>0</v>
      </c>
      <c r="AH46">
        <v>3</v>
      </c>
      <c r="AI46">
        <v>-1</v>
      </c>
      <c r="AJ46" t="s">
        <v>3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ROW(Source!A39)</f>
        <v>39</v>
      </c>
      <c r="B47">
        <v>51353929</v>
      </c>
      <c r="C47">
        <v>51353928</v>
      </c>
      <c r="D47">
        <v>49971137</v>
      </c>
      <c r="E47">
        <v>114</v>
      </c>
      <c r="F47">
        <v>1</v>
      </c>
      <c r="G47">
        <v>1</v>
      </c>
      <c r="H47">
        <v>1</v>
      </c>
      <c r="I47" t="s">
        <v>407</v>
      </c>
      <c r="J47" t="s">
        <v>3</v>
      </c>
      <c r="K47" t="s">
        <v>408</v>
      </c>
      <c r="L47">
        <v>1191</v>
      </c>
      <c r="N47">
        <v>1013</v>
      </c>
      <c r="O47" t="s">
        <v>357</v>
      </c>
      <c r="P47" t="s">
        <v>357</v>
      </c>
      <c r="Q47">
        <v>1</v>
      </c>
      <c r="X47">
        <v>41.5</v>
      </c>
      <c r="Y47">
        <v>0</v>
      </c>
      <c r="Z47">
        <v>0</v>
      </c>
      <c r="AA47">
        <v>0</v>
      </c>
      <c r="AB47">
        <v>368.99</v>
      </c>
      <c r="AC47">
        <v>0</v>
      </c>
      <c r="AD47">
        <v>1</v>
      </c>
      <c r="AE47">
        <v>1</v>
      </c>
      <c r="AF47" t="s">
        <v>47</v>
      </c>
      <c r="AG47">
        <v>47.724999999999994</v>
      </c>
      <c r="AH47">
        <v>2</v>
      </c>
      <c r="AI47">
        <v>51353929</v>
      </c>
      <c r="AJ47">
        <v>46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ROW(Source!A39)</f>
        <v>39</v>
      </c>
      <c r="B48">
        <v>51353930</v>
      </c>
      <c r="C48">
        <v>51353928</v>
      </c>
      <c r="D48">
        <v>49971314</v>
      </c>
      <c r="E48">
        <v>114</v>
      </c>
      <c r="F48">
        <v>1</v>
      </c>
      <c r="G48">
        <v>1</v>
      </c>
      <c r="H48">
        <v>1</v>
      </c>
      <c r="I48" t="s">
        <v>358</v>
      </c>
      <c r="J48" t="s">
        <v>3</v>
      </c>
      <c r="K48" t="s">
        <v>359</v>
      </c>
      <c r="L48">
        <v>1191</v>
      </c>
      <c r="N48">
        <v>1013</v>
      </c>
      <c r="O48" t="s">
        <v>357</v>
      </c>
      <c r="P48" t="s">
        <v>357</v>
      </c>
      <c r="Q48">
        <v>1</v>
      </c>
      <c r="X48">
        <v>2.59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2</v>
      </c>
      <c r="AF48" t="s">
        <v>46</v>
      </c>
      <c r="AG48">
        <v>3.2374999999999998</v>
      </c>
      <c r="AH48">
        <v>2</v>
      </c>
      <c r="AI48">
        <v>51353930</v>
      </c>
      <c r="AJ48">
        <v>47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ROW(Source!A39)</f>
        <v>39</v>
      </c>
      <c r="B49">
        <v>51353931</v>
      </c>
      <c r="C49">
        <v>51353928</v>
      </c>
      <c r="D49">
        <v>50095945</v>
      </c>
      <c r="E49">
        <v>1</v>
      </c>
      <c r="F49">
        <v>1</v>
      </c>
      <c r="G49">
        <v>1</v>
      </c>
      <c r="H49">
        <v>2</v>
      </c>
      <c r="I49" t="s">
        <v>360</v>
      </c>
      <c r="J49" t="s">
        <v>361</v>
      </c>
      <c r="K49" t="s">
        <v>362</v>
      </c>
      <c r="L49">
        <v>1368</v>
      </c>
      <c r="N49">
        <v>1011</v>
      </c>
      <c r="O49" t="s">
        <v>363</v>
      </c>
      <c r="P49" t="s">
        <v>363</v>
      </c>
      <c r="Q49">
        <v>1</v>
      </c>
      <c r="X49">
        <v>0.38</v>
      </c>
      <c r="Y49">
        <v>0</v>
      </c>
      <c r="Z49">
        <v>37.32</v>
      </c>
      <c r="AA49">
        <v>335.19</v>
      </c>
      <c r="AB49">
        <v>0</v>
      </c>
      <c r="AC49">
        <v>0</v>
      </c>
      <c r="AD49">
        <v>1</v>
      </c>
      <c r="AE49">
        <v>0</v>
      </c>
      <c r="AF49" t="s">
        <v>46</v>
      </c>
      <c r="AG49">
        <v>0.47499999999999998</v>
      </c>
      <c r="AH49">
        <v>2</v>
      </c>
      <c r="AI49">
        <v>51353931</v>
      </c>
      <c r="AJ49">
        <v>48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ROW(Source!A39)</f>
        <v>39</v>
      </c>
      <c r="B50">
        <v>51353932</v>
      </c>
      <c r="C50">
        <v>51353928</v>
      </c>
      <c r="D50">
        <v>50096650</v>
      </c>
      <c r="E50">
        <v>1</v>
      </c>
      <c r="F50">
        <v>1</v>
      </c>
      <c r="G50">
        <v>1</v>
      </c>
      <c r="H50">
        <v>2</v>
      </c>
      <c r="I50" t="s">
        <v>382</v>
      </c>
      <c r="J50" t="s">
        <v>383</v>
      </c>
      <c r="K50" t="s">
        <v>384</v>
      </c>
      <c r="L50">
        <v>1368</v>
      </c>
      <c r="N50">
        <v>1011</v>
      </c>
      <c r="O50" t="s">
        <v>363</v>
      </c>
      <c r="P50" t="s">
        <v>363</v>
      </c>
      <c r="Q50">
        <v>1</v>
      </c>
      <c r="X50">
        <v>2.21</v>
      </c>
      <c r="Y50">
        <v>0</v>
      </c>
      <c r="Z50">
        <v>633.01</v>
      </c>
      <c r="AA50">
        <v>377.44</v>
      </c>
      <c r="AB50">
        <v>0</v>
      </c>
      <c r="AC50">
        <v>0</v>
      </c>
      <c r="AD50">
        <v>1</v>
      </c>
      <c r="AE50">
        <v>0</v>
      </c>
      <c r="AF50" t="s">
        <v>46</v>
      </c>
      <c r="AG50">
        <v>2.7625000000000002</v>
      </c>
      <c r="AH50">
        <v>2</v>
      </c>
      <c r="AI50">
        <v>51353932</v>
      </c>
      <c r="AJ50">
        <v>49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ROW(Source!A39)</f>
        <v>39</v>
      </c>
      <c r="B51">
        <v>51353933</v>
      </c>
      <c r="C51">
        <v>51353928</v>
      </c>
      <c r="D51">
        <v>50096845</v>
      </c>
      <c r="E51">
        <v>1</v>
      </c>
      <c r="F51">
        <v>1</v>
      </c>
      <c r="G51">
        <v>1</v>
      </c>
      <c r="H51">
        <v>2</v>
      </c>
      <c r="I51" t="s">
        <v>409</v>
      </c>
      <c r="J51" t="s">
        <v>410</v>
      </c>
      <c r="K51" t="s">
        <v>411</v>
      </c>
      <c r="L51">
        <v>1368</v>
      </c>
      <c r="N51">
        <v>1011</v>
      </c>
      <c r="O51" t="s">
        <v>363</v>
      </c>
      <c r="P51" t="s">
        <v>363</v>
      </c>
      <c r="Q51">
        <v>1</v>
      </c>
      <c r="X51">
        <v>5.8</v>
      </c>
      <c r="Y51">
        <v>0</v>
      </c>
      <c r="Z51">
        <v>31.57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46</v>
      </c>
      <c r="AG51">
        <v>7.25</v>
      </c>
      <c r="AH51">
        <v>2</v>
      </c>
      <c r="AI51">
        <v>51353933</v>
      </c>
      <c r="AJ51">
        <v>50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ROW(Source!A39)</f>
        <v>39</v>
      </c>
      <c r="B52">
        <v>51353934</v>
      </c>
      <c r="C52">
        <v>51353928</v>
      </c>
      <c r="D52">
        <v>50042837</v>
      </c>
      <c r="E52">
        <v>1</v>
      </c>
      <c r="F52">
        <v>1</v>
      </c>
      <c r="G52">
        <v>1</v>
      </c>
      <c r="H52">
        <v>3</v>
      </c>
      <c r="I52" t="s">
        <v>386</v>
      </c>
      <c r="J52" t="s">
        <v>387</v>
      </c>
      <c r="K52" t="s">
        <v>388</v>
      </c>
      <c r="L52">
        <v>1339</v>
      </c>
      <c r="N52">
        <v>1007</v>
      </c>
      <c r="O52" t="s">
        <v>33</v>
      </c>
      <c r="P52" t="s">
        <v>33</v>
      </c>
      <c r="Q52">
        <v>1</v>
      </c>
      <c r="X52">
        <v>0.1</v>
      </c>
      <c r="Y52">
        <v>35.71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0.1</v>
      </c>
      <c r="AH52">
        <v>2</v>
      </c>
      <c r="AI52">
        <v>51353934</v>
      </c>
      <c r="AJ52">
        <v>51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ROW(Source!A39)</f>
        <v>39</v>
      </c>
      <c r="B53">
        <v>51353935</v>
      </c>
      <c r="C53">
        <v>51353928</v>
      </c>
      <c r="D53">
        <v>50043547</v>
      </c>
      <c r="E53">
        <v>1</v>
      </c>
      <c r="F53">
        <v>1</v>
      </c>
      <c r="G53">
        <v>1</v>
      </c>
      <c r="H53">
        <v>3</v>
      </c>
      <c r="I53" t="s">
        <v>412</v>
      </c>
      <c r="J53" t="s">
        <v>413</v>
      </c>
      <c r="K53" t="s">
        <v>414</v>
      </c>
      <c r="L53">
        <v>1348</v>
      </c>
      <c r="N53">
        <v>1009</v>
      </c>
      <c r="O53" t="s">
        <v>29</v>
      </c>
      <c r="P53" t="s">
        <v>29</v>
      </c>
      <c r="Q53">
        <v>1000</v>
      </c>
      <c r="X53">
        <v>0.02</v>
      </c>
      <c r="Y53">
        <v>148198.01999999999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3</v>
      </c>
      <c r="AG53">
        <v>0.02</v>
      </c>
      <c r="AH53">
        <v>2</v>
      </c>
      <c r="AI53">
        <v>51353935</v>
      </c>
      <c r="AJ53">
        <v>52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ROW(Source!A39)</f>
        <v>39</v>
      </c>
      <c r="B54">
        <v>51353936</v>
      </c>
      <c r="C54">
        <v>51353928</v>
      </c>
      <c r="D54">
        <v>50046256</v>
      </c>
      <c r="E54">
        <v>1</v>
      </c>
      <c r="F54">
        <v>1</v>
      </c>
      <c r="G54">
        <v>1</v>
      </c>
      <c r="H54">
        <v>3</v>
      </c>
      <c r="I54" t="s">
        <v>415</v>
      </c>
      <c r="J54" t="s">
        <v>416</v>
      </c>
      <c r="K54" t="s">
        <v>417</v>
      </c>
      <c r="L54">
        <v>1348</v>
      </c>
      <c r="N54">
        <v>1009</v>
      </c>
      <c r="O54" t="s">
        <v>29</v>
      </c>
      <c r="P54" t="s">
        <v>29</v>
      </c>
      <c r="Q54">
        <v>1000</v>
      </c>
      <c r="X54">
        <v>0.15</v>
      </c>
      <c r="Y54">
        <v>4800.8500000000004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3</v>
      </c>
      <c r="AG54">
        <v>0.15</v>
      </c>
      <c r="AH54">
        <v>2</v>
      </c>
      <c r="AI54">
        <v>51353936</v>
      </c>
      <c r="AJ54">
        <v>53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ROW(Source!A39)</f>
        <v>39</v>
      </c>
      <c r="B55">
        <v>51353937</v>
      </c>
      <c r="C55">
        <v>51353928</v>
      </c>
      <c r="D55">
        <v>49973359</v>
      </c>
      <c r="E55">
        <v>114</v>
      </c>
      <c r="F55">
        <v>1</v>
      </c>
      <c r="G55">
        <v>1</v>
      </c>
      <c r="H55">
        <v>3</v>
      </c>
      <c r="I55" t="s">
        <v>457</v>
      </c>
      <c r="J55" t="s">
        <v>3</v>
      </c>
      <c r="K55" t="s">
        <v>458</v>
      </c>
      <c r="L55">
        <v>1301</v>
      </c>
      <c r="N55">
        <v>1003</v>
      </c>
      <c r="O55" t="s">
        <v>113</v>
      </c>
      <c r="P55" t="s">
        <v>113</v>
      </c>
      <c r="Q55">
        <v>1</v>
      </c>
      <c r="X55">
        <v>0</v>
      </c>
      <c r="Y55">
        <v>0</v>
      </c>
      <c r="Z55">
        <v>0</v>
      </c>
      <c r="AA55">
        <v>0</v>
      </c>
      <c r="AB55">
        <v>0</v>
      </c>
      <c r="AC55">
        <v>1</v>
      </c>
      <c r="AD55">
        <v>0</v>
      </c>
      <c r="AE55">
        <v>0</v>
      </c>
      <c r="AF55" t="s">
        <v>3</v>
      </c>
      <c r="AG55">
        <v>0</v>
      </c>
      <c r="AH55">
        <v>3</v>
      </c>
      <c r="AI55">
        <v>-1</v>
      </c>
      <c r="AJ55" t="s">
        <v>3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ROW(Source!A41)</f>
        <v>41</v>
      </c>
      <c r="B56">
        <v>51353943</v>
      </c>
      <c r="C56">
        <v>51353942</v>
      </c>
      <c r="D56">
        <v>49971143</v>
      </c>
      <c r="E56">
        <v>114</v>
      </c>
      <c r="F56">
        <v>1</v>
      </c>
      <c r="G56">
        <v>1</v>
      </c>
      <c r="H56">
        <v>1</v>
      </c>
      <c r="I56" t="s">
        <v>418</v>
      </c>
      <c r="J56" t="s">
        <v>3</v>
      </c>
      <c r="K56" t="s">
        <v>419</v>
      </c>
      <c r="L56">
        <v>1191</v>
      </c>
      <c r="N56">
        <v>1013</v>
      </c>
      <c r="O56" t="s">
        <v>357</v>
      </c>
      <c r="P56" t="s">
        <v>357</v>
      </c>
      <c r="Q56">
        <v>1</v>
      </c>
      <c r="X56">
        <v>3.94</v>
      </c>
      <c r="Y56">
        <v>0</v>
      </c>
      <c r="Z56">
        <v>0</v>
      </c>
      <c r="AA56">
        <v>0</v>
      </c>
      <c r="AB56">
        <v>377.44</v>
      </c>
      <c r="AC56">
        <v>0</v>
      </c>
      <c r="AD56">
        <v>1</v>
      </c>
      <c r="AE56">
        <v>1</v>
      </c>
      <c r="AF56" t="s">
        <v>47</v>
      </c>
      <c r="AG56">
        <v>4.5309999999999997</v>
      </c>
      <c r="AH56">
        <v>2</v>
      </c>
      <c r="AI56">
        <v>51353943</v>
      </c>
      <c r="AJ56">
        <v>55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ROW(Source!A41)</f>
        <v>41</v>
      </c>
      <c r="B57">
        <v>51353944</v>
      </c>
      <c r="C57">
        <v>51353942</v>
      </c>
      <c r="D57">
        <v>49971314</v>
      </c>
      <c r="E57">
        <v>114</v>
      </c>
      <c r="F57">
        <v>1</v>
      </c>
      <c r="G57">
        <v>1</v>
      </c>
      <c r="H57">
        <v>1</v>
      </c>
      <c r="I57" t="s">
        <v>358</v>
      </c>
      <c r="J57" t="s">
        <v>3</v>
      </c>
      <c r="K57" t="s">
        <v>359</v>
      </c>
      <c r="L57">
        <v>1191</v>
      </c>
      <c r="N57">
        <v>1013</v>
      </c>
      <c r="O57" t="s">
        <v>357</v>
      </c>
      <c r="P57" t="s">
        <v>357</v>
      </c>
      <c r="Q57">
        <v>1</v>
      </c>
      <c r="X57">
        <v>0.01</v>
      </c>
      <c r="Y57">
        <v>0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2</v>
      </c>
      <c r="AF57" t="s">
        <v>46</v>
      </c>
      <c r="AG57">
        <v>1.2500000000000001E-2</v>
      </c>
      <c r="AH57">
        <v>2</v>
      </c>
      <c r="AI57">
        <v>51353944</v>
      </c>
      <c r="AJ57">
        <v>56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ROW(Source!A41)</f>
        <v>41</v>
      </c>
      <c r="B58">
        <v>51353945</v>
      </c>
      <c r="C58">
        <v>51353942</v>
      </c>
      <c r="D58">
        <v>50095759</v>
      </c>
      <c r="E58">
        <v>1</v>
      </c>
      <c r="F58">
        <v>1</v>
      </c>
      <c r="G58">
        <v>1</v>
      </c>
      <c r="H58">
        <v>2</v>
      </c>
      <c r="I58" t="s">
        <v>397</v>
      </c>
      <c r="J58" t="s">
        <v>398</v>
      </c>
      <c r="K58" t="s">
        <v>399</v>
      </c>
      <c r="L58">
        <v>1368</v>
      </c>
      <c r="N58">
        <v>1011</v>
      </c>
      <c r="O58" t="s">
        <v>363</v>
      </c>
      <c r="P58" t="s">
        <v>363</v>
      </c>
      <c r="Q58">
        <v>1</v>
      </c>
      <c r="X58">
        <v>3.0000000000000001E-3</v>
      </c>
      <c r="Y58">
        <v>0</v>
      </c>
      <c r="Z58">
        <v>1687.96</v>
      </c>
      <c r="AA58">
        <v>507.01</v>
      </c>
      <c r="AB58">
        <v>0</v>
      </c>
      <c r="AC58">
        <v>0</v>
      </c>
      <c r="AD58">
        <v>1</v>
      </c>
      <c r="AE58">
        <v>0</v>
      </c>
      <c r="AF58" t="s">
        <v>46</v>
      </c>
      <c r="AG58">
        <v>3.7499999999999999E-3</v>
      </c>
      <c r="AH58">
        <v>2</v>
      </c>
      <c r="AI58">
        <v>51353945</v>
      </c>
      <c r="AJ58">
        <v>57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ROW(Source!A41)</f>
        <v>41</v>
      </c>
      <c r="B59">
        <v>51353946</v>
      </c>
      <c r="C59">
        <v>51353942</v>
      </c>
      <c r="D59">
        <v>50096650</v>
      </c>
      <c r="E59">
        <v>1</v>
      </c>
      <c r="F59">
        <v>1</v>
      </c>
      <c r="G59">
        <v>1</v>
      </c>
      <c r="H59">
        <v>2</v>
      </c>
      <c r="I59" t="s">
        <v>382</v>
      </c>
      <c r="J59" t="s">
        <v>383</v>
      </c>
      <c r="K59" t="s">
        <v>384</v>
      </c>
      <c r="L59">
        <v>1368</v>
      </c>
      <c r="N59">
        <v>1011</v>
      </c>
      <c r="O59" t="s">
        <v>363</v>
      </c>
      <c r="P59" t="s">
        <v>363</v>
      </c>
      <c r="Q59">
        <v>1</v>
      </c>
      <c r="X59">
        <v>3.0000000000000001E-3</v>
      </c>
      <c r="Y59">
        <v>0</v>
      </c>
      <c r="Z59">
        <v>633.01</v>
      </c>
      <c r="AA59">
        <v>377.44</v>
      </c>
      <c r="AB59">
        <v>0</v>
      </c>
      <c r="AC59">
        <v>0</v>
      </c>
      <c r="AD59">
        <v>1</v>
      </c>
      <c r="AE59">
        <v>0</v>
      </c>
      <c r="AF59" t="s">
        <v>46</v>
      </c>
      <c r="AG59">
        <v>3.7499999999999999E-3</v>
      </c>
      <c r="AH59">
        <v>2</v>
      </c>
      <c r="AI59">
        <v>51353946</v>
      </c>
      <c r="AJ59">
        <v>58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ROW(Source!A41)</f>
        <v>41</v>
      </c>
      <c r="B60">
        <v>51353947</v>
      </c>
      <c r="C60">
        <v>51353942</v>
      </c>
      <c r="D60">
        <v>50042849</v>
      </c>
      <c r="E60">
        <v>1</v>
      </c>
      <c r="F60">
        <v>1</v>
      </c>
      <c r="G60">
        <v>1</v>
      </c>
      <c r="H60">
        <v>3</v>
      </c>
      <c r="I60" t="s">
        <v>403</v>
      </c>
      <c r="J60" t="s">
        <v>404</v>
      </c>
      <c r="K60" t="s">
        <v>405</v>
      </c>
      <c r="L60">
        <v>1383</v>
      </c>
      <c r="N60">
        <v>1013</v>
      </c>
      <c r="O60" t="s">
        <v>406</v>
      </c>
      <c r="P60" t="s">
        <v>406</v>
      </c>
      <c r="Q60">
        <v>1</v>
      </c>
      <c r="X60">
        <v>0.84</v>
      </c>
      <c r="Y60">
        <v>6.59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0.84</v>
      </c>
      <c r="AH60">
        <v>2</v>
      </c>
      <c r="AI60">
        <v>51353947</v>
      </c>
      <c r="AJ60">
        <v>59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ROW(Source!A41)</f>
        <v>41</v>
      </c>
      <c r="B61">
        <v>51353948</v>
      </c>
      <c r="C61">
        <v>51353942</v>
      </c>
      <c r="D61">
        <v>49971659</v>
      </c>
      <c r="E61">
        <v>114</v>
      </c>
      <c r="F61">
        <v>1</v>
      </c>
      <c r="G61">
        <v>1</v>
      </c>
      <c r="H61">
        <v>3</v>
      </c>
      <c r="I61" t="s">
        <v>459</v>
      </c>
      <c r="J61" t="s">
        <v>3</v>
      </c>
      <c r="K61" t="s">
        <v>460</v>
      </c>
      <c r="L61">
        <v>1377</v>
      </c>
      <c r="N61">
        <v>1013</v>
      </c>
      <c r="O61" t="s">
        <v>127</v>
      </c>
      <c r="P61" t="s">
        <v>127</v>
      </c>
      <c r="Q61">
        <v>1</v>
      </c>
      <c r="X61">
        <v>10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 t="s">
        <v>3</v>
      </c>
      <c r="AG61">
        <v>10</v>
      </c>
      <c r="AH61">
        <v>3</v>
      </c>
      <c r="AI61">
        <v>-1</v>
      </c>
      <c r="AJ61" t="s">
        <v>3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ROW(Source!A41)</f>
        <v>41</v>
      </c>
      <c r="B62">
        <v>51353949</v>
      </c>
      <c r="C62">
        <v>51353942</v>
      </c>
      <c r="D62">
        <v>50045462</v>
      </c>
      <c r="E62">
        <v>1</v>
      </c>
      <c r="F62">
        <v>1</v>
      </c>
      <c r="G62">
        <v>1</v>
      </c>
      <c r="H62">
        <v>3</v>
      </c>
      <c r="I62" t="s">
        <v>420</v>
      </c>
      <c r="J62" t="s">
        <v>421</v>
      </c>
      <c r="K62" t="s">
        <v>422</v>
      </c>
      <c r="L62">
        <v>1346</v>
      </c>
      <c r="N62">
        <v>1009</v>
      </c>
      <c r="O62" t="s">
        <v>82</v>
      </c>
      <c r="P62" t="s">
        <v>82</v>
      </c>
      <c r="Q62">
        <v>1</v>
      </c>
      <c r="X62">
        <v>1</v>
      </c>
      <c r="Y62">
        <v>56.11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1</v>
      </c>
      <c r="AH62">
        <v>2</v>
      </c>
      <c r="AI62">
        <v>51353949</v>
      </c>
      <c r="AJ62">
        <v>61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ROW(Source!A43)</f>
        <v>43</v>
      </c>
      <c r="B63">
        <v>51353955</v>
      </c>
      <c r="C63">
        <v>51353954</v>
      </c>
      <c r="D63">
        <v>49971149</v>
      </c>
      <c r="E63">
        <v>114</v>
      </c>
      <c r="F63">
        <v>1</v>
      </c>
      <c r="G63">
        <v>1</v>
      </c>
      <c r="H63">
        <v>1</v>
      </c>
      <c r="I63" t="s">
        <v>423</v>
      </c>
      <c r="J63" t="s">
        <v>3</v>
      </c>
      <c r="K63" t="s">
        <v>424</v>
      </c>
      <c r="L63">
        <v>1191</v>
      </c>
      <c r="N63">
        <v>1013</v>
      </c>
      <c r="O63" t="s">
        <v>357</v>
      </c>
      <c r="P63" t="s">
        <v>357</v>
      </c>
      <c r="Q63">
        <v>1</v>
      </c>
      <c r="X63">
        <v>1.1100000000000001</v>
      </c>
      <c r="Y63">
        <v>0</v>
      </c>
      <c r="Z63">
        <v>0</v>
      </c>
      <c r="AA63">
        <v>0</v>
      </c>
      <c r="AB63">
        <v>388.7</v>
      </c>
      <c r="AC63">
        <v>0</v>
      </c>
      <c r="AD63">
        <v>1</v>
      </c>
      <c r="AE63">
        <v>1</v>
      </c>
      <c r="AF63" t="s">
        <v>101</v>
      </c>
      <c r="AG63">
        <v>0.77700000000000002</v>
      </c>
      <c r="AH63">
        <v>2</v>
      </c>
      <c r="AI63">
        <v>51353955</v>
      </c>
      <c r="AJ63">
        <v>62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ROW(Source!A43)</f>
        <v>43</v>
      </c>
      <c r="B64">
        <v>51353956</v>
      </c>
      <c r="C64">
        <v>51353954</v>
      </c>
      <c r="D64">
        <v>50096845</v>
      </c>
      <c r="E64">
        <v>1</v>
      </c>
      <c r="F64">
        <v>1</v>
      </c>
      <c r="G64">
        <v>1</v>
      </c>
      <c r="H64">
        <v>2</v>
      </c>
      <c r="I64" t="s">
        <v>409</v>
      </c>
      <c r="J64" t="s">
        <v>410</v>
      </c>
      <c r="K64" t="s">
        <v>411</v>
      </c>
      <c r="L64">
        <v>1368</v>
      </c>
      <c r="N64">
        <v>1011</v>
      </c>
      <c r="O64" t="s">
        <v>363</v>
      </c>
      <c r="P64" t="s">
        <v>363</v>
      </c>
      <c r="Q64">
        <v>1</v>
      </c>
      <c r="X64">
        <v>0.26</v>
      </c>
      <c r="Y64">
        <v>0</v>
      </c>
      <c r="Z64">
        <v>31.57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101</v>
      </c>
      <c r="AG64">
        <v>0.182</v>
      </c>
      <c r="AH64">
        <v>2</v>
      </c>
      <c r="AI64">
        <v>51353956</v>
      </c>
      <c r="AJ64">
        <v>63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ROW(Source!A43)</f>
        <v>43</v>
      </c>
      <c r="B65">
        <v>51353957</v>
      </c>
      <c r="C65">
        <v>51353954</v>
      </c>
      <c r="D65">
        <v>50042849</v>
      </c>
      <c r="E65">
        <v>1</v>
      </c>
      <c r="F65">
        <v>1</v>
      </c>
      <c r="G65">
        <v>1</v>
      </c>
      <c r="H65">
        <v>3</v>
      </c>
      <c r="I65" t="s">
        <v>403</v>
      </c>
      <c r="J65" t="s">
        <v>404</v>
      </c>
      <c r="K65" t="s">
        <v>405</v>
      </c>
      <c r="L65">
        <v>1383</v>
      </c>
      <c r="N65">
        <v>1013</v>
      </c>
      <c r="O65" t="s">
        <v>406</v>
      </c>
      <c r="P65" t="s">
        <v>406</v>
      </c>
      <c r="Q65">
        <v>1</v>
      </c>
      <c r="X65">
        <v>0.2132</v>
      </c>
      <c r="Y65">
        <v>6.59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100</v>
      </c>
      <c r="AG65">
        <v>0</v>
      </c>
      <c r="AH65">
        <v>2</v>
      </c>
      <c r="AI65">
        <v>51353957</v>
      </c>
      <c r="AJ65">
        <v>64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ROW(Source!A43)</f>
        <v>43</v>
      </c>
      <c r="B66">
        <v>51353958</v>
      </c>
      <c r="C66">
        <v>51353954</v>
      </c>
      <c r="D66">
        <v>49971647</v>
      </c>
      <c r="E66">
        <v>114</v>
      </c>
      <c r="F66">
        <v>1</v>
      </c>
      <c r="G66">
        <v>1</v>
      </c>
      <c r="H66">
        <v>3</v>
      </c>
      <c r="I66" t="s">
        <v>461</v>
      </c>
      <c r="J66" t="s">
        <v>3</v>
      </c>
      <c r="K66" t="s">
        <v>462</v>
      </c>
      <c r="L66">
        <v>1371</v>
      </c>
      <c r="N66">
        <v>1013</v>
      </c>
      <c r="O66" t="s">
        <v>132</v>
      </c>
      <c r="P66" t="s">
        <v>132</v>
      </c>
      <c r="Q66">
        <v>1</v>
      </c>
      <c r="X66">
        <v>1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 t="s">
        <v>100</v>
      </c>
      <c r="AG66">
        <v>0</v>
      </c>
      <c r="AH66">
        <v>3</v>
      </c>
      <c r="AI66">
        <v>-1</v>
      </c>
      <c r="AJ66" t="s">
        <v>3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ROW(Source!A43)</f>
        <v>43</v>
      </c>
      <c r="B67">
        <v>51353959</v>
      </c>
      <c r="C67">
        <v>51353954</v>
      </c>
      <c r="D67">
        <v>50043601</v>
      </c>
      <c r="E67">
        <v>1</v>
      </c>
      <c r="F67">
        <v>1</v>
      </c>
      <c r="G67">
        <v>1</v>
      </c>
      <c r="H67">
        <v>3</v>
      </c>
      <c r="I67" t="s">
        <v>425</v>
      </c>
      <c r="J67" t="s">
        <v>426</v>
      </c>
      <c r="K67" t="s">
        <v>427</v>
      </c>
      <c r="L67">
        <v>1346</v>
      </c>
      <c r="N67">
        <v>1009</v>
      </c>
      <c r="O67" t="s">
        <v>82</v>
      </c>
      <c r="P67" t="s">
        <v>82</v>
      </c>
      <c r="Q67">
        <v>1</v>
      </c>
      <c r="X67">
        <v>7.0000000000000007E-2</v>
      </c>
      <c r="Y67">
        <v>155.63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100</v>
      </c>
      <c r="AG67">
        <v>0</v>
      </c>
      <c r="AH67">
        <v>2</v>
      </c>
      <c r="AI67">
        <v>51353959</v>
      </c>
      <c r="AJ67">
        <v>65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ROW(Source!A43)</f>
        <v>43</v>
      </c>
      <c r="B68">
        <v>51353960</v>
      </c>
      <c r="C68">
        <v>51353954</v>
      </c>
      <c r="D68">
        <v>50044705</v>
      </c>
      <c r="E68">
        <v>1</v>
      </c>
      <c r="F68">
        <v>1</v>
      </c>
      <c r="G68">
        <v>1</v>
      </c>
      <c r="H68">
        <v>3</v>
      </c>
      <c r="I68" t="s">
        <v>428</v>
      </c>
      <c r="J68" t="s">
        <v>429</v>
      </c>
      <c r="K68" t="s">
        <v>430</v>
      </c>
      <c r="L68">
        <v>1425</v>
      </c>
      <c r="N68">
        <v>1013</v>
      </c>
      <c r="O68" t="s">
        <v>160</v>
      </c>
      <c r="P68" t="s">
        <v>160</v>
      </c>
      <c r="Q68">
        <v>1</v>
      </c>
      <c r="X68">
        <v>0.08</v>
      </c>
      <c r="Y68">
        <v>120.96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100</v>
      </c>
      <c r="AG68">
        <v>0</v>
      </c>
      <c r="AH68">
        <v>2</v>
      </c>
      <c r="AI68">
        <v>51353960</v>
      </c>
      <c r="AJ68">
        <v>66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ROW(Source!A44)</f>
        <v>44</v>
      </c>
      <c r="B69">
        <v>51353964</v>
      </c>
      <c r="C69">
        <v>51353963</v>
      </c>
      <c r="D69">
        <v>49971149</v>
      </c>
      <c r="E69">
        <v>114</v>
      </c>
      <c r="F69">
        <v>1</v>
      </c>
      <c r="G69">
        <v>1</v>
      </c>
      <c r="H69">
        <v>1</v>
      </c>
      <c r="I69" t="s">
        <v>423</v>
      </c>
      <c r="J69" t="s">
        <v>3</v>
      </c>
      <c r="K69" t="s">
        <v>424</v>
      </c>
      <c r="L69">
        <v>1191</v>
      </c>
      <c r="N69">
        <v>1013</v>
      </c>
      <c r="O69" t="s">
        <v>357</v>
      </c>
      <c r="P69" t="s">
        <v>357</v>
      </c>
      <c r="Q69">
        <v>1</v>
      </c>
      <c r="X69">
        <v>1.1100000000000001</v>
      </c>
      <c r="Y69">
        <v>0</v>
      </c>
      <c r="Z69">
        <v>0</v>
      </c>
      <c r="AA69">
        <v>0</v>
      </c>
      <c r="AB69">
        <v>388.7</v>
      </c>
      <c r="AC69">
        <v>0</v>
      </c>
      <c r="AD69">
        <v>1</v>
      </c>
      <c r="AE69">
        <v>1</v>
      </c>
      <c r="AF69" t="s">
        <v>47</v>
      </c>
      <c r="AG69">
        <v>1.2765</v>
      </c>
      <c r="AH69">
        <v>2</v>
      </c>
      <c r="AI69">
        <v>51353964</v>
      </c>
      <c r="AJ69">
        <v>67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ROW(Source!A44)</f>
        <v>44</v>
      </c>
      <c r="B70">
        <v>51353965</v>
      </c>
      <c r="C70">
        <v>51353963</v>
      </c>
      <c r="D70">
        <v>50096845</v>
      </c>
      <c r="E70">
        <v>1</v>
      </c>
      <c r="F70">
        <v>1</v>
      </c>
      <c r="G70">
        <v>1</v>
      </c>
      <c r="H70">
        <v>2</v>
      </c>
      <c r="I70" t="s">
        <v>409</v>
      </c>
      <c r="J70" t="s">
        <v>410</v>
      </c>
      <c r="K70" t="s">
        <v>411</v>
      </c>
      <c r="L70">
        <v>1368</v>
      </c>
      <c r="N70">
        <v>1011</v>
      </c>
      <c r="O70" t="s">
        <v>363</v>
      </c>
      <c r="P70" t="s">
        <v>363</v>
      </c>
      <c r="Q70">
        <v>1</v>
      </c>
      <c r="X70">
        <v>0.26</v>
      </c>
      <c r="Y70">
        <v>0</v>
      </c>
      <c r="Z70">
        <v>31.57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46</v>
      </c>
      <c r="AG70">
        <v>0.32500000000000001</v>
      </c>
      <c r="AH70">
        <v>2</v>
      </c>
      <c r="AI70">
        <v>51353965</v>
      </c>
      <c r="AJ70">
        <v>68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ROW(Source!A44)</f>
        <v>44</v>
      </c>
      <c r="B71">
        <v>51353966</v>
      </c>
      <c r="C71">
        <v>51353963</v>
      </c>
      <c r="D71">
        <v>50042849</v>
      </c>
      <c r="E71">
        <v>1</v>
      </c>
      <c r="F71">
        <v>1</v>
      </c>
      <c r="G71">
        <v>1</v>
      </c>
      <c r="H71">
        <v>3</v>
      </c>
      <c r="I71" t="s">
        <v>403</v>
      </c>
      <c r="J71" t="s">
        <v>404</v>
      </c>
      <c r="K71" t="s">
        <v>405</v>
      </c>
      <c r="L71">
        <v>1383</v>
      </c>
      <c r="N71">
        <v>1013</v>
      </c>
      <c r="O71" t="s">
        <v>406</v>
      </c>
      <c r="P71" t="s">
        <v>406</v>
      </c>
      <c r="Q71">
        <v>1</v>
      </c>
      <c r="X71">
        <v>0.2132</v>
      </c>
      <c r="Y71">
        <v>6.59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3</v>
      </c>
      <c r="AG71">
        <v>0.2132</v>
      </c>
      <c r="AH71">
        <v>2</v>
      </c>
      <c r="AI71">
        <v>51353966</v>
      </c>
      <c r="AJ71">
        <v>69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ROW(Source!A44)</f>
        <v>44</v>
      </c>
      <c r="B72">
        <v>51353967</v>
      </c>
      <c r="C72">
        <v>51353963</v>
      </c>
      <c r="D72">
        <v>49971647</v>
      </c>
      <c r="E72">
        <v>114</v>
      </c>
      <c r="F72">
        <v>1</v>
      </c>
      <c r="G72">
        <v>1</v>
      </c>
      <c r="H72">
        <v>3</v>
      </c>
      <c r="I72" t="s">
        <v>461</v>
      </c>
      <c r="J72" t="s">
        <v>3</v>
      </c>
      <c r="K72" t="s">
        <v>462</v>
      </c>
      <c r="L72">
        <v>1371</v>
      </c>
      <c r="N72">
        <v>1013</v>
      </c>
      <c r="O72" t="s">
        <v>132</v>
      </c>
      <c r="P72" t="s">
        <v>132</v>
      </c>
      <c r="Q72">
        <v>1</v>
      </c>
      <c r="X72">
        <v>1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 t="s">
        <v>3</v>
      </c>
      <c r="AG72">
        <v>1</v>
      </c>
      <c r="AH72">
        <v>3</v>
      </c>
      <c r="AI72">
        <v>-1</v>
      </c>
      <c r="AJ72" t="s">
        <v>3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ROW(Source!A44)</f>
        <v>44</v>
      </c>
      <c r="B73">
        <v>51353968</v>
      </c>
      <c r="C73">
        <v>51353963</v>
      </c>
      <c r="D73">
        <v>50043601</v>
      </c>
      <c r="E73">
        <v>1</v>
      </c>
      <c r="F73">
        <v>1</v>
      </c>
      <c r="G73">
        <v>1</v>
      </c>
      <c r="H73">
        <v>3</v>
      </c>
      <c r="I73" t="s">
        <v>425</v>
      </c>
      <c r="J73" t="s">
        <v>426</v>
      </c>
      <c r="K73" t="s">
        <v>427</v>
      </c>
      <c r="L73">
        <v>1346</v>
      </c>
      <c r="N73">
        <v>1009</v>
      </c>
      <c r="O73" t="s">
        <v>82</v>
      </c>
      <c r="P73" t="s">
        <v>82</v>
      </c>
      <c r="Q73">
        <v>1</v>
      </c>
      <c r="X73">
        <v>7.0000000000000007E-2</v>
      </c>
      <c r="Y73">
        <v>155.63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</v>
      </c>
      <c r="AG73">
        <v>7.0000000000000007E-2</v>
      </c>
      <c r="AH73">
        <v>2</v>
      </c>
      <c r="AI73">
        <v>51353968</v>
      </c>
      <c r="AJ73">
        <v>71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ROW(Source!A44)</f>
        <v>44</v>
      </c>
      <c r="B74">
        <v>51353969</v>
      </c>
      <c r="C74">
        <v>51353963</v>
      </c>
      <c r="D74">
        <v>50044705</v>
      </c>
      <c r="E74">
        <v>1</v>
      </c>
      <c r="F74">
        <v>1</v>
      </c>
      <c r="G74">
        <v>1</v>
      </c>
      <c r="H74">
        <v>3</v>
      </c>
      <c r="I74" t="s">
        <v>428</v>
      </c>
      <c r="J74" t="s">
        <v>429</v>
      </c>
      <c r="K74" t="s">
        <v>430</v>
      </c>
      <c r="L74">
        <v>1425</v>
      </c>
      <c r="N74">
        <v>1013</v>
      </c>
      <c r="O74" t="s">
        <v>160</v>
      </c>
      <c r="P74" t="s">
        <v>160</v>
      </c>
      <c r="Q74">
        <v>1</v>
      </c>
      <c r="X74">
        <v>0.08</v>
      </c>
      <c r="Y74">
        <v>120.96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0.08</v>
      </c>
      <c r="AH74">
        <v>2</v>
      </c>
      <c r="AI74">
        <v>51353969</v>
      </c>
      <c r="AJ74">
        <v>72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ROW(Source!A46)</f>
        <v>46</v>
      </c>
      <c r="B75">
        <v>55858634</v>
      </c>
      <c r="C75">
        <v>51353983</v>
      </c>
      <c r="D75">
        <v>54569631</v>
      </c>
      <c r="E75">
        <v>117</v>
      </c>
      <c r="F75">
        <v>1</v>
      </c>
      <c r="G75">
        <v>1</v>
      </c>
      <c r="H75">
        <v>1</v>
      </c>
      <c r="I75" t="s">
        <v>431</v>
      </c>
      <c r="J75" t="s">
        <v>3</v>
      </c>
      <c r="K75" t="s">
        <v>432</v>
      </c>
      <c r="L75">
        <v>1191</v>
      </c>
      <c r="N75">
        <v>1013</v>
      </c>
      <c r="O75" t="s">
        <v>357</v>
      </c>
      <c r="P75" t="s">
        <v>357</v>
      </c>
      <c r="Q75">
        <v>1</v>
      </c>
      <c r="X75">
        <v>0.03</v>
      </c>
      <c r="Y75">
        <v>0</v>
      </c>
      <c r="Z75">
        <v>0</v>
      </c>
      <c r="AA75">
        <v>0</v>
      </c>
      <c r="AB75">
        <v>435.21</v>
      </c>
      <c r="AC75">
        <v>0</v>
      </c>
      <c r="AD75">
        <v>1</v>
      </c>
      <c r="AE75">
        <v>1</v>
      </c>
      <c r="AF75" t="s">
        <v>3</v>
      </c>
      <c r="AG75">
        <v>0.03</v>
      </c>
      <c r="AH75">
        <v>2</v>
      </c>
      <c r="AI75">
        <v>55858634</v>
      </c>
      <c r="AJ75">
        <v>73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ROW(Source!A46)</f>
        <v>46</v>
      </c>
      <c r="B76">
        <v>55858635</v>
      </c>
      <c r="C76">
        <v>51353983</v>
      </c>
      <c r="D76">
        <v>54570181</v>
      </c>
      <c r="E76">
        <v>117</v>
      </c>
      <c r="F76">
        <v>1</v>
      </c>
      <c r="G76">
        <v>1</v>
      </c>
      <c r="H76">
        <v>3</v>
      </c>
      <c r="I76" t="s">
        <v>463</v>
      </c>
      <c r="J76" t="s">
        <v>3</v>
      </c>
      <c r="K76" t="s">
        <v>464</v>
      </c>
      <c r="L76">
        <v>1348</v>
      </c>
      <c r="N76">
        <v>1009</v>
      </c>
      <c r="O76" t="s">
        <v>29</v>
      </c>
      <c r="P76" t="s">
        <v>29</v>
      </c>
      <c r="Q76">
        <v>1000</v>
      </c>
      <c r="X76">
        <v>2.9999999999999997E-4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 t="s">
        <v>3</v>
      </c>
      <c r="AG76">
        <v>2.9999999999999997E-4</v>
      </c>
      <c r="AH76">
        <v>3</v>
      </c>
      <c r="AI76">
        <v>-1</v>
      </c>
      <c r="AJ76" t="s">
        <v>3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ROW(Source!A48)</f>
        <v>48</v>
      </c>
      <c r="B77">
        <v>51354158</v>
      </c>
      <c r="C77">
        <v>51354076</v>
      </c>
      <c r="D77">
        <v>49971127</v>
      </c>
      <c r="E77">
        <v>114</v>
      </c>
      <c r="F77">
        <v>1</v>
      </c>
      <c r="G77">
        <v>1</v>
      </c>
      <c r="H77">
        <v>1</v>
      </c>
      <c r="I77" t="s">
        <v>433</v>
      </c>
      <c r="J77" t="s">
        <v>3</v>
      </c>
      <c r="K77" t="s">
        <v>434</v>
      </c>
      <c r="L77">
        <v>1191</v>
      </c>
      <c r="N77">
        <v>1013</v>
      </c>
      <c r="O77" t="s">
        <v>357</v>
      </c>
      <c r="P77" t="s">
        <v>357</v>
      </c>
      <c r="Q77">
        <v>1</v>
      </c>
      <c r="X77">
        <v>7.41</v>
      </c>
      <c r="Y77">
        <v>0</v>
      </c>
      <c r="Z77">
        <v>0</v>
      </c>
      <c r="AA77">
        <v>0</v>
      </c>
      <c r="AB77">
        <v>352.09</v>
      </c>
      <c r="AC77">
        <v>0</v>
      </c>
      <c r="AD77">
        <v>1</v>
      </c>
      <c r="AE77">
        <v>1</v>
      </c>
      <c r="AF77" t="s">
        <v>3</v>
      </c>
      <c r="AG77">
        <v>7.41</v>
      </c>
      <c r="AH77">
        <v>2</v>
      </c>
      <c r="AI77">
        <v>51354158</v>
      </c>
      <c r="AJ77">
        <v>75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ROW(Source!A48)</f>
        <v>48</v>
      </c>
      <c r="B78">
        <v>51354159</v>
      </c>
      <c r="C78">
        <v>51354076</v>
      </c>
      <c r="D78">
        <v>49971314</v>
      </c>
      <c r="E78">
        <v>114</v>
      </c>
      <c r="F78">
        <v>1</v>
      </c>
      <c r="G78">
        <v>1</v>
      </c>
      <c r="H78">
        <v>1</v>
      </c>
      <c r="I78" t="s">
        <v>358</v>
      </c>
      <c r="J78" t="s">
        <v>3</v>
      </c>
      <c r="K78" t="s">
        <v>359</v>
      </c>
      <c r="L78">
        <v>1191</v>
      </c>
      <c r="N78">
        <v>1013</v>
      </c>
      <c r="O78" t="s">
        <v>357</v>
      </c>
      <c r="P78" t="s">
        <v>357</v>
      </c>
      <c r="Q78">
        <v>1</v>
      </c>
      <c r="X78">
        <v>0.39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2</v>
      </c>
      <c r="AF78" t="s">
        <v>3</v>
      </c>
      <c r="AG78">
        <v>0.39</v>
      </c>
      <c r="AH78">
        <v>2</v>
      </c>
      <c r="AI78">
        <v>51354159</v>
      </c>
      <c r="AJ78">
        <v>76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ROW(Source!A48)</f>
        <v>48</v>
      </c>
      <c r="B79">
        <v>51354160</v>
      </c>
      <c r="C79">
        <v>51354076</v>
      </c>
      <c r="D79">
        <v>50095945</v>
      </c>
      <c r="E79">
        <v>1</v>
      </c>
      <c r="F79">
        <v>1</v>
      </c>
      <c r="G79">
        <v>1</v>
      </c>
      <c r="H79">
        <v>2</v>
      </c>
      <c r="I79" t="s">
        <v>360</v>
      </c>
      <c r="J79" t="s">
        <v>361</v>
      </c>
      <c r="K79" t="s">
        <v>362</v>
      </c>
      <c r="L79">
        <v>1368</v>
      </c>
      <c r="N79">
        <v>1011</v>
      </c>
      <c r="O79" t="s">
        <v>363</v>
      </c>
      <c r="P79" t="s">
        <v>363</v>
      </c>
      <c r="Q79">
        <v>1</v>
      </c>
      <c r="X79">
        <v>0.05</v>
      </c>
      <c r="Y79">
        <v>0</v>
      </c>
      <c r="Z79">
        <v>37.32</v>
      </c>
      <c r="AA79">
        <v>335.19</v>
      </c>
      <c r="AB79">
        <v>0</v>
      </c>
      <c r="AC79">
        <v>0</v>
      </c>
      <c r="AD79">
        <v>1</v>
      </c>
      <c r="AE79">
        <v>0</v>
      </c>
      <c r="AF79" t="s">
        <v>3</v>
      </c>
      <c r="AG79">
        <v>0.05</v>
      </c>
      <c r="AH79">
        <v>2</v>
      </c>
      <c r="AI79">
        <v>51354160</v>
      </c>
      <c r="AJ79">
        <v>77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ROW(Source!A48)</f>
        <v>48</v>
      </c>
      <c r="B80">
        <v>51354161</v>
      </c>
      <c r="C80">
        <v>51354076</v>
      </c>
      <c r="D80">
        <v>50096650</v>
      </c>
      <c r="E80">
        <v>1</v>
      </c>
      <c r="F80">
        <v>1</v>
      </c>
      <c r="G80">
        <v>1</v>
      </c>
      <c r="H80">
        <v>2</v>
      </c>
      <c r="I80" t="s">
        <v>382</v>
      </c>
      <c r="J80" t="s">
        <v>383</v>
      </c>
      <c r="K80" t="s">
        <v>384</v>
      </c>
      <c r="L80">
        <v>1368</v>
      </c>
      <c r="N80">
        <v>1011</v>
      </c>
      <c r="O80" t="s">
        <v>363</v>
      </c>
      <c r="P80" t="s">
        <v>363</v>
      </c>
      <c r="Q80">
        <v>1</v>
      </c>
      <c r="X80">
        <v>0.34</v>
      </c>
      <c r="Y80">
        <v>0</v>
      </c>
      <c r="Z80">
        <v>633.01</v>
      </c>
      <c r="AA80">
        <v>377.44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0.34</v>
      </c>
      <c r="AH80">
        <v>2</v>
      </c>
      <c r="AI80">
        <v>51354161</v>
      </c>
      <c r="AJ80">
        <v>78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ROW(Source!A48)</f>
        <v>48</v>
      </c>
      <c r="B81">
        <v>51354162</v>
      </c>
      <c r="C81">
        <v>51354076</v>
      </c>
      <c r="D81">
        <v>50097411</v>
      </c>
      <c r="E81">
        <v>1</v>
      </c>
      <c r="F81">
        <v>1</v>
      </c>
      <c r="G81">
        <v>1</v>
      </c>
      <c r="H81">
        <v>2</v>
      </c>
      <c r="I81" t="s">
        <v>435</v>
      </c>
      <c r="J81" t="s">
        <v>436</v>
      </c>
      <c r="K81" t="s">
        <v>437</v>
      </c>
      <c r="L81">
        <v>1368</v>
      </c>
      <c r="N81">
        <v>1011</v>
      </c>
      <c r="O81" t="s">
        <v>363</v>
      </c>
      <c r="P81" t="s">
        <v>363</v>
      </c>
      <c r="Q81">
        <v>1</v>
      </c>
      <c r="X81">
        <v>1.25</v>
      </c>
      <c r="Y81">
        <v>0</v>
      </c>
      <c r="Z81">
        <v>9.7799999999999994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1.25</v>
      </c>
      <c r="AH81">
        <v>2</v>
      </c>
      <c r="AI81">
        <v>51354162</v>
      </c>
      <c r="AJ81">
        <v>79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ROW(Source!A48)</f>
        <v>48</v>
      </c>
      <c r="B82">
        <v>51354163</v>
      </c>
      <c r="C82">
        <v>51354076</v>
      </c>
      <c r="D82">
        <v>49971608</v>
      </c>
      <c r="E82">
        <v>114</v>
      </c>
      <c r="F82">
        <v>1</v>
      </c>
      <c r="G82">
        <v>1</v>
      </c>
      <c r="H82">
        <v>3</v>
      </c>
      <c r="I82" t="s">
        <v>465</v>
      </c>
      <c r="J82" t="s">
        <v>3</v>
      </c>
      <c r="K82" t="s">
        <v>466</v>
      </c>
      <c r="L82">
        <v>1327</v>
      </c>
      <c r="N82">
        <v>1005</v>
      </c>
      <c r="O82" t="s">
        <v>69</v>
      </c>
      <c r="P82" t="s">
        <v>69</v>
      </c>
      <c r="Q82">
        <v>1</v>
      </c>
      <c r="X82">
        <v>25.38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 t="s">
        <v>3</v>
      </c>
      <c r="AG82">
        <v>25.38</v>
      </c>
      <c r="AH82">
        <v>3</v>
      </c>
      <c r="AI82">
        <v>-1</v>
      </c>
      <c r="AJ82" t="s">
        <v>3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ROW(Source!A48)</f>
        <v>48</v>
      </c>
      <c r="B83">
        <v>51354164</v>
      </c>
      <c r="C83">
        <v>51354076</v>
      </c>
      <c r="D83">
        <v>49974783</v>
      </c>
      <c r="E83">
        <v>114</v>
      </c>
      <c r="F83">
        <v>1</v>
      </c>
      <c r="G83">
        <v>1</v>
      </c>
      <c r="H83">
        <v>3</v>
      </c>
      <c r="I83" t="s">
        <v>467</v>
      </c>
      <c r="J83" t="s">
        <v>3</v>
      </c>
      <c r="K83" t="s">
        <v>468</v>
      </c>
      <c r="L83">
        <v>1346</v>
      </c>
      <c r="N83">
        <v>1009</v>
      </c>
      <c r="O83" t="s">
        <v>82</v>
      </c>
      <c r="P83" t="s">
        <v>82</v>
      </c>
      <c r="Q83">
        <v>1</v>
      </c>
      <c r="X83">
        <v>8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 t="s">
        <v>3</v>
      </c>
      <c r="AG83">
        <v>8</v>
      </c>
      <c r="AH83">
        <v>3</v>
      </c>
      <c r="AI83">
        <v>-1</v>
      </c>
      <c r="AJ83" t="s">
        <v>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ROW(Source!A48)</f>
        <v>48</v>
      </c>
      <c r="B84">
        <v>51354165</v>
      </c>
      <c r="C84">
        <v>51354076</v>
      </c>
      <c r="D84">
        <v>49974951</v>
      </c>
      <c r="E84">
        <v>114</v>
      </c>
      <c r="F84">
        <v>1</v>
      </c>
      <c r="G84">
        <v>1</v>
      </c>
      <c r="H84">
        <v>3</v>
      </c>
      <c r="I84" t="s">
        <v>469</v>
      </c>
      <c r="J84" t="s">
        <v>3</v>
      </c>
      <c r="K84" t="s">
        <v>470</v>
      </c>
      <c r="L84">
        <v>1346</v>
      </c>
      <c r="N84">
        <v>1009</v>
      </c>
      <c r="O84" t="s">
        <v>82</v>
      </c>
      <c r="P84" t="s">
        <v>82</v>
      </c>
      <c r="Q84">
        <v>1</v>
      </c>
      <c r="X84">
        <v>2.5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 t="s">
        <v>3</v>
      </c>
      <c r="AG84">
        <v>2.5</v>
      </c>
      <c r="AH84">
        <v>3</v>
      </c>
      <c r="AI84">
        <v>-1</v>
      </c>
      <c r="AJ84" t="s">
        <v>3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ROW(Source!A52)</f>
        <v>52</v>
      </c>
      <c r="B85">
        <v>51354097</v>
      </c>
      <c r="C85">
        <v>51354096</v>
      </c>
      <c r="D85">
        <v>49971079</v>
      </c>
      <c r="E85">
        <v>114</v>
      </c>
      <c r="F85">
        <v>1</v>
      </c>
      <c r="G85">
        <v>1</v>
      </c>
      <c r="H85">
        <v>1</v>
      </c>
      <c r="I85" t="s">
        <v>373</v>
      </c>
      <c r="J85" t="s">
        <v>3</v>
      </c>
      <c r="K85" t="s">
        <v>374</v>
      </c>
      <c r="L85">
        <v>1191</v>
      </c>
      <c r="N85">
        <v>1013</v>
      </c>
      <c r="O85" t="s">
        <v>357</v>
      </c>
      <c r="P85" t="s">
        <v>357</v>
      </c>
      <c r="Q85">
        <v>1</v>
      </c>
      <c r="X85">
        <v>25.7</v>
      </c>
      <c r="Y85">
        <v>0</v>
      </c>
      <c r="Z85">
        <v>0</v>
      </c>
      <c r="AA85">
        <v>0</v>
      </c>
      <c r="AB85">
        <v>307.02</v>
      </c>
      <c r="AC85">
        <v>0</v>
      </c>
      <c r="AD85">
        <v>1</v>
      </c>
      <c r="AE85">
        <v>1</v>
      </c>
      <c r="AF85" t="s">
        <v>3</v>
      </c>
      <c r="AG85">
        <v>25.7</v>
      </c>
      <c r="AH85">
        <v>2</v>
      </c>
      <c r="AI85">
        <v>51354097</v>
      </c>
      <c r="AJ85">
        <v>83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ROW(Source!A53)</f>
        <v>53</v>
      </c>
      <c r="B86">
        <v>51354099</v>
      </c>
      <c r="C86">
        <v>51354098</v>
      </c>
      <c r="D86">
        <v>49971143</v>
      </c>
      <c r="E86">
        <v>114</v>
      </c>
      <c r="F86">
        <v>1</v>
      </c>
      <c r="G86">
        <v>1</v>
      </c>
      <c r="H86">
        <v>1</v>
      </c>
      <c r="I86" t="s">
        <v>418</v>
      </c>
      <c r="J86" t="s">
        <v>3</v>
      </c>
      <c r="K86" t="s">
        <v>419</v>
      </c>
      <c r="L86">
        <v>1191</v>
      </c>
      <c r="N86">
        <v>1013</v>
      </c>
      <c r="O86" t="s">
        <v>357</v>
      </c>
      <c r="P86" t="s">
        <v>357</v>
      </c>
      <c r="Q86">
        <v>1</v>
      </c>
      <c r="X86">
        <v>4.6500000000000004</v>
      </c>
      <c r="Y86">
        <v>0</v>
      </c>
      <c r="Z86">
        <v>0</v>
      </c>
      <c r="AA86">
        <v>0</v>
      </c>
      <c r="AB86">
        <v>377.44</v>
      </c>
      <c r="AC86">
        <v>0</v>
      </c>
      <c r="AD86">
        <v>1</v>
      </c>
      <c r="AE86">
        <v>1</v>
      </c>
      <c r="AF86" t="s">
        <v>47</v>
      </c>
      <c r="AG86">
        <v>5.3475000000000001</v>
      </c>
      <c r="AH86">
        <v>2</v>
      </c>
      <c r="AI86">
        <v>51354099</v>
      </c>
      <c r="AJ86">
        <v>84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ROW(Source!A53)</f>
        <v>53</v>
      </c>
      <c r="B87">
        <v>51354100</v>
      </c>
      <c r="C87">
        <v>51354098</v>
      </c>
      <c r="D87">
        <v>49971314</v>
      </c>
      <c r="E87">
        <v>114</v>
      </c>
      <c r="F87">
        <v>1</v>
      </c>
      <c r="G87">
        <v>1</v>
      </c>
      <c r="H87">
        <v>1</v>
      </c>
      <c r="I87" t="s">
        <v>358</v>
      </c>
      <c r="J87" t="s">
        <v>3</v>
      </c>
      <c r="K87" t="s">
        <v>359</v>
      </c>
      <c r="L87">
        <v>1191</v>
      </c>
      <c r="N87">
        <v>1013</v>
      </c>
      <c r="O87" t="s">
        <v>357</v>
      </c>
      <c r="P87" t="s">
        <v>357</v>
      </c>
      <c r="Q87">
        <v>1</v>
      </c>
      <c r="X87">
        <v>0.02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2</v>
      </c>
      <c r="AF87" t="s">
        <v>46</v>
      </c>
      <c r="AG87">
        <v>2.5000000000000001E-2</v>
      </c>
      <c r="AH87">
        <v>2</v>
      </c>
      <c r="AI87">
        <v>51354100</v>
      </c>
      <c r="AJ87">
        <v>85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ROW(Source!A53)</f>
        <v>53</v>
      </c>
      <c r="B88">
        <v>51354101</v>
      </c>
      <c r="C88">
        <v>51354098</v>
      </c>
      <c r="D88">
        <v>50095945</v>
      </c>
      <c r="E88">
        <v>1</v>
      </c>
      <c r="F88">
        <v>1</v>
      </c>
      <c r="G88">
        <v>1</v>
      </c>
      <c r="H88">
        <v>2</v>
      </c>
      <c r="I88" t="s">
        <v>360</v>
      </c>
      <c r="J88" t="s">
        <v>361</v>
      </c>
      <c r="K88" t="s">
        <v>362</v>
      </c>
      <c r="L88">
        <v>1368</v>
      </c>
      <c r="N88">
        <v>1011</v>
      </c>
      <c r="O88" t="s">
        <v>363</v>
      </c>
      <c r="P88" t="s">
        <v>363</v>
      </c>
      <c r="Q88">
        <v>1</v>
      </c>
      <c r="X88">
        <v>0.01</v>
      </c>
      <c r="Y88">
        <v>0</v>
      </c>
      <c r="Z88">
        <v>37.32</v>
      </c>
      <c r="AA88">
        <v>335.19</v>
      </c>
      <c r="AB88">
        <v>0</v>
      </c>
      <c r="AC88">
        <v>0</v>
      </c>
      <c r="AD88">
        <v>1</v>
      </c>
      <c r="AE88">
        <v>0</v>
      </c>
      <c r="AF88" t="s">
        <v>46</v>
      </c>
      <c r="AG88">
        <v>1.2500000000000001E-2</v>
      </c>
      <c r="AH88">
        <v>2</v>
      </c>
      <c r="AI88">
        <v>51354101</v>
      </c>
      <c r="AJ88">
        <v>86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ROW(Source!A53)</f>
        <v>53</v>
      </c>
      <c r="B89">
        <v>51354102</v>
      </c>
      <c r="C89">
        <v>51354098</v>
      </c>
      <c r="D89">
        <v>50096650</v>
      </c>
      <c r="E89">
        <v>1</v>
      </c>
      <c r="F89">
        <v>1</v>
      </c>
      <c r="G89">
        <v>1</v>
      </c>
      <c r="H89">
        <v>2</v>
      </c>
      <c r="I89" t="s">
        <v>382</v>
      </c>
      <c r="J89" t="s">
        <v>383</v>
      </c>
      <c r="K89" t="s">
        <v>384</v>
      </c>
      <c r="L89">
        <v>1368</v>
      </c>
      <c r="N89">
        <v>1011</v>
      </c>
      <c r="O89" t="s">
        <v>363</v>
      </c>
      <c r="P89" t="s">
        <v>363</v>
      </c>
      <c r="Q89">
        <v>1</v>
      </c>
      <c r="X89">
        <v>0.01</v>
      </c>
      <c r="Y89">
        <v>0</v>
      </c>
      <c r="Z89">
        <v>633.01</v>
      </c>
      <c r="AA89">
        <v>377.44</v>
      </c>
      <c r="AB89">
        <v>0</v>
      </c>
      <c r="AC89">
        <v>0</v>
      </c>
      <c r="AD89">
        <v>1</v>
      </c>
      <c r="AE89">
        <v>0</v>
      </c>
      <c r="AF89" t="s">
        <v>46</v>
      </c>
      <c r="AG89">
        <v>1.2500000000000001E-2</v>
      </c>
      <c r="AH89">
        <v>2</v>
      </c>
      <c r="AI89">
        <v>51354102</v>
      </c>
      <c r="AJ89">
        <v>87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ROW(Source!A53)</f>
        <v>53</v>
      </c>
      <c r="B90">
        <v>51354103</v>
      </c>
      <c r="C90">
        <v>51354098</v>
      </c>
      <c r="D90">
        <v>50045462</v>
      </c>
      <c r="E90">
        <v>1</v>
      </c>
      <c r="F90">
        <v>1</v>
      </c>
      <c r="G90">
        <v>1</v>
      </c>
      <c r="H90">
        <v>3</v>
      </c>
      <c r="I90" t="s">
        <v>420</v>
      </c>
      <c r="J90" t="s">
        <v>421</v>
      </c>
      <c r="K90" t="s">
        <v>422</v>
      </c>
      <c r="L90">
        <v>1346</v>
      </c>
      <c r="N90">
        <v>1009</v>
      </c>
      <c r="O90" t="s">
        <v>82</v>
      </c>
      <c r="P90" t="s">
        <v>82</v>
      </c>
      <c r="Q90">
        <v>1</v>
      </c>
      <c r="X90">
        <v>0.1</v>
      </c>
      <c r="Y90">
        <v>56.11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3</v>
      </c>
      <c r="AG90">
        <v>0.1</v>
      </c>
      <c r="AH90">
        <v>2</v>
      </c>
      <c r="AI90">
        <v>51354103</v>
      </c>
      <c r="AJ90">
        <v>88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ROW(Source!A53)</f>
        <v>53</v>
      </c>
      <c r="B91">
        <v>51354104</v>
      </c>
      <c r="C91">
        <v>51354098</v>
      </c>
      <c r="D91">
        <v>49974928</v>
      </c>
      <c r="E91">
        <v>114</v>
      </c>
      <c r="F91">
        <v>1</v>
      </c>
      <c r="G91">
        <v>1</v>
      </c>
      <c r="H91">
        <v>3</v>
      </c>
      <c r="I91" t="s">
        <v>471</v>
      </c>
      <c r="J91" t="s">
        <v>3</v>
      </c>
      <c r="K91" t="s">
        <v>453</v>
      </c>
      <c r="L91">
        <v>1348</v>
      </c>
      <c r="N91">
        <v>1009</v>
      </c>
      <c r="O91" t="s">
        <v>29</v>
      </c>
      <c r="P91" t="s">
        <v>29</v>
      </c>
      <c r="Q91">
        <v>1000</v>
      </c>
      <c r="X91">
        <v>1.03E-2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 t="s">
        <v>3</v>
      </c>
      <c r="AG91">
        <v>1.03E-2</v>
      </c>
      <c r="AH91">
        <v>3</v>
      </c>
      <c r="AI91">
        <v>-1</v>
      </c>
      <c r="AJ91" t="s">
        <v>3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ROW(Source!A55)</f>
        <v>55</v>
      </c>
      <c r="B92">
        <v>51354107</v>
      </c>
      <c r="C92">
        <v>51354106</v>
      </c>
      <c r="D92">
        <v>49971127</v>
      </c>
      <c r="E92">
        <v>114</v>
      </c>
      <c r="F92">
        <v>1</v>
      </c>
      <c r="G92">
        <v>1</v>
      </c>
      <c r="H92">
        <v>1</v>
      </c>
      <c r="I92" t="s">
        <v>433</v>
      </c>
      <c r="J92" t="s">
        <v>3</v>
      </c>
      <c r="K92" t="s">
        <v>434</v>
      </c>
      <c r="L92">
        <v>1191</v>
      </c>
      <c r="N92">
        <v>1013</v>
      </c>
      <c r="O92" t="s">
        <v>357</v>
      </c>
      <c r="P92" t="s">
        <v>357</v>
      </c>
      <c r="Q92">
        <v>1</v>
      </c>
      <c r="X92">
        <v>39</v>
      </c>
      <c r="Y92">
        <v>0</v>
      </c>
      <c r="Z92">
        <v>0</v>
      </c>
      <c r="AA92">
        <v>0</v>
      </c>
      <c r="AB92">
        <v>352.09</v>
      </c>
      <c r="AC92">
        <v>0</v>
      </c>
      <c r="AD92">
        <v>1</v>
      </c>
      <c r="AE92">
        <v>1</v>
      </c>
      <c r="AF92" t="s">
        <v>47</v>
      </c>
      <c r="AG92">
        <v>44.849999999999994</v>
      </c>
      <c r="AH92">
        <v>2</v>
      </c>
      <c r="AI92">
        <v>51354107</v>
      </c>
      <c r="AJ92">
        <v>90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ROW(Source!A55)</f>
        <v>55</v>
      </c>
      <c r="B93">
        <v>51354108</v>
      </c>
      <c r="C93">
        <v>51354106</v>
      </c>
      <c r="D93">
        <v>49971314</v>
      </c>
      <c r="E93">
        <v>114</v>
      </c>
      <c r="F93">
        <v>1</v>
      </c>
      <c r="G93">
        <v>1</v>
      </c>
      <c r="H93">
        <v>1</v>
      </c>
      <c r="I93" t="s">
        <v>358</v>
      </c>
      <c r="J93" t="s">
        <v>3</v>
      </c>
      <c r="K93" t="s">
        <v>359</v>
      </c>
      <c r="L93">
        <v>1191</v>
      </c>
      <c r="N93">
        <v>1013</v>
      </c>
      <c r="O93" t="s">
        <v>357</v>
      </c>
      <c r="P93" t="s">
        <v>357</v>
      </c>
      <c r="Q93">
        <v>1</v>
      </c>
      <c r="X93">
        <v>0.17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2</v>
      </c>
      <c r="AF93" t="s">
        <v>46</v>
      </c>
      <c r="AG93">
        <v>0.21250000000000002</v>
      </c>
      <c r="AH93">
        <v>2</v>
      </c>
      <c r="AI93">
        <v>51354108</v>
      </c>
      <c r="AJ93">
        <v>91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ROW(Source!A55)</f>
        <v>55</v>
      </c>
      <c r="B94">
        <v>51354109</v>
      </c>
      <c r="C94">
        <v>51354106</v>
      </c>
      <c r="D94">
        <v>50095945</v>
      </c>
      <c r="E94">
        <v>1</v>
      </c>
      <c r="F94">
        <v>1</v>
      </c>
      <c r="G94">
        <v>1</v>
      </c>
      <c r="H94">
        <v>2</v>
      </c>
      <c r="I94" t="s">
        <v>360</v>
      </c>
      <c r="J94" t="s">
        <v>361</v>
      </c>
      <c r="K94" t="s">
        <v>362</v>
      </c>
      <c r="L94">
        <v>1368</v>
      </c>
      <c r="N94">
        <v>1011</v>
      </c>
      <c r="O94" t="s">
        <v>363</v>
      </c>
      <c r="P94" t="s">
        <v>363</v>
      </c>
      <c r="Q94">
        <v>1</v>
      </c>
      <c r="X94">
        <v>0.02</v>
      </c>
      <c r="Y94">
        <v>0</v>
      </c>
      <c r="Z94">
        <v>37.32</v>
      </c>
      <c r="AA94">
        <v>335.19</v>
      </c>
      <c r="AB94">
        <v>0</v>
      </c>
      <c r="AC94">
        <v>0</v>
      </c>
      <c r="AD94">
        <v>1</v>
      </c>
      <c r="AE94">
        <v>0</v>
      </c>
      <c r="AF94" t="s">
        <v>46</v>
      </c>
      <c r="AG94">
        <v>2.5000000000000001E-2</v>
      </c>
      <c r="AH94">
        <v>2</v>
      </c>
      <c r="AI94">
        <v>51354109</v>
      </c>
      <c r="AJ94">
        <v>92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ROW(Source!A55)</f>
        <v>55</v>
      </c>
      <c r="B95">
        <v>51354110</v>
      </c>
      <c r="C95">
        <v>51354106</v>
      </c>
      <c r="D95">
        <v>50096650</v>
      </c>
      <c r="E95">
        <v>1</v>
      </c>
      <c r="F95">
        <v>1</v>
      </c>
      <c r="G95">
        <v>1</v>
      </c>
      <c r="H95">
        <v>2</v>
      </c>
      <c r="I95" t="s">
        <v>382</v>
      </c>
      <c r="J95" t="s">
        <v>383</v>
      </c>
      <c r="K95" t="s">
        <v>384</v>
      </c>
      <c r="L95">
        <v>1368</v>
      </c>
      <c r="N95">
        <v>1011</v>
      </c>
      <c r="O95" t="s">
        <v>363</v>
      </c>
      <c r="P95" t="s">
        <v>363</v>
      </c>
      <c r="Q95">
        <v>1</v>
      </c>
      <c r="X95">
        <v>0.15</v>
      </c>
      <c r="Y95">
        <v>0</v>
      </c>
      <c r="Z95">
        <v>633.01</v>
      </c>
      <c r="AA95">
        <v>377.44</v>
      </c>
      <c r="AB95">
        <v>0</v>
      </c>
      <c r="AC95">
        <v>0</v>
      </c>
      <c r="AD95">
        <v>1</v>
      </c>
      <c r="AE95">
        <v>0</v>
      </c>
      <c r="AF95" t="s">
        <v>46</v>
      </c>
      <c r="AG95">
        <v>0.1875</v>
      </c>
      <c r="AH95">
        <v>2</v>
      </c>
      <c r="AI95">
        <v>51354110</v>
      </c>
      <c r="AJ95">
        <v>93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ROW(Source!A55)</f>
        <v>55</v>
      </c>
      <c r="B96">
        <v>51354111</v>
      </c>
      <c r="C96">
        <v>51354106</v>
      </c>
      <c r="D96">
        <v>50045113</v>
      </c>
      <c r="E96">
        <v>1</v>
      </c>
      <c r="F96">
        <v>1</v>
      </c>
      <c r="G96">
        <v>1</v>
      </c>
      <c r="H96">
        <v>3</v>
      </c>
      <c r="I96" t="s">
        <v>438</v>
      </c>
      <c r="J96" t="s">
        <v>439</v>
      </c>
      <c r="K96" t="s">
        <v>440</v>
      </c>
      <c r="L96">
        <v>1327</v>
      </c>
      <c r="N96">
        <v>1005</v>
      </c>
      <c r="O96" t="s">
        <v>69</v>
      </c>
      <c r="P96" t="s">
        <v>69</v>
      </c>
      <c r="Q96">
        <v>1</v>
      </c>
      <c r="X96">
        <v>0.84</v>
      </c>
      <c r="Y96">
        <v>531.44000000000005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0.84</v>
      </c>
      <c r="AH96">
        <v>2</v>
      </c>
      <c r="AI96">
        <v>51354111</v>
      </c>
      <c r="AJ96">
        <v>94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ROW(Source!A55)</f>
        <v>55</v>
      </c>
      <c r="B97">
        <v>51354112</v>
      </c>
      <c r="C97">
        <v>51354106</v>
      </c>
      <c r="D97">
        <v>50045462</v>
      </c>
      <c r="E97">
        <v>1</v>
      </c>
      <c r="F97">
        <v>1</v>
      </c>
      <c r="G97">
        <v>1</v>
      </c>
      <c r="H97">
        <v>3</v>
      </c>
      <c r="I97" t="s">
        <v>420</v>
      </c>
      <c r="J97" t="s">
        <v>421</v>
      </c>
      <c r="K97" t="s">
        <v>422</v>
      </c>
      <c r="L97">
        <v>1346</v>
      </c>
      <c r="N97">
        <v>1009</v>
      </c>
      <c r="O97" t="s">
        <v>82</v>
      </c>
      <c r="P97" t="s">
        <v>82</v>
      </c>
      <c r="Q97">
        <v>1</v>
      </c>
      <c r="X97">
        <v>0.31</v>
      </c>
      <c r="Y97">
        <v>56.11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3</v>
      </c>
      <c r="AG97">
        <v>0.31</v>
      </c>
      <c r="AH97">
        <v>2</v>
      </c>
      <c r="AI97">
        <v>51354112</v>
      </c>
      <c r="AJ97">
        <v>95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ROW(Source!A55)</f>
        <v>55</v>
      </c>
      <c r="B98">
        <v>51354113</v>
      </c>
      <c r="C98">
        <v>51354106</v>
      </c>
      <c r="D98">
        <v>49974933</v>
      </c>
      <c r="E98">
        <v>114</v>
      </c>
      <c r="F98">
        <v>1</v>
      </c>
      <c r="G98">
        <v>1</v>
      </c>
      <c r="H98">
        <v>3</v>
      </c>
      <c r="I98" t="s">
        <v>472</v>
      </c>
      <c r="J98" t="s">
        <v>3</v>
      </c>
      <c r="K98" t="s">
        <v>473</v>
      </c>
      <c r="L98">
        <v>1348</v>
      </c>
      <c r="N98">
        <v>1009</v>
      </c>
      <c r="O98" t="s">
        <v>29</v>
      </c>
      <c r="P98" t="s">
        <v>29</v>
      </c>
      <c r="Q98">
        <v>1000</v>
      </c>
      <c r="X98">
        <v>6.3E-2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 t="s">
        <v>3</v>
      </c>
      <c r="AG98">
        <v>6.3E-2</v>
      </c>
      <c r="AH98">
        <v>3</v>
      </c>
      <c r="AI98">
        <v>-1</v>
      </c>
      <c r="AJ98" t="s">
        <v>3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ROW(Source!A55)</f>
        <v>55</v>
      </c>
      <c r="B99">
        <v>51354114</v>
      </c>
      <c r="C99">
        <v>51354106</v>
      </c>
      <c r="D99">
        <v>50062439</v>
      </c>
      <c r="E99">
        <v>1</v>
      </c>
      <c r="F99">
        <v>1</v>
      </c>
      <c r="G99">
        <v>1</v>
      </c>
      <c r="H99">
        <v>3</v>
      </c>
      <c r="I99" t="s">
        <v>441</v>
      </c>
      <c r="J99" t="s">
        <v>442</v>
      </c>
      <c r="K99" t="s">
        <v>443</v>
      </c>
      <c r="L99">
        <v>1348</v>
      </c>
      <c r="N99">
        <v>1009</v>
      </c>
      <c r="O99" t="s">
        <v>29</v>
      </c>
      <c r="P99" t="s">
        <v>29</v>
      </c>
      <c r="Q99">
        <v>1000</v>
      </c>
      <c r="X99">
        <v>5.0999999999999997E-2</v>
      </c>
      <c r="Y99">
        <v>25237.94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3</v>
      </c>
      <c r="AG99">
        <v>5.0999999999999997E-2</v>
      </c>
      <c r="AH99">
        <v>2</v>
      </c>
      <c r="AI99">
        <v>51354114</v>
      </c>
      <c r="AJ99">
        <v>97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1" x14ac:dyDescent="0.2">
      <c r="A1">
        <v>27</v>
      </c>
      <c r="B1">
        <v>1</v>
      </c>
      <c r="C1" t="s">
        <v>3</v>
      </c>
      <c r="D1" t="s">
        <v>3</v>
      </c>
      <c r="E1" t="s">
        <v>46</v>
      </c>
      <c r="F1" t="s">
        <v>46</v>
      </c>
      <c r="G1" t="s">
        <v>47</v>
      </c>
      <c r="H1" t="s">
        <v>3</v>
      </c>
      <c r="I1" t="s">
        <v>47</v>
      </c>
      <c r="J1" t="s">
        <v>46</v>
      </c>
      <c r="K1" t="s">
        <v>3</v>
      </c>
      <c r="L1" t="s">
        <v>48</v>
      </c>
      <c r="M1" t="s">
        <v>49</v>
      </c>
      <c r="N1" t="s">
        <v>3</v>
      </c>
      <c r="O1" t="s">
        <v>46</v>
      </c>
      <c r="P1" t="s">
        <v>3</v>
      </c>
      <c r="Q1" t="s">
        <v>3</v>
      </c>
      <c r="R1" t="s">
        <v>3</v>
      </c>
      <c r="S1" t="s">
        <v>474</v>
      </c>
      <c r="T1" t="s">
        <v>480</v>
      </c>
      <c r="U1" t="s">
        <v>475</v>
      </c>
    </row>
    <row r="2" spans="1:21" x14ac:dyDescent="0.2">
      <c r="A2">
        <v>29</v>
      </c>
      <c r="B2">
        <v>1</v>
      </c>
      <c r="C2" t="s">
        <v>3</v>
      </c>
      <c r="D2" t="s">
        <v>3</v>
      </c>
      <c r="E2" t="s">
        <v>46</v>
      </c>
      <c r="F2" t="s">
        <v>46</v>
      </c>
      <c r="G2" t="s">
        <v>47</v>
      </c>
      <c r="H2" t="s">
        <v>3</v>
      </c>
      <c r="I2" t="s">
        <v>47</v>
      </c>
      <c r="J2" t="s">
        <v>46</v>
      </c>
      <c r="K2" t="s">
        <v>3</v>
      </c>
      <c r="L2" t="s">
        <v>48</v>
      </c>
      <c r="M2" t="s">
        <v>49</v>
      </c>
      <c r="N2" t="s">
        <v>3</v>
      </c>
      <c r="O2" t="s">
        <v>46</v>
      </c>
      <c r="P2" t="s">
        <v>3</v>
      </c>
      <c r="Q2" t="s">
        <v>3</v>
      </c>
      <c r="R2" t="s">
        <v>3</v>
      </c>
      <c r="S2" t="s">
        <v>474</v>
      </c>
      <c r="T2" t="s">
        <v>480</v>
      </c>
      <c r="U2" t="s">
        <v>475</v>
      </c>
    </row>
    <row r="3" spans="1:21" x14ac:dyDescent="0.2">
      <c r="A3">
        <v>34</v>
      </c>
      <c r="B3">
        <v>1</v>
      </c>
      <c r="C3" t="s">
        <v>3</v>
      </c>
      <c r="D3" t="s">
        <v>3</v>
      </c>
      <c r="E3" t="s">
        <v>46</v>
      </c>
      <c r="F3" t="s">
        <v>46</v>
      </c>
      <c r="G3" t="s">
        <v>47</v>
      </c>
      <c r="H3" t="s">
        <v>3</v>
      </c>
      <c r="I3" t="s">
        <v>47</v>
      </c>
      <c r="J3" t="s">
        <v>46</v>
      </c>
      <c r="K3" t="s">
        <v>3</v>
      </c>
      <c r="L3" t="s">
        <v>48</v>
      </c>
      <c r="M3" t="s">
        <v>49</v>
      </c>
      <c r="N3" t="s">
        <v>3</v>
      </c>
      <c r="O3" t="s">
        <v>46</v>
      </c>
      <c r="P3" t="s">
        <v>3</v>
      </c>
      <c r="Q3" t="s">
        <v>3</v>
      </c>
      <c r="R3" t="s">
        <v>3</v>
      </c>
      <c r="S3" t="s">
        <v>474</v>
      </c>
      <c r="T3" t="s">
        <v>480</v>
      </c>
      <c r="U3" t="s">
        <v>475</v>
      </c>
    </row>
    <row r="4" spans="1:21" x14ac:dyDescent="0.2">
      <c r="A4">
        <v>38</v>
      </c>
      <c r="B4">
        <v>1</v>
      </c>
      <c r="C4" t="s">
        <v>3</v>
      </c>
      <c r="D4" t="s">
        <v>100</v>
      </c>
      <c r="E4" t="s">
        <v>101</v>
      </c>
      <c r="F4" t="s">
        <v>101</v>
      </c>
      <c r="G4" t="s">
        <v>101</v>
      </c>
      <c r="H4" t="s">
        <v>3</v>
      </c>
      <c r="I4" t="s">
        <v>101</v>
      </c>
      <c r="J4" t="s">
        <v>101</v>
      </c>
      <c r="K4" t="s">
        <v>3</v>
      </c>
      <c r="L4" t="s">
        <v>3</v>
      </c>
      <c r="M4" t="s">
        <v>3</v>
      </c>
      <c r="N4" t="s">
        <v>100</v>
      </c>
      <c r="O4" t="s">
        <v>101</v>
      </c>
      <c r="P4" t="s">
        <v>3</v>
      </c>
      <c r="Q4" t="s">
        <v>3</v>
      </c>
      <c r="R4" t="s">
        <v>3</v>
      </c>
      <c r="S4" t="s">
        <v>476</v>
      </c>
      <c r="T4" t="s">
        <v>477</v>
      </c>
      <c r="U4" t="s">
        <v>478</v>
      </c>
    </row>
    <row r="5" spans="1:21" x14ac:dyDescent="0.2">
      <c r="A5">
        <v>39</v>
      </c>
      <c r="B5">
        <v>1</v>
      </c>
      <c r="C5" t="s">
        <v>3</v>
      </c>
      <c r="D5" t="s">
        <v>3</v>
      </c>
      <c r="E5" t="s">
        <v>46</v>
      </c>
      <c r="F5" t="s">
        <v>46</v>
      </c>
      <c r="G5" t="s">
        <v>47</v>
      </c>
      <c r="H5" t="s">
        <v>3</v>
      </c>
      <c r="I5" t="s">
        <v>47</v>
      </c>
      <c r="J5" t="s">
        <v>46</v>
      </c>
      <c r="K5" t="s">
        <v>3</v>
      </c>
      <c r="L5" t="s">
        <v>48</v>
      </c>
      <c r="M5" t="s">
        <v>49</v>
      </c>
      <c r="N5" t="s">
        <v>3</v>
      </c>
      <c r="O5" t="s">
        <v>46</v>
      </c>
      <c r="P5" t="s">
        <v>3</v>
      </c>
      <c r="Q5" t="s">
        <v>3</v>
      </c>
      <c r="R5" t="s">
        <v>3</v>
      </c>
      <c r="S5" t="s">
        <v>474</v>
      </c>
      <c r="T5" t="s">
        <v>480</v>
      </c>
      <c r="U5" t="s">
        <v>475</v>
      </c>
    </row>
    <row r="6" spans="1:21" x14ac:dyDescent="0.2">
      <c r="A6">
        <v>41</v>
      </c>
      <c r="B6">
        <v>1</v>
      </c>
      <c r="C6" t="s">
        <v>3</v>
      </c>
      <c r="D6" t="s">
        <v>3</v>
      </c>
      <c r="E6" t="s">
        <v>46</v>
      </c>
      <c r="F6" t="s">
        <v>46</v>
      </c>
      <c r="G6" t="s">
        <v>47</v>
      </c>
      <c r="H6" t="s">
        <v>3</v>
      </c>
      <c r="I6" t="s">
        <v>47</v>
      </c>
      <c r="J6" t="s">
        <v>46</v>
      </c>
      <c r="K6" t="s">
        <v>3</v>
      </c>
      <c r="L6" t="s">
        <v>48</v>
      </c>
      <c r="M6" t="s">
        <v>49</v>
      </c>
      <c r="N6" t="s">
        <v>3</v>
      </c>
      <c r="O6" t="s">
        <v>46</v>
      </c>
      <c r="P6" t="s">
        <v>3</v>
      </c>
      <c r="Q6" t="s">
        <v>3</v>
      </c>
      <c r="R6" t="s">
        <v>3</v>
      </c>
      <c r="S6" t="s">
        <v>474</v>
      </c>
      <c r="T6" t="s">
        <v>480</v>
      </c>
      <c r="U6" t="s">
        <v>475</v>
      </c>
    </row>
    <row r="7" spans="1:21" x14ac:dyDescent="0.2">
      <c r="A7">
        <v>43</v>
      </c>
      <c r="B7">
        <v>1</v>
      </c>
      <c r="C7" t="s">
        <v>3</v>
      </c>
      <c r="D7" t="s">
        <v>100</v>
      </c>
      <c r="E7" t="s">
        <v>101</v>
      </c>
      <c r="F7" t="s">
        <v>101</v>
      </c>
      <c r="G7" t="s">
        <v>101</v>
      </c>
      <c r="H7" t="s">
        <v>3</v>
      </c>
      <c r="I7" t="s">
        <v>101</v>
      </c>
      <c r="J7" t="s">
        <v>101</v>
      </c>
      <c r="K7" t="s">
        <v>3</v>
      </c>
      <c r="L7" t="s">
        <v>3</v>
      </c>
      <c r="M7" t="s">
        <v>3</v>
      </c>
      <c r="N7" t="s">
        <v>100</v>
      </c>
      <c r="O7" t="s">
        <v>101</v>
      </c>
      <c r="P7" t="s">
        <v>3</v>
      </c>
      <c r="Q7" t="s">
        <v>3</v>
      </c>
      <c r="R7" t="s">
        <v>3</v>
      </c>
      <c r="S7" t="s">
        <v>476</v>
      </c>
      <c r="T7" t="s">
        <v>477</v>
      </c>
      <c r="U7" t="s">
        <v>478</v>
      </c>
    </row>
    <row r="8" spans="1:21" x14ac:dyDescent="0.2">
      <c r="A8">
        <v>44</v>
      </c>
      <c r="B8">
        <v>1</v>
      </c>
      <c r="C8" t="s">
        <v>3</v>
      </c>
      <c r="D8" t="s">
        <v>3</v>
      </c>
      <c r="E8" t="s">
        <v>46</v>
      </c>
      <c r="F8" t="s">
        <v>46</v>
      </c>
      <c r="G8" t="s">
        <v>47</v>
      </c>
      <c r="H8" t="s">
        <v>3</v>
      </c>
      <c r="I8" t="s">
        <v>47</v>
      </c>
      <c r="J8" t="s">
        <v>46</v>
      </c>
      <c r="K8" t="s">
        <v>3</v>
      </c>
      <c r="L8" t="s">
        <v>48</v>
      </c>
      <c r="M8" t="s">
        <v>49</v>
      </c>
      <c r="N8" t="s">
        <v>3</v>
      </c>
      <c r="O8" t="s">
        <v>46</v>
      </c>
      <c r="P8" t="s">
        <v>3</v>
      </c>
      <c r="Q8" t="s">
        <v>3</v>
      </c>
      <c r="R8" t="s">
        <v>3</v>
      </c>
      <c r="S8" t="s">
        <v>474</v>
      </c>
      <c r="T8" t="s">
        <v>480</v>
      </c>
      <c r="U8" t="s">
        <v>475</v>
      </c>
    </row>
    <row r="9" spans="1:21" x14ac:dyDescent="0.2">
      <c r="A9">
        <v>53</v>
      </c>
      <c r="B9">
        <v>1</v>
      </c>
      <c r="C9" t="s">
        <v>3</v>
      </c>
      <c r="D9" t="s">
        <v>3</v>
      </c>
      <c r="E9" t="s">
        <v>46</v>
      </c>
      <c r="F9" t="s">
        <v>46</v>
      </c>
      <c r="G9" t="s">
        <v>47</v>
      </c>
      <c r="H9" t="s">
        <v>3</v>
      </c>
      <c r="I9" t="s">
        <v>47</v>
      </c>
      <c r="J9" t="s">
        <v>46</v>
      </c>
      <c r="K9" t="s">
        <v>3</v>
      </c>
      <c r="L9" t="s">
        <v>48</v>
      </c>
      <c r="M9" t="s">
        <v>49</v>
      </c>
      <c r="N9" t="s">
        <v>3</v>
      </c>
      <c r="O9" t="s">
        <v>46</v>
      </c>
      <c r="P9" t="s">
        <v>3</v>
      </c>
      <c r="Q9" t="s">
        <v>3</v>
      </c>
      <c r="R9" t="s">
        <v>3</v>
      </c>
      <c r="S9" t="s">
        <v>474</v>
      </c>
      <c r="T9" t="s">
        <v>480</v>
      </c>
      <c r="U9" t="s">
        <v>475</v>
      </c>
    </row>
    <row r="10" spans="1:21" x14ac:dyDescent="0.2">
      <c r="A10">
        <v>55</v>
      </c>
      <c r="B10">
        <v>1</v>
      </c>
      <c r="C10" t="s">
        <v>3</v>
      </c>
      <c r="D10" t="s">
        <v>3</v>
      </c>
      <c r="E10" t="s">
        <v>46</v>
      </c>
      <c r="F10" t="s">
        <v>46</v>
      </c>
      <c r="G10" t="s">
        <v>47</v>
      </c>
      <c r="H10" t="s">
        <v>3</v>
      </c>
      <c r="I10" t="s">
        <v>47</v>
      </c>
      <c r="J10" t="s">
        <v>46</v>
      </c>
      <c r="K10" t="s">
        <v>3</v>
      </c>
      <c r="L10" t="s">
        <v>48</v>
      </c>
      <c r="M10" t="s">
        <v>49</v>
      </c>
      <c r="N10" t="s">
        <v>3</v>
      </c>
      <c r="O10" t="s">
        <v>46</v>
      </c>
      <c r="P10" t="s">
        <v>3</v>
      </c>
      <c r="Q10" t="s">
        <v>3</v>
      </c>
      <c r="R10" t="s">
        <v>3</v>
      </c>
      <c r="S10" t="s">
        <v>474</v>
      </c>
      <c r="T10" t="s">
        <v>480</v>
      </c>
      <c r="U10" t="s">
        <v>475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26294</v>
      </c>
      <c r="M1">
        <v>10</v>
      </c>
      <c r="N1">
        <v>12</v>
      </c>
      <c r="O1">
        <v>1</v>
      </c>
      <c r="P1">
        <v>0</v>
      </c>
      <c r="Q1">
        <v>2</v>
      </c>
    </row>
    <row r="12" spans="1:103" x14ac:dyDescent="0.2">
      <c r="F12" t="str">
        <f>Source!F12</f>
        <v>Новый объект</v>
      </c>
      <c r="G12" t="str">
        <f>Source!G12</f>
        <v>Ремонт входной группы ОПС 428017 Чебоксары</v>
      </c>
      <c r="AB12" t="s">
        <v>3</v>
      </c>
      <c r="AC12" t="s">
        <v>3</v>
      </c>
      <c r="AD12" t="s">
        <v>3</v>
      </c>
      <c r="AE12" t="s">
        <v>3</v>
      </c>
      <c r="AF12" t="s">
        <v>3</v>
      </c>
      <c r="AG12" t="s">
        <v>3</v>
      </c>
      <c r="AH12" t="s">
        <v>3</v>
      </c>
      <c r="AI12" t="s">
        <v>3</v>
      </c>
      <c r="AJ12">
        <v>0</v>
      </c>
      <c r="AK12" t="s">
        <v>3</v>
      </c>
      <c r="AL12" t="s">
        <v>3</v>
      </c>
      <c r="AM12" t="s">
        <v>3</v>
      </c>
      <c r="CY1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Смета по ФСНБ 421+557прРИМ</vt:lpstr>
      <vt:lpstr>Source</vt:lpstr>
      <vt:lpstr>SourceObSm</vt:lpstr>
      <vt:lpstr>SmtRes</vt:lpstr>
      <vt:lpstr>EtalonRes</vt:lpstr>
      <vt:lpstr>SrcPoprs</vt:lpstr>
      <vt:lpstr>SrcKA</vt:lpstr>
      <vt:lpstr>'Смета по ФСНБ 421+557прРИМ'!Заголовки_для_печати</vt:lpstr>
      <vt:lpstr>'Смета по ФСНБ 421+557прРИМ'!Область_печати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Маркова Ольга Ивановна</dc:creator>
  <cp:lastModifiedBy>Сорокина Наталия Валерьевна</cp:lastModifiedBy>
  <cp:lastPrinted>2026-06-02T10:42:01Z</cp:lastPrinted>
  <dcterms:created xsi:type="dcterms:W3CDTF">2026-06-02T10:10:19Z</dcterms:created>
  <dcterms:modified xsi:type="dcterms:W3CDTF">2026-06-18T06:27:45Z</dcterms:modified>
</cp:coreProperties>
</file>