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3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ВОР Бурея" sheetId="1" state="visible" r:id="rId2"/>
    <sheet name="Раздел 1" sheetId="2" state="visible" r:id="rId3"/>
    <sheet name="Раздел 2" sheetId="3" state="visible" r:id="rId4"/>
    <sheet name="Раздел 3" sheetId="4" state="visible" r:id="rId5"/>
    <sheet name="Раздел 4" sheetId="5" state="visible" r:id="rId6"/>
    <sheet name="Раздел 5" sheetId="6" state="visible" r:id="rId7"/>
    <sheet name="Раздел 6" sheetId="7" state="visible" r:id="rId8"/>
    <sheet name="Раздел 7" sheetId="8" state="visible" r:id="rId9"/>
    <sheet name="Раздел 8" sheetId="9" state="visible" r:id="rId10"/>
    <sheet name="Раздел 9" sheetId="10" state="visible" r:id="rId11"/>
    <sheet name="Раздел 10" sheetId="11" state="visible" r:id="rId12"/>
    <sheet name="Раздел 11" sheetId="12" state="visible" r:id="rId13"/>
    <sheet name="Раздел 12" sheetId="13" state="visible" r:id="rId14"/>
    <sheet name="Раздел 13" sheetId="14" state="visible" r:id="rId15"/>
    <sheet name="Раздел 14" sheetId="15" state="visible" r:id="rId16"/>
    <sheet name="Раздел 15" sheetId="16" state="visible" r:id="rId17"/>
    <sheet name="Раздел 16" sheetId="17" state="visible" r:id="rId18"/>
    <sheet name="Раздел 17" sheetId="18" state="visible" r:id="rId19"/>
    <sheet name="Раздел 18" sheetId="19" state="visible" r:id="rId20"/>
    <sheet name="Раздел 19" sheetId="20" state="visible" r:id="rId21"/>
    <sheet name="Раздел 20" sheetId="21" state="visible" r:id="rId22"/>
    <sheet name="Раздел 21" sheetId="22" state="visible" r:id="rId23"/>
    <sheet name="Раздел 22" sheetId="23" state="visible" r:id="rId24"/>
    <sheet name="Раздел 23" sheetId="24" state="visible" r:id="rId25"/>
    <sheet name="Раздел 24" sheetId="25" state="visible" r:id="rId26"/>
    <sheet name="Раздел 25" sheetId="26" state="visible" r:id="rId27"/>
    <sheet name="Раздел 26" sheetId="27" state="visible" r:id="rId28"/>
    <sheet name="Раздел 27" sheetId="28" state="visible" r:id="rId29"/>
    <sheet name="Раздел 28" sheetId="29" state="visible" r:id="rId30"/>
    <sheet name="ВОР ПНР" sheetId="30" state="visible" r:id="rId31"/>
    <sheet name="Исх.данные_ПНР_1" sheetId="31" state="visible" r:id="rId32"/>
    <sheet name="Исх.данные_ПНР_2" sheetId="32" state="visible" r:id="rId33"/>
  </sheets>
  <definedNames>
    <definedName function="false" hidden="false" localSheetId="0" name="_xlnm.Print_Area" vbProcedure="false">'ВОР Бурея'!$A$1:$E$15</definedName>
    <definedName function="false" hidden="false" localSheetId="29" name="_xlnm.Print_Area" vbProcedure="false">'ВОР ПНР'!$A$1:$E$38</definedName>
    <definedName function="false" hidden="false" localSheetId="30" name="_xlnm.Print_Area" vbProcedure="false">'Исх.данные_ПНР_1'!$A$1:$S$49</definedName>
    <definedName function="false" hidden="false" localSheetId="31" name="_xlnm.Print_Area" vbProcedure="false">'Исх.данные_ПНР_2'!$A$1:$E$45</definedName>
    <definedName function="false" hidden="false" localSheetId="1" name="_xlnm.Print_Area" vbProcedure="false">'Раздел 1'!$A$1:$E$51</definedName>
    <definedName function="false" hidden="false" localSheetId="10" name="_xlnm.Print_Area" vbProcedure="false">'Раздел 10'!$A$1:$E$16</definedName>
    <definedName function="false" hidden="false" localSheetId="11" name="_xlnm.Print_Area" vbProcedure="false">'Раздел 11'!$A$1:$E$18</definedName>
    <definedName function="false" hidden="false" localSheetId="12" name="_xlnm.Print_Area" vbProcedure="false">'Раздел 12'!$A$1:$E$18</definedName>
    <definedName function="false" hidden="false" localSheetId="13" name="_xlnm.Print_Area" vbProcedure="false">'Раздел 13'!$A$1:$E$19</definedName>
    <definedName function="false" hidden="false" localSheetId="14" name="_xlnm.Print_Area" vbProcedure="false">'Раздел 14'!$A$1:$E$23</definedName>
    <definedName function="false" hidden="false" localSheetId="15" name="_xlnm.Print_Area" vbProcedure="false">'Раздел 15'!$A$1:$E$18</definedName>
    <definedName function="false" hidden="false" localSheetId="16" name="_xlnm.Print_Area" vbProcedure="false">'Раздел 16'!$A$1:$E$15</definedName>
    <definedName function="false" hidden="false" localSheetId="17" name="_xlnm.Print_Area" vbProcedure="false">'Раздел 17'!$A$1:$E$22</definedName>
    <definedName function="false" hidden="false" localSheetId="18" name="_xlnm.Print_Area" vbProcedure="false">'Раздел 18'!$A$1:$E$20</definedName>
    <definedName function="false" hidden="false" localSheetId="19" name="_xlnm.Print_Area" vbProcedure="false">'Раздел 19'!$A$1:$E$22</definedName>
    <definedName function="false" hidden="false" localSheetId="2" name="_xlnm.Print_Area" vbProcedure="false">'Раздел 2'!$A$1:$E$32</definedName>
    <definedName function="false" hidden="false" localSheetId="20" name="_xlnm.Print_Area" vbProcedure="false">'Раздел 20'!$A$1:$E$27</definedName>
    <definedName function="false" hidden="false" localSheetId="21" name="_xlnm.Print_Area" vbProcedure="false">'Раздел 21'!$A$1:$E$22</definedName>
    <definedName function="false" hidden="false" localSheetId="22" name="_xlnm.Print_Area" vbProcedure="false">'Раздел 22'!$A$1:$E$23</definedName>
    <definedName function="false" hidden="false" localSheetId="23" name="_xlnm.Print_Area" vbProcedure="false">'Раздел 23'!$A$1:$E$22</definedName>
    <definedName function="false" hidden="false" localSheetId="24" name="_xlnm.Print_Area" vbProcedure="false">'Раздел 24'!$A$1:$E$22</definedName>
    <definedName function="false" hidden="false" localSheetId="25" name="_xlnm.Print_Area" vbProcedure="false">'Раздел 25'!$A$1:$E$11</definedName>
    <definedName function="false" hidden="false" localSheetId="26" name="_xlnm.Print_Area" vbProcedure="false">'Раздел 26'!$A$1:$E$33</definedName>
    <definedName function="false" hidden="false" localSheetId="27" name="_xlnm.Print_Area" vbProcedure="false">'Раздел 27'!$A$1:$E$19</definedName>
    <definedName function="false" hidden="false" localSheetId="28" name="_xlnm.Print_Area" vbProcedure="false">'Раздел 28'!$A$1:$E$9</definedName>
    <definedName function="false" hidden="false" localSheetId="3" name="_xlnm.Print_Area" vbProcedure="false">'Раздел 3'!$A$1:$E$65</definedName>
    <definedName function="false" hidden="false" localSheetId="3" name="_xlnm.Print_Titles" vbProcedure="false">'Раздел 3'!$3:$3</definedName>
    <definedName function="false" hidden="false" localSheetId="4" name="_xlnm.Print_Area" vbProcedure="false">'Раздел 4'!$A$1:$E$35</definedName>
    <definedName function="false" hidden="false" localSheetId="5" name="_xlnm.Print_Area" vbProcedure="false">'Раздел 5'!$A$1:$E$20</definedName>
    <definedName function="false" hidden="false" localSheetId="6" name="_xlnm.Print_Area" vbProcedure="false">'Раздел 6'!$A$1:$E$22</definedName>
    <definedName function="false" hidden="false" localSheetId="7" name="_xlnm.Print_Area" vbProcedure="false">'Раздел 7'!$A$1:$E$20</definedName>
    <definedName function="false" hidden="false" localSheetId="8" name="_xlnm.Print_Area" vbProcedure="false">'Раздел 8'!$A$1:$E$19</definedName>
    <definedName function="false" hidden="false" localSheetId="9" name="_xlnm.Print_Area" vbProcedure="false">'Раздел 9'!$A$1:$E$32</definedName>
    <definedName function="false" hidden="false" localSheetId="30" name="Print_Area_0_0" vbProcedure="false">'Исх.данные_ПНР_1'!$A$1:$E$30</definedName>
    <definedName function="false" hidden="false" localSheetId="31" name="Print_Area_0_0" vbProcedure="false">'Исх.данные_ПНР_2'!$A$1:$E$30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<sst xmlns="http://schemas.openxmlformats.org/spreadsheetml/2006/main" count="2121" uniqueCount="808">
  <si>
    <t xml:space="preserve">Поставка, монтаж и наладка оборудования информационной системы измерения уровней воды Бурейской ГЭС</t>
  </si>
  <si>
    <t xml:space="preserve">Ведомость объемов работ</t>
  </si>
  <si>
    <t xml:space="preserve">на:</t>
  </si>
  <si>
    <t xml:space="preserve">Строительно монтажные работы ИСИ УВ ГТС Бурейской ГЭС (ДКРЕ.421459.029)</t>
  </si>
  <si>
    <t xml:space="preserve">Основание: Договор № 1030-203-2025/1-10-2440  от 06.06.2025 г.</t>
  </si>
  <si>
    <t xml:space="preserve">Производство работ осуществляется в помещениях эксплуатируемого объекта капитального строительства без остановки рабочего процесса, при этом в зоне производства работ имеется один из перечисленных ниже факторов</t>
  </si>
  <si>
    <t xml:space="preserve">- движение транспорта по внутрицеховым путям;</t>
  </si>
  <si>
    <t xml:space="preserve">- действующее технологическое или лабораторное оборудование;</t>
  </si>
  <si>
    <t xml:space="preserve">- мебель и иные загромождающие помещения предметы;</t>
  </si>
  <si>
    <t xml:space="preserve">- производство работ осуществляется в охранной зоне действующей воздушной линии электропередачи, вблизи объектов, находящихся под напряжением, внутри объектов капитального строительства, внутренняя проводка в которых не обесточена, если это приведет к ограничению действий рабочих в соответствии с требованиями техники безопасности.
</t>
  </si>
  <si>
    <t xml:space="preserve">Производство работ раздел 1 выполняется на высоте с использованием дополнительных подъмных механизмов.</t>
  </si>
  <si>
    <t xml:space="preserve">Производство работ из раздела 1-4 выполнять в зимний период во время достижения УМО воды в водохранилище Бурейской ГЭС.</t>
  </si>
  <si>
    <t xml:space="preserve">Раздел 1. МОНТАЖ РАДИОВОЛНОВОГО ДАТЧИКА УРОВНЯ В ВБ</t>
  </si>
  <si>
    <t xml:space="preserve">Монтаж радиоволнового датчика уровня в ВБ (ДКРЕ.421459.029.МС - лист 2,3)</t>
  </si>
  <si>
    <t xml:space="preserve">№</t>
  </si>
  <si>
    <t xml:space="preserve">Наименование работ</t>
  </si>
  <si>
    <t xml:space="preserve">Ед.изм.</t>
  </si>
  <si>
    <t xml:space="preserve">Кол-во</t>
  </si>
  <si>
    <t xml:space="preserve">Прмечания</t>
  </si>
  <si>
    <t xml:space="preserve">1.1</t>
  </si>
  <si>
    <t xml:space="preserve">Изготовление конструкции для установки приборов, масса: до 100 кг</t>
  </si>
  <si>
    <t xml:space="preserve">шт.</t>
  </si>
  <si>
    <t xml:space="preserve">1 конструкция  ≈ 96,89</t>
  </si>
  <si>
    <t xml:space="preserve">1.1.1</t>
  </si>
  <si>
    <t xml:space="preserve">Резка полосы стальной при помощи УШМ</t>
  </si>
  <si>
    <t xml:space="preserve">1 м реза</t>
  </si>
  <si>
    <t xml:space="preserve">1 рез - 0,18 м, резка на участки по 3,0 п.м</t>
  </si>
  <si>
    <t xml:space="preserve">Сталь прокатная полосовая 180х6 мм (Опорная полоса) ГОСТ 19904-2015</t>
  </si>
  <si>
    <t xml:space="preserve">п.м</t>
  </si>
  <si>
    <r>
      <rPr>
        <i val="true"/>
        <sz val="11"/>
        <color rgb="FF000000"/>
        <rFont val="Calibri"/>
        <family val="2"/>
        <charset val="204"/>
      </rPr>
      <t xml:space="preserve">1 п.м - 8,424 кг, 1 деталь </t>
    </r>
    <r>
      <rPr>
        <i val="true"/>
        <sz val="11"/>
        <color rgb="FF000000"/>
        <rFont val="Calibri"/>
        <family val="2"/>
        <charset val="1"/>
      </rPr>
      <t xml:space="preserve">≈ 25,27 кг</t>
    </r>
  </si>
  <si>
    <t xml:space="preserve">1.1.2</t>
  </si>
  <si>
    <t xml:space="preserve">1 рез - 0,30м, резка на участки по 2,5 п.м</t>
  </si>
  <si>
    <t xml:space="preserve">Сталь прокатная полосовая 300х6 мм (Косынка) ГОСТ 19904-2015</t>
  </si>
  <si>
    <t xml:space="preserve">1 п.м - 14,040 кг, 1 деталь  ≈ 35,10 кг</t>
  </si>
  <si>
    <t xml:space="preserve">1.1.3</t>
  </si>
  <si>
    <t xml:space="preserve">Сверление отверстий в металле диаметром: до 10 мм, толщина металла 6 мм </t>
  </si>
  <si>
    <t xml:space="preserve">13 отверстий в 1 опорной пластине</t>
  </si>
  <si>
    <t xml:space="preserve">1.1.4</t>
  </si>
  <si>
    <t xml:space="preserve">Вырезка отверстий в металле диаметром: до 120 мм, толщина металла 6 мм </t>
  </si>
  <si>
    <r>
      <rPr>
        <i val="true"/>
        <sz val="11"/>
        <color rgb="FF000000"/>
        <rFont val="Calibri"/>
        <family val="2"/>
        <charset val="204"/>
      </rPr>
      <t xml:space="preserve">1 отверстие </t>
    </r>
    <r>
      <rPr>
        <sz val="11"/>
        <color rgb="FF000000"/>
        <rFont val="Calibri"/>
        <family val="2"/>
        <charset val="204"/>
      </rPr>
      <t xml:space="preserve">ø</t>
    </r>
    <r>
      <rPr>
        <i val="true"/>
        <sz val="9.9"/>
        <color rgb="FF000000"/>
        <rFont val="Calibri"/>
        <family val="2"/>
        <charset val="204"/>
      </rPr>
      <t xml:space="preserve">120 мм для крепленя датчика</t>
    </r>
  </si>
  <si>
    <t xml:space="preserve">1.1.5</t>
  </si>
  <si>
    <t xml:space="preserve">Электродуговая сварка стальных элементов между собой</t>
  </si>
  <si>
    <t xml:space="preserve">т</t>
  </si>
  <si>
    <t xml:space="preserve">сварка опорной пластины и косынки</t>
  </si>
  <si>
    <t xml:space="preserve">1.1.6</t>
  </si>
  <si>
    <t xml:space="preserve">Индивидуальное изготовление детали в мастерских</t>
  </si>
  <si>
    <r>
      <rPr>
        <i val="true"/>
        <sz val="11"/>
        <color rgb="FF000000"/>
        <rFont val="Calibri"/>
        <family val="2"/>
        <charset val="204"/>
      </rPr>
      <t xml:space="preserve">1 деталь ≈10</t>
    </r>
    <r>
      <rPr>
        <i val="true"/>
        <sz val="9.9"/>
        <color rgb="FF000000"/>
        <rFont val="Calibri"/>
        <family val="2"/>
        <charset val="204"/>
      </rPr>
      <t xml:space="preserve">,92 кг</t>
    </r>
  </si>
  <si>
    <t xml:space="preserve">Сталь прокатная полосовая 350х8 мм (Ответная пластина) ГОСТ 19904-2015</t>
  </si>
  <si>
    <t xml:space="preserve">1 п.м - 21,840 кг</t>
  </si>
  <si>
    <t xml:space="preserve">1.1.7</t>
  </si>
  <si>
    <r>
      <rPr>
        <i val="true"/>
        <sz val="11"/>
        <color rgb="FF000000"/>
        <rFont val="Calibri"/>
        <family val="2"/>
        <charset val="204"/>
      </rPr>
      <t xml:space="preserve">1 деталь </t>
    </r>
    <r>
      <rPr>
        <sz val="11"/>
        <color rgb="FF000000"/>
        <rFont val="Calibri"/>
        <family val="2"/>
        <charset val="204"/>
      </rPr>
      <t xml:space="preserve">≈</t>
    </r>
    <r>
      <rPr>
        <i val="true"/>
        <sz val="9.9"/>
        <color rgb="FF000000"/>
        <rFont val="Calibri"/>
        <family val="2"/>
        <charset val="204"/>
      </rPr>
      <t xml:space="preserve"> 21,84 кг</t>
    </r>
  </si>
  <si>
    <t xml:space="preserve">Сталь прокатная полосовая 350х16 мм (Монтажная пластина) ГОСТ 19904-2015</t>
  </si>
  <si>
    <t xml:space="preserve">1 п.м - 43,680 кг</t>
  </si>
  <si>
    <t xml:space="preserve">1.1.8</t>
  </si>
  <si>
    <r>
      <rPr>
        <i val="true"/>
        <sz val="11"/>
        <color rgb="FF000000"/>
        <rFont val="Calibri"/>
        <family val="2"/>
        <charset val="204"/>
      </rPr>
      <t xml:space="preserve">1 деталь </t>
    </r>
    <r>
      <rPr>
        <sz val="11"/>
        <color rgb="FF000000"/>
        <rFont val="Calibri"/>
        <family val="2"/>
        <charset val="204"/>
      </rPr>
      <t xml:space="preserve">≈</t>
    </r>
    <r>
      <rPr>
        <i val="true"/>
        <sz val="9.9"/>
        <color rgb="FF000000"/>
        <rFont val="Calibri"/>
        <family val="2"/>
        <charset val="204"/>
      </rPr>
      <t xml:space="preserve"> 2,19 кг</t>
    </r>
  </si>
  <si>
    <t xml:space="preserve">Сталь горячекатаная ∅30 AI (Поворотная шпилька) ГОСТ 5781-82*</t>
  </si>
  <si>
    <t xml:space="preserve">1 п.м - 5,474 кг</t>
  </si>
  <si>
    <t xml:space="preserve">1.1.9</t>
  </si>
  <si>
    <r>
      <rPr>
        <i val="true"/>
        <sz val="11"/>
        <color rgb="FF000000"/>
        <rFont val="Calibri"/>
        <family val="2"/>
        <charset val="204"/>
      </rPr>
      <t xml:space="preserve">1 деталь </t>
    </r>
    <r>
      <rPr>
        <sz val="11"/>
        <color rgb="FF000000"/>
        <rFont val="Calibri"/>
        <family val="2"/>
        <charset val="204"/>
      </rPr>
      <t xml:space="preserve">≈</t>
    </r>
    <r>
      <rPr>
        <i val="true"/>
        <sz val="9.9"/>
        <color rgb="FF000000"/>
        <rFont val="Calibri"/>
        <family val="2"/>
        <charset val="204"/>
      </rPr>
      <t xml:space="preserve"> 1,36 кг</t>
    </r>
  </si>
  <si>
    <t xml:space="preserve">Сталь горячекатаная ∅20 AI (Запорная шпилька) ГОСТ 5781-82*</t>
  </si>
  <si>
    <t xml:space="preserve">1 п.м - 2,465 кг</t>
  </si>
  <si>
    <t xml:space="preserve">1.1.10</t>
  </si>
  <si>
    <t xml:space="preserve">сварка опорной пластины с косынкой и ответной пластины</t>
  </si>
  <si>
    <t xml:space="preserve">1.1.11</t>
  </si>
  <si>
    <t xml:space="preserve">Очистка поверхности щетками</t>
  </si>
  <si>
    <t xml:space="preserve">м2</t>
  </si>
  <si>
    <t xml:space="preserve">1 комплект: опорная пластина с косынкой и ответной пластиной 3 м2, 1 шт монтажная пластина + шпильки  - 0,45 м2</t>
  </si>
  <si>
    <t xml:space="preserve">1.1.12</t>
  </si>
  <si>
    <t xml:space="preserve">Обеспыливание поверхности</t>
  </si>
  <si>
    <t xml:space="preserve">1.1.13</t>
  </si>
  <si>
    <t xml:space="preserve">Обезжиривание поверхностей аппаратов и трубопроводов диаметром до 500 мм: уайт-спиритом</t>
  </si>
  <si>
    <t xml:space="preserve">100 м2</t>
  </si>
  <si>
    <t xml:space="preserve">1.1.14</t>
  </si>
  <si>
    <t xml:space="preserve">Огрунтовка металлических поверхностей: грунтовкой ГФ-021</t>
  </si>
  <si>
    <t xml:space="preserve">в два слоя</t>
  </si>
  <si>
    <t xml:space="preserve">1.1.15</t>
  </si>
  <si>
    <t xml:space="preserve">Окраска металлических огрунтованных поверхностей: эмалью ПФ-115</t>
  </si>
  <si>
    <t xml:space="preserve">1.2</t>
  </si>
  <si>
    <t xml:space="preserve">Крепление изготовленной конструкции , масса: до 100 кг</t>
  </si>
  <si>
    <t xml:space="preserve">Работы на высоте с использованием подъемных механизмов (кран)</t>
  </si>
  <si>
    <t xml:space="preserve">1.2.1</t>
  </si>
  <si>
    <t xml:space="preserve">Сверление отверстий в гидротехническом бетоне ⌀18 мм, глубиной 140 мм., для установки элементов конструкции</t>
  </si>
  <si>
    <t xml:space="preserve">Анкерная шпилька для химического анкера M16x200</t>
  </si>
  <si>
    <t xml:space="preserve">Гайка М16 оцинкованная</t>
  </si>
  <si>
    <t xml:space="preserve">Металлоконструкция стальная (Монтажная пластина)</t>
  </si>
  <si>
    <r>
      <rPr>
        <i val="true"/>
        <sz val="11"/>
        <color rgb="FF000000"/>
        <rFont val="Calibri"/>
        <family val="2"/>
        <charset val="204"/>
      </rPr>
      <t xml:space="preserve">1 конструкция  </t>
    </r>
    <r>
      <rPr>
        <sz val="11"/>
        <color rgb="FF000000"/>
        <rFont val="Calibri"/>
        <family val="2"/>
        <charset val="204"/>
      </rPr>
      <t xml:space="preserve">≈</t>
    </r>
    <r>
      <rPr>
        <i val="true"/>
        <sz val="9.9"/>
        <color rgb="FF000000"/>
        <rFont val="Calibri"/>
        <family val="2"/>
        <charset val="204"/>
      </rPr>
      <t xml:space="preserve"> 21</t>
    </r>
    <r>
      <rPr>
        <i val="true"/>
        <sz val="11"/>
        <color rgb="FF000000"/>
        <rFont val="Calibri"/>
        <family val="2"/>
        <charset val="204"/>
      </rPr>
      <t xml:space="preserve">,84 кг</t>
    </r>
  </si>
  <si>
    <t xml:space="preserve">1.2.2</t>
  </si>
  <si>
    <t xml:space="preserve">Крепление ответной части при помощи шпилек и гаек</t>
  </si>
  <si>
    <t xml:space="preserve">Металлоконструкция стальная (Ответная пластина с опорной пластиной и косынкой)</t>
  </si>
  <si>
    <r>
      <rPr>
        <i val="true"/>
        <sz val="11"/>
        <color rgb="FF000000"/>
        <rFont val="Calibri"/>
        <family val="2"/>
        <charset val="204"/>
      </rPr>
      <t xml:space="preserve">1 конструкция  </t>
    </r>
    <r>
      <rPr>
        <sz val="11"/>
        <color rgb="FF000000"/>
        <rFont val="Calibri"/>
        <family val="2"/>
        <charset val="204"/>
      </rPr>
      <t xml:space="preserve">≈</t>
    </r>
    <r>
      <rPr>
        <i val="true"/>
        <sz val="9.9"/>
        <color rgb="FF000000"/>
        <rFont val="Calibri"/>
        <family val="2"/>
        <charset val="204"/>
      </rPr>
      <t xml:space="preserve"> </t>
    </r>
    <r>
      <rPr>
        <i val="true"/>
        <sz val="11"/>
        <color rgb="FF000000"/>
        <rFont val="Calibri"/>
        <family val="2"/>
        <charset val="204"/>
      </rPr>
      <t xml:space="preserve">71,29 кг</t>
    </r>
  </si>
  <si>
    <t xml:space="preserve">Поворотная шпилька</t>
  </si>
  <si>
    <t xml:space="preserve">1 шт. ≈ 2,19 кг</t>
  </si>
  <si>
    <t xml:space="preserve">Запорная шпилька</t>
  </si>
  <si>
    <t xml:space="preserve">1 шт. ≈ 1,36 кг</t>
  </si>
  <si>
    <t xml:space="preserve">Гайка М20 оцинкованная </t>
  </si>
  <si>
    <t xml:space="preserve">1 шт. ≈ 0,213</t>
  </si>
  <si>
    <t xml:space="preserve">1.2.3</t>
  </si>
  <si>
    <t xml:space="preserve">Краны на автомобильном ходу, грузоподъемность 16 т</t>
  </si>
  <si>
    <t xml:space="preserve">маш.-ч </t>
  </si>
  <si>
    <t xml:space="preserve">3 смены по 8 часов</t>
  </si>
  <si>
    <t xml:space="preserve">1.3</t>
  </si>
  <si>
    <t xml:space="preserve">Монтаж датчика на изготовленную конструкцию</t>
  </si>
  <si>
    <t xml:space="preserve">Радиоволновой уровнемер, диапазон изм. 0...30 м СЕНС УР2-2D18- УКМ20-4/20мА-Modbus</t>
  </si>
  <si>
    <t xml:space="preserve">1 шт. ≈ 6,0 кг</t>
  </si>
  <si>
    <t xml:space="preserve">Крепежные изделия из комплекта поставки</t>
  </si>
  <si>
    <t xml:space="preserve">компл.</t>
  </si>
  <si>
    <t xml:space="preserve">1.4</t>
  </si>
  <si>
    <t xml:space="preserve">Затягивание кабелей в гофрированную трубу</t>
  </si>
  <si>
    <t xml:space="preserve">1.4.1</t>
  </si>
  <si>
    <t xml:space="preserve">Гофрированная труба для защиты проводов и кабелей по установленным конструкциям, по стенам, колоннам, потолкам, основанию пола</t>
  </si>
  <si>
    <t xml:space="preserve">100 м</t>
  </si>
  <si>
    <t xml:space="preserve">Труба гофрированная DN23 мм с протяжкой стойкая к УФ излучению</t>
  </si>
  <si>
    <t xml:space="preserve">на 1 датчик - 10,0 п.м трубы</t>
  </si>
  <si>
    <t xml:space="preserve">Кабель ТехноКИПнг(А)-FRHF 2x2x0,9</t>
  </si>
  <si>
    <t xml:space="preserve">диаметр кабеля 15,3 мм</t>
  </si>
  <si>
    <t xml:space="preserve">Проволока ∅1,2 мм, L=500 мм ГОСТ 3282-74 </t>
  </si>
  <si>
    <t xml:space="preserve">на 1 конструкцию - 0,5 п.м</t>
  </si>
  <si>
    <t xml:space="preserve">1.4.2</t>
  </si>
  <si>
    <t xml:space="preserve">Сверление отверстий в гидротехническом бетоне ⌀6 мм, глубиной 40 мм., для установки клип</t>
  </si>
  <si>
    <t xml:space="preserve">для 1 датчика - 5 крепежных точек</t>
  </si>
  <si>
    <r>
      <rPr>
        <i val="true"/>
        <sz val="11"/>
        <color rgb="FF000000"/>
        <rFont val="Calibri"/>
        <family val="2"/>
        <charset val="204"/>
      </rPr>
      <t xml:space="preserve">Держатель хомутный для труб со стяжкой </t>
    </r>
    <r>
      <rPr>
        <sz val="11"/>
        <color rgb="FF000000"/>
        <rFont val="Calibri"/>
        <family val="2"/>
        <charset val="204"/>
      </rPr>
      <t xml:space="preserve">Ø</t>
    </r>
    <r>
      <rPr>
        <i val="true"/>
        <sz val="11"/>
        <color rgb="FF000000"/>
        <rFont val="Calibri"/>
        <family val="2"/>
        <charset val="204"/>
      </rPr>
      <t xml:space="preserve">16-32</t>
    </r>
  </si>
  <si>
    <t xml:space="preserve">Дюбель-гвоздь 6х40 мм</t>
  </si>
  <si>
    <t xml:space="preserve">1.4.3</t>
  </si>
  <si>
    <t xml:space="preserve">Ввод кабеля в клеммную коробку и защита соединений трубкой термоусадочной</t>
  </si>
  <si>
    <t xml:space="preserve">Трубка термоусадочная клеевая ТТК 40/13 КВТ</t>
  </si>
  <si>
    <t xml:space="preserve">1 соединение - 0,2 п.м трубки</t>
  </si>
  <si>
    <t xml:space="preserve">Раздел 2. МОНТАЖ КЛЕММНЫХ КОРОБОК ДЛЯ ДАТЧИКОВ ВБ</t>
  </si>
  <si>
    <t xml:space="preserve">Монтаж клеммных коробок на бетонный парапет (ДКРЕ.421459.029.МС - лист 4)</t>
  </si>
  <si>
    <t xml:space="preserve">2.1</t>
  </si>
  <si>
    <t xml:space="preserve">Изготовление конструкции для установки приборов, масса: до 5 кг</t>
  </si>
  <si>
    <t xml:space="preserve">Пластина стальная 250х250х4 мм, Ст3сп, ГОСТ 19903-90</t>
  </si>
  <si>
    <t xml:space="preserve">1 пластина — 1,95 кг</t>
  </si>
  <si>
    <t xml:space="preserve">2.1.1</t>
  </si>
  <si>
    <t xml:space="preserve">Сверление отверстий в металле диаметром: до 20 мм, толщина металла 4 мм </t>
  </si>
  <si>
    <t xml:space="preserve">по 4 отверстия для пластины, 4 шт. для коробки</t>
  </si>
  <si>
    <t xml:space="preserve">2.1.2</t>
  </si>
  <si>
    <t xml:space="preserve">1 лист - 0,13 м2</t>
  </si>
  <si>
    <t xml:space="preserve">2.1.3</t>
  </si>
  <si>
    <t xml:space="preserve">1 лист - 0,13м2</t>
  </si>
  <si>
    <t xml:space="preserve">2.1.4</t>
  </si>
  <si>
    <t xml:space="preserve">2.1.5</t>
  </si>
  <si>
    <t xml:space="preserve">2.1.6</t>
  </si>
  <si>
    <t xml:space="preserve">2.2</t>
  </si>
  <si>
    <t xml:space="preserve">Приборы, устанавливаемые на металлоконструкциях, щитах и пультах, масса: до 5 кг (крепление коробок)</t>
  </si>
  <si>
    <t xml:space="preserve">1 пластина - 2 клеммных коробки</t>
  </si>
  <si>
    <t xml:space="preserve">Корпус УЗ металлический, герметичный IP65 145х135х55 мм в составе:</t>
  </si>
  <si>
    <t xml:space="preserve">Модуль грозозащиты бескорпусной УЗ-1Ш-1ТВ-1RS485-24</t>
  </si>
  <si>
    <t xml:space="preserve">Болт М4х20 мм нержавеющая сталь А2</t>
  </si>
  <si>
    <t xml:space="preserve">Гайка М4 нержавеющая сталь А2</t>
  </si>
  <si>
    <t xml:space="preserve">2.3</t>
  </si>
  <si>
    <t xml:space="preserve">Монтаж металлокунструкций с приборами на бетонную поверхность, масса: до 5 кг</t>
  </si>
  <si>
    <t xml:space="preserve">2.3.1</t>
  </si>
  <si>
    <t xml:space="preserve">Сверление отверстий в гидротехническом бетоне ⌀8 мм, глубиной 80 мм., для установки анкеров</t>
  </si>
  <si>
    <t xml:space="preserve">Анкер клиновой М8х80 мм</t>
  </si>
  <si>
    <t xml:space="preserve">Гайка М8 оцинкованная</t>
  </si>
  <si>
    <t xml:space="preserve">4.1.5</t>
  </si>
  <si>
    <t xml:space="preserve">Проверка работоспособности датчика на месте монтажа</t>
  </si>
  <si>
    <t xml:space="preserve">4.1.6</t>
  </si>
  <si>
    <t xml:space="preserve">Проверка работоспособности датчика из шкафа</t>
  </si>
  <si>
    <t xml:space="preserve">Заземление пластины с клеммными коробками на существующую шину (ДКРЕ.421459.029.С7 - лист 3)</t>
  </si>
  <si>
    <t xml:space="preserve">2.4</t>
  </si>
  <si>
    <t xml:space="preserve">Изготовление конструкции для заземления пластины, масса: до 5 кг</t>
  </si>
  <si>
    <t xml:space="preserve">2.4.1</t>
  </si>
  <si>
    <t xml:space="preserve">1 рез - 0,05 м</t>
  </si>
  <si>
    <t xml:space="preserve">Полоса стальная Ст3сп 50х4 мм ГОСТ 103-2006</t>
  </si>
  <si>
    <t xml:space="preserve">Для одной пластины - 3 п.м полосы, 1 п.м - 1,56 кг</t>
  </si>
  <si>
    <t xml:space="preserve">2.4.2</t>
  </si>
  <si>
    <t xml:space="preserve">1 полоса 3 м - 4,68 кг</t>
  </si>
  <si>
    <t xml:space="preserve">2.4.3</t>
  </si>
  <si>
    <t xml:space="preserve">2.4.4</t>
  </si>
  <si>
    <t xml:space="preserve">2.4.5</t>
  </si>
  <si>
    <t xml:space="preserve">2.4.6</t>
  </si>
  <si>
    <t xml:space="preserve">2.4.7</t>
  </si>
  <si>
    <t xml:space="preserve">Раздел 3. МОНТАЖ ПОГРУЖНОГО ДАТЧИКА УРОВНЯ В НБ</t>
  </si>
  <si>
    <t xml:space="preserve">Монтаж погружного датчика уровня  в НБ (ДКРЕ.421459.029.МС - лист 5,6)</t>
  </si>
  <si>
    <t xml:space="preserve">3.1</t>
  </si>
  <si>
    <t xml:space="preserve">Изготовление конструкции для установки приборов, масса: до 250 кг</t>
  </si>
  <si>
    <t xml:space="preserve">3.1.1</t>
  </si>
  <si>
    <t xml:space="preserve">Перфорация трубы стальной, диаметр отверстий до 10 мм, толщина металла 6 мм</t>
  </si>
  <si>
    <t xml:space="preserve">Перфорация 10 м трубы, шаг отверстий 100 мм, кол-во отверстий на 1 м — 30 шт.</t>
  </si>
  <si>
    <t xml:space="preserve">Труба стальная Ду100 114х6 мм длина 6,0 м ГОСТ 8732-78</t>
  </si>
  <si>
    <t xml:space="preserve">1 шт. - 95,88 кг</t>
  </si>
  <si>
    <t xml:space="preserve">3.1.2</t>
  </si>
  <si>
    <t xml:space="preserve">сварка труб между собой</t>
  </si>
  <si>
    <t xml:space="preserve">3.1.3</t>
  </si>
  <si>
    <t xml:space="preserve">3.1.4</t>
  </si>
  <si>
    <t xml:space="preserve">3.1.5</t>
  </si>
  <si>
    <t xml:space="preserve">3.1.6</t>
  </si>
  <si>
    <t xml:space="preserve">3.1.7</t>
  </si>
  <si>
    <t xml:space="preserve">3.1.8</t>
  </si>
  <si>
    <t xml:space="preserve">Оборачивание трубы в стеклоткань в 2 слоя </t>
  </si>
  <si>
    <t xml:space="preserve">1 слой ≈ 4,0 м2 стеклокани</t>
  </si>
  <si>
    <t xml:space="preserve">Стеклотканевая сетка SDM GLASS, ячейка 2х2 мм, ширина 1,0 м, рулон 50,0 м</t>
  </si>
  <si>
    <t xml:space="preserve">3.2</t>
  </si>
  <si>
    <t xml:space="preserve">Подготовка траншеи для укладки трубы и укладка трубы</t>
  </si>
  <si>
    <t xml:space="preserve">3.2.1</t>
  </si>
  <si>
    <t xml:space="preserve">Демонтаж бетонной плиты при помощи автокрана</t>
  </si>
  <si>
    <r>
      <rPr>
        <i val="true"/>
        <sz val="11"/>
        <color rgb="FF000000"/>
        <rFont val="Calibri"/>
        <family val="2"/>
        <charset val="204"/>
      </rPr>
      <t xml:space="preserve">вес плиты </t>
    </r>
    <r>
      <rPr>
        <i val="true"/>
        <sz val="11"/>
        <color rgb="FF000000"/>
        <rFont val="Calibri"/>
        <family val="2"/>
        <charset val="1"/>
      </rPr>
      <t xml:space="preserve">≈ 8,5 тонн</t>
    </r>
  </si>
  <si>
    <t xml:space="preserve">3.2.2</t>
  </si>
  <si>
    <t xml:space="preserve">Разработка траншеи экскаватором, группа грунтов 6</t>
  </si>
  <si>
    <t xml:space="preserve">м3</t>
  </si>
  <si>
    <t xml:space="preserve">габариты траншеи (ШхДхГ) — 1,0х15,0х2,0 м</t>
  </si>
  <si>
    <t xml:space="preserve">3.2.3</t>
  </si>
  <si>
    <t xml:space="preserve">Разбивка крупных глыб (0,8х0,5х0,5) при помощи гидромолота</t>
  </si>
  <si>
    <t xml:space="preserve">количество уточняется на этапе СМР</t>
  </si>
  <si>
    <t xml:space="preserve">3.2.4</t>
  </si>
  <si>
    <t xml:space="preserve">Отсыпка щебня в траншею</t>
  </si>
  <si>
    <t xml:space="preserve">толщина слоя — 0,1 м</t>
  </si>
  <si>
    <t xml:space="preserve">Щебень гранитный фракции 20-40 мм</t>
  </si>
  <si>
    <t xml:space="preserve">Вес  ≈ 1,5 тонн</t>
  </si>
  <si>
    <t xml:space="preserve">3.2.5</t>
  </si>
  <si>
    <t xml:space="preserve">Изгиб трубы стальной для укладки в траншею и выхода на проектную глубину</t>
  </si>
  <si>
    <t xml:space="preserve">количество изгибов и их радиус определяются на этапе выполнения СМР</t>
  </si>
  <si>
    <t xml:space="preserve">3.2.6</t>
  </si>
  <si>
    <t xml:space="preserve">Укладка подготовленной трубы в траншею при помощи автокрана</t>
  </si>
  <si>
    <t xml:space="preserve">вес конструкции ≈ 0,38 тонн</t>
  </si>
  <si>
    <t xml:space="preserve">3.2.7</t>
  </si>
  <si>
    <t xml:space="preserve">3.2.8</t>
  </si>
  <si>
    <t xml:space="preserve">Обратная отсыпка вынутого грунта экскаватором</t>
  </si>
  <si>
    <t xml:space="preserve">3.2.9</t>
  </si>
  <si>
    <t xml:space="preserve">Монтаж бетонной плиты на место при помощи автокрана</t>
  </si>
  <si>
    <t xml:space="preserve">3.2.10</t>
  </si>
  <si>
    <t xml:space="preserve">Разравнивание оставшегося грунта вдоль берега экскаватором</t>
  </si>
  <si>
    <t xml:space="preserve">3.3</t>
  </si>
  <si>
    <t xml:space="preserve">Изготовление защитной конструкции для установки приборов, масса: до 250 кг</t>
  </si>
  <si>
    <t xml:space="preserve">Труба стальная Ду100 114х4 мм длина 6,0 м ГОСТ 8732-78</t>
  </si>
  <si>
    <t xml:space="preserve">1 шт. - 65,1 кг</t>
  </si>
  <si>
    <t xml:space="preserve">3.3.2</t>
  </si>
  <si>
    <t xml:space="preserve">1 рез - 0,05 м, резка на участки по 0,4 п.м</t>
  </si>
  <si>
    <t xml:space="preserve">Полоса стальная Ст3сп 50х2 ммГОСТ 103-2006</t>
  </si>
  <si>
    <t xml:space="preserve">1 п.м - 0,78 кг</t>
  </si>
  <si>
    <t xml:space="preserve">3.3.3</t>
  </si>
  <si>
    <t xml:space="preserve">Изгиб полосы стальной</t>
  </si>
  <si>
    <t xml:space="preserve">3.3.4</t>
  </si>
  <si>
    <t xml:space="preserve">Сверление отверстий в металле диаметром: до 10 мм, толщина металла 2 мм </t>
  </si>
  <si>
    <t xml:space="preserve">3.3.5</t>
  </si>
  <si>
    <t xml:space="preserve">сварка труб 6 м и отрезов полосы</t>
  </si>
  <si>
    <t xml:space="preserve">3.4</t>
  </si>
  <si>
    <t xml:space="preserve">Изготовление окон ревизии в трубах</t>
  </si>
  <si>
    <t xml:space="preserve">на 1 конструкцию — 1 окно ревизии</t>
  </si>
  <si>
    <t xml:space="preserve">Петля приварная разъемная 20х100 мм с подшипником</t>
  </si>
  <si>
    <t xml:space="preserve">3.5</t>
  </si>
  <si>
    <t xml:space="preserve">Крепление изготовленной трубы </t>
  </si>
  <si>
    <t xml:space="preserve">3.5.1</t>
  </si>
  <si>
    <t xml:space="preserve">Сверление отверстий в гидротехническом бетоне ⌀10 мм, глубиной 80 мм., для установки элементов конструкции</t>
  </si>
  <si>
    <t xml:space="preserve">Металлоконструкция из нескольких участков труб с приваренными полосами</t>
  </si>
  <si>
    <r>
      <rPr>
        <i val="true"/>
        <sz val="11"/>
        <color rgb="FF000000"/>
        <rFont val="Calibri"/>
        <family val="2"/>
        <charset val="204"/>
      </rPr>
      <t xml:space="preserve">1 конструкция (4 трубы + полосы) </t>
    </r>
    <r>
      <rPr>
        <i val="true"/>
        <sz val="11"/>
        <color rgb="FF000000"/>
        <rFont val="Calibri"/>
        <family val="2"/>
        <charset val="1"/>
      </rPr>
      <t xml:space="preserve">≈ 268 кг (0,268 т)</t>
    </r>
  </si>
  <si>
    <t xml:space="preserve">3.5.2</t>
  </si>
  <si>
    <t xml:space="preserve">3.5.3</t>
  </si>
  <si>
    <t xml:space="preserve">3.5.4</t>
  </si>
  <si>
    <t xml:space="preserve">3.5.5</t>
  </si>
  <si>
    <t xml:space="preserve">3.5.6</t>
  </si>
  <si>
    <t xml:space="preserve">3.6</t>
  </si>
  <si>
    <t xml:space="preserve">Монтаж датчиков в трубу</t>
  </si>
  <si>
    <t xml:space="preserve">3.6.1</t>
  </si>
  <si>
    <t xml:space="preserve">Кабельный поддерживающий чулок 6-10 мм, L=300 мм</t>
  </si>
  <si>
    <t xml:space="preserve">3.6.2</t>
  </si>
  <si>
    <t xml:space="preserve">Датчики, устанавливаемые на металлоконструкциях, щитах и пультах, масса: до 5 кг</t>
  </si>
  <si>
    <t xml:space="preserve">Подвес датчика и нагревательного кабеля на кабельных чулках</t>
  </si>
  <si>
    <r>
      <rPr>
        <i val="true"/>
        <sz val="11"/>
        <color rgb="FF000000"/>
        <rFont val="Calibri"/>
        <family val="2"/>
        <charset val="204"/>
      </rPr>
      <t xml:space="preserve">Погружной датчик уровня Piezus </t>
    </r>
    <r>
      <rPr>
        <i val="true"/>
        <sz val="12"/>
        <rFont val="ISOCPEUR"/>
        <family val="2"/>
        <charset val="1"/>
      </rPr>
      <t xml:space="preserve">ALZ 3821-W-1601-A-M-F-00-ГП // U-035M</t>
    </r>
  </si>
  <si>
    <t xml:space="preserve">1 датчик - 2,85 кг</t>
  </si>
  <si>
    <t xml:space="preserve">Саморегулирующийся нагревательный кабель Freezstop-S10</t>
  </si>
  <si>
    <t xml:space="preserve">1 п.м - 0,13 кг</t>
  </si>
  <si>
    <t xml:space="preserve">3.7</t>
  </si>
  <si>
    <t xml:space="preserve">3.7.1</t>
  </si>
  <si>
    <t xml:space="preserve">на 1 датчик - 3,0 п.м трубы</t>
  </si>
  <si>
    <t xml:space="preserve">3.7.2</t>
  </si>
  <si>
    <t xml:space="preserve">каждые 0,5 м</t>
  </si>
  <si>
    <t xml:space="preserve">3.7.3</t>
  </si>
  <si>
    <t xml:space="preserve">Раздел 4. МОНТАЖ КЛЕММНЫХ КОРОБОК ДЛЯ ДАТЧИКОВ НБ</t>
  </si>
  <si>
    <t xml:space="preserve">Монтаж клеммных коробок на бетонный парапет (ДКРЕ.421459.029.МС - лист 7)</t>
  </si>
  <si>
    <t xml:space="preserve">4.1</t>
  </si>
  <si>
    <t xml:space="preserve">Пластина стальная 500х250х4 мм, Ст3сп, ГОСТ 19903-90</t>
  </si>
  <si>
    <t xml:space="preserve">1 пластина - 3,9 кг</t>
  </si>
  <si>
    <t xml:space="preserve">4.1.1</t>
  </si>
  <si>
    <t xml:space="preserve"> 4 отверстия для пластины, 8 шт. для коробок</t>
  </si>
  <si>
    <t xml:space="preserve">4.1.2</t>
  </si>
  <si>
    <t xml:space="preserve">1 лист - 0,27 м2</t>
  </si>
  <si>
    <t xml:space="preserve">4.1.3</t>
  </si>
  <si>
    <t xml:space="preserve">4.1.4</t>
  </si>
  <si>
    <t xml:space="preserve">4.2</t>
  </si>
  <si>
    <t xml:space="preserve">Коробка распределительная IP66 150х150х150 мм КРОН-ММ0-1/1М</t>
  </si>
  <si>
    <t xml:space="preserve">0,3 кг</t>
  </si>
  <si>
    <t xml:space="preserve">4.3</t>
  </si>
  <si>
    <t xml:space="preserve">4.3.1</t>
  </si>
  <si>
    <t xml:space="preserve">Сверление отверстий в гидротехническом бетоне ⌀8 мм, глубиной 60 мм., для установки анкеров</t>
  </si>
  <si>
    <t xml:space="preserve">4.4</t>
  </si>
  <si>
    <t xml:space="preserve">Крепление на DIN-рейку выключателя автоматического</t>
  </si>
  <si>
    <t xml:space="preserve">DIN-рейка существующая</t>
  </si>
  <si>
    <t xml:space="preserve">Выключатель автоматический ВА-101 1P 10А C 4.5кА</t>
  </si>
  <si>
    <t xml:space="preserve">Заземление пластины с клеммными коробками на существующую шину (ДКРЕ.421459.029.С7 - лист 6)</t>
  </si>
  <si>
    <t xml:space="preserve">4.5</t>
  </si>
  <si>
    <t xml:space="preserve">4.5.1</t>
  </si>
  <si>
    <t xml:space="preserve">4.5.2</t>
  </si>
  <si>
    <t xml:space="preserve">4.5.3</t>
  </si>
  <si>
    <t xml:space="preserve">4.5.4</t>
  </si>
  <si>
    <t xml:space="preserve">4.5.5</t>
  </si>
  <si>
    <t xml:space="preserve">4.5.6</t>
  </si>
  <si>
    <t xml:space="preserve">4.5.7</t>
  </si>
  <si>
    <t xml:space="preserve">Раздел 5. ПРОКЛАДКА КАБЕЛЯ ОТ СУЩЕСТВУЮЩИХ ДАТЧИКОВ ВБ ДО ШУСД-1</t>
  </si>
  <si>
    <t xml:space="preserve">Прокладка кабеля в гофрированной трубе (ДКРЕ.421459.029.С7 лист 7)</t>
  </si>
  <si>
    <t xml:space="preserve">5.1</t>
  </si>
  <si>
    <t xml:space="preserve">Затяжка кабеля  ТехноКИПнг(А)-FRHF 2x2x0.9 в гофрированную трубу DN23 мм</t>
  </si>
  <si>
    <t xml:space="preserve">п.м.</t>
  </si>
  <si>
    <t xml:space="preserve"> </t>
  </si>
  <si>
    <t xml:space="preserve">Кабель ТехноКИПнг(А)-FRHF 2x2x0.9</t>
  </si>
  <si>
    <t xml:space="preserve">5.2</t>
  </si>
  <si>
    <t xml:space="preserve">Прокладка гофрированной трубы DN23 мм с креплением клипсами </t>
  </si>
  <si>
    <t xml:space="preserve">5.2.1</t>
  </si>
  <si>
    <t xml:space="preserve">5.3</t>
  </si>
  <si>
    <t xml:space="preserve">Разделка 4-х жильного кабеля</t>
  </si>
  <si>
    <t xml:space="preserve">кол-во концов кабеля</t>
  </si>
  <si>
    <t xml:space="preserve">5.4</t>
  </si>
  <si>
    <t xml:space="preserve">Опрессовка жил кабельными наконечниками и подключение к клеммами </t>
  </si>
  <si>
    <t xml:space="preserve">Кабельный наконечник НШВИ 1,0-12</t>
  </si>
  <si>
    <t xml:space="preserve">8.7</t>
  </si>
  <si>
    <t xml:space="preserve">Измерение сопротивления изоляции кабельных линий до 1кВ</t>
  </si>
  <si>
    <t xml:space="preserve">количество кабельных линий</t>
  </si>
  <si>
    <t xml:space="preserve">5.5</t>
  </si>
  <si>
    <t xml:space="preserve">Маркировка кабеля бирками</t>
  </si>
  <si>
    <t xml:space="preserve">Бирка кабельная У136</t>
  </si>
  <si>
    <t xml:space="preserve">Хомут нейлоновый 2,6х200 мм</t>
  </si>
  <si>
    <t xml:space="preserve">5.6</t>
  </si>
  <si>
    <t xml:space="preserve">Защита соединения кабельного ввода и гофрированной трубы термоусадочной трубкой</t>
  </si>
  <si>
    <t xml:space="preserve">5.7</t>
  </si>
  <si>
    <t xml:space="preserve">Измерение сопротивления изоляции мегаомметром: кабельных и других линий напряжением до 1 кВ</t>
  </si>
  <si>
    <t xml:space="preserve">количество жил - по 4, кабель медный, контрольный</t>
  </si>
  <si>
    <t xml:space="preserve">Раздел 6. ПРОКЛАДКА КАБЕЛЯ ОТ СУЩЕСТВУЮЩИХ ДАТЧИКОВ ВБ ДО ШУСД-2</t>
  </si>
  <si>
    <t xml:space="preserve">Прокладка кабеля в гофрированной трубе (ДКРЕ.421459.029.С7 лист 6)</t>
  </si>
  <si>
    <t xml:space="preserve">6.1</t>
  </si>
  <si>
    <t xml:space="preserve">6.2</t>
  </si>
  <si>
    <t xml:space="preserve">6.2.1</t>
  </si>
  <si>
    <t xml:space="preserve">Муфта труба-коробка DN 23 мм, М25х1,5</t>
  </si>
  <si>
    <t xml:space="preserve">Муфта с внутренней резьбой DN 23 мм, М25х1,5</t>
  </si>
  <si>
    <t xml:space="preserve">6.3</t>
  </si>
  <si>
    <t xml:space="preserve">6.4</t>
  </si>
  <si>
    <t xml:space="preserve">6.5</t>
  </si>
  <si>
    <t xml:space="preserve">6.6</t>
  </si>
  <si>
    <t xml:space="preserve">6.7</t>
  </si>
  <si>
    <t xml:space="preserve">Раздел 7. ПРОКЛАДКА КАБЕЛЯ ОТ СУЩЕСТВУЮЩИХ ДАТЧИКОВ НБ ДО ШУСД-3</t>
  </si>
  <si>
    <t xml:space="preserve">Прокладка кабеля в гофрированной трубе (ДКРЕ.421459.029.С7 лист 9)</t>
  </si>
  <si>
    <t xml:space="preserve">7.1</t>
  </si>
  <si>
    <t xml:space="preserve">7.2</t>
  </si>
  <si>
    <t xml:space="preserve">7.2.1</t>
  </si>
  <si>
    <t xml:space="preserve">7.3</t>
  </si>
  <si>
    <t xml:space="preserve">7.4</t>
  </si>
  <si>
    <t xml:space="preserve">7.5</t>
  </si>
  <si>
    <t xml:space="preserve">7.6</t>
  </si>
  <si>
    <t xml:space="preserve">7.7</t>
  </si>
  <si>
    <t xml:space="preserve">Раздел 8. ПРОКЛАДКА КАБЕЛЯ ОТ НОВЫХ ДАТЧИКОВ ВБ ДО ШУСД-4</t>
  </si>
  <si>
    <t xml:space="preserve">Прокладка кабеля в гофрированной трубе (ДКРЕ.421459.029.С7 лист 5)</t>
  </si>
  <si>
    <t xml:space="preserve">8.1</t>
  </si>
  <si>
    <t xml:space="preserve">Кабель ТехноКИПнг(А)-FRHF 4x2x0.9</t>
  </si>
  <si>
    <t xml:space="preserve">8.2</t>
  </si>
  <si>
    <t xml:space="preserve">Прокладка гофрированной трубы DN23 мм в бетонном лотке</t>
  </si>
  <si>
    <t xml:space="preserve">8.3</t>
  </si>
  <si>
    <t xml:space="preserve">Разделка 8-и жильного кабеля</t>
  </si>
  <si>
    <t xml:space="preserve">8.4</t>
  </si>
  <si>
    <t xml:space="preserve">8.5</t>
  </si>
  <si>
    <t xml:space="preserve">8.6</t>
  </si>
  <si>
    <t xml:space="preserve">количество жил - по 8, кабель медный, контрольный</t>
  </si>
  <si>
    <t xml:space="preserve">Раздел 9. ПРОКЛАДКА КАБЕЛЯ ОТ НОВЫХ ДАТЧИКОВ НБ ДО ШУСД-5</t>
  </si>
  <si>
    <t xml:space="preserve">Прокладка кабеля в гофрированной трубе (ДКРЕ.421459.029.С7 лист 3)</t>
  </si>
  <si>
    <t xml:space="preserve">9.1</t>
  </si>
  <si>
    <t xml:space="preserve">9.2</t>
  </si>
  <si>
    <t xml:space="preserve">Затяжка кабеля ВВГнг (А)-LS 3х2,5 в гофрированную трубу DN23 мм</t>
  </si>
  <si>
    <t xml:space="preserve">Кабель ВВГнг (А)-LS 3х2,5</t>
  </si>
  <si>
    <t xml:space="preserve">9.3</t>
  </si>
  <si>
    <t xml:space="preserve">9.3.1</t>
  </si>
  <si>
    <t xml:space="preserve">9.4</t>
  </si>
  <si>
    <t xml:space="preserve">9.5</t>
  </si>
  <si>
    <t xml:space="preserve">Разделка 3-х жильного кабеля</t>
  </si>
  <si>
    <t xml:space="preserve">9.6</t>
  </si>
  <si>
    <t xml:space="preserve">Кабельный наконечник НШВИ 2,5-12</t>
  </si>
  <si>
    <t xml:space="preserve">9.7</t>
  </si>
  <si>
    <t xml:space="preserve">Бирка кабельная У134</t>
  </si>
  <si>
    <t xml:space="preserve">9.8</t>
  </si>
  <si>
    <t xml:space="preserve">9.9</t>
  </si>
  <si>
    <t xml:space="preserve">количество жил - по 3, кабель медный, силовой</t>
  </si>
  <si>
    <t xml:space="preserve">9.10</t>
  </si>
  <si>
    <t xml:space="preserve">Устройство кабельной гильзы</t>
  </si>
  <si>
    <t xml:space="preserve">9.11</t>
  </si>
  <si>
    <t xml:space="preserve">Штробление гидротехнического бетона. Размеры штроы: глубина-0,1 м, ширина-0,1 м, длина-6,0 м для устройства гильзы</t>
  </si>
  <si>
    <t xml:space="preserve">объем штробления - 0.08 м3</t>
  </si>
  <si>
    <t xml:space="preserve">Труба стальная бесшовная Ст20 70х3 мм длина 6,0 м ГОСТ 8734-75</t>
  </si>
  <si>
    <t xml:space="preserve">1 п.м - 4,957 кг; 6 п.м - 29,742 кг</t>
  </si>
  <si>
    <t xml:space="preserve">9.12</t>
  </si>
  <si>
    <t xml:space="preserve">Заполнение штробы ЦПС</t>
  </si>
  <si>
    <t xml:space="preserve">Монтажный и водоостанавливающий цемент Церезит СХ5</t>
  </si>
  <si>
    <t xml:space="preserve">кг</t>
  </si>
  <si>
    <t xml:space="preserve">Расход смеси 1600 кг/м3</t>
  </si>
  <si>
    <t xml:space="preserve">Раздел 10. ПРОКЛАДКА КАБЕЛЯ ОТ РИП-0 ДО ШКАФА ПТК УСООД</t>
  </si>
  <si>
    <t xml:space="preserve">Прокладка кабеля в гофрированной трубе (ДКРЕ.421459.029.С7 - лист8)</t>
  </si>
  <si>
    <t xml:space="preserve">10.1</t>
  </si>
  <si>
    <t xml:space="preserve">Затяжка кабеля FTP-5e 4x2x0.51 Cu (outdoor) в гофрированную трубу DN23 мм</t>
  </si>
  <si>
    <t xml:space="preserve">Кабель FTP-5e 4x2x0.51 Cu (outdoor)</t>
  </si>
  <si>
    <t xml:space="preserve">10.2</t>
  </si>
  <si>
    <t xml:space="preserve">10.2.1</t>
  </si>
  <si>
    <t xml:space="preserve">10.3</t>
  </si>
  <si>
    <t xml:space="preserve">Фиксация коннектора</t>
  </si>
  <si>
    <t xml:space="preserve">Коннектор RJ-45 неэкранированный, 8P8C, Cat.5E (упаковка 10 шт.)</t>
  </si>
  <si>
    <t xml:space="preserve"> 1 конец кабеля - 1 конектор</t>
  </si>
  <si>
    <t xml:space="preserve">10.4</t>
  </si>
  <si>
    <t xml:space="preserve">Раздел 11. ПРОКЛАДКА ОПТИЧЕСКОГО КАБЕЛЯ ОТ ШУСД-1 ДО РИП-0</t>
  </si>
  <si>
    <t xml:space="preserve">Прокладка кабеля в гофрированной трубе (ДКРЕ.421459.029.С7 - лист 6,7,8)</t>
  </si>
  <si>
    <t xml:space="preserve">11.1</t>
  </si>
  <si>
    <t xml:space="preserve">Затяжка кабеля Hyperline 9/125 (SMF-28) в гофрированную трубу DN23 мм</t>
  </si>
  <si>
    <t xml:space="preserve">Оптический кабель Hyperline 9/125 (SMF-28)</t>
  </si>
  <si>
    <t xml:space="preserve">11.2</t>
  </si>
  <si>
    <t xml:space="preserve">11.2.1</t>
  </si>
  <si>
    <t xml:space="preserve">11.3</t>
  </si>
  <si>
    <t xml:space="preserve">11.4</t>
  </si>
  <si>
    <t xml:space="preserve">11.5</t>
  </si>
  <si>
    <t xml:space="preserve">Измерение на смонтированном участке волоконно-оптического кабеля в одном направлении на двух длинах волн с числом волокон: 4</t>
  </si>
  <si>
    <t xml:space="preserve">1 участок кабеля</t>
  </si>
  <si>
    <t xml:space="preserve">Раздел 12. ПРОКЛАДКА ОПТИЧЕСКОГО КАБЕЛЯ ОТ ШУСД-2 ДО РИП-0</t>
  </si>
  <si>
    <t xml:space="preserve">12.1</t>
  </si>
  <si>
    <t xml:space="preserve">12.2</t>
  </si>
  <si>
    <t xml:space="preserve">12.2.1</t>
  </si>
  <si>
    <t xml:space="preserve">12.3</t>
  </si>
  <si>
    <t xml:space="preserve">12.4</t>
  </si>
  <si>
    <t xml:space="preserve">12.5</t>
  </si>
  <si>
    <t xml:space="preserve">Раздел 13. ПРОКЛАДКА ОПТИЧЕСКОГО КАБЕЛЯ ОТ ШУСД-3 ДО ШКАФА КОММУТАЦИИ</t>
  </si>
  <si>
    <t xml:space="preserve">Прокладка кабеля в гофрированной трубе (ДКРЕ.421459.029.С7 - лист 9,10,11)</t>
  </si>
  <si>
    <t xml:space="preserve">13.1</t>
  </si>
  <si>
    <t xml:space="preserve">13.2</t>
  </si>
  <si>
    <t xml:space="preserve">Прокладка гофрированной трубы  DN23 мм по существующим лоткам с креплением хомутами</t>
  </si>
  <si>
    <t xml:space="preserve">крепление хомутами каждые 0,5 м</t>
  </si>
  <si>
    <t xml:space="preserve">13.3</t>
  </si>
  <si>
    <t xml:space="preserve">13.3.1</t>
  </si>
  <si>
    <t xml:space="preserve">560 хомутов на прокладку по лоткам</t>
  </si>
  <si>
    <t xml:space="preserve">13.4</t>
  </si>
  <si>
    <t xml:space="preserve">13.5</t>
  </si>
  <si>
    <t xml:space="preserve">Раздел 14. ПРОКЛАДКА ОПТИЧЕСКОГО КАБЕЛЯ ОТ ШУСД-4 ДО РИП-0</t>
  </si>
  <si>
    <t xml:space="preserve">Прокладка кабеля в гофрированной трубе (ДКРЕ.421459.029.С7 - лист 5,6,7,8)</t>
  </si>
  <si>
    <t xml:space="preserve">14.1</t>
  </si>
  <si>
    <t xml:space="preserve">14.2</t>
  </si>
  <si>
    <t xml:space="preserve">14.2.1</t>
  </si>
  <si>
    <t xml:space="preserve">14.3</t>
  </si>
  <si>
    <t xml:space="preserve">14.4</t>
  </si>
  <si>
    <t xml:space="preserve">14.5</t>
  </si>
  <si>
    <t xml:space="preserve">14.6</t>
  </si>
  <si>
    <t xml:space="preserve">Бурение отверстий в гидротехническом бетоне ∅60 мм, глубиной 300 мм, для устройства кабельной гильзы</t>
  </si>
  <si>
    <t xml:space="preserve">Труба стальная ВГП ДУ50, ∅60х3 мм ГОСТ 3262-75</t>
  </si>
  <si>
    <t xml:space="preserve">1 п.м - 4,22 кг</t>
  </si>
  <si>
    <t xml:space="preserve">14.7</t>
  </si>
  <si>
    <t xml:space="preserve">Заполнение трубного пространства пеной противопожарной</t>
  </si>
  <si>
    <t xml:space="preserve">на 1 гильзу  0,002 м3</t>
  </si>
  <si>
    <t xml:space="preserve">Пена монтажная огнестойкая</t>
  </si>
  <si>
    <t xml:space="preserve">л</t>
  </si>
  <si>
    <t xml:space="preserve">Раздел 15. ПРОКЛАДКА ОПТИЧЕСКОГО КАБЕЛЯ ОТ ШУСД-5 ДО ШКАФА КОММУТАЦИИ И ОТ РИП-0 ДО ШКО</t>
  </si>
  <si>
    <t xml:space="preserve">Прокладка кабеля в гофрированной трубе (ДКРЕ.421459.029.С7 - лист 3)</t>
  </si>
  <si>
    <t xml:space="preserve">15.1</t>
  </si>
  <si>
    <t xml:space="preserve">15.2</t>
  </si>
  <si>
    <t xml:space="preserve">15.2.1</t>
  </si>
  <si>
    <t xml:space="preserve">15.3</t>
  </si>
  <si>
    <t xml:space="preserve">15.4</t>
  </si>
  <si>
    <t xml:space="preserve">15.5</t>
  </si>
  <si>
    <t xml:space="preserve">Раздел 16. ЗАЗЕМЛЕНИЕ ШКАФОВ ШУСД И АВР</t>
  </si>
  <si>
    <t xml:space="preserve">Зазмеление шкафов ШУСД и АВР (ДКРЕ.421459.029.А)</t>
  </si>
  <si>
    <t xml:space="preserve">16.1</t>
  </si>
  <si>
    <t xml:space="preserve">Сверление отверстий в металлической шине заземления ⌀8 мм, толщина металла до 10 мм</t>
  </si>
  <si>
    <t xml:space="preserve">16.2</t>
  </si>
  <si>
    <t xml:space="preserve">Заземление шкафов на шину при помощи болтов</t>
  </si>
  <si>
    <t xml:space="preserve">Болт М6х30 + гайка + шайба (упаковка 8 шт.)</t>
  </si>
  <si>
    <t xml:space="preserve">16.2.1</t>
  </si>
  <si>
    <t xml:space="preserve">Заземление шкафов проводом ПУГВ (ПВ-3) ж/зел.1х6</t>
  </si>
  <si>
    <t xml:space="preserve">Провод ПУГВ (ПВ-3) ж/зел.1х6</t>
  </si>
  <si>
    <t xml:space="preserve">5 п.м провода на 1 шкаф</t>
  </si>
  <si>
    <t xml:space="preserve">16.2.2</t>
  </si>
  <si>
    <t xml:space="preserve">Заземление шкафов проводом ПУГВ (ПВ-3) ж/зел.1х10</t>
  </si>
  <si>
    <t xml:space="preserve">Провод ПУГВ (ПВ-3) ж/зел.1х10</t>
  </si>
  <si>
    <t xml:space="preserve">1 провод длиной 140 п.м</t>
  </si>
  <si>
    <t xml:space="preserve">16.3</t>
  </si>
  <si>
    <t xml:space="preserve">Опрессовка жил кабельными наконечниками и фиксация на болт заземления</t>
  </si>
  <si>
    <t xml:space="preserve">Наконечник 6-6-4-М-Т2 </t>
  </si>
  <si>
    <t xml:space="preserve">Наконечник 10-6-5-М-Т2 </t>
  </si>
  <si>
    <t xml:space="preserve">16.4</t>
  </si>
  <si>
    <t xml:space="preserve">Проверка наличия цепи между заземлителями и заземленными элементами</t>
  </si>
  <si>
    <t xml:space="preserve">ФЕРп01-11-011-01 (5 шкафа ШУСд, 3 шкафа АВР)</t>
  </si>
  <si>
    <t xml:space="preserve">Раздел 17. ПРОКЛАДКА КАБЕЛЯ ЭЛЕКТРОПИТАНИЯ ОТ ШУСД-1 ДО ШЭ</t>
  </si>
  <si>
    <t xml:space="preserve">Прокладка кабеля в гофрированной трубе (ДКРЕ.421459.029.С7 - лист 7,8)</t>
  </si>
  <si>
    <t xml:space="preserve">17.1</t>
  </si>
  <si>
    <t xml:space="preserve">Затяжка кабеля  ВВГнг(А)-LS 3х2,5 в гофрированную трубу DN23 мм</t>
  </si>
  <si>
    <t xml:space="preserve">Кабель электропитания ВВГнг(А)-LS 3х2,5</t>
  </si>
  <si>
    <t xml:space="preserve">17.2</t>
  </si>
  <si>
    <t xml:space="preserve">17.2.1</t>
  </si>
  <si>
    <t xml:space="preserve">17.3</t>
  </si>
  <si>
    <t xml:space="preserve">17.4</t>
  </si>
  <si>
    <t xml:space="preserve">17.5</t>
  </si>
  <si>
    <t xml:space="preserve">17.6</t>
  </si>
  <si>
    <t xml:space="preserve">17.7</t>
  </si>
  <si>
    <t xml:space="preserve">17.8</t>
  </si>
  <si>
    <t xml:space="preserve">Замер полного сопротивления цепи "фаза-нуль"</t>
  </si>
  <si>
    <t xml:space="preserve">Раздел 18. ПРОКЛАДКА КАБЕЛЯ ЭЛЕКТРОПИТАНИЯ ОТ ШУСД-2 ДО АВР-3</t>
  </si>
  <si>
    <t xml:space="preserve">Прокладка кабеля в гофрированной трубе (ДКРЕ.421459.029.С7 - лист 6)</t>
  </si>
  <si>
    <t xml:space="preserve">18.1</t>
  </si>
  <si>
    <t xml:space="preserve">18.2</t>
  </si>
  <si>
    <t xml:space="preserve">18.2.1</t>
  </si>
  <si>
    <t xml:space="preserve">18.3</t>
  </si>
  <si>
    <t xml:space="preserve">18.4</t>
  </si>
  <si>
    <t xml:space="preserve">18.5</t>
  </si>
  <si>
    <t xml:space="preserve">18.6</t>
  </si>
  <si>
    <t xml:space="preserve">18.7</t>
  </si>
  <si>
    <t xml:space="preserve">18.8</t>
  </si>
  <si>
    <t xml:space="preserve">Раздел 19. ПРОКЛАДКА КАБЕЛЯ ЭЛЕКТРОПИТАНИЯ ОТ ШУСД-3 ДО АВР-1</t>
  </si>
  <si>
    <t xml:space="preserve">Прокладка кабеля в гофрированной трубе (ДКРЕ.421459.029.С7 - лист 9)</t>
  </si>
  <si>
    <t xml:space="preserve">19.1</t>
  </si>
  <si>
    <t xml:space="preserve">19.2</t>
  </si>
  <si>
    <t xml:space="preserve">19.2.1</t>
  </si>
  <si>
    <t xml:space="preserve">19.3</t>
  </si>
  <si>
    <t xml:space="preserve">19.4</t>
  </si>
  <si>
    <t xml:space="preserve">19.5</t>
  </si>
  <si>
    <t xml:space="preserve">19.6</t>
  </si>
  <si>
    <t xml:space="preserve">19.7</t>
  </si>
  <si>
    <t xml:space="preserve">19.8</t>
  </si>
  <si>
    <t xml:space="preserve">Раздел 20. ПРОКЛАДКА КАБЕЛЯ ЭЛЕКТРОПИТАНИЯ ОТ ШУСД-4 ДО АВР-3</t>
  </si>
  <si>
    <t xml:space="preserve">Прокладка кабеля в гофрированной трубе (ДКРЕ.421459.029.С7 - лист 5,6)</t>
  </si>
  <si>
    <t xml:space="preserve">20.1</t>
  </si>
  <si>
    <t xml:space="preserve">Затяжка кабеля  ВВГнг(А)-LS 3х4,0 в гофрированную трубу DN23 мм</t>
  </si>
  <si>
    <t xml:space="preserve">Кабель электропитания ВВГнг(А)-LS 3х4,0</t>
  </si>
  <si>
    <t xml:space="preserve">20.2</t>
  </si>
  <si>
    <t xml:space="preserve">20.2.1</t>
  </si>
  <si>
    <t xml:space="preserve">20.3</t>
  </si>
  <si>
    <t xml:space="preserve">20.4</t>
  </si>
  <si>
    <t xml:space="preserve">Кабельный наконечник НШВИ 4,0-12</t>
  </si>
  <si>
    <t xml:space="preserve">20.5</t>
  </si>
  <si>
    <t xml:space="preserve">20.6</t>
  </si>
  <si>
    <t xml:space="preserve">20.7</t>
  </si>
  <si>
    <t xml:space="preserve">20.8</t>
  </si>
  <si>
    <t xml:space="preserve">20.9</t>
  </si>
  <si>
    <t xml:space="preserve">20.10</t>
  </si>
  <si>
    <t xml:space="preserve">Раздел 21. ПРОКЛАДКА КАБЕЛЯ ЭЛЕКТРОПИТАНИЯ ОТ ШУСД-5 ДО АВР-2</t>
  </si>
  <si>
    <t xml:space="preserve">21.1</t>
  </si>
  <si>
    <t xml:space="preserve">21.2</t>
  </si>
  <si>
    <t xml:space="preserve">21.2.1</t>
  </si>
  <si>
    <t xml:space="preserve">21.3</t>
  </si>
  <si>
    <t xml:space="preserve">21.4</t>
  </si>
  <si>
    <t xml:space="preserve">21.5</t>
  </si>
  <si>
    <t xml:space="preserve">21.6</t>
  </si>
  <si>
    <t xml:space="preserve">21.7</t>
  </si>
  <si>
    <t xml:space="preserve">21.8</t>
  </si>
  <si>
    <t xml:space="preserve">Раздел 22. ПРОКЛАДКА КАБЕЛЯ ЭЛЕКТРОПИТАНИЯ АВР-1 ДО ШКАФОВ ПИТАНИЯ</t>
  </si>
  <si>
    <t xml:space="preserve">22.1</t>
  </si>
  <si>
    <t xml:space="preserve">22.2</t>
  </si>
  <si>
    <t xml:space="preserve">Прокладка гофрированной трубы DN23 мм по существующим лоткам</t>
  </si>
  <si>
    <t xml:space="preserve">22.3</t>
  </si>
  <si>
    <t xml:space="preserve">22.3.1</t>
  </si>
  <si>
    <t xml:space="preserve">22.4</t>
  </si>
  <si>
    <t xml:space="preserve">22.5</t>
  </si>
  <si>
    <t xml:space="preserve">22.6</t>
  </si>
  <si>
    <t xml:space="preserve">22.7</t>
  </si>
  <si>
    <t xml:space="preserve">22.8</t>
  </si>
  <si>
    <t xml:space="preserve">22.9</t>
  </si>
  <si>
    <t xml:space="preserve">Раздел 23. ПРОКЛАДКА КАБЕЛЯ ЭЛЕКТРОПИТАНИЯ АВР-2 ДО ШКАФОВ ПИТАНИЯ</t>
  </si>
  <si>
    <t xml:space="preserve">23.1</t>
  </si>
  <si>
    <t xml:space="preserve">23.2</t>
  </si>
  <si>
    <t xml:space="preserve">23.2.1</t>
  </si>
  <si>
    <t xml:space="preserve">23.3</t>
  </si>
  <si>
    <t xml:space="preserve">23.4</t>
  </si>
  <si>
    <t xml:space="preserve">23.5</t>
  </si>
  <si>
    <t xml:space="preserve">23.6</t>
  </si>
  <si>
    <t xml:space="preserve">23.7</t>
  </si>
  <si>
    <t xml:space="preserve">23.8</t>
  </si>
  <si>
    <t xml:space="preserve">Раздел 24. ПРОКЛАДКА КАБЕЛЯ ЭЛЕКТРОПИТАНИЯ АВР-3 ДО ШКАФОВ ПИТАНИЯ</t>
  </si>
  <si>
    <t xml:space="preserve">24.1</t>
  </si>
  <si>
    <t xml:space="preserve">24.2</t>
  </si>
  <si>
    <t xml:space="preserve">24.2.1</t>
  </si>
  <si>
    <t xml:space="preserve">24.3</t>
  </si>
  <si>
    <t xml:space="preserve">24.4</t>
  </si>
  <si>
    <t xml:space="preserve">24.5</t>
  </si>
  <si>
    <t xml:space="preserve">24.6</t>
  </si>
  <si>
    <t xml:space="preserve">24.7</t>
  </si>
  <si>
    <t xml:space="preserve">24.8</t>
  </si>
  <si>
    <t xml:space="preserve">Раздел 25. МОНТАЖ НОВЫХ ШКАФОВ ШУСД И ШКАФОВ ЭЛЕКТРОПИТАНИЯ АВР НА СТЕНУ (ДКРЕ.421459.029.А)</t>
  </si>
  <si>
    <t xml:space="preserve">25.1</t>
  </si>
  <si>
    <t xml:space="preserve">Приборы, устанавливаемые на металлоконструкциях, щитах и пультах, масса: до 50 кг (монтаж шкафов)</t>
  </si>
  <si>
    <t xml:space="preserve">25.1.1</t>
  </si>
  <si>
    <t xml:space="preserve">Шкаф ШУСД-1 (500х400х300 мм)</t>
  </si>
  <si>
    <t xml:space="preserve">Шкаф - 50 кг</t>
  </si>
  <si>
    <t xml:space="preserve">Шкаф ШУСД-2 (500х400х300 мм)</t>
  </si>
  <si>
    <t xml:space="preserve">Шкаф ШУСД-3 (500х400х300 мм)</t>
  </si>
  <si>
    <t xml:space="preserve">Шкаф ШУСД-4 (900х620х330 мм)</t>
  </si>
  <si>
    <t xml:space="preserve">Шкаф - 80 кг</t>
  </si>
  <si>
    <t xml:space="preserve">Шкаф ШУСД-5 (900х620х330 мм)</t>
  </si>
  <si>
    <t xml:space="preserve">Шкаф АВР-1/2/3 (400х400х200)</t>
  </si>
  <si>
    <t xml:space="preserve">Шкаф - 25 кг</t>
  </si>
  <si>
    <t xml:space="preserve">Раздел 26. ДОБАВЛЯЕМЫЕ МАТЕРИАЛЫ И ПРИБОРЫ В СУЩЕСТВУЮЩИЕ ШКАФЫ (ДКРЕ.421459.029.А)</t>
  </si>
  <si>
    <t xml:space="preserve">Оборудование и материалы, добавляемые в шкаф РИП-0</t>
  </si>
  <si>
    <t xml:space="preserve">26.1</t>
  </si>
  <si>
    <t xml:space="preserve">Приборы, устанавливаемые на DIN-рейку, масса: до 5 кг (монтаж в шкафах)</t>
  </si>
  <si>
    <t xml:space="preserve">Выключатель автоматический ВА-101 1P 4А C 4.5кА</t>
  </si>
  <si>
    <t xml:space="preserve">вес 0,83 кг</t>
  </si>
  <si>
    <t xml:space="preserve">Сервер сбора данных iROBO-6000-033D</t>
  </si>
  <si>
    <t xml:space="preserve">вес 1,0 кг</t>
  </si>
  <si>
    <t xml:space="preserve">Промышленный L3 управляемый коммутатор IGS-6325-8T8S</t>
  </si>
  <si>
    <t xml:space="preserve">вес 1,3 кг</t>
  </si>
  <si>
    <t xml:space="preserve">Трансивер оптический MGB-LX</t>
  </si>
  <si>
    <t xml:space="preserve">Информационная розетка RJ-45 на DIN-рейку RNK6AFSDIN</t>
  </si>
  <si>
    <t xml:space="preserve">26.2</t>
  </si>
  <si>
    <t xml:space="preserve">Резьбовое присоединениие кабельных вводов в шкаф</t>
  </si>
  <si>
    <t xml:space="preserve">Зажим кабельный с контргайкой, IP68, PG13.5, д.6 - 12мм</t>
  </si>
  <si>
    <t xml:space="preserve">26.3</t>
  </si>
  <si>
    <t xml:space="preserve">Приборы, устанавливаемые на металлоконструкциях, щитах и пультах, масса: до 1 кг (монтаж кросса)</t>
  </si>
  <si>
    <t xml:space="preserve">ФЕРм 10-06-060-02</t>
  </si>
  <si>
    <t xml:space="preserve">Оптический кросс W 902-LC-16SМ-16UPC </t>
  </si>
  <si>
    <t xml:space="preserve">вес 1,2 кг</t>
  </si>
  <si>
    <t xml:space="preserve">26.4</t>
  </si>
  <si>
    <t xml:space="preserve">Настройка простых сетевых трактов: конфигурация и настройка сетевых компонентов (мост, маршрутизатор, модем и т.п.)</t>
  </si>
  <si>
    <t xml:space="preserve">ФЕРм10-06-068-15 (настройка L3 коммутатора)</t>
  </si>
  <si>
    <t xml:space="preserve">26.5</t>
  </si>
  <si>
    <t xml:space="preserve">Коммутация оборудовния между собой</t>
  </si>
  <si>
    <t xml:space="preserve">Оптический патч-корд Duplex, LC UPC-LC UPC 1.0 mm, LSZH, 1,5 м, SM 9/125 </t>
  </si>
  <si>
    <t xml:space="preserve">Патч-корд F/UTP 4x2, RJ45, Cat.5e, LSZH, 1,0 м</t>
  </si>
  <si>
    <t xml:space="preserve">Оборудование и материалы, добавляемые в шкафы электропитания</t>
  </si>
  <si>
    <t xml:space="preserve">26.6</t>
  </si>
  <si>
    <t xml:space="preserve">Приборы, устанавливаемые на DIN-рейку, масса: до 1 кг (монтаж в шкафах)</t>
  </si>
  <si>
    <t xml:space="preserve">в ГРЩ1, DM2, РУСН8, РУСН9, 11СН5 и в 11СН66 </t>
  </si>
  <si>
    <t xml:space="preserve">Выключатель автоматический ВА-101 1P 6А C 4.5кА</t>
  </si>
  <si>
    <t xml:space="preserve">Выключатель автоматический ВА-101 1P 25А C 4.5кА</t>
  </si>
  <si>
    <t xml:space="preserve">26.7</t>
  </si>
  <si>
    <t xml:space="preserve">в ШЭ</t>
  </si>
  <si>
    <t xml:space="preserve">Клемма проходная 2.5 кв.мм винтовой зажим 2 точки подключения серая TUR-2.5</t>
  </si>
  <si>
    <t xml:space="preserve">Выключатель автоматический ВА-101 1P 16А C 4.5кА</t>
  </si>
  <si>
    <t xml:space="preserve">Оборудование и материалы, добавляемые в существующий шкаф коммутации</t>
  </si>
  <si>
    <t xml:space="preserve">26.8</t>
  </si>
  <si>
    <t xml:space="preserve">Приборы, устанавливаемые на металлоконструкциях, щитах и пультах, масса: до 5 кг (монтаж кросса в стойку)</t>
  </si>
  <si>
    <t xml:space="preserve">Кросс оптический на 12 портов SM SC для монтажа в 19" стойку R589-1U-SC-d-12SM-24UPC-2 </t>
  </si>
  <si>
    <t xml:space="preserve">вес 3,1 кг</t>
  </si>
  <si>
    <t xml:space="preserve">26.9</t>
  </si>
  <si>
    <t xml:space="preserve">Оптический патч-корд Duplex, SC UPC-SC UPC 1.0 mm, LSZH, 1,5 м, SM 9/125 </t>
  </si>
  <si>
    <t xml:space="preserve">Оборудование и материалы, добавляемые в существующий шкаф коммутационный оптический (ШКО)</t>
  </si>
  <si>
    <t xml:space="preserve">26.10</t>
  </si>
  <si>
    <t xml:space="preserve">Раздел 27. ЗАПАСНЫЕ ИЗМЕРИТЕЛЬНЫЕ УСТРОЙСТВА И  ПРИБОРЫ</t>
  </si>
  <si>
    <t xml:space="preserve">27.1</t>
  </si>
  <si>
    <t xml:space="preserve">Хранение запасных измерительных устройств на складе</t>
  </si>
  <si>
    <r>
      <rPr>
        <i val="true"/>
        <sz val="11"/>
        <color rgb="FF000000"/>
        <rFont val="Calibri"/>
        <family val="2"/>
        <charset val="204"/>
      </rPr>
      <t xml:space="preserve">Погружной датчик уровня </t>
    </r>
    <r>
      <rPr>
        <i val="true"/>
        <sz val="12"/>
        <rFont val="ISOCPEUR"/>
        <family val="2"/>
        <charset val="1"/>
      </rPr>
      <t xml:space="preserve">ALZ 3821-W-1601-A-M-F-00-ГП // U-035M</t>
    </r>
  </si>
  <si>
    <t xml:space="preserve">1 шт. ≈ 2,85 кг</t>
  </si>
  <si>
    <t xml:space="preserve">1 шт. ≈ 0,1 кг</t>
  </si>
  <si>
    <t xml:space="preserve">Устройства защиты от импульсных перенапряжений (УЗИП) серии RS485 RS485-2-MTG</t>
  </si>
  <si>
    <t xml:space="preserve">1 шт. ≈ 0,06 кг</t>
  </si>
  <si>
    <t xml:space="preserve">Устройства защиты от импульсных перенапряжений (УЗИП) серии PWR PWR-30-2-U</t>
  </si>
  <si>
    <t xml:space="preserve">Выключатель автоматический дифференциального тока двухполюсный, 10A, 30мА, тип A, C, 6кА, электронный MDR63N-1N2C10-A</t>
  </si>
  <si>
    <t xml:space="preserve">1 шт. ≈ 0,2 кг</t>
  </si>
  <si>
    <t xml:space="preserve">Модуль аналогового ввода МВ210-101</t>
  </si>
  <si>
    <t xml:space="preserve">1 шт. ≈ 0,5 кг</t>
  </si>
  <si>
    <t xml:space="preserve">Источник питания с резервированием ИБП60К-24</t>
  </si>
  <si>
    <t xml:space="preserve">1 шт. ≈ 0,4 кг</t>
  </si>
  <si>
    <t xml:space="preserve">Блок аккумуляторный БА24-2.8С</t>
  </si>
  <si>
    <t xml:space="preserve">Портативный считыватель SmartLogger IU-SL-2</t>
  </si>
  <si>
    <t xml:space="preserve">Медиаконвертер IGT-815AT</t>
  </si>
  <si>
    <t xml:space="preserve">1 шт. ≈ 0,3 кг</t>
  </si>
  <si>
    <t xml:space="preserve">Шлюз Modbus TCP в Modbus RTU/ASCII GW-2235i</t>
  </si>
  <si>
    <t xml:space="preserve"> ПРОГРАММНОЕ ОБЕСПЕЧЕНИЕ</t>
  </si>
  <si>
    <t xml:space="preserve">27.2</t>
  </si>
  <si>
    <t xml:space="preserve">Установка программного обеспечения</t>
  </si>
  <si>
    <t xml:space="preserve">Программное обеспечение АСО КИА</t>
  </si>
  <si>
    <t xml:space="preserve">Раздел 28. ДЕМОНТАЖ СУЩЕСТВУЮЩЕГО ОБОРУДОВАНИЯ</t>
  </si>
  <si>
    <t xml:space="preserve">28.1</t>
  </si>
  <si>
    <t xml:space="preserve">Демонтаж существующих шкафов на резьбовых присоединениях без демонтажа оборудования</t>
  </si>
  <si>
    <t xml:space="preserve">28.1.1</t>
  </si>
  <si>
    <t xml:space="preserve">Отключение шкафов от питания</t>
  </si>
  <si>
    <t xml:space="preserve">Шкаф ШК1</t>
  </si>
  <si>
    <r>
      <rPr>
        <i val="true"/>
        <sz val="11"/>
        <color rgb="FF000000"/>
        <rFont val="Calibri"/>
        <family val="2"/>
        <charset val="204"/>
      </rPr>
      <t xml:space="preserve">вес с оборудованием</t>
    </r>
    <r>
      <rPr>
        <sz val="11"/>
        <color rgb="FF000000"/>
        <rFont val="Calibri"/>
        <family val="2"/>
        <charset val="204"/>
      </rPr>
      <t xml:space="preserve">≈ 30 кг</t>
    </r>
  </si>
  <si>
    <t xml:space="preserve">Шкаф ШК3</t>
  </si>
  <si>
    <t xml:space="preserve">Шкаф ШК6</t>
  </si>
  <si>
    <t xml:space="preserve">28.2</t>
  </si>
  <si>
    <t xml:space="preserve">Передача демонтированного оборудования на склад</t>
  </si>
  <si>
    <t xml:space="preserve">шт./кг</t>
  </si>
  <si>
    <t xml:space="preserve">3,00/90,0</t>
  </si>
  <si>
    <t xml:space="preserve">28.3</t>
  </si>
  <si>
    <t xml:space="preserve">Демонтаж существующих контрольных линий (датчик- шкаф)</t>
  </si>
  <si>
    <t xml:space="preserve">Пусконаладочные работы ИСИ УВ ГТС Бурейской ГЭС (ДКРЕ.421459.029.ПНР)</t>
  </si>
  <si>
    <t xml:space="preserve">Раздел 1. АВТОМАТИЗИРОВАННАЯ СИСТЕМА УПРАВЛЕНИЯ III КАТЕГОРИИ ТЕХНИЧЕСКОЙ СЛОЖНОСТИ</t>
  </si>
  <si>
    <t xml:space="preserve">Автоматизированная система управления III категории технической сложности с количеством каналов (Кобщ): 15</t>
  </si>
  <si>
    <t xml:space="preserve">1 система</t>
  </si>
  <si>
    <t xml:space="preserve">Раздел 2. АППАРАТНО ПРОГРАММНЫЕ СРЕДСТВА ВЫЧИСЛИТЕЛЬНОЙ ТЕХНИКИ</t>
  </si>
  <si>
    <t xml:space="preserve">Инсталляция и базовая настройка общего и специального программного обеспечения</t>
  </si>
  <si>
    <t xml:space="preserve">инсталляция</t>
  </si>
  <si>
    <t xml:space="preserve">ФЕРп02-02-001-01</t>
  </si>
  <si>
    <t xml:space="preserve">Функциональная настройка специального программного обеспечения АС, количество функций - 1 — шт</t>
  </si>
  <si>
    <t xml:space="preserve">ФЕРп02-02-003-01</t>
  </si>
  <si>
    <t xml:space="preserve">Автономная наладка АС: II категории сложности</t>
  </si>
  <si>
    <t xml:space="preserve">ФЕРп02-02-004-02</t>
  </si>
  <si>
    <t xml:space="preserve">Комплексная наладка АС: II категории сложности</t>
  </si>
  <si>
    <t xml:space="preserve">ФЕРп02-02-005-02</t>
  </si>
  <si>
    <t xml:space="preserve">2.5</t>
  </si>
  <si>
    <t xml:space="preserve">Приемосдаточные испытания АС: II категории сложности</t>
  </si>
  <si>
    <t xml:space="preserve">ФЕРп02-02-007-02</t>
  </si>
  <si>
    <t xml:space="preserve">Примечание:</t>
  </si>
  <si>
    <t xml:space="preserve">Количество удаленных объектов </t>
  </si>
  <si>
    <t xml:space="preserve">Автоматизированная система использует двух и более процессорный сервер на базе любой архитектуры</t>
  </si>
  <si>
    <t xml:space="preserve">коэф.</t>
  </si>
  <si>
    <t xml:space="preserve">Раздел 3. ЭЛЕКТРОТЕХНИЧЕСКИЕ УСТРОЙСТВА. ЗАЗЕМЛЕНИЕ</t>
  </si>
  <si>
    <t xml:space="preserve">  </t>
  </si>
  <si>
    <t xml:space="preserve">Исходные  данные  для  локальной  сметы на  пуско-наладочные  работы  № </t>
  </si>
  <si>
    <t xml:space="preserve">Наименование подсистемы</t>
  </si>
  <si>
    <t xml:space="preserve">
Информационная система измерения уровней воды (ИСИ УВ)</t>
  </si>
  <si>
    <t xml:space="preserve">шифр: </t>
  </si>
  <si>
    <t xml:space="preserve">КИА </t>
  </si>
  <si>
    <r>
      <rPr>
        <b val="true"/>
        <sz val="11"/>
        <rFont val="Times New Roman Cyr"/>
        <family val="1"/>
        <charset val="204"/>
      </rPr>
      <t xml:space="preserve">Категория сложности подсистемы - </t>
    </r>
    <r>
      <rPr>
        <b val="true"/>
        <sz val="10"/>
        <rFont val="Times New Roman Cyr"/>
        <family val="0"/>
        <charset val="204"/>
      </rPr>
      <t xml:space="preserve">III  (Многоуровневая распределенная ИС, в которой состав и структура КПТС локального уровня соответствуют требованиям, установленным для отнесения системы к II-ой категории сложности и в которой для организации последующих уровней управления используются процессовые (PCS) или операторские (OS) станции, реализованные на базе проблемно-ориентированного ПО, связанные между собой и с локальным уровнем управления посредством локальныхвычислительных сетей.)</t>
    </r>
  </si>
  <si>
    <t xml:space="preserve">Состав системы:</t>
  </si>
  <si>
    <t xml:space="preserve">Кол-во оборуд</t>
  </si>
  <si>
    <t xml:space="preserve">Кди</t>
  </si>
  <si>
    <t xml:space="preserve">Каи</t>
  </si>
  <si>
    <t xml:space="preserve">Кду</t>
  </si>
  <si>
    <t xml:space="preserve">Кау</t>
  </si>
  <si>
    <t xml:space="preserve">Кол-во каналов на единицу</t>
  </si>
  <si>
    <t xml:space="preserve">Общее кол-во</t>
  </si>
  <si>
    <t xml:space="preserve">Погружной датчик уровня (ALZ 3821 или аналог) (M3)</t>
  </si>
  <si>
    <t xml:space="preserve">Радиоволновой датчик уровня (СЕНС УР2 или аналог) (M3)</t>
  </si>
  <si>
    <t xml:space="preserve">Датчик избыточного давления (Метран-150 или аналог) (M2)</t>
  </si>
  <si>
    <t xml:space="preserve">Датчик температуры (ТД-2(DS18B20) или аналог) (M2)</t>
  </si>
  <si>
    <t xml:space="preserve">Информационные каналы преобразования информации дискретные: Кд/и =</t>
  </si>
  <si>
    <t xml:space="preserve">Информационные каналы преобразования информации  аналоговые: Ка/и =</t>
  </si>
  <si>
    <t xml:space="preserve">Каналы управления  Кд/у = </t>
  </si>
  <si>
    <t xml:space="preserve">Каналы передачи управляющих воздействий:    Ка/у = </t>
  </si>
  <si>
    <t xml:space="preserve">Таблица 1.  Группы каналов и коэффициенты к базовым нормам</t>
  </si>
  <si>
    <t xml:space="preserve">№ п/п</t>
  </si>
  <si>
    <t xml:space="preserve">наиме-
нование </t>
  </si>
  <si>
    <t xml:space="preserve">Информационные</t>
  </si>
  <si>
    <t xml:space="preserve">Управляющие</t>
  </si>
  <si>
    <t xml:space="preserve">всего</t>
  </si>
  <si>
    <t xml:space="preserve">КобщПС        /Кобщ %</t>
  </si>
  <si>
    <t xml:space="preserve">аналоговые </t>
  </si>
  <si>
    <t xml:space="preserve">дискретные</t>
  </si>
  <si>
    <t xml:space="preserve">"развитость информа-
ционных функций"</t>
  </si>
  <si>
    <t xml:space="preserve">аналого-вые</t>
  </si>
  <si>
    <t xml:space="preserve">дискре
тные</t>
  </si>
  <si>
    <t xml:space="preserve">"развитость управ-
ляющих фунций"</t>
  </si>
  <si>
    <t xml:space="preserve">Ка/и</t>
  </si>
  <si>
    <t xml:space="preserve">"развитость метрологическая 
сложность"</t>
  </si>
  <si>
    <t xml:space="preserve">Ка/и М1</t>
  </si>
  <si>
    <t xml:space="preserve">Ка/и М2</t>
  </si>
  <si>
    <t xml:space="preserve">Ка/и М3</t>
  </si>
  <si>
    <t xml:space="preserve">Кд/и</t>
  </si>
  <si>
    <t xml:space="preserve">Кобщ/и</t>
  </si>
  <si>
    <t xml:space="preserve">Кобщ/и И1</t>
  </si>
  <si>
    <t xml:space="preserve">Кобщ/и И2</t>
  </si>
  <si>
    <t xml:space="preserve">Кобщ/и И3</t>
  </si>
  <si>
    <t xml:space="preserve">Ка/у</t>
  </si>
  <si>
    <t xml:space="preserve">Кд/у</t>
  </si>
  <si>
    <t xml:space="preserve">Кобщ/у</t>
  </si>
  <si>
    <t xml:space="preserve">Кобщ/у У1</t>
  </si>
  <si>
    <t xml:space="preserve">Кобщ/у У2</t>
  </si>
  <si>
    <t xml:space="preserve">Кобщ/у У3</t>
  </si>
  <si>
    <t xml:space="preserve">Кобщ</t>
  </si>
  <si>
    <t xml:space="preserve">Всего количество каналов по группам:</t>
  </si>
  <si>
    <t xml:space="preserve">Итого по п. 1</t>
  </si>
  <si>
    <t xml:space="preserve">Таблица 2.  Коэффициенты сложности АС</t>
  </si>
  <si>
    <t xml:space="preserve">Структура и состав комплекса</t>
  </si>
  <si>
    <t xml:space="preserve">условное обозначение</t>
  </si>
  <si>
    <t xml:space="preserve">общее количество аналоговых и дискретных каналов информационных и управления, относимых к подсистемам по категориям сложности</t>
  </si>
  <si>
    <t xml:space="preserve">Примечание</t>
  </si>
  <si>
    <r>
      <rPr>
        <b val="true"/>
        <sz val="8"/>
        <rFont val="Times New Roman Cyr"/>
        <family val="0"/>
        <charset val="204"/>
      </rPr>
      <t xml:space="preserve">I категории сложности</t>
    </r>
    <r>
      <rPr>
        <sz val="8"/>
        <rFont val="Times New Roman Cyr"/>
        <family val="1"/>
        <charset val="204"/>
      </rPr>
      <t xml:space="preserve"> - одноуровневые АС с использованием в качестве компонентов для сбора, хранения информации и выработки команд управления - электромагнитных и полупроводниковых компонентов приборного или аппаратного типов исполнения</t>
    </r>
  </si>
  <si>
    <t xml:space="preserve">КобщI</t>
  </si>
  <si>
    <r>
      <rPr>
        <b val="true"/>
        <sz val="8"/>
        <rFont val="Times New Roman Cyr"/>
        <family val="0"/>
        <charset val="204"/>
      </rPr>
      <t xml:space="preserve">II категории сложности</t>
    </r>
    <r>
      <rPr>
        <sz val="8"/>
        <rFont val="Times New Roman Cyr"/>
        <family val="1"/>
        <charset val="204"/>
      </rPr>
      <t xml:space="preserve"> - то же, что и п.1, но с использованием программируемых логических контроллеров (PLC), микропроцессорных интерфейсов оператора (панели отображения), а также системы 1-й категории, в которых в качестве каналов связи используются ВОЛС</t>
    </r>
  </si>
  <si>
    <t xml:space="preserve">КобщII</t>
  </si>
  <si>
    <r>
      <rPr>
        <b val="true"/>
        <sz val="8"/>
        <rFont val="Times New Roman Cyr"/>
        <family val="0"/>
        <charset val="204"/>
      </rPr>
      <t xml:space="preserve">III категории сложности - </t>
    </r>
    <r>
      <rPr>
        <sz val="8"/>
        <rFont val="Times New Roman Cyr"/>
        <family val="1"/>
        <charset val="204"/>
      </rPr>
      <t xml:space="preserve">Многоуровневая АС,  в которой состав и структура КПТС локального уровня соответствует требованиям, установленным для отнесения системы к II-ой категории сложности и в которой в качестве каналов связи используются волоконно-оптические системы передачи информации</t>
    </r>
  </si>
  <si>
    <t xml:space="preserve">КобщIII</t>
  </si>
  <si>
    <t xml:space="preserve">"Метрологическая сложность" (МС)</t>
  </si>
  <si>
    <t xml:space="preserve">М =  (1+0,14 х Ка/иМ2 : Ка/и) х (1+0,51 х Ка/иМ3 : Ка/и)=</t>
  </si>
  <si>
    <t xml:space="preserve">"Развитость информационных функций" (РИФ)</t>
  </si>
  <si>
    <t xml:space="preserve">И =  (1+0,51*Кобщ/иИ2 : Кобщ/и) х (1+1,03 х Кобщ/иИ3 : Кобщ/и) =</t>
  </si>
  <si>
    <t xml:space="preserve">"Развитость управляющих функций" (РУФ)</t>
  </si>
  <si>
    <t xml:space="preserve">У = (1+0,61*Кобщ/уУ2 : Кобщ/у) х (1+1,39 х Кобщ/уУ3 : Кобщ/у) = </t>
  </si>
  <si>
    <t xml:space="preserve">Коэффициент МС и РИФ</t>
  </si>
  <si>
    <t xml:space="preserve">Фм/и  =  0,5 + Ка/и : Кобщ/и х М х И =</t>
  </si>
  <si>
    <t xml:space="preserve">Коэффициент РУФ</t>
  </si>
  <si>
    <t xml:space="preserve">Фу = 1 + (1,31 х Ка/у + 0,95 х Кд/у) : Кобщ х У  =</t>
  </si>
  <si>
    <t xml:space="preserve">Сметная расценка Р</t>
  </si>
  <si>
    <t xml:space="preserve">Р = Рб х (Фм/и х Фу)=</t>
  </si>
  <si>
    <t xml:space="preserve">Составил:</t>
  </si>
  <si>
    <t xml:space="preserve">Главный специалист</t>
  </si>
  <si>
    <t xml:space="preserve">Дубок В.В.</t>
  </si>
  <si>
    <t xml:space="preserve">Исходные  данные  для  локальной  сметы на  пуско-наладочные  работы  </t>
  </si>
  <si>
    <t xml:space="preserve">Объекты системы:</t>
  </si>
  <si>
    <t xml:space="preserve">Бурейская ГЭС</t>
  </si>
  <si>
    <t xml:space="preserve">Функции специального ПО</t>
  </si>
  <si>
    <t xml:space="preserve">ССГД (АСО КИА):</t>
  </si>
  <si>
    <t xml:space="preserve">Настройка  модуля отправки данных в информационно-диагностическую систему "Дедал"</t>
  </si>
  <si>
    <t xml:space="preserve">Настройка модуля получения данных по Modbus RTU</t>
  </si>
  <si>
    <t xml:space="preserve">Настройка модуля получения данных по Modbus TCP</t>
  </si>
  <si>
    <t xml:space="preserve">Настройка модуля получения данных из БД SQLite</t>
  </si>
  <si>
    <t xml:space="preserve">Настройка пользовательских групп</t>
  </si>
  <si>
    <t xml:space="preserve">Рассылка уведомлений внутри системы</t>
  </si>
  <si>
    <t xml:space="preserve">Итого функций ССГД (АСО КИА):</t>
  </si>
  <si>
    <t xml:space="preserve">ИДС Дедеал:</t>
  </si>
  <si>
    <t xml:space="preserve">Добавление новых датчиков</t>
  </si>
  <si>
    <t xml:space="preserve">Получение данных от ССГД</t>
  </si>
  <si>
    <t xml:space="preserve">Расчёт гидрологических параметров (контролируемых показателей)</t>
  </si>
  <si>
    <t xml:space="preserve">Итого функций ИДС "Дедал":</t>
  </si>
  <si>
    <t xml:space="preserve">Итого количество функций, шт:</t>
  </si>
  <si>
    <t xml:space="preserve">Общее серверное ПО </t>
  </si>
  <si>
    <t xml:space="preserve">Бессрочная лицензия на неисключительное право использования ОС Linux. Сертифицированная редакция.</t>
  </si>
  <si>
    <t xml:space="preserve">Инсталляционный пакет сертифицированной редакции ПО (Java)</t>
  </si>
  <si>
    <t xml:space="preserve">СУБД PostgreSQLv12 и выше</t>
  </si>
  <si>
    <t xml:space="preserve">ПО PgAdmin</t>
  </si>
  <si>
    <t xml:space="preserve">Итого общее серверное ПО:</t>
  </si>
  <si>
    <t xml:space="preserve">Специальное серверное ПО</t>
  </si>
  <si>
    <t xml:space="preserve">ПО АСО КИА </t>
  </si>
  <si>
    <t xml:space="preserve">ПО "Коммуникационный сервер" </t>
  </si>
  <si>
    <t xml:space="preserve">Итого специальное ПО:</t>
  </si>
  <si>
    <t xml:space="preserve">Итого серверное ПО, шт:</t>
  </si>
  <si>
    <t xml:space="preserve">Территориально удаленные объекты размещения АС</t>
  </si>
  <si>
    <t xml:space="preserve">Плотина (3), Здание ГЭС(1), отводящий канал (1) - шкафы ШСУД; Здание АСУ КИА - шкаф РИП0 и УСООД</t>
  </si>
  <si>
    <t xml:space="preserve">Итого удаленных объектов, шт:</t>
  </si>
  <si>
    <t xml:space="preserve">Составил: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</si>
</sst>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0.00"/>
    <numFmt numFmtId="167" formatCode="0.000"/>
    <numFmt numFmtId="168" formatCode="0.0000"/>
    <numFmt numFmtId="169" formatCode="0"/>
    <numFmt numFmtId="170" formatCode="General"/>
    <numFmt numFmtId="171" formatCode="#,##0"/>
  </numFmts>
  <fonts count="4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Times New Roman"/>
      <family val="1"/>
      <charset val="204"/>
    </font>
    <font>
      <sz val="10"/>
      <name val="Arial Cyr"/>
      <family val="0"/>
      <charset val="204"/>
    </font>
    <font>
      <sz val="9"/>
      <name val="Arial"/>
      <family val="2"/>
      <charset val="204"/>
    </font>
    <font>
      <b val="true"/>
      <sz val="12"/>
      <name val="Calibri"/>
      <family val="2"/>
      <charset val="204"/>
    </font>
    <font>
      <b val="true"/>
      <sz val="12"/>
      <name val="Times New Roman"/>
      <family val="1"/>
      <charset val="204"/>
    </font>
    <font>
      <b val="true"/>
      <u val="single"/>
      <sz val="12"/>
      <name val="Calibri"/>
      <family val="2"/>
      <charset val="204"/>
    </font>
    <font>
      <b val="true"/>
      <u val="single"/>
      <sz val="12"/>
      <name val="Times New Roman"/>
      <family val="1"/>
      <charset val="204"/>
    </font>
    <font>
      <sz val="12"/>
      <name val="Arial Cyr"/>
      <family val="0"/>
      <charset val="204"/>
    </font>
    <font>
      <sz val="12"/>
      <name val="Calibri"/>
      <family val="2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i val="true"/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i val="true"/>
      <sz val="11"/>
      <color rgb="FF000000"/>
      <name val="Calibri"/>
      <family val="2"/>
      <charset val="1"/>
    </font>
    <font>
      <i val="true"/>
      <sz val="9.9"/>
      <color rgb="FF000000"/>
      <name val="Calibri"/>
      <family val="2"/>
      <charset val="204"/>
    </font>
    <font>
      <i val="true"/>
      <sz val="12"/>
      <name val="ISOCPEUR"/>
      <family val="2"/>
      <charset val="1"/>
    </font>
    <font>
      <b val="true"/>
      <i val="true"/>
      <sz val="11"/>
      <color rgb="FF000000"/>
      <name val="Calibri"/>
      <family val="2"/>
      <charset val="204"/>
    </font>
    <font>
      <i val="true"/>
      <sz val="11"/>
      <color rgb="FF000000"/>
      <name val="ISOCPEUR"/>
      <family val="2"/>
      <charset val="204"/>
    </font>
    <font>
      <b val="true"/>
      <sz val="11"/>
      <name val="Times New Roman Cyr"/>
      <family val="1"/>
      <charset val="204"/>
    </font>
    <font>
      <b val="true"/>
      <i val="true"/>
      <u val="single"/>
      <sz val="12"/>
      <name val="Times New Roman Cyr"/>
      <family val="1"/>
      <charset val="204"/>
    </font>
    <font>
      <b val="true"/>
      <sz val="10"/>
      <name val="Times New Roman Cyr"/>
      <family val="0"/>
      <charset val="204"/>
    </font>
    <font>
      <b val="true"/>
      <sz val="10"/>
      <name val="Times New Roman Cyr"/>
      <family val="1"/>
      <charset val="204"/>
    </font>
    <font>
      <sz val="11"/>
      <name val="Times New Roman Cyr"/>
      <family val="0"/>
      <charset val="204"/>
    </font>
    <font>
      <sz val="11"/>
      <name val="Times New Roman"/>
      <family val="1"/>
      <charset val="204"/>
    </font>
    <font>
      <i val="true"/>
      <sz val="11"/>
      <name val="Times New Roman"/>
      <family val="1"/>
      <charset val="204"/>
    </font>
    <font>
      <sz val="11"/>
      <name val="Times New Roman Cyr"/>
      <family val="1"/>
      <charset val="204"/>
    </font>
    <font>
      <sz val="10"/>
      <name val="Times New Roman Cyr"/>
      <family val="1"/>
      <charset val="204"/>
    </font>
    <font>
      <b val="true"/>
      <sz val="12"/>
      <name val="Times New Roman Cyr"/>
      <family val="1"/>
      <charset val="204"/>
    </font>
    <font>
      <sz val="8"/>
      <name val="Times New Roman Cyr"/>
      <family val="1"/>
      <charset val="204"/>
    </font>
    <font>
      <sz val="7.5"/>
      <name val="Times New Roman Cyr"/>
      <family val="1"/>
      <charset val="204"/>
    </font>
    <font>
      <sz val="10"/>
      <name val="Times New Roman Cyr"/>
      <family val="0"/>
      <charset val="204"/>
    </font>
    <font>
      <sz val="8"/>
      <name val="Times New Roman Cyr"/>
      <family val="0"/>
      <charset val="204"/>
    </font>
    <font>
      <b val="true"/>
      <sz val="8"/>
      <name val="Times New Roman Cyr"/>
      <family val="0"/>
      <charset val="204"/>
    </font>
    <font>
      <b val="true"/>
      <sz val="8"/>
      <name val="Times New Roman Cyr"/>
      <family val="1"/>
      <charset val="204"/>
    </font>
    <font>
      <b val="true"/>
      <sz val="10"/>
      <name val="Arial Cyr"/>
      <family val="0"/>
      <charset val="204"/>
    </font>
    <font>
      <sz val="9"/>
      <name val="Times New Roman Cyr"/>
      <family val="0"/>
      <charset val="204"/>
    </font>
    <font>
      <sz val="9"/>
      <name val="Times New Roman Cyr"/>
      <family val="1"/>
      <charset val="204"/>
    </font>
    <font>
      <b val="true"/>
      <sz val="9"/>
      <name val="Times New Roman Cyr"/>
      <family val="1"/>
      <charset val="204"/>
    </font>
    <font>
      <b val="true"/>
      <sz val="11"/>
      <name val="Times New Roman"/>
      <family val="1"/>
      <charset val="204"/>
    </font>
    <font>
      <sz val="11"/>
      <name val="Calibri"/>
      <family val="2"/>
      <charset val="204"/>
    </font>
    <font>
      <b val="true"/>
      <sz val="10"/>
      <name val="Times New Roman"/>
      <family val="1"/>
      <charset val="204"/>
    </font>
    <font>
      <sz val="11"/>
      <name val="Arial"/>
      <family val="0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3D69B"/>
        <bgColor rgb="FFD7E4BD"/>
      </patternFill>
    </fill>
    <fill>
      <patternFill patternType="solid">
        <fgColor rgb="FFBFBFBF"/>
        <bgColor rgb="FFC3D69B"/>
      </patternFill>
    </fill>
    <fill>
      <patternFill patternType="solid">
        <fgColor rgb="FFFFFFFF"/>
        <bgColor rgb="FFFFFFCC"/>
      </patternFill>
    </fill>
    <fill>
      <patternFill patternType="solid">
        <fgColor rgb="FFD7E4BD"/>
        <bgColor rgb="FFC3D69B"/>
      </patternFill>
    </fill>
  </fills>
  <borders count="4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left" vertical="bottom" textRotation="0" wrapText="false" indent="0" shrinkToFit="false"/>
      <protection locked="true" hidden="false"/>
    </xf>
  </cellStyleXfs>
  <cellXfs count="2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13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6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6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5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15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5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6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3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5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5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4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4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6" fillId="4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5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4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16" fillId="2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0" xfId="21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2" fillId="0" borderId="0" xfId="21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22" fillId="0" borderId="0" xfId="2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5" fillId="0" borderId="0" xfId="21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2" fillId="0" borderId="1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2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5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26" fillId="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1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8" fillId="0" borderId="9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8" fillId="0" borderId="10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8" fillId="0" borderId="5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" fillId="0" borderId="4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4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6" fillId="0" borderId="0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9" fillId="0" borderId="1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0" borderId="1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0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5" borderId="0" xfId="21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29" fillId="0" borderId="9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0" borderId="10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2" fillId="0" borderId="5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1" fillId="0" borderId="0" xfId="21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26" fillId="0" borderId="0" xfId="21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0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1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0" borderId="1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0" borderId="13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14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15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0" borderId="5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0" borderId="16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0" borderId="17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0" borderId="18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0" borderId="19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0" borderId="2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0" borderId="2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2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2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1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23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24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1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0" borderId="25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26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25" fillId="0" borderId="7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25" fillId="0" borderId="4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25" fillId="0" borderId="27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25" fillId="0" borderId="28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0" borderId="2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30" fillId="5" borderId="29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0" fillId="5" borderId="16" xfId="21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24" fillId="5" borderId="5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4" fillId="5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4" fillId="5" borderId="16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4" fillId="5" borderId="1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30" fillId="0" borderId="3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0" borderId="27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24" fillId="0" borderId="5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4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4" fillId="0" borderId="16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4" fillId="0" borderId="1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30" fillId="0" borderId="3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20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25" fillId="0" borderId="18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5" fillId="0" borderId="19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5" fillId="0" borderId="2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5" fillId="0" borderId="2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0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0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30" fillId="0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0" borderId="1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0" borderId="32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0" borderId="24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0" borderId="24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32" fillId="0" borderId="33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5" borderId="15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5" borderId="34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5" borderId="35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37" fillId="5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5" borderId="13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0" borderId="17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0" borderId="10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37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0" borderId="36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0" borderId="2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0" borderId="37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38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37" fillId="0" borderId="19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0" borderId="39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0" borderId="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0" borderId="0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0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37" fillId="0" borderId="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8" fillId="0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15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13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9" fillId="0" borderId="40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0" borderId="41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0" borderId="41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0" fillId="0" borderId="4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0" borderId="41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42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1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16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9" fillId="0" borderId="43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0" borderId="0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0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0" fillId="0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0" borderId="44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0" fillId="0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16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2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0" fillId="0" borderId="45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2" fillId="0" borderId="46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41" fillId="0" borderId="46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" fillId="0" borderId="46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47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2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21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0" borderId="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7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2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6" fillId="0" borderId="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0" fontId="4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6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0" fontId="44" fillId="6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2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0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0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5" borderId="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7" fillId="5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4" fillId="5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4" fillId="0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25" fillId="0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0" borderId="0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7" fillId="0" borderId="3" xfId="0" applyFont="true" applyBorder="true" applyAlignment="true" applyProtection="true">
      <alignment horizontal="left" vertical="center" textRotation="0" wrapText="true" indent="7" shrinkToFit="false"/>
      <protection locked="true" hidden="false"/>
    </xf>
    <xf numFmtId="164" fontId="27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7" fillId="5" borderId="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5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left" vertical="center" textRotation="0" wrapText="true" indent="7" shrinkToFit="false"/>
      <protection locked="true" hidden="false"/>
    </xf>
    <xf numFmtId="169" fontId="37" fillId="0" borderId="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ЛокСмета" xfId="20"/>
    <cellStyle name="Обычный 2" xfId="21"/>
    <cellStyle name="Титул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C3D69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4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B19" activeCellId="0" sqref="B19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103.42"/>
    <col collapsed="false" customWidth="true" hidden="false" outlineLevel="0" max="3" min="3" style="1" width="10"/>
    <col collapsed="false" customWidth="true" hidden="false" outlineLevel="0" max="4" min="4" style="1" width="12.86"/>
    <col collapsed="false" customWidth="true" hidden="false" outlineLevel="0" max="5" min="5" style="1" width="48.57"/>
  </cols>
  <sheetData>
    <row r="1" customFormat="false" ht="57.75" hidden="false" customHeight="true" outlineLevel="0" collapsed="false">
      <c r="A1" s="2" t="s">
        <v>0</v>
      </c>
      <c r="B1" s="2"/>
      <c r="C1" s="2"/>
      <c r="D1" s="2"/>
      <c r="E1" s="2"/>
      <c r="F1" s="3"/>
    </row>
    <row r="2" customFormat="false" ht="26.25" hidden="false" customHeight="true" outlineLevel="0" collapsed="false">
      <c r="A2" s="4" t="s">
        <v>1</v>
      </c>
      <c r="B2" s="4"/>
      <c r="C2" s="4"/>
      <c r="D2" s="4"/>
      <c r="E2" s="4"/>
      <c r="F2" s="5"/>
    </row>
    <row r="3" customFormat="false" ht="15.75" hidden="false" customHeight="false" outlineLevel="0" collapsed="false">
      <c r="A3" s="6"/>
      <c r="B3" s="7"/>
      <c r="C3" s="7"/>
      <c r="D3" s="7"/>
      <c r="E3" s="7"/>
      <c r="F3" s="7"/>
    </row>
    <row r="4" customFormat="false" ht="15.75" hidden="false" customHeight="true" outlineLevel="0" collapsed="false">
      <c r="A4" s="8" t="s">
        <v>2</v>
      </c>
      <c r="B4" s="9" t="s">
        <v>3</v>
      </c>
      <c r="C4" s="9"/>
      <c r="D4" s="9"/>
      <c r="E4" s="9"/>
      <c r="F4" s="9"/>
    </row>
    <row r="5" customFormat="false" ht="15.75" hidden="false" customHeight="true" outlineLevel="0" collapsed="false">
      <c r="A5" s="10"/>
      <c r="B5" s="9" t="s">
        <v>4</v>
      </c>
      <c r="C5" s="9"/>
      <c r="D5" s="9"/>
      <c r="E5" s="11"/>
      <c r="F5" s="11"/>
    </row>
    <row r="6" customFormat="false" ht="15.75" hidden="false" customHeight="false" outlineLevel="0" collapsed="false">
      <c r="A6" s="10"/>
      <c r="B6" s="12"/>
      <c r="C6" s="12"/>
      <c r="D6" s="12"/>
      <c r="E6" s="11"/>
      <c r="F6" s="11"/>
    </row>
    <row r="7" customFormat="false" ht="15.75" hidden="false" customHeight="false" outlineLevel="0" collapsed="false">
      <c r="A7" s="10"/>
      <c r="B7" s="13"/>
      <c r="C7" s="13"/>
      <c r="D7" s="13"/>
      <c r="E7" s="13"/>
      <c r="F7" s="13"/>
    </row>
    <row r="8" customFormat="false" ht="33" hidden="false" customHeight="true" outlineLevel="0" collapsed="false">
      <c r="A8" s="10"/>
      <c r="B8" s="13" t="s">
        <v>5</v>
      </c>
      <c r="C8" s="13"/>
      <c r="D8" s="13"/>
      <c r="E8" s="14"/>
      <c r="F8" s="15"/>
    </row>
    <row r="9" customFormat="false" ht="15.75" hidden="false" customHeight="true" outlineLevel="0" collapsed="false">
      <c r="A9" s="10"/>
      <c r="B9" s="9" t="s">
        <v>6</v>
      </c>
      <c r="C9" s="9"/>
      <c r="D9" s="9"/>
      <c r="E9" s="9"/>
      <c r="F9" s="15"/>
    </row>
    <row r="10" customFormat="false" ht="15" hidden="false" customHeight="true" outlineLevel="0" collapsed="false">
      <c r="A10" s="16"/>
      <c r="B10" s="9" t="s">
        <v>7</v>
      </c>
      <c r="C10" s="9"/>
      <c r="D10" s="9"/>
      <c r="E10" s="9"/>
      <c r="F10" s="17"/>
    </row>
    <row r="11" customFormat="false" ht="15" hidden="false" customHeight="true" outlineLevel="0" collapsed="false">
      <c r="A11" s="16"/>
      <c r="B11" s="9" t="s">
        <v>8</v>
      </c>
      <c r="C11" s="9"/>
      <c r="D11" s="9"/>
      <c r="E11" s="9"/>
      <c r="F11" s="17"/>
    </row>
    <row r="12" customFormat="false" ht="44.25" hidden="false" customHeight="true" outlineLevel="0" collapsed="false">
      <c r="A12" s="16"/>
      <c r="B12" s="9" t="s">
        <v>9</v>
      </c>
      <c r="C12" s="9"/>
      <c r="D12" s="9"/>
      <c r="E12" s="18"/>
      <c r="F12" s="17"/>
    </row>
    <row r="13" customFormat="false" ht="15" hidden="false" customHeight="false" outlineLevel="0" collapsed="false">
      <c r="B13" s="1" t="s">
        <v>10</v>
      </c>
    </row>
    <row r="14" customFormat="false" ht="15" hidden="false" customHeight="false" outlineLevel="0" collapsed="false">
      <c r="B14" s="1" t="s">
        <v>11</v>
      </c>
    </row>
  </sheetData>
  <mergeCells count="11">
    <mergeCell ref="A1:E1"/>
    <mergeCell ref="A2:E2"/>
    <mergeCell ref="B4:D4"/>
    <mergeCell ref="E4:F4"/>
    <mergeCell ref="B5:D5"/>
    <mergeCell ref="B7:F7"/>
    <mergeCell ref="B8:D8"/>
    <mergeCell ref="B9:E9"/>
    <mergeCell ref="B10:E10"/>
    <mergeCell ref="B11:E11"/>
    <mergeCell ref="B12:D1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5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31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B38" activeCellId="0" sqref="B38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103.42"/>
    <col collapsed="false" customWidth="true" hidden="false" outlineLevel="0" max="3" min="3" style="1" width="10"/>
    <col collapsed="false" customWidth="true" hidden="false" outlineLevel="0" max="4" min="4" style="1" width="12.86"/>
    <col collapsed="false" customWidth="true" hidden="false" outlineLevel="0" max="5" min="5" style="1" width="53.14"/>
  </cols>
  <sheetData>
    <row r="1" customFormat="false" ht="15" hidden="false" customHeight="true" outlineLevel="0" collapsed="false">
      <c r="A1" s="61" t="s">
        <v>361</v>
      </c>
      <c r="B1" s="61"/>
      <c r="C1" s="61"/>
      <c r="D1" s="61"/>
      <c r="E1" s="61"/>
    </row>
    <row r="2" customFormat="false" ht="15" hidden="false" customHeight="true" outlineLevel="0" collapsed="false">
      <c r="A2" s="61" t="s">
        <v>362</v>
      </c>
      <c r="B2" s="61"/>
      <c r="C2" s="61"/>
      <c r="D2" s="61"/>
      <c r="E2" s="61"/>
    </row>
    <row r="3" customFormat="false" ht="40.5" hidden="false" customHeight="true" outlineLevel="0" collapsed="false">
      <c r="A3" s="21" t="s">
        <v>14</v>
      </c>
      <c r="B3" s="21" t="s">
        <v>15</v>
      </c>
      <c r="C3" s="21" t="s">
        <v>16</v>
      </c>
      <c r="D3" s="21" t="s">
        <v>17</v>
      </c>
      <c r="E3" s="21" t="s">
        <v>18</v>
      </c>
    </row>
    <row r="4" customFormat="false" ht="15" hidden="false" customHeight="false" outlineLevel="0" collapsed="false">
      <c r="A4" s="25" t="s">
        <v>363</v>
      </c>
      <c r="B4" s="32" t="s">
        <v>302</v>
      </c>
      <c r="C4" s="26" t="s">
        <v>303</v>
      </c>
      <c r="D4" s="27" t="n">
        <v>50</v>
      </c>
      <c r="E4" s="26" t="s">
        <v>304</v>
      </c>
    </row>
    <row r="5" customFormat="false" ht="15" hidden="false" customHeight="false" outlineLevel="0" collapsed="false">
      <c r="A5" s="62"/>
      <c r="B5" s="28" t="s">
        <v>305</v>
      </c>
      <c r="C5" s="28" t="s">
        <v>28</v>
      </c>
      <c r="D5" s="39" t="n">
        <f aca="false">D4</f>
        <v>50</v>
      </c>
      <c r="E5" s="28"/>
    </row>
    <row r="6" customFormat="false" ht="15" hidden="false" customHeight="false" outlineLevel="0" collapsed="false">
      <c r="A6" s="25" t="s">
        <v>364</v>
      </c>
      <c r="B6" s="32" t="s">
        <v>365</v>
      </c>
      <c r="C6" s="26" t="s">
        <v>303</v>
      </c>
      <c r="D6" s="27" t="n">
        <v>50</v>
      </c>
      <c r="E6" s="26" t="s">
        <v>304</v>
      </c>
    </row>
    <row r="7" customFormat="false" ht="15" hidden="false" customHeight="false" outlineLevel="0" collapsed="false">
      <c r="A7" s="62"/>
      <c r="B7" s="28" t="s">
        <v>366</v>
      </c>
      <c r="C7" s="28" t="s">
        <v>28</v>
      </c>
      <c r="D7" s="39" t="n">
        <f aca="false">D6</f>
        <v>50</v>
      </c>
      <c r="E7" s="28"/>
    </row>
    <row r="8" customFormat="false" ht="15" hidden="false" customHeight="false" outlineLevel="0" collapsed="false">
      <c r="A8" s="25" t="s">
        <v>367</v>
      </c>
      <c r="B8" s="32" t="s">
        <v>307</v>
      </c>
      <c r="C8" s="26" t="s">
        <v>303</v>
      </c>
      <c r="D8" s="27" t="n">
        <f aca="false">D4+D6</f>
        <v>100</v>
      </c>
      <c r="E8" s="26" t="s">
        <v>304</v>
      </c>
    </row>
    <row r="9" customFormat="false" ht="15" hidden="false" customHeight="false" outlineLevel="0" collapsed="false">
      <c r="A9" s="25" t="s">
        <v>368</v>
      </c>
      <c r="B9" s="32" t="s">
        <v>118</v>
      </c>
      <c r="C9" s="26" t="s">
        <v>21</v>
      </c>
      <c r="D9" s="27" t="n">
        <f aca="false">ROUNDUP(D8*3,0)</f>
        <v>300</v>
      </c>
      <c r="E9" s="26" t="s">
        <v>304</v>
      </c>
    </row>
    <row r="10" customFormat="false" ht="15" hidden="false" customHeight="false" outlineLevel="0" collapsed="false">
      <c r="A10" s="63"/>
      <c r="B10" s="28" t="s">
        <v>120</v>
      </c>
      <c r="C10" s="28" t="s">
        <v>21</v>
      </c>
      <c r="D10" s="39" t="n">
        <f aca="false">D9</f>
        <v>300</v>
      </c>
      <c r="E10" s="64"/>
    </row>
    <row r="11" customFormat="false" ht="15" hidden="false" customHeight="false" outlineLevel="0" collapsed="false">
      <c r="A11" s="63"/>
      <c r="B11" s="28" t="s">
        <v>121</v>
      </c>
      <c r="C11" s="28" t="s">
        <v>21</v>
      </c>
      <c r="D11" s="39" t="n">
        <f aca="false">D9</f>
        <v>300</v>
      </c>
      <c r="E11" s="64"/>
    </row>
    <row r="12" customFormat="false" ht="15" hidden="false" customHeight="false" outlineLevel="0" collapsed="false">
      <c r="A12" s="63"/>
      <c r="B12" s="28" t="s">
        <v>111</v>
      </c>
      <c r="C12" s="28" t="s">
        <v>28</v>
      </c>
      <c r="D12" s="39" t="n">
        <f aca="false">D6+D4</f>
        <v>100</v>
      </c>
      <c r="E12" s="64"/>
    </row>
    <row r="13" customFormat="false" ht="15" hidden="false" customHeight="false" outlineLevel="0" collapsed="false">
      <c r="A13" s="25" t="s">
        <v>369</v>
      </c>
      <c r="B13" s="32" t="s">
        <v>310</v>
      </c>
      <c r="C13" s="26" t="s">
        <v>21</v>
      </c>
      <c r="D13" s="27" t="n">
        <v>2</v>
      </c>
      <c r="E13" s="26" t="s">
        <v>311</v>
      </c>
    </row>
    <row r="14" customFormat="false" ht="15" hidden="false" customHeight="false" outlineLevel="0" collapsed="false">
      <c r="A14" s="25" t="s">
        <v>370</v>
      </c>
      <c r="B14" s="32" t="s">
        <v>371</v>
      </c>
      <c r="C14" s="26" t="s">
        <v>21</v>
      </c>
      <c r="D14" s="27" t="n">
        <v>2</v>
      </c>
      <c r="E14" s="26" t="s">
        <v>311</v>
      </c>
    </row>
    <row r="15" customFormat="false" ht="15" hidden="false" customHeight="false" outlineLevel="0" collapsed="false">
      <c r="A15" s="25" t="s">
        <v>372</v>
      </c>
      <c r="B15" s="32" t="s">
        <v>313</v>
      </c>
      <c r="C15" s="26" t="s">
        <v>21</v>
      </c>
      <c r="D15" s="27" t="n">
        <f aca="false">D13*4+D14*3</f>
        <v>14</v>
      </c>
      <c r="E15" s="26" t="s">
        <v>304</v>
      </c>
    </row>
    <row r="16" customFormat="false" ht="15" hidden="false" customHeight="false" outlineLevel="0" collapsed="false">
      <c r="A16" s="25"/>
      <c r="B16" s="28" t="s">
        <v>314</v>
      </c>
      <c r="C16" s="28" t="s">
        <v>21</v>
      </c>
      <c r="D16" s="39" t="n">
        <f aca="false">D13*4</f>
        <v>8</v>
      </c>
      <c r="E16" s="26"/>
    </row>
    <row r="17" customFormat="false" ht="15" hidden="false" customHeight="false" outlineLevel="0" collapsed="false">
      <c r="A17" s="62"/>
      <c r="B17" s="28" t="s">
        <v>373</v>
      </c>
      <c r="C17" s="28" t="s">
        <v>21</v>
      </c>
      <c r="D17" s="39" t="n">
        <f aca="false">D14*3</f>
        <v>6</v>
      </c>
      <c r="E17" s="28"/>
    </row>
    <row r="18" customFormat="false" ht="15" hidden="true" customHeight="false" outlineLevel="0" collapsed="false">
      <c r="A18" s="25" t="s">
        <v>315</v>
      </c>
      <c r="B18" s="32" t="s">
        <v>316</v>
      </c>
      <c r="C18" s="32" t="s">
        <v>21</v>
      </c>
      <c r="D18" s="33" t="n">
        <v>13</v>
      </c>
      <c r="E18" s="26" t="s">
        <v>317</v>
      </c>
    </row>
    <row r="19" customFormat="false" ht="15" hidden="false" customHeight="false" outlineLevel="0" collapsed="false">
      <c r="A19" s="25" t="s">
        <v>374</v>
      </c>
      <c r="B19" s="32" t="s">
        <v>319</v>
      </c>
      <c r="C19" s="26" t="s">
        <v>21</v>
      </c>
      <c r="D19" s="27" t="n">
        <f aca="false">D20+D21</f>
        <v>8</v>
      </c>
      <c r="E19" s="42" t="s">
        <v>304</v>
      </c>
    </row>
    <row r="20" customFormat="false" ht="15" hidden="false" customHeight="false" outlineLevel="0" collapsed="false">
      <c r="A20" s="62"/>
      <c r="B20" s="28" t="s">
        <v>320</v>
      </c>
      <c r="C20" s="28" t="s">
        <v>21</v>
      </c>
      <c r="D20" s="39" t="n">
        <v>4</v>
      </c>
      <c r="E20" s="42"/>
    </row>
    <row r="21" customFormat="false" ht="15" hidden="false" customHeight="false" outlineLevel="0" collapsed="false">
      <c r="A21" s="62"/>
      <c r="B21" s="28" t="s">
        <v>375</v>
      </c>
      <c r="C21" s="28" t="s">
        <v>21</v>
      </c>
      <c r="D21" s="39" t="n">
        <v>4</v>
      </c>
      <c r="E21" s="42"/>
    </row>
    <row r="22" customFormat="false" ht="15" hidden="false" customHeight="false" outlineLevel="0" collapsed="false">
      <c r="A22" s="62"/>
      <c r="B22" s="28" t="s">
        <v>321</v>
      </c>
      <c r="C22" s="28" t="s">
        <v>21</v>
      </c>
      <c r="D22" s="39" t="n">
        <f aca="false">D19</f>
        <v>8</v>
      </c>
      <c r="E22" s="42"/>
    </row>
    <row r="23" customFormat="false" ht="15" hidden="false" customHeight="false" outlineLevel="0" collapsed="false">
      <c r="A23" s="25" t="s">
        <v>376</v>
      </c>
      <c r="B23" s="32" t="s">
        <v>323</v>
      </c>
      <c r="C23" s="26" t="s">
        <v>21</v>
      </c>
      <c r="D23" s="27" t="n">
        <v>4</v>
      </c>
      <c r="E23" s="42"/>
    </row>
    <row r="24" customFormat="false" ht="15" hidden="false" customHeight="false" outlineLevel="0" collapsed="false">
      <c r="A24" s="65"/>
      <c r="B24" s="28" t="s">
        <v>124</v>
      </c>
      <c r="C24" s="28" t="s">
        <v>28</v>
      </c>
      <c r="D24" s="39" t="n">
        <f aca="false">D23*0.2</f>
        <v>0.8</v>
      </c>
      <c r="E24" s="42" t="s">
        <v>125</v>
      </c>
    </row>
    <row r="25" customFormat="false" ht="15" hidden="false" customHeight="false" outlineLevel="0" collapsed="false">
      <c r="A25" s="66" t="s">
        <v>377</v>
      </c>
      <c r="B25" s="67" t="s">
        <v>325</v>
      </c>
      <c r="C25" s="68" t="s">
        <v>21</v>
      </c>
      <c r="D25" s="69" t="n">
        <v>1</v>
      </c>
      <c r="E25" s="70" t="s">
        <v>378</v>
      </c>
    </row>
    <row r="26" customFormat="false" ht="15" hidden="false" customHeight="false" outlineLevel="0" collapsed="false">
      <c r="A26" s="71" t="s">
        <v>379</v>
      </c>
      <c r="B26" s="67" t="s">
        <v>325</v>
      </c>
      <c r="C26" s="68" t="s">
        <v>21</v>
      </c>
      <c r="D26" s="69" t="n">
        <v>1</v>
      </c>
      <c r="E26" s="70" t="s">
        <v>326</v>
      </c>
    </row>
    <row r="27" customFormat="false" ht="15" hidden="false" customHeight="false" outlineLevel="0" collapsed="false">
      <c r="A27" s="20" t="s">
        <v>380</v>
      </c>
      <c r="B27" s="20"/>
      <c r="C27" s="20"/>
      <c r="D27" s="20"/>
      <c r="E27" s="20"/>
    </row>
    <row r="28" customFormat="false" ht="30" hidden="false" customHeight="false" outlineLevel="0" collapsed="false">
      <c r="A28" s="25" t="s">
        <v>381</v>
      </c>
      <c r="B28" s="32" t="s">
        <v>382</v>
      </c>
      <c r="C28" s="26" t="s">
        <v>21</v>
      </c>
      <c r="D28" s="27" t="n">
        <v>1</v>
      </c>
      <c r="E28" s="28" t="s">
        <v>383</v>
      </c>
    </row>
    <row r="29" customFormat="false" ht="15" hidden="false" customHeight="false" outlineLevel="0" collapsed="false">
      <c r="A29" s="72"/>
      <c r="B29" s="28" t="s">
        <v>384</v>
      </c>
      <c r="C29" s="28" t="s">
        <v>28</v>
      </c>
      <c r="D29" s="39" t="n">
        <v>6</v>
      </c>
      <c r="E29" s="28" t="s">
        <v>385</v>
      </c>
    </row>
    <row r="30" customFormat="false" ht="15" hidden="false" customHeight="false" outlineLevel="0" collapsed="false">
      <c r="A30" s="25" t="s">
        <v>386</v>
      </c>
      <c r="B30" s="32" t="s">
        <v>387</v>
      </c>
      <c r="C30" s="26" t="s">
        <v>200</v>
      </c>
      <c r="D30" s="26" t="n">
        <f aca="false">0.08-0.023</f>
        <v>0.057</v>
      </c>
      <c r="E30" s="28"/>
    </row>
    <row r="31" customFormat="false" ht="15" hidden="false" customHeight="false" outlineLevel="0" collapsed="false">
      <c r="A31" s="72"/>
      <c r="B31" s="28" t="s">
        <v>388</v>
      </c>
      <c r="C31" s="28" t="s">
        <v>389</v>
      </c>
      <c r="D31" s="39" t="n">
        <f aca="false">D30*1600</f>
        <v>91.2</v>
      </c>
      <c r="E31" s="28" t="s">
        <v>390</v>
      </c>
    </row>
  </sheetData>
  <mergeCells count="3">
    <mergeCell ref="A1:E1"/>
    <mergeCell ref="A2:E2"/>
    <mergeCell ref="A27:E2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5" man="true" max="65535" min="0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6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A4" activeCellId="0" sqref="A4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103.42"/>
    <col collapsed="false" customWidth="true" hidden="false" outlineLevel="0" max="3" min="3" style="1" width="10"/>
    <col collapsed="false" customWidth="true" hidden="false" outlineLevel="0" max="4" min="4" style="1" width="12.86"/>
    <col collapsed="false" customWidth="true" hidden="false" outlineLevel="0" max="5" min="5" style="1" width="48.57"/>
  </cols>
  <sheetData>
    <row r="1" customFormat="false" ht="15" hidden="false" customHeight="true" outlineLevel="0" collapsed="false">
      <c r="A1" s="61" t="s">
        <v>391</v>
      </c>
      <c r="B1" s="61"/>
      <c r="C1" s="61"/>
      <c r="D1" s="61"/>
      <c r="E1" s="61"/>
    </row>
    <row r="2" customFormat="false" ht="15" hidden="false" customHeight="true" outlineLevel="0" collapsed="false">
      <c r="A2" s="61" t="s">
        <v>392</v>
      </c>
      <c r="B2" s="61"/>
      <c r="C2" s="61"/>
      <c r="D2" s="61"/>
      <c r="E2" s="61"/>
    </row>
    <row r="3" customFormat="false" ht="47.25" hidden="false" customHeight="true" outlineLevel="0" collapsed="false">
      <c r="A3" s="21" t="s">
        <v>14</v>
      </c>
      <c r="B3" s="21" t="s">
        <v>15</v>
      </c>
      <c r="C3" s="21" t="s">
        <v>16</v>
      </c>
      <c r="D3" s="21" t="s">
        <v>17</v>
      </c>
      <c r="E3" s="21" t="s">
        <v>18</v>
      </c>
    </row>
    <row r="4" customFormat="false" ht="15" hidden="false" customHeight="false" outlineLevel="0" collapsed="false">
      <c r="A4" s="25" t="s">
        <v>393</v>
      </c>
      <c r="B4" s="32" t="s">
        <v>394</v>
      </c>
      <c r="C4" s="26" t="s">
        <v>303</v>
      </c>
      <c r="D4" s="27" t="n">
        <f aca="false">10+10</f>
        <v>20</v>
      </c>
      <c r="E4" s="42"/>
    </row>
    <row r="5" customFormat="false" ht="15" hidden="false" customHeight="false" outlineLevel="0" collapsed="false">
      <c r="A5" s="62"/>
      <c r="B5" s="28" t="s">
        <v>395</v>
      </c>
      <c r="C5" s="28" t="s">
        <v>28</v>
      </c>
      <c r="D5" s="39" t="n">
        <f aca="false">D4</f>
        <v>20</v>
      </c>
      <c r="E5" s="42"/>
    </row>
    <row r="6" customFormat="false" ht="15" hidden="false" customHeight="false" outlineLevel="0" collapsed="false">
      <c r="A6" s="25" t="s">
        <v>396</v>
      </c>
      <c r="B6" s="32" t="s">
        <v>307</v>
      </c>
      <c r="C6" s="26" t="s">
        <v>303</v>
      </c>
      <c r="D6" s="27" t="n">
        <f aca="false">D4</f>
        <v>20</v>
      </c>
      <c r="E6" s="42"/>
    </row>
    <row r="7" customFormat="false" ht="15" hidden="false" customHeight="false" outlineLevel="0" collapsed="false">
      <c r="A7" s="25" t="s">
        <v>397</v>
      </c>
      <c r="B7" s="32" t="s">
        <v>118</v>
      </c>
      <c r="C7" s="26" t="s">
        <v>21</v>
      </c>
      <c r="D7" s="73" t="n">
        <f aca="false">D4/0.5</f>
        <v>40</v>
      </c>
      <c r="E7" s="42"/>
    </row>
    <row r="8" customFormat="false" ht="15" hidden="false" customHeight="false" outlineLevel="0" collapsed="false">
      <c r="A8" s="63"/>
      <c r="B8" s="28" t="s">
        <v>120</v>
      </c>
      <c r="C8" s="28" t="s">
        <v>21</v>
      </c>
      <c r="D8" s="74" t="n">
        <f aca="false">D7</f>
        <v>40</v>
      </c>
      <c r="E8" s="42"/>
    </row>
    <row r="9" customFormat="false" ht="15" hidden="false" customHeight="false" outlineLevel="0" collapsed="false">
      <c r="A9" s="63"/>
      <c r="B9" s="28" t="s">
        <v>121</v>
      </c>
      <c r="C9" s="28" t="s">
        <v>21</v>
      </c>
      <c r="D9" s="74" t="n">
        <f aca="false">D7</f>
        <v>40</v>
      </c>
      <c r="E9" s="42"/>
    </row>
    <row r="10" customFormat="false" ht="15" hidden="false" customHeight="false" outlineLevel="0" collapsed="false">
      <c r="A10" s="63"/>
      <c r="B10" s="28" t="s">
        <v>111</v>
      </c>
      <c r="C10" s="28" t="s">
        <v>28</v>
      </c>
      <c r="D10" s="39" t="n">
        <f aca="false">D6</f>
        <v>20</v>
      </c>
      <c r="E10" s="42"/>
    </row>
    <row r="11" customFormat="false" ht="15" hidden="false" customHeight="false" outlineLevel="0" collapsed="false">
      <c r="A11" s="25" t="s">
        <v>398</v>
      </c>
      <c r="B11" s="25" t="s">
        <v>356</v>
      </c>
      <c r="C11" s="25" t="s">
        <v>21</v>
      </c>
      <c r="D11" s="27" t="n">
        <v>4</v>
      </c>
      <c r="E11" s="42" t="s">
        <v>311</v>
      </c>
    </row>
    <row r="12" customFormat="false" ht="15" hidden="false" customHeight="false" outlineLevel="0" collapsed="false">
      <c r="A12" s="63"/>
      <c r="B12" s="25" t="s">
        <v>399</v>
      </c>
      <c r="C12" s="25" t="s">
        <v>21</v>
      </c>
      <c r="D12" s="27" t="n">
        <v>4</v>
      </c>
      <c r="E12" s="42"/>
    </row>
    <row r="13" customFormat="false" ht="15" hidden="false" customHeight="false" outlineLevel="0" collapsed="false">
      <c r="A13" s="63"/>
      <c r="B13" s="28" t="s">
        <v>400</v>
      </c>
      <c r="C13" s="28" t="s">
        <v>21</v>
      </c>
      <c r="D13" s="39" t="n">
        <v>1</v>
      </c>
      <c r="E13" s="42" t="s">
        <v>401</v>
      </c>
    </row>
    <row r="14" customFormat="false" ht="15" hidden="false" customHeight="false" outlineLevel="0" collapsed="false">
      <c r="A14" s="25" t="s">
        <v>402</v>
      </c>
      <c r="B14" s="32" t="s">
        <v>319</v>
      </c>
      <c r="C14" s="26" t="s">
        <v>21</v>
      </c>
      <c r="D14" s="27" t="n">
        <f aca="false">ROUNDUP(D4/10,0)+2</f>
        <v>4</v>
      </c>
      <c r="E14" s="42" t="s">
        <v>304</v>
      </c>
    </row>
    <row r="15" customFormat="false" ht="15" hidden="false" customHeight="false" outlineLevel="0" collapsed="false">
      <c r="A15" s="28"/>
      <c r="B15" s="28" t="s">
        <v>320</v>
      </c>
      <c r="C15" s="28" t="s">
        <v>21</v>
      </c>
      <c r="D15" s="39" t="n">
        <f aca="false">D14</f>
        <v>4</v>
      </c>
      <c r="E15" s="42"/>
    </row>
    <row r="16" customFormat="false" ht="15" hidden="false" customHeight="false" outlineLevel="0" collapsed="false">
      <c r="A16" s="28"/>
      <c r="B16" s="28" t="s">
        <v>321</v>
      </c>
      <c r="C16" s="28" t="s">
        <v>21</v>
      </c>
      <c r="D16" s="39" t="n">
        <f aca="false">D14</f>
        <v>4</v>
      </c>
      <c r="E16" s="42"/>
    </row>
  </sheetData>
  <mergeCells count="2">
    <mergeCell ref="A1:E1"/>
    <mergeCell ref="A2:E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5" man="true" max="65535" min="0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8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A4" activeCellId="0" sqref="A4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103.42"/>
    <col collapsed="false" customWidth="true" hidden="false" outlineLevel="0" max="3" min="3" style="1" width="10"/>
    <col collapsed="false" customWidth="true" hidden="false" outlineLevel="0" max="4" min="4" style="1" width="12.86"/>
    <col collapsed="false" customWidth="true" hidden="false" outlineLevel="0" max="5" min="5" style="1" width="48.57"/>
  </cols>
  <sheetData>
    <row r="1" customFormat="false" ht="15" hidden="false" customHeight="true" outlineLevel="0" collapsed="false">
      <c r="A1" s="61" t="s">
        <v>403</v>
      </c>
      <c r="B1" s="61"/>
      <c r="C1" s="61"/>
      <c r="D1" s="61"/>
      <c r="E1" s="61"/>
    </row>
    <row r="2" customFormat="false" ht="15" hidden="false" customHeight="true" outlineLevel="0" collapsed="false">
      <c r="A2" s="61" t="s">
        <v>404</v>
      </c>
      <c r="B2" s="61"/>
      <c r="C2" s="61"/>
      <c r="D2" s="61"/>
      <c r="E2" s="61"/>
    </row>
    <row r="3" customFormat="false" ht="38.25" hidden="false" customHeight="true" outlineLevel="0" collapsed="false">
      <c r="A3" s="21" t="s">
        <v>14</v>
      </c>
      <c r="B3" s="21" t="s">
        <v>15</v>
      </c>
      <c r="C3" s="21" t="s">
        <v>16</v>
      </c>
      <c r="D3" s="21" t="s">
        <v>17</v>
      </c>
      <c r="E3" s="21" t="s">
        <v>18</v>
      </c>
    </row>
    <row r="4" customFormat="false" ht="15" hidden="false" customHeight="false" outlineLevel="0" collapsed="false">
      <c r="A4" s="25" t="s">
        <v>405</v>
      </c>
      <c r="B4" s="32" t="s">
        <v>406</v>
      </c>
      <c r="C4" s="26" t="s">
        <v>303</v>
      </c>
      <c r="D4" s="27" t="n">
        <v>200</v>
      </c>
      <c r="E4" s="42"/>
    </row>
    <row r="5" customFormat="false" ht="15" hidden="false" customHeight="false" outlineLevel="0" collapsed="false">
      <c r="A5" s="62"/>
      <c r="B5" s="28" t="s">
        <v>407</v>
      </c>
      <c r="C5" s="28" t="s">
        <v>28</v>
      </c>
      <c r="D5" s="39" t="n">
        <f aca="false">D4</f>
        <v>200</v>
      </c>
      <c r="E5" s="42"/>
    </row>
    <row r="6" customFormat="false" ht="15" hidden="false" customHeight="false" outlineLevel="0" collapsed="false">
      <c r="A6" s="25" t="s">
        <v>408</v>
      </c>
      <c r="B6" s="32" t="s">
        <v>307</v>
      </c>
      <c r="C6" s="26" t="s">
        <v>303</v>
      </c>
      <c r="D6" s="27" t="n">
        <f aca="false">D4</f>
        <v>200</v>
      </c>
      <c r="E6" s="42"/>
    </row>
    <row r="7" customFormat="false" ht="15" hidden="false" customHeight="false" outlineLevel="0" collapsed="false">
      <c r="A7" s="25" t="s">
        <v>409</v>
      </c>
      <c r="B7" s="32" t="s">
        <v>118</v>
      </c>
      <c r="C7" s="26" t="s">
        <v>21</v>
      </c>
      <c r="D7" s="73" t="n">
        <f aca="false">D4/0.3</f>
        <v>666.666666666667</v>
      </c>
      <c r="E7" s="42"/>
    </row>
    <row r="8" customFormat="false" ht="15" hidden="false" customHeight="false" outlineLevel="0" collapsed="false">
      <c r="A8" s="63"/>
      <c r="B8" s="28" t="s">
        <v>120</v>
      </c>
      <c r="C8" s="28" t="s">
        <v>21</v>
      </c>
      <c r="D8" s="74" t="n">
        <f aca="false">D7</f>
        <v>666.666666666667</v>
      </c>
      <c r="E8" s="42"/>
    </row>
    <row r="9" customFormat="false" ht="15" hidden="false" customHeight="false" outlineLevel="0" collapsed="false">
      <c r="A9" s="63"/>
      <c r="B9" s="28" t="s">
        <v>121</v>
      </c>
      <c r="C9" s="28" t="s">
        <v>21</v>
      </c>
      <c r="D9" s="74" t="n">
        <f aca="false">D7</f>
        <v>666.666666666667</v>
      </c>
      <c r="E9" s="42"/>
    </row>
    <row r="10" customFormat="false" ht="15" hidden="false" customHeight="false" outlineLevel="0" collapsed="false">
      <c r="A10" s="63"/>
      <c r="B10" s="28" t="s">
        <v>111</v>
      </c>
      <c r="C10" s="28" t="s">
        <v>28</v>
      </c>
      <c r="D10" s="39" t="n">
        <f aca="false">D6</f>
        <v>200</v>
      </c>
      <c r="E10" s="42"/>
    </row>
    <row r="11" customFormat="false" ht="15" hidden="false" customHeight="false" outlineLevel="0" collapsed="false">
      <c r="A11" s="63"/>
      <c r="B11" s="28" t="s">
        <v>332</v>
      </c>
      <c r="C11" s="28" t="s">
        <v>21</v>
      </c>
      <c r="D11" s="39" t="n">
        <f aca="false">ROUNDUP(D4/100,0)</f>
        <v>2</v>
      </c>
      <c r="E11" s="42"/>
    </row>
    <row r="12" customFormat="false" ht="15" hidden="false" customHeight="false" outlineLevel="0" collapsed="false">
      <c r="A12" s="63"/>
      <c r="B12" s="28" t="s">
        <v>333</v>
      </c>
      <c r="C12" s="28" t="s">
        <v>21</v>
      </c>
      <c r="D12" s="39" t="n">
        <f aca="false">ROUNDUP(D4/100,0)</f>
        <v>2</v>
      </c>
      <c r="E12" s="42"/>
    </row>
    <row r="13" customFormat="false" ht="15" hidden="false" customHeight="false" outlineLevel="0" collapsed="false">
      <c r="A13" s="25" t="s">
        <v>410</v>
      </c>
      <c r="B13" s="32" t="s">
        <v>319</v>
      </c>
      <c r="C13" s="26" t="s">
        <v>21</v>
      </c>
      <c r="D13" s="27" t="n">
        <f aca="false">ROUNDUP(D4/50,0)+2+2</f>
        <v>8</v>
      </c>
      <c r="E13" s="42" t="s">
        <v>304</v>
      </c>
    </row>
    <row r="14" customFormat="false" ht="15" hidden="false" customHeight="false" outlineLevel="0" collapsed="false">
      <c r="A14" s="28"/>
      <c r="B14" s="28" t="s">
        <v>320</v>
      </c>
      <c r="C14" s="28" t="s">
        <v>21</v>
      </c>
      <c r="D14" s="39" t="n">
        <f aca="false">D13</f>
        <v>8</v>
      </c>
      <c r="E14" s="42"/>
    </row>
    <row r="15" customFormat="false" ht="15" hidden="false" customHeight="false" outlineLevel="0" collapsed="false">
      <c r="A15" s="28"/>
      <c r="B15" s="28" t="s">
        <v>321</v>
      </c>
      <c r="C15" s="28" t="s">
        <v>21</v>
      </c>
      <c r="D15" s="39" t="n">
        <f aca="false">D13</f>
        <v>8</v>
      </c>
      <c r="E15" s="42"/>
    </row>
    <row r="16" customFormat="false" ht="15" hidden="false" customHeight="false" outlineLevel="0" collapsed="false">
      <c r="A16" s="25" t="s">
        <v>411</v>
      </c>
      <c r="B16" s="32" t="s">
        <v>323</v>
      </c>
      <c r="C16" s="26" t="s">
        <v>21</v>
      </c>
      <c r="D16" s="27" t="n">
        <v>2</v>
      </c>
      <c r="E16" s="42"/>
    </row>
    <row r="17" customFormat="false" ht="15" hidden="false" customHeight="false" outlineLevel="0" collapsed="false">
      <c r="A17" s="72"/>
      <c r="B17" s="28" t="s">
        <v>124</v>
      </c>
      <c r="C17" s="28" t="s">
        <v>28</v>
      </c>
      <c r="D17" s="39" t="n">
        <f aca="false">D16*0.2</f>
        <v>0.4</v>
      </c>
      <c r="E17" s="42" t="s">
        <v>125</v>
      </c>
    </row>
    <row r="18" customFormat="false" ht="30" hidden="false" customHeight="false" outlineLevel="0" collapsed="false">
      <c r="A18" s="25" t="s">
        <v>412</v>
      </c>
      <c r="B18" s="32" t="s">
        <v>413</v>
      </c>
      <c r="C18" s="26" t="s">
        <v>21</v>
      </c>
      <c r="D18" s="27" t="n">
        <v>1</v>
      </c>
      <c r="E18" s="42" t="s">
        <v>414</v>
      </c>
    </row>
  </sheetData>
  <mergeCells count="2">
    <mergeCell ref="A1:E1"/>
    <mergeCell ref="A2:E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5" man="true" max="65535" min="0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8"/>
  <sheetViews>
    <sheetView showFormulas="false" showGridLines="true" showRowColHeaders="true" showZeros="true" rightToLeft="false" tabSelected="false" showOutlineSymbols="true" defaultGridColor="true" view="pageBreakPreview" topLeftCell="A2" colorId="64" zoomScale="90" zoomScaleNormal="100" zoomScalePageLayoutView="90" workbookViewId="0">
      <selection pane="topLeft" activeCell="B27" activeCellId="0" sqref="B2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103.42"/>
    <col collapsed="false" customWidth="true" hidden="false" outlineLevel="0" max="3" min="3" style="1" width="10"/>
    <col collapsed="false" customWidth="true" hidden="false" outlineLevel="0" max="4" min="4" style="1" width="12.86"/>
    <col collapsed="false" customWidth="true" hidden="false" outlineLevel="0" max="5" min="5" style="1" width="48.57"/>
  </cols>
  <sheetData>
    <row r="1" customFormat="false" ht="15" hidden="false" customHeight="true" outlineLevel="0" collapsed="false">
      <c r="A1" s="61" t="s">
        <v>415</v>
      </c>
      <c r="B1" s="61"/>
      <c r="C1" s="61"/>
      <c r="D1" s="61"/>
      <c r="E1" s="61"/>
    </row>
    <row r="2" customFormat="false" ht="15" hidden="false" customHeight="true" outlineLevel="0" collapsed="false">
      <c r="A2" s="61" t="s">
        <v>404</v>
      </c>
      <c r="B2" s="61"/>
      <c r="C2" s="61"/>
      <c r="D2" s="61"/>
      <c r="E2" s="61"/>
    </row>
    <row r="3" customFormat="false" ht="47.25" hidden="false" customHeight="true" outlineLevel="0" collapsed="false">
      <c r="A3" s="21" t="s">
        <v>14</v>
      </c>
      <c r="B3" s="21" t="s">
        <v>15</v>
      </c>
      <c r="C3" s="21" t="s">
        <v>16</v>
      </c>
      <c r="D3" s="21" t="s">
        <v>17</v>
      </c>
      <c r="E3" s="21" t="s">
        <v>18</v>
      </c>
    </row>
    <row r="4" customFormat="false" ht="15" hidden="false" customHeight="false" outlineLevel="0" collapsed="false">
      <c r="A4" s="25" t="s">
        <v>416</v>
      </c>
      <c r="B4" s="32" t="s">
        <v>406</v>
      </c>
      <c r="C4" s="26" t="s">
        <v>303</v>
      </c>
      <c r="D4" s="27" t="n">
        <v>420</v>
      </c>
      <c r="E4" s="42"/>
    </row>
    <row r="5" customFormat="false" ht="15" hidden="false" customHeight="false" outlineLevel="0" collapsed="false">
      <c r="A5" s="62"/>
      <c r="B5" s="28" t="s">
        <v>407</v>
      </c>
      <c r="C5" s="28" t="s">
        <v>28</v>
      </c>
      <c r="D5" s="39" t="n">
        <f aca="false">D4</f>
        <v>420</v>
      </c>
      <c r="E5" s="42"/>
    </row>
    <row r="6" customFormat="false" ht="15" hidden="false" customHeight="false" outlineLevel="0" collapsed="false">
      <c r="A6" s="25" t="s">
        <v>417</v>
      </c>
      <c r="B6" s="32" t="s">
        <v>307</v>
      </c>
      <c r="C6" s="26" t="s">
        <v>303</v>
      </c>
      <c r="D6" s="27" t="n">
        <f aca="false">D4</f>
        <v>420</v>
      </c>
      <c r="E6" s="42"/>
    </row>
    <row r="7" customFormat="false" ht="15" hidden="false" customHeight="false" outlineLevel="0" collapsed="false">
      <c r="A7" s="25" t="s">
        <v>418</v>
      </c>
      <c r="B7" s="32" t="s">
        <v>118</v>
      </c>
      <c r="C7" s="26" t="s">
        <v>21</v>
      </c>
      <c r="D7" s="73" t="n">
        <f aca="false">D4/0.3</f>
        <v>1400</v>
      </c>
      <c r="E7" s="42"/>
    </row>
    <row r="8" customFormat="false" ht="15" hidden="false" customHeight="false" outlineLevel="0" collapsed="false">
      <c r="A8" s="63"/>
      <c r="B8" s="28" t="s">
        <v>120</v>
      </c>
      <c r="C8" s="28" t="s">
        <v>21</v>
      </c>
      <c r="D8" s="74" t="n">
        <f aca="false">D7</f>
        <v>1400</v>
      </c>
      <c r="E8" s="42"/>
    </row>
    <row r="9" customFormat="false" ht="15" hidden="false" customHeight="false" outlineLevel="0" collapsed="false">
      <c r="A9" s="63"/>
      <c r="B9" s="28" t="s">
        <v>121</v>
      </c>
      <c r="C9" s="28" t="s">
        <v>21</v>
      </c>
      <c r="D9" s="74" t="n">
        <f aca="false">D7</f>
        <v>1400</v>
      </c>
      <c r="E9" s="42"/>
    </row>
    <row r="10" customFormat="false" ht="15" hidden="false" customHeight="false" outlineLevel="0" collapsed="false">
      <c r="A10" s="63"/>
      <c r="B10" s="28" t="s">
        <v>111</v>
      </c>
      <c r="C10" s="28" t="s">
        <v>28</v>
      </c>
      <c r="D10" s="39" t="n">
        <f aca="false">D6</f>
        <v>420</v>
      </c>
      <c r="E10" s="42"/>
    </row>
    <row r="11" customFormat="false" ht="15" hidden="false" customHeight="false" outlineLevel="0" collapsed="false">
      <c r="A11" s="63"/>
      <c r="B11" s="28" t="s">
        <v>332</v>
      </c>
      <c r="C11" s="28" t="s">
        <v>21</v>
      </c>
      <c r="D11" s="39" t="n">
        <f aca="false">ROUNDUP(D4/100,0)</f>
        <v>5</v>
      </c>
      <c r="E11" s="42"/>
    </row>
    <row r="12" customFormat="false" ht="15" hidden="false" customHeight="false" outlineLevel="0" collapsed="false">
      <c r="A12" s="63"/>
      <c r="B12" s="28" t="s">
        <v>333</v>
      </c>
      <c r="C12" s="28" t="s">
        <v>21</v>
      </c>
      <c r="D12" s="39" t="n">
        <f aca="false">ROUNDUP(D4/100,0)</f>
        <v>5</v>
      </c>
      <c r="E12" s="42"/>
    </row>
    <row r="13" customFormat="false" ht="15" hidden="false" customHeight="false" outlineLevel="0" collapsed="false">
      <c r="A13" s="25" t="s">
        <v>419</v>
      </c>
      <c r="B13" s="32" t="s">
        <v>319</v>
      </c>
      <c r="C13" s="26" t="s">
        <v>21</v>
      </c>
      <c r="D13" s="27" t="n">
        <f aca="false">ROUNDUP(D4/50,0)+2+2</f>
        <v>13</v>
      </c>
      <c r="E13" s="42" t="s">
        <v>304</v>
      </c>
    </row>
    <row r="14" customFormat="false" ht="15" hidden="false" customHeight="false" outlineLevel="0" collapsed="false">
      <c r="A14" s="28"/>
      <c r="B14" s="28" t="s">
        <v>320</v>
      </c>
      <c r="C14" s="28" t="s">
        <v>21</v>
      </c>
      <c r="D14" s="39" t="n">
        <f aca="false">D13</f>
        <v>13</v>
      </c>
      <c r="E14" s="42"/>
    </row>
    <row r="15" customFormat="false" ht="15" hidden="false" customHeight="false" outlineLevel="0" collapsed="false">
      <c r="A15" s="28"/>
      <c r="B15" s="28" t="s">
        <v>321</v>
      </c>
      <c r="C15" s="28" t="s">
        <v>21</v>
      </c>
      <c r="D15" s="39" t="n">
        <f aca="false">D13</f>
        <v>13</v>
      </c>
      <c r="E15" s="42"/>
    </row>
    <row r="16" customFormat="false" ht="15" hidden="false" customHeight="false" outlineLevel="0" collapsed="false">
      <c r="A16" s="25" t="s">
        <v>420</v>
      </c>
      <c r="B16" s="32" t="s">
        <v>323</v>
      </c>
      <c r="C16" s="26" t="s">
        <v>21</v>
      </c>
      <c r="D16" s="27" t="n">
        <v>2</v>
      </c>
      <c r="E16" s="42"/>
    </row>
    <row r="17" customFormat="false" ht="15" hidden="false" customHeight="false" outlineLevel="0" collapsed="false">
      <c r="A17" s="72"/>
      <c r="B17" s="28" t="s">
        <v>124</v>
      </c>
      <c r="C17" s="28" t="s">
        <v>28</v>
      </c>
      <c r="D17" s="39" t="n">
        <f aca="false">D16*0.2</f>
        <v>0.4</v>
      </c>
      <c r="E17" s="42" t="s">
        <v>125</v>
      </c>
    </row>
    <row r="18" customFormat="false" ht="30" hidden="false" customHeight="false" outlineLevel="0" collapsed="false">
      <c r="A18" s="25" t="s">
        <v>421</v>
      </c>
      <c r="B18" s="32" t="s">
        <v>413</v>
      </c>
      <c r="C18" s="26" t="s">
        <v>21</v>
      </c>
      <c r="D18" s="27" t="n">
        <v>1</v>
      </c>
      <c r="E18" s="42" t="s">
        <v>414</v>
      </c>
    </row>
  </sheetData>
  <mergeCells count="2">
    <mergeCell ref="A1:E1"/>
    <mergeCell ref="A2:E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5" man="true" max="65535" min="0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9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A4" activeCellId="0" sqref="A4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103.42"/>
    <col collapsed="false" customWidth="true" hidden="false" outlineLevel="0" max="3" min="3" style="1" width="10"/>
    <col collapsed="false" customWidth="true" hidden="false" outlineLevel="0" max="4" min="4" style="1" width="12.86"/>
    <col collapsed="false" customWidth="true" hidden="false" outlineLevel="0" max="5" min="5" style="1" width="48.57"/>
  </cols>
  <sheetData>
    <row r="1" customFormat="false" ht="15" hidden="false" customHeight="true" outlineLevel="0" collapsed="false">
      <c r="A1" s="61" t="s">
        <v>422</v>
      </c>
      <c r="B1" s="61"/>
      <c r="C1" s="61"/>
      <c r="D1" s="61"/>
      <c r="E1" s="61"/>
    </row>
    <row r="2" customFormat="false" ht="15" hidden="false" customHeight="true" outlineLevel="0" collapsed="false">
      <c r="A2" s="61" t="s">
        <v>423</v>
      </c>
      <c r="B2" s="61"/>
      <c r="C2" s="61"/>
      <c r="D2" s="61"/>
      <c r="E2" s="61"/>
    </row>
    <row r="3" customFormat="false" ht="41.25" hidden="false" customHeight="true" outlineLevel="0" collapsed="false">
      <c r="A3" s="21" t="s">
        <v>14</v>
      </c>
      <c r="B3" s="21" t="s">
        <v>15</v>
      </c>
      <c r="C3" s="21" t="s">
        <v>16</v>
      </c>
      <c r="D3" s="21" t="s">
        <v>17</v>
      </c>
      <c r="E3" s="21" t="s">
        <v>18</v>
      </c>
    </row>
    <row r="4" customFormat="false" ht="15" hidden="false" customHeight="false" outlineLevel="0" collapsed="false">
      <c r="A4" s="25" t="s">
        <v>424</v>
      </c>
      <c r="B4" s="32" t="s">
        <v>406</v>
      </c>
      <c r="C4" s="26" t="s">
        <v>303</v>
      </c>
      <c r="D4" s="27" t="n">
        <v>420</v>
      </c>
      <c r="E4" s="42"/>
    </row>
    <row r="5" customFormat="false" ht="15" hidden="false" customHeight="false" outlineLevel="0" collapsed="false">
      <c r="A5" s="62"/>
      <c r="B5" s="28" t="s">
        <v>407</v>
      </c>
      <c r="C5" s="28" t="s">
        <v>28</v>
      </c>
      <c r="D5" s="39" t="n">
        <f aca="false">D4</f>
        <v>420</v>
      </c>
      <c r="E5" s="42"/>
    </row>
    <row r="6" customFormat="false" ht="15" hidden="false" customHeight="false" outlineLevel="0" collapsed="false">
      <c r="A6" s="25" t="s">
        <v>425</v>
      </c>
      <c r="B6" s="32" t="s">
        <v>426</v>
      </c>
      <c r="C6" s="26" t="s">
        <v>303</v>
      </c>
      <c r="D6" s="27" t="n">
        <f aca="false">280</f>
        <v>280</v>
      </c>
      <c r="E6" s="42" t="s">
        <v>427</v>
      </c>
    </row>
    <row r="7" customFormat="false" ht="15" hidden="false" customHeight="false" outlineLevel="0" collapsed="false">
      <c r="A7" s="25" t="s">
        <v>428</v>
      </c>
      <c r="B7" s="32" t="s">
        <v>307</v>
      </c>
      <c r="C7" s="26" t="s">
        <v>303</v>
      </c>
      <c r="D7" s="27" t="n">
        <v>140</v>
      </c>
      <c r="E7" s="42"/>
    </row>
    <row r="8" customFormat="false" ht="15" hidden="false" customHeight="false" outlineLevel="0" collapsed="false">
      <c r="A8" s="25" t="s">
        <v>429</v>
      </c>
      <c r="B8" s="32" t="s">
        <v>118</v>
      </c>
      <c r="C8" s="26" t="s">
        <v>21</v>
      </c>
      <c r="D8" s="73" t="n">
        <f aca="false">D7*3</f>
        <v>420</v>
      </c>
      <c r="E8" s="42"/>
    </row>
    <row r="9" customFormat="false" ht="15" hidden="false" customHeight="false" outlineLevel="0" collapsed="false">
      <c r="A9" s="63"/>
      <c r="B9" s="28" t="s">
        <v>120</v>
      </c>
      <c r="C9" s="28" t="s">
        <v>21</v>
      </c>
      <c r="D9" s="74" t="n">
        <f aca="false">D8</f>
        <v>420</v>
      </c>
      <c r="E9" s="42"/>
    </row>
    <row r="10" customFormat="false" ht="15" hidden="false" customHeight="false" outlineLevel="0" collapsed="false">
      <c r="A10" s="63"/>
      <c r="B10" s="28" t="s">
        <v>121</v>
      </c>
      <c r="C10" s="28" t="s">
        <v>21</v>
      </c>
      <c r="D10" s="74" t="n">
        <f aca="false">D8</f>
        <v>420</v>
      </c>
      <c r="E10" s="42"/>
    </row>
    <row r="11" customFormat="false" ht="15" hidden="false" customHeight="false" outlineLevel="0" collapsed="false">
      <c r="A11" s="63"/>
      <c r="B11" s="28" t="s">
        <v>111</v>
      </c>
      <c r="C11" s="28" t="s">
        <v>28</v>
      </c>
      <c r="D11" s="39" t="n">
        <f aca="false">D4</f>
        <v>420</v>
      </c>
      <c r="E11" s="42"/>
    </row>
    <row r="12" customFormat="false" ht="15" hidden="false" customHeight="false" outlineLevel="0" collapsed="false">
      <c r="A12" s="63"/>
      <c r="B12" s="28" t="s">
        <v>332</v>
      </c>
      <c r="C12" s="28" t="s">
        <v>21</v>
      </c>
      <c r="D12" s="39" t="n">
        <f aca="false">ROUNDUP(D4/100,0)</f>
        <v>5</v>
      </c>
      <c r="E12" s="42"/>
    </row>
    <row r="13" customFormat="false" ht="15" hidden="false" customHeight="false" outlineLevel="0" collapsed="false">
      <c r="A13" s="63"/>
      <c r="B13" s="28" t="s">
        <v>333</v>
      </c>
      <c r="C13" s="28" t="s">
        <v>21</v>
      </c>
      <c r="D13" s="39" t="n">
        <f aca="false">ROUNDUP(D4/100,0)</f>
        <v>5</v>
      </c>
      <c r="E13" s="42"/>
    </row>
    <row r="14" customFormat="false" ht="15" hidden="false" customHeight="false" outlineLevel="0" collapsed="false">
      <c r="A14" s="25" t="s">
        <v>428</v>
      </c>
      <c r="B14" s="32" t="s">
        <v>319</v>
      </c>
      <c r="C14" s="26" t="s">
        <v>21</v>
      </c>
      <c r="D14" s="27" t="n">
        <f aca="false">ROUNDUP(D4/50,0)+2+2</f>
        <v>13</v>
      </c>
      <c r="E14" s="42" t="s">
        <v>304</v>
      </c>
    </row>
    <row r="15" customFormat="false" ht="15" hidden="false" customHeight="false" outlineLevel="0" collapsed="false">
      <c r="A15" s="28"/>
      <c r="B15" s="28" t="s">
        <v>320</v>
      </c>
      <c r="C15" s="28" t="s">
        <v>21</v>
      </c>
      <c r="D15" s="39" t="n">
        <f aca="false">D14</f>
        <v>13</v>
      </c>
      <c r="E15" s="42"/>
    </row>
    <row r="16" customFormat="false" ht="15" hidden="false" customHeight="false" outlineLevel="0" collapsed="false">
      <c r="A16" s="28"/>
      <c r="B16" s="28" t="s">
        <v>321</v>
      </c>
      <c r="C16" s="28" t="s">
        <v>21</v>
      </c>
      <c r="D16" s="39" t="n">
        <f aca="false">D14+D6/0.5</f>
        <v>573</v>
      </c>
      <c r="E16" s="42" t="s">
        <v>430</v>
      </c>
    </row>
    <row r="17" customFormat="false" ht="15" hidden="false" customHeight="false" outlineLevel="0" collapsed="false">
      <c r="A17" s="25" t="s">
        <v>431</v>
      </c>
      <c r="B17" s="32" t="s">
        <v>323</v>
      </c>
      <c r="C17" s="26" t="s">
        <v>21</v>
      </c>
      <c r="D17" s="27" t="n">
        <v>2</v>
      </c>
      <c r="E17" s="42"/>
    </row>
    <row r="18" customFormat="false" ht="15" hidden="false" customHeight="false" outlineLevel="0" collapsed="false">
      <c r="A18" s="72"/>
      <c r="B18" s="28" t="s">
        <v>124</v>
      </c>
      <c r="C18" s="28" t="s">
        <v>28</v>
      </c>
      <c r="D18" s="39" t="n">
        <f aca="false">D17*0.2</f>
        <v>0.4</v>
      </c>
      <c r="E18" s="42" t="s">
        <v>125</v>
      </c>
    </row>
    <row r="19" customFormat="false" ht="30" hidden="false" customHeight="false" outlineLevel="0" collapsed="false">
      <c r="A19" s="25" t="s">
        <v>432</v>
      </c>
      <c r="B19" s="32" t="s">
        <v>413</v>
      </c>
      <c r="C19" s="26" t="s">
        <v>21</v>
      </c>
      <c r="D19" s="27" t="n">
        <v>1</v>
      </c>
      <c r="E19" s="42" t="s">
        <v>414</v>
      </c>
    </row>
  </sheetData>
  <mergeCells count="2">
    <mergeCell ref="A1:E1"/>
    <mergeCell ref="A2:E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5" man="true" max="65535" min="0"/>
  </col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23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A20" activeCellId="0" sqref="A20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103.42"/>
    <col collapsed="false" customWidth="true" hidden="false" outlineLevel="0" max="3" min="3" style="1" width="10"/>
    <col collapsed="false" customWidth="true" hidden="false" outlineLevel="0" max="4" min="4" style="1" width="12.86"/>
    <col collapsed="false" customWidth="true" hidden="false" outlineLevel="0" max="5" min="5" style="1" width="48.57"/>
  </cols>
  <sheetData>
    <row r="1" customFormat="false" ht="15" hidden="false" customHeight="true" outlineLevel="0" collapsed="false">
      <c r="A1" s="61" t="s">
        <v>433</v>
      </c>
      <c r="B1" s="61"/>
      <c r="C1" s="61"/>
      <c r="D1" s="61"/>
      <c r="E1" s="61"/>
    </row>
    <row r="2" customFormat="false" ht="15" hidden="false" customHeight="true" outlineLevel="0" collapsed="false">
      <c r="A2" s="61" t="s">
        <v>434</v>
      </c>
      <c r="B2" s="61"/>
      <c r="C2" s="61"/>
      <c r="D2" s="61"/>
      <c r="E2" s="61"/>
    </row>
    <row r="3" customFormat="false" ht="40.5" hidden="false" customHeight="true" outlineLevel="0" collapsed="false">
      <c r="A3" s="21" t="s">
        <v>14</v>
      </c>
      <c r="B3" s="21" t="s">
        <v>15</v>
      </c>
      <c r="C3" s="21" t="s">
        <v>16</v>
      </c>
      <c r="D3" s="21" t="s">
        <v>17</v>
      </c>
      <c r="E3" s="21" t="s">
        <v>18</v>
      </c>
    </row>
    <row r="4" customFormat="false" ht="15" hidden="false" customHeight="false" outlineLevel="0" collapsed="false">
      <c r="A4" s="25" t="s">
        <v>435</v>
      </c>
      <c r="B4" s="32" t="s">
        <v>406</v>
      </c>
      <c r="C4" s="26" t="s">
        <v>303</v>
      </c>
      <c r="D4" s="27" t="n">
        <v>560</v>
      </c>
      <c r="E4" s="42"/>
    </row>
    <row r="5" customFormat="false" ht="15" hidden="false" customHeight="false" outlineLevel="0" collapsed="false">
      <c r="A5" s="62"/>
      <c r="B5" s="28" t="s">
        <v>407</v>
      </c>
      <c r="C5" s="28" t="s">
        <v>28</v>
      </c>
      <c r="D5" s="39" t="n">
        <f aca="false">D4</f>
        <v>560</v>
      </c>
      <c r="E5" s="42"/>
    </row>
    <row r="6" customFormat="false" ht="15" hidden="false" customHeight="false" outlineLevel="0" collapsed="false">
      <c r="A6" s="25" t="s">
        <v>436</v>
      </c>
      <c r="B6" s="32" t="s">
        <v>307</v>
      </c>
      <c r="C6" s="26" t="s">
        <v>303</v>
      </c>
      <c r="D6" s="27" t="n">
        <f aca="false">D4</f>
        <v>560</v>
      </c>
      <c r="E6" s="42"/>
    </row>
    <row r="7" customFormat="false" ht="15" hidden="false" customHeight="false" outlineLevel="0" collapsed="false">
      <c r="A7" s="25" t="s">
        <v>437</v>
      </c>
      <c r="B7" s="32" t="s">
        <v>118</v>
      </c>
      <c r="C7" s="26" t="s">
        <v>21</v>
      </c>
      <c r="D7" s="73" t="n">
        <f aca="false">D4/0.3</f>
        <v>1866.66666666667</v>
      </c>
      <c r="E7" s="42"/>
    </row>
    <row r="8" customFormat="false" ht="15" hidden="false" customHeight="false" outlineLevel="0" collapsed="false">
      <c r="A8" s="63"/>
      <c r="B8" s="28" t="s">
        <v>120</v>
      </c>
      <c r="C8" s="28" t="s">
        <v>21</v>
      </c>
      <c r="D8" s="74" t="n">
        <f aca="false">D7</f>
        <v>1866.66666666667</v>
      </c>
      <c r="E8" s="42"/>
    </row>
    <row r="9" customFormat="false" ht="15" hidden="false" customHeight="false" outlineLevel="0" collapsed="false">
      <c r="A9" s="63"/>
      <c r="B9" s="28" t="s">
        <v>121</v>
      </c>
      <c r="C9" s="28" t="s">
        <v>21</v>
      </c>
      <c r="D9" s="74" t="n">
        <f aca="false">D7</f>
        <v>1866.66666666667</v>
      </c>
      <c r="E9" s="42"/>
    </row>
    <row r="10" customFormat="false" ht="15" hidden="false" customHeight="false" outlineLevel="0" collapsed="false">
      <c r="A10" s="63"/>
      <c r="B10" s="28" t="s">
        <v>111</v>
      </c>
      <c r="C10" s="28" t="s">
        <v>28</v>
      </c>
      <c r="D10" s="39" t="n">
        <f aca="false">D6</f>
        <v>560</v>
      </c>
      <c r="E10" s="42"/>
    </row>
    <row r="11" customFormat="false" ht="15" hidden="false" customHeight="false" outlineLevel="0" collapsed="false">
      <c r="A11" s="63"/>
      <c r="B11" s="28" t="s">
        <v>332</v>
      </c>
      <c r="C11" s="28" t="s">
        <v>21</v>
      </c>
      <c r="D11" s="39" t="n">
        <f aca="false">ROUNDUP(D4/100,0)</f>
        <v>6</v>
      </c>
      <c r="E11" s="42"/>
    </row>
    <row r="12" customFormat="false" ht="15" hidden="false" customHeight="false" outlineLevel="0" collapsed="false">
      <c r="A12" s="63"/>
      <c r="B12" s="28" t="s">
        <v>333</v>
      </c>
      <c r="C12" s="28" t="s">
        <v>21</v>
      </c>
      <c r="D12" s="39" t="n">
        <f aca="false">ROUNDUP(D4/100,0)</f>
        <v>6</v>
      </c>
      <c r="E12" s="42"/>
    </row>
    <row r="13" customFormat="false" ht="15" hidden="false" customHeight="false" outlineLevel="0" collapsed="false">
      <c r="A13" s="25" t="s">
        <v>438</v>
      </c>
      <c r="B13" s="32" t="s">
        <v>319</v>
      </c>
      <c r="C13" s="26" t="s">
        <v>21</v>
      </c>
      <c r="D13" s="27" t="n">
        <f aca="false">ROUNDUP(D4/50,0)+2</f>
        <v>14</v>
      </c>
      <c r="E13" s="42" t="s">
        <v>304</v>
      </c>
    </row>
    <row r="14" customFormat="false" ht="15" hidden="false" customHeight="false" outlineLevel="0" collapsed="false">
      <c r="A14" s="28"/>
      <c r="B14" s="28" t="s">
        <v>320</v>
      </c>
      <c r="C14" s="28" t="s">
        <v>21</v>
      </c>
      <c r="D14" s="39" t="n">
        <f aca="false">D13</f>
        <v>14</v>
      </c>
      <c r="E14" s="42"/>
    </row>
    <row r="15" customFormat="false" ht="15" hidden="false" customHeight="false" outlineLevel="0" collapsed="false">
      <c r="A15" s="28"/>
      <c r="B15" s="28" t="s">
        <v>321</v>
      </c>
      <c r="C15" s="28" t="s">
        <v>21</v>
      </c>
      <c r="D15" s="39" t="n">
        <f aca="false">D13</f>
        <v>14</v>
      </c>
      <c r="E15" s="42"/>
    </row>
    <row r="16" customFormat="false" ht="15" hidden="false" customHeight="false" outlineLevel="0" collapsed="false">
      <c r="A16" s="25" t="s">
        <v>439</v>
      </c>
      <c r="B16" s="32" t="s">
        <v>323</v>
      </c>
      <c r="C16" s="26" t="s">
        <v>21</v>
      </c>
      <c r="D16" s="27" t="n">
        <v>2</v>
      </c>
      <c r="E16" s="42"/>
    </row>
    <row r="17" customFormat="false" ht="15" hidden="false" customHeight="false" outlineLevel="0" collapsed="false">
      <c r="A17" s="72"/>
      <c r="B17" s="28" t="s">
        <v>124</v>
      </c>
      <c r="C17" s="28" t="s">
        <v>28</v>
      </c>
      <c r="D17" s="39" t="n">
        <f aca="false">D16*0.2</f>
        <v>0.4</v>
      </c>
      <c r="E17" s="42" t="s">
        <v>125</v>
      </c>
    </row>
    <row r="18" customFormat="false" ht="30" hidden="false" customHeight="false" outlineLevel="0" collapsed="false">
      <c r="A18" s="25" t="s">
        <v>440</v>
      </c>
      <c r="B18" s="32" t="s">
        <v>413</v>
      </c>
      <c r="C18" s="26" t="s">
        <v>21</v>
      </c>
      <c r="D18" s="27" t="n">
        <v>1</v>
      </c>
      <c r="E18" s="42" t="s">
        <v>414</v>
      </c>
    </row>
    <row r="19" customFormat="false" ht="15" hidden="false" customHeight="false" outlineLevel="0" collapsed="false">
      <c r="A19" s="20" t="s">
        <v>380</v>
      </c>
      <c r="B19" s="20"/>
      <c r="C19" s="20"/>
      <c r="D19" s="20"/>
      <c r="E19" s="20"/>
    </row>
    <row r="20" customFormat="false" ht="15" hidden="false" customHeight="true" outlineLevel="0" collapsed="false">
      <c r="A20" s="25" t="s">
        <v>441</v>
      </c>
      <c r="B20" s="32" t="s">
        <v>442</v>
      </c>
      <c r="C20" s="26" t="s">
        <v>21</v>
      </c>
      <c r="D20" s="27" t="n">
        <v>13</v>
      </c>
      <c r="E20" s="72"/>
    </row>
    <row r="21" customFormat="false" ht="15" hidden="false" customHeight="false" outlineLevel="0" collapsed="false">
      <c r="A21" s="72"/>
      <c r="B21" s="28" t="s">
        <v>443</v>
      </c>
      <c r="C21" s="28" t="s">
        <v>28</v>
      </c>
      <c r="D21" s="39" t="n">
        <f aca="false">D20*0.3</f>
        <v>3.9</v>
      </c>
      <c r="E21" s="28" t="s">
        <v>444</v>
      </c>
    </row>
    <row r="22" customFormat="false" ht="15" hidden="false" customHeight="false" outlineLevel="0" collapsed="false">
      <c r="A22" s="25" t="s">
        <v>445</v>
      </c>
      <c r="B22" s="32" t="s">
        <v>446</v>
      </c>
      <c r="C22" s="26" t="s">
        <v>200</v>
      </c>
      <c r="D22" s="75" t="n">
        <f aca="false">0.002*D21</f>
        <v>0.0078</v>
      </c>
      <c r="E22" s="28" t="s">
        <v>447</v>
      </c>
    </row>
    <row r="23" customFormat="false" ht="15" hidden="false" customHeight="false" outlineLevel="0" collapsed="false">
      <c r="A23" s="72"/>
      <c r="B23" s="28" t="s">
        <v>448</v>
      </c>
      <c r="C23" s="28" t="s">
        <v>449</v>
      </c>
      <c r="D23" s="39" t="n">
        <f aca="false">D22*1000</f>
        <v>7.8</v>
      </c>
      <c r="E23" s="28"/>
    </row>
  </sheetData>
  <mergeCells count="3">
    <mergeCell ref="A1:E1"/>
    <mergeCell ref="A2:E2"/>
    <mergeCell ref="A19:E1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5" man="true" max="65535" min="0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8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A4" activeCellId="0" sqref="A4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103.42"/>
    <col collapsed="false" customWidth="true" hidden="false" outlineLevel="0" max="3" min="3" style="1" width="10"/>
    <col collapsed="false" customWidth="true" hidden="false" outlineLevel="0" max="4" min="4" style="1" width="12.86"/>
    <col collapsed="false" customWidth="true" hidden="false" outlineLevel="0" max="5" min="5" style="1" width="48.57"/>
  </cols>
  <sheetData>
    <row r="1" customFormat="false" ht="15" hidden="false" customHeight="true" outlineLevel="0" collapsed="false">
      <c r="A1" s="61" t="s">
        <v>450</v>
      </c>
      <c r="B1" s="61"/>
      <c r="C1" s="61"/>
      <c r="D1" s="61"/>
      <c r="E1" s="61"/>
    </row>
    <row r="2" customFormat="false" ht="15" hidden="false" customHeight="true" outlineLevel="0" collapsed="false">
      <c r="A2" s="61" t="s">
        <v>451</v>
      </c>
      <c r="B2" s="61"/>
      <c r="C2" s="61"/>
      <c r="D2" s="61"/>
      <c r="E2" s="61"/>
    </row>
    <row r="3" customFormat="false" ht="39.75" hidden="false" customHeight="true" outlineLevel="0" collapsed="false">
      <c r="A3" s="21" t="s">
        <v>14</v>
      </c>
      <c r="B3" s="21" t="s">
        <v>15</v>
      </c>
      <c r="C3" s="21" t="s">
        <v>16</v>
      </c>
      <c r="D3" s="21" t="s">
        <v>17</v>
      </c>
      <c r="E3" s="21" t="s">
        <v>18</v>
      </c>
    </row>
    <row r="4" customFormat="false" ht="15" hidden="false" customHeight="false" outlineLevel="0" collapsed="false">
      <c r="A4" s="25" t="s">
        <v>452</v>
      </c>
      <c r="B4" s="32" t="s">
        <v>406</v>
      </c>
      <c r="C4" s="26" t="s">
        <v>303</v>
      </c>
      <c r="D4" s="27" t="n">
        <v>1800</v>
      </c>
      <c r="E4" s="42"/>
    </row>
    <row r="5" customFormat="false" ht="15" hidden="false" customHeight="false" outlineLevel="0" collapsed="false">
      <c r="A5" s="62"/>
      <c r="B5" s="28" t="s">
        <v>407</v>
      </c>
      <c r="C5" s="28" t="s">
        <v>28</v>
      </c>
      <c r="D5" s="39" t="n">
        <f aca="false">D4</f>
        <v>1800</v>
      </c>
      <c r="E5" s="42"/>
    </row>
    <row r="6" customFormat="false" ht="15" hidden="false" customHeight="false" outlineLevel="0" collapsed="false">
      <c r="A6" s="25" t="s">
        <v>453</v>
      </c>
      <c r="B6" s="32" t="s">
        <v>307</v>
      </c>
      <c r="C6" s="26" t="s">
        <v>303</v>
      </c>
      <c r="D6" s="27" t="n">
        <f aca="false">D4</f>
        <v>1800</v>
      </c>
      <c r="E6" s="42"/>
    </row>
    <row r="7" customFormat="false" ht="15" hidden="false" customHeight="false" outlineLevel="0" collapsed="false">
      <c r="A7" s="25" t="s">
        <v>454</v>
      </c>
      <c r="B7" s="32" t="s">
        <v>118</v>
      </c>
      <c r="C7" s="26" t="s">
        <v>21</v>
      </c>
      <c r="D7" s="73" t="n">
        <f aca="false">D4/0.3</f>
        <v>6000</v>
      </c>
      <c r="E7" s="42"/>
    </row>
    <row r="8" customFormat="false" ht="15" hidden="false" customHeight="false" outlineLevel="0" collapsed="false">
      <c r="A8" s="63"/>
      <c r="B8" s="28" t="s">
        <v>120</v>
      </c>
      <c r="C8" s="28" t="s">
        <v>21</v>
      </c>
      <c r="D8" s="74" t="n">
        <f aca="false">D7</f>
        <v>6000</v>
      </c>
      <c r="E8" s="42"/>
    </row>
    <row r="9" customFormat="false" ht="15" hidden="false" customHeight="false" outlineLevel="0" collapsed="false">
      <c r="A9" s="63"/>
      <c r="B9" s="28" t="s">
        <v>121</v>
      </c>
      <c r="C9" s="28" t="s">
        <v>21</v>
      </c>
      <c r="D9" s="74" t="n">
        <f aca="false">D7</f>
        <v>6000</v>
      </c>
      <c r="E9" s="42"/>
    </row>
    <row r="10" customFormat="false" ht="15" hidden="false" customHeight="false" outlineLevel="0" collapsed="false">
      <c r="A10" s="63"/>
      <c r="B10" s="28" t="s">
        <v>111</v>
      </c>
      <c r="C10" s="28" t="s">
        <v>28</v>
      </c>
      <c r="D10" s="39" t="n">
        <f aca="false">D6</f>
        <v>1800</v>
      </c>
      <c r="E10" s="42"/>
    </row>
    <row r="11" customFormat="false" ht="15" hidden="false" customHeight="false" outlineLevel="0" collapsed="false">
      <c r="A11" s="63"/>
      <c r="B11" s="28" t="s">
        <v>332</v>
      </c>
      <c r="C11" s="28" t="s">
        <v>21</v>
      </c>
      <c r="D11" s="39" t="n">
        <f aca="false">ROUNDUP(D4/100,0)</f>
        <v>18</v>
      </c>
      <c r="E11" s="42"/>
    </row>
    <row r="12" customFormat="false" ht="15" hidden="false" customHeight="false" outlineLevel="0" collapsed="false">
      <c r="A12" s="63"/>
      <c r="B12" s="28" t="s">
        <v>333</v>
      </c>
      <c r="C12" s="28" t="s">
        <v>21</v>
      </c>
      <c r="D12" s="39" t="n">
        <f aca="false">ROUNDUP(D4/100,0)</f>
        <v>18</v>
      </c>
      <c r="E12" s="42"/>
    </row>
    <row r="13" customFormat="false" ht="15" hidden="false" customHeight="false" outlineLevel="0" collapsed="false">
      <c r="A13" s="25" t="s">
        <v>455</v>
      </c>
      <c r="B13" s="32" t="s">
        <v>319</v>
      </c>
      <c r="C13" s="26" t="s">
        <v>21</v>
      </c>
      <c r="D13" s="27" t="n">
        <f aca="false">D4/50+2</f>
        <v>38</v>
      </c>
      <c r="E13" s="42" t="s">
        <v>304</v>
      </c>
    </row>
    <row r="14" customFormat="false" ht="15" hidden="false" customHeight="false" outlineLevel="0" collapsed="false">
      <c r="A14" s="28"/>
      <c r="B14" s="28" t="s">
        <v>320</v>
      </c>
      <c r="C14" s="28" t="s">
        <v>21</v>
      </c>
      <c r="D14" s="39" t="n">
        <f aca="false">D13</f>
        <v>38</v>
      </c>
      <c r="E14" s="42"/>
    </row>
    <row r="15" customFormat="false" ht="15" hidden="false" customHeight="false" outlineLevel="0" collapsed="false">
      <c r="A15" s="28"/>
      <c r="B15" s="28" t="s">
        <v>321</v>
      </c>
      <c r="C15" s="28" t="s">
        <v>21</v>
      </c>
      <c r="D15" s="39" t="n">
        <f aca="false">D13</f>
        <v>38</v>
      </c>
      <c r="E15" s="42"/>
    </row>
    <row r="16" customFormat="false" ht="15" hidden="false" customHeight="false" outlineLevel="0" collapsed="false">
      <c r="A16" s="25" t="s">
        <v>456</v>
      </c>
      <c r="B16" s="32" t="s">
        <v>323</v>
      </c>
      <c r="C16" s="26" t="s">
        <v>21</v>
      </c>
      <c r="D16" s="27" t="n">
        <v>2</v>
      </c>
      <c r="E16" s="42"/>
    </row>
    <row r="17" customFormat="false" ht="15" hidden="false" customHeight="false" outlineLevel="0" collapsed="false">
      <c r="A17" s="72"/>
      <c r="B17" s="28" t="s">
        <v>124</v>
      </c>
      <c r="C17" s="28" t="s">
        <v>28</v>
      </c>
      <c r="D17" s="39" t="n">
        <f aca="false">D16*0.2</f>
        <v>0.4</v>
      </c>
      <c r="E17" s="42" t="s">
        <v>125</v>
      </c>
    </row>
    <row r="18" customFormat="false" ht="30" hidden="false" customHeight="false" outlineLevel="0" collapsed="false">
      <c r="A18" s="25" t="s">
        <v>457</v>
      </c>
      <c r="B18" s="32" t="s">
        <v>413</v>
      </c>
      <c r="C18" s="26" t="s">
        <v>21</v>
      </c>
      <c r="D18" s="27" t="n">
        <v>1</v>
      </c>
      <c r="E18" s="42" t="s">
        <v>414</v>
      </c>
    </row>
  </sheetData>
  <mergeCells count="2">
    <mergeCell ref="A1:E1"/>
    <mergeCell ref="A2:E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5" man="true" max="65535" min="0"/>
  </colBreak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4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A4" activeCellId="0" sqref="A4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103.42"/>
    <col collapsed="false" customWidth="true" hidden="false" outlineLevel="0" max="3" min="3" style="1" width="10"/>
    <col collapsed="false" customWidth="true" hidden="false" outlineLevel="0" max="4" min="4" style="1" width="12.86"/>
    <col collapsed="false" customWidth="true" hidden="false" outlineLevel="0" max="5" min="5" style="1" width="48.57"/>
  </cols>
  <sheetData>
    <row r="1" customFormat="false" ht="15" hidden="false" customHeight="true" outlineLevel="0" collapsed="false">
      <c r="A1" s="61" t="s">
        <v>458</v>
      </c>
      <c r="B1" s="61"/>
      <c r="C1" s="61"/>
      <c r="D1" s="61"/>
      <c r="E1" s="61"/>
    </row>
    <row r="2" customFormat="false" ht="15" hidden="false" customHeight="true" outlineLevel="0" collapsed="false">
      <c r="A2" s="61" t="s">
        <v>459</v>
      </c>
      <c r="B2" s="61"/>
      <c r="C2" s="61"/>
      <c r="D2" s="61"/>
      <c r="E2" s="61"/>
    </row>
    <row r="3" customFormat="false" ht="43.5" hidden="false" customHeight="true" outlineLevel="0" collapsed="false">
      <c r="A3" s="21" t="s">
        <v>14</v>
      </c>
      <c r="B3" s="21" t="s">
        <v>15</v>
      </c>
      <c r="C3" s="21" t="s">
        <v>16</v>
      </c>
      <c r="D3" s="21" t="s">
        <v>17</v>
      </c>
      <c r="E3" s="21" t="s">
        <v>18</v>
      </c>
    </row>
    <row r="4" customFormat="false" ht="15" hidden="false" customHeight="false" outlineLevel="0" collapsed="false">
      <c r="A4" s="25" t="s">
        <v>460</v>
      </c>
      <c r="B4" s="32" t="s">
        <v>461</v>
      </c>
      <c r="C4" s="26" t="s">
        <v>21</v>
      </c>
      <c r="D4" s="27" t="n">
        <v>8</v>
      </c>
      <c r="E4" s="42"/>
    </row>
    <row r="5" customFormat="false" ht="15" hidden="false" customHeight="false" outlineLevel="0" collapsed="false">
      <c r="A5" s="25" t="s">
        <v>462</v>
      </c>
      <c r="B5" s="32" t="s">
        <v>463</v>
      </c>
      <c r="C5" s="26" t="s">
        <v>21</v>
      </c>
      <c r="D5" s="27" t="n">
        <v>8</v>
      </c>
      <c r="E5" s="42"/>
    </row>
    <row r="6" customFormat="false" ht="15" hidden="false" customHeight="false" outlineLevel="0" collapsed="false">
      <c r="A6" s="25"/>
      <c r="B6" s="28" t="s">
        <v>464</v>
      </c>
      <c r="C6" s="26"/>
      <c r="D6" s="27"/>
      <c r="E6" s="42"/>
    </row>
    <row r="7" customFormat="false" ht="15" hidden="false" customHeight="false" outlineLevel="0" collapsed="false">
      <c r="A7" s="25" t="s">
        <v>465</v>
      </c>
      <c r="B7" s="32" t="s">
        <v>466</v>
      </c>
      <c r="C7" s="26" t="s">
        <v>21</v>
      </c>
      <c r="D7" s="27" t="n">
        <v>7</v>
      </c>
      <c r="E7" s="42"/>
    </row>
    <row r="8" customFormat="false" ht="15" hidden="false" customHeight="false" outlineLevel="0" collapsed="false">
      <c r="A8" s="25"/>
      <c r="B8" s="28" t="s">
        <v>467</v>
      </c>
      <c r="C8" s="28" t="s">
        <v>28</v>
      </c>
      <c r="D8" s="28" t="n">
        <f aca="false">7*5</f>
        <v>35</v>
      </c>
      <c r="E8" s="42" t="s">
        <v>468</v>
      </c>
    </row>
    <row r="9" customFormat="false" ht="15" hidden="false" customHeight="false" outlineLevel="0" collapsed="false">
      <c r="A9" s="25" t="s">
        <v>469</v>
      </c>
      <c r="B9" s="32" t="s">
        <v>470</v>
      </c>
      <c r="C9" s="26" t="s">
        <v>21</v>
      </c>
      <c r="D9" s="27" t="n">
        <v>1</v>
      </c>
      <c r="E9" s="42"/>
    </row>
    <row r="10" customFormat="false" ht="15" hidden="false" customHeight="false" outlineLevel="0" collapsed="false">
      <c r="A10" s="25"/>
      <c r="B10" s="28" t="s">
        <v>471</v>
      </c>
      <c r="C10" s="28" t="s">
        <v>28</v>
      </c>
      <c r="D10" s="28" t="n">
        <v>140</v>
      </c>
      <c r="E10" s="42" t="s">
        <v>472</v>
      </c>
    </row>
    <row r="11" customFormat="false" ht="15" hidden="false" customHeight="false" outlineLevel="0" collapsed="false">
      <c r="A11" s="25" t="s">
        <v>473</v>
      </c>
      <c r="B11" s="32" t="s">
        <v>474</v>
      </c>
      <c r="C11" s="26" t="s">
        <v>21</v>
      </c>
      <c r="D11" s="27" t="n">
        <f aca="false">D4*2</f>
        <v>16</v>
      </c>
      <c r="E11" s="26" t="s">
        <v>304</v>
      </c>
    </row>
    <row r="12" customFormat="false" ht="15" hidden="false" customHeight="false" outlineLevel="0" collapsed="false">
      <c r="A12" s="28"/>
      <c r="B12" s="28" t="s">
        <v>475</v>
      </c>
      <c r="C12" s="28" t="s">
        <v>21</v>
      </c>
      <c r="D12" s="39" t="n">
        <f aca="false">D7*2</f>
        <v>14</v>
      </c>
      <c r="E12" s="64"/>
    </row>
    <row r="13" customFormat="false" ht="15" hidden="false" customHeight="false" outlineLevel="0" collapsed="false">
      <c r="A13" s="28"/>
      <c r="B13" s="28" t="s">
        <v>476</v>
      </c>
      <c r="C13" s="28" t="s">
        <v>21</v>
      </c>
      <c r="D13" s="39" t="n">
        <f aca="false">D9*2</f>
        <v>2</v>
      </c>
      <c r="E13" s="76"/>
    </row>
    <row r="14" customFormat="false" ht="15" hidden="false" customHeight="false" outlineLevel="0" collapsed="false">
      <c r="A14" s="77" t="s">
        <v>477</v>
      </c>
      <c r="B14" s="67" t="s">
        <v>478</v>
      </c>
      <c r="C14" s="68" t="s">
        <v>21</v>
      </c>
      <c r="D14" s="69" t="n">
        <f aca="false">3+11</f>
        <v>14</v>
      </c>
      <c r="E14" s="70" t="s">
        <v>479</v>
      </c>
    </row>
  </sheetData>
  <mergeCells count="2">
    <mergeCell ref="A1:E1"/>
    <mergeCell ref="A2:E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5" man="true" max="65535" min="0"/>
  </col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22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H31" activeCellId="0" sqref="H31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103.42"/>
    <col collapsed="false" customWidth="true" hidden="false" outlineLevel="0" max="3" min="3" style="1" width="10"/>
    <col collapsed="false" customWidth="true" hidden="false" outlineLevel="0" max="4" min="4" style="1" width="12.86"/>
    <col collapsed="false" customWidth="true" hidden="false" outlineLevel="0" max="5" min="5" style="1" width="48.57"/>
  </cols>
  <sheetData>
    <row r="1" customFormat="false" ht="15" hidden="false" customHeight="true" outlineLevel="0" collapsed="false">
      <c r="A1" s="61" t="s">
        <v>480</v>
      </c>
      <c r="B1" s="61"/>
      <c r="C1" s="61"/>
      <c r="D1" s="61"/>
      <c r="E1" s="61"/>
    </row>
    <row r="2" customFormat="false" ht="15" hidden="false" customHeight="true" outlineLevel="0" collapsed="false">
      <c r="A2" s="61" t="s">
        <v>481</v>
      </c>
      <c r="B2" s="61"/>
      <c r="C2" s="61"/>
      <c r="D2" s="61"/>
      <c r="E2" s="61"/>
    </row>
    <row r="3" customFormat="false" ht="45" hidden="false" customHeight="true" outlineLevel="0" collapsed="false">
      <c r="A3" s="21" t="s">
        <v>14</v>
      </c>
      <c r="B3" s="21" t="s">
        <v>15</v>
      </c>
      <c r="C3" s="21" t="s">
        <v>16</v>
      </c>
      <c r="D3" s="21" t="s">
        <v>17</v>
      </c>
      <c r="E3" s="21" t="s">
        <v>18</v>
      </c>
    </row>
    <row r="4" customFormat="false" ht="15" hidden="false" customHeight="false" outlineLevel="0" collapsed="false">
      <c r="A4" s="25" t="s">
        <v>482</v>
      </c>
      <c r="B4" s="32" t="s">
        <v>483</v>
      </c>
      <c r="C4" s="26" t="s">
        <v>303</v>
      </c>
      <c r="D4" s="27" t="n">
        <v>200</v>
      </c>
      <c r="E4" s="42"/>
    </row>
    <row r="5" customFormat="false" ht="15" hidden="false" customHeight="false" outlineLevel="0" collapsed="false">
      <c r="A5" s="62"/>
      <c r="B5" s="28" t="s">
        <v>484</v>
      </c>
      <c r="C5" s="28" t="s">
        <v>28</v>
      </c>
      <c r="D5" s="39" t="n">
        <f aca="false">D4</f>
        <v>200</v>
      </c>
      <c r="E5" s="42"/>
    </row>
    <row r="6" customFormat="false" ht="15" hidden="false" customHeight="false" outlineLevel="0" collapsed="false">
      <c r="A6" s="25" t="s">
        <v>485</v>
      </c>
      <c r="B6" s="32" t="s">
        <v>307</v>
      </c>
      <c r="C6" s="26" t="s">
        <v>303</v>
      </c>
      <c r="D6" s="27" t="n">
        <f aca="false">D4</f>
        <v>200</v>
      </c>
      <c r="E6" s="42"/>
    </row>
    <row r="7" customFormat="false" ht="15" hidden="false" customHeight="false" outlineLevel="0" collapsed="false">
      <c r="A7" s="25" t="s">
        <v>486</v>
      </c>
      <c r="B7" s="32" t="s">
        <v>118</v>
      </c>
      <c r="C7" s="26" t="s">
        <v>21</v>
      </c>
      <c r="D7" s="73" t="n">
        <f aca="false">D4/0.3</f>
        <v>666.666666666667</v>
      </c>
      <c r="E7" s="42"/>
    </row>
    <row r="8" customFormat="false" ht="15" hidden="false" customHeight="false" outlineLevel="0" collapsed="false">
      <c r="A8" s="63"/>
      <c r="B8" s="28" t="s">
        <v>120</v>
      </c>
      <c r="C8" s="28" t="s">
        <v>21</v>
      </c>
      <c r="D8" s="74" t="n">
        <f aca="false">D7</f>
        <v>666.666666666667</v>
      </c>
      <c r="E8" s="42"/>
    </row>
    <row r="9" customFormat="false" ht="15" hidden="false" customHeight="false" outlineLevel="0" collapsed="false">
      <c r="A9" s="63"/>
      <c r="B9" s="28" t="s">
        <v>121</v>
      </c>
      <c r="C9" s="28" t="s">
        <v>21</v>
      </c>
      <c r="D9" s="74" t="n">
        <f aca="false">D7</f>
        <v>666.666666666667</v>
      </c>
      <c r="E9" s="42"/>
    </row>
    <row r="10" customFormat="false" ht="15" hidden="false" customHeight="false" outlineLevel="0" collapsed="false">
      <c r="A10" s="63"/>
      <c r="B10" s="28" t="s">
        <v>111</v>
      </c>
      <c r="C10" s="28" t="s">
        <v>28</v>
      </c>
      <c r="D10" s="39" t="n">
        <f aca="false">D6</f>
        <v>200</v>
      </c>
      <c r="E10" s="42"/>
    </row>
    <row r="11" customFormat="false" ht="15" hidden="false" customHeight="false" outlineLevel="0" collapsed="false">
      <c r="A11" s="63"/>
      <c r="B11" s="28" t="s">
        <v>332</v>
      </c>
      <c r="C11" s="28" t="s">
        <v>21</v>
      </c>
      <c r="D11" s="39" t="n">
        <f aca="false">ROUNDUP(D4/100,0)</f>
        <v>2</v>
      </c>
      <c r="E11" s="42"/>
    </row>
    <row r="12" customFormat="false" ht="15" hidden="false" customHeight="false" outlineLevel="0" collapsed="false">
      <c r="A12" s="63"/>
      <c r="B12" s="28" t="s">
        <v>333</v>
      </c>
      <c r="C12" s="28" t="s">
        <v>21</v>
      </c>
      <c r="D12" s="39" t="n">
        <f aca="false">ROUNDUP(D4/100,0)</f>
        <v>2</v>
      </c>
      <c r="E12" s="42"/>
    </row>
    <row r="13" customFormat="false" ht="15" hidden="false" customHeight="false" outlineLevel="0" collapsed="false">
      <c r="A13" s="25" t="s">
        <v>487</v>
      </c>
      <c r="B13" s="32" t="s">
        <v>371</v>
      </c>
      <c r="C13" s="26" t="s">
        <v>21</v>
      </c>
      <c r="D13" s="27" t="n">
        <v>2</v>
      </c>
      <c r="E13" s="26" t="s">
        <v>311</v>
      </c>
    </row>
    <row r="14" customFormat="false" ht="15" hidden="false" customHeight="false" outlineLevel="0" collapsed="false">
      <c r="A14" s="25" t="s">
        <v>488</v>
      </c>
      <c r="B14" s="32" t="s">
        <v>313</v>
      </c>
      <c r="C14" s="26" t="s">
        <v>21</v>
      </c>
      <c r="D14" s="27" t="n">
        <f aca="false">D13*3</f>
        <v>6</v>
      </c>
      <c r="E14" s="26" t="s">
        <v>304</v>
      </c>
    </row>
    <row r="15" customFormat="false" ht="15" hidden="false" customHeight="false" outlineLevel="0" collapsed="false">
      <c r="A15" s="28"/>
      <c r="B15" s="28" t="s">
        <v>373</v>
      </c>
      <c r="C15" s="28" t="s">
        <v>21</v>
      </c>
      <c r="D15" s="39" t="n">
        <f aca="false">D14</f>
        <v>6</v>
      </c>
      <c r="E15" s="64"/>
    </row>
    <row r="16" customFormat="false" ht="15" hidden="false" customHeight="false" outlineLevel="0" collapsed="false">
      <c r="A16" s="25" t="s">
        <v>489</v>
      </c>
      <c r="B16" s="32" t="s">
        <v>319</v>
      </c>
      <c r="C16" s="26" t="s">
        <v>21</v>
      </c>
      <c r="D16" s="27" t="n">
        <f aca="false">D4/50+2+2</f>
        <v>8</v>
      </c>
      <c r="E16" s="42" t="s">
        <v>304</v>
      </c>
    </row>
    <row r="17" customFormat="false" ht="15" hidden="false" customHeight="false" outlineLevel="0" collapsed="false">
      <c r="A17" s="28"/>
      <c r="B17" s="28" t="s">
        <v>375</v>
      </c>
      <c r="C17" s="28" t="s">
        <v>21</v>
      </c>
      <c r="D17" s="39" t="n">
        <f aca="false">D16</f>
        <v>8</v>
      </c>
      <c r="E17" s="42"/>
    </row>
    <row r="18" customFormat="false" ht="15" hidden="false" customHeight="false" outlineLevel="0" collapsed="false">
      <c r="A18" s="28"/>
      <c r="B18" s="28" t="s">
        <v>321</v>
      </c>
      <c r="C18" s="28" t="s">
        <v>21</v>
      </c>
      <c r="D18" s="39" t="n">
        <f aca="false">D16</f>
        <v>8</v>
      </c>
      <c r="E18" s="42"/>
    </row>
    <row r="19" customFormat="false" ht="15" hidden="false" customHeight="false" outlineLevel="0" collapsed="false">
      <c r="A19" s="25" t="s">
        <v>490</v>
      </c>
      <c r="B19" s="32" t="s">
        <v>323</v>
      </c>
      <c r="C19" s="26" t="s">
        <v>21</v>
      </c>
      <c r="D19" s="27" t="n">
        <v>2</v>
      </c>
      <c r="E19" s="42"/>
    </row>
    <row r="20" customFormat="false" ht="15" hidden="false" customHeight="false" outlineLevel="0" collapsed="false">
      <c r="A20" s="72"/>
      <c r="B20" s="28" t="s">
        <v>124</v>
      </c>
      <c r="C20" s="28" t="s">
        <v>28</v>
      </c>
      <c r="D20" s="39" t="n">
        <f aca="false">D19*0.2</f>
        <v>0.4</v>
      </c>
      <c r="E20" s="42" t="s">
        <v>125</v>
      </c>
    </row>
    <row r="21" customFormat="false" ht="15" hidden="false" customHeight="false" outlineLevel="0" collapsed="false">
      <c r="A21" s="66" t="s">
        <v>491</v>
      </c>
      <c r="B21" s="67" t="s">
        <v>325</v>
      </c>
      <c r="C21" s="68" t="s">
        <v>21</v>
      </c>
      <c r="D21" s="69" t="n">
        <v>1</v>
      </c>
      <c r="E21" s="70" t="s">
        <v>378</v>
      </c>
    </row>
    <row r="22" customFormat="false" ht="15" hidden="false" customHeight="false" outlineLevel="0" collapsed="false">
      <c r="A22" s="66" t="s">
        <v>492</v>
      </c>
      <c r="B22" s="67" t="s">
        <v>493</v>
      </c>
      <c r="C22" s="68" t="s">
        <v>21</v>
      </c>
      <c r="D22" s="69" t="n">
        <v>1</v>
      </c>
      <c r="E22" s="70" t="s">
        <v>378</v>
      </c>
    </row>
  </sheetData>
  <mergeCells count="2">
    <mergeCell ref="A1:E1"/>
    <mergeCell ref="A2:E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5" man="true" max="65535" min="0"/>
  </colBreak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20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A4" activeCellId="0" sqref="A4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103.42"/>
    <col collapsed="false" customWidth="true" hidden="false" outlineLevel="0" max="3" min="3" style="1" width="10"/>
    <col collapsed="false" customWidth="true" hidden="false" outlineLevel="0" max="4" min="4" style="1" width="12.86"/>
    <col collapsed="false" customWidth="true" hidden="false" outlineLevel="0" max="5" min="5" style="1" width="48.57"/>
  </cols>
  <sheetData>
    <row r="1" customFormat="false" ht="15" hidden="false" customHeight="true" outlineLevel="0" collapsed="false">
      <c r="A1" s="61" t="s">
        <v>494</v>
      </c>
      <c r="B1" s="61"/>
      <c r="C1" s="61"/>
      <c r="D1" s="61"/>
      <c r="E1" s="61"/>
    </row>
    <row r="2" customFormat="false" ht="15" hidden="false" customHeight="true" outlineLevel="0" collapsed="false">
      <c r="A2" s="61" t="s">
        <v>495</v>
      </c>
      <c r="B2" s="61"/>
      <c r="C2" s="61"/>
      <c r="D2" s="61"/>
      <c r="E2" s="61"/>
    </row>
    <row r="3" customFormat="false" ht="48" hidden="false" customHeight="true" outlineLevel="0" collapsed="false">
      <c r="A3" s="21" t="s">
        <v>14</v>
      </c>
      <c r="B3" s="21" t="s">
        <v>15</v>
      </c>
      <c r="C3" s="21" t="s">
        <v>16</v>
      </c>
      <c r="D3" s="21" t="s">
        <v>17</v>
      </c>
      <c r="E3" s="21" t="s">
        <v>18</v>
      </c>
    </row>
    <row r="4" customFormat="false" ht="15" hidden="false" customHeight="false" outlineLevel="0" collapsed="false">
      <c r="A4" s="25" t="s">
        <v>496</v>
      </c>
      <c r="B4" s="32" t="s">
        <v>483</v>
      </c>
      <c r="C4" s="26" t="s">
        <v>303</v>
      </c>
      <c r="D4" s="27" t="n">
        <v>70</v>
      </c>
      <c r="E4" s="42"/>
    </row>
    <row r="5" customFormat="false" ht="15" hidden="false" customHeight="false" outlineLevel="0" collapsed="false">
      <c r="A5" s="62"/>
      <c r="B5" s="28" t="s">
        <v>484</v>
      </c>
      <c r="C5" s="28" t="s">
        <v>28</v>
      </c>
      <c r="D5" s="39" t="n">
        <f aca="false">D4</f>
        <v>70</v>
      </c>
      <c r="E5" s="42"/>
    </row>
    <row r="6" customFormat="false" ht="15" hidden="false" customHeight="false" outlineLevel="0" collapsed="false">
      <c r="A6" s="25" t="s">
        <v>497</v>
      </c>
      <c r="B6" s="32" t="s">
        <v>307</v>
      </c>
      <c r="C6" s="26" t="s">
        <v>303</v>
      </c>
      <c r="D6" s="27" t="n">
        <f aca="false">D4</f>
        <v>70</v>
      </c>
      <c r="E6" s="42"/>
    </row>
    <row r="7" customFormat="false" ht="15" hidden="false" customHeight="false" outlineLevel="0" collapsed="false">
      <c r="A7" s="25" t="s">
        <v>498</v>
      </c>
      <c r="B7" s="32" t="s">
        <v>118</v>
      </c>
      <c r="C7" s="26" t="s">
        <v>21</v>
      </c>
      <c r="D7" s="73" t="n">
        <f aca="false">ROUNDUP(D4/0.3,0)</f>
        <v>234</v>
      </c>
      <c r="E7" s="42"/>
    </row>
    <row r="8" customFormat="false" ht="15" hidden="false" customHeight="false" outlineLevel="0" collapsed="false">
      <c r="A8" s="63"/>
      <c r="B8" s="28" t="s">
        <v>120</v>
      </c>
      <c r="C8" s="28" t="s">
        <v>21</v>
      </c>
      <c r="D8" s="74" t="n">
        <f aca="false">D7</f>
        <v>234</v>
      </c>
      <c r="E8" s="42"/>
    </row>
    <row r="9" customFormat="false" ht="15" hidden="false" customHeight="false" outlineLevel="0" collapsed="false">
      <c r="A9" s="63"/>
      <c r="B9" s="28" t="s">
        <v>121</v>
      </c>
      <c r="C9" s="28" t="s">
        <v>21</v>
      </c>
      <c r="D9" s="74" t="n">
        <f aca="false">D7</f>
        <v>234</v>
      </c>
      <c r="E9" s="42"/>
    </row>
    <row r="10" customFormat="false" ht="15" hidden="false" customHeight="false" outlineLevel="0" collapsed="false">
      <c r="A10" s="63"/>
      <c r="B10" s="28" t="s">
        <v>111</v>
      </c>
      <c r="C10" s="28" t="s">
        <v>28</v>
      </c>
      <c r="D10" s="39" t="n">
        <f aca="false">D6</f>
        <v>70</v>
      </c>
      <c r="E10" s="42"/>
    </row>
    <row r="11" customFormat="false" ht="15" hidden="false" customHeight="false" outlineLevel="0" collapsed="false">
      <c r="A11" s="25" t="s">
        <v>499</v>
      </c>
      <c r="B11" s="32" t="s">
        <v>371</v>
      </c>
      <c r="C11" s="26" t="s">
        <v>21</v>
      </c>
      <c r="D11" s="27" t="n">
        <v>2</v>
      </c>
      <c r="E11" s="26" t="s">
        <v>311</v>
      </c>
    </row>
    <row r="12" customFormat="false" ht="15" hidden="false" customHeight="false" outlineLevel="0" collapsed="false">
      <c r="A12" s="25" t="s">
        <v>500</v>
      </c>
      <c r="B12" s="32" t="s">
        <v>313</v>
      </c>
      <c r="C12" s="26" t="s">
        <v>21</v>
      </c>
      <c r="D12" s="27" t="n">
        <f aca="false">D11*3</f>
        <v>6</v>
      </c>
      <c r="E12" s="26" t="s">
        <v>304</v>
      </c>
    </row>
    <row r="13" customFormat="false" ht="15" hidden="false" customHeight="false" outlineLevel="0" collapsed="false">
      <c r="A13" s="28"/>
      <c r="B13" s="28" t="s">
        <v>373</v>
      </c>
      <c r="C13" s="28" t="s">
        <v>21</v>
      </c>
      <c r="D13" s="39" t="n">
        <f aca="false">D12</f>
        <v>6</v>
      </c>
      <c r="E13" s="64"/>
    </row>
    <row r="14" customFormat="false" ht="15" hidden="false" customHeight="false" outlineLevel="0" collapsed="false">
      <c r="A14" s="25" t="s">
        <v>501</v>
      </c>
      <c r="B14" s="32" t="s">
        <v>319</v>
      </c>
      <c r="C14" s="26" t="s">
        <v>21</v>
      </c>
      <c r="D14" s="27" t="n">
        <f aca="false">6</f>
        <v>6</v>
      </c>
      <c r="E14" s="42" t="s">
        <v>304</v>
      </c>
    </row>
    <row r="15" customFormat="false" ht="15" hidden="false" customHeight="false" outlineLevel="0" collapsed="false">
      <c r="A15" s="28"/>
      <c r="B15" s="28" t="s">
        <v>375</v>
      </c>
      <c r="C15" s="28" t="s">
        <v>21</v>
      </c>
      <c r="D15" s="39" t="n">
        <f aca="false">D14</f>
        <v>6</v>
      </c>
      <c r="E15" s="42"/>
    </row>
    <row r="16" customFormat="false" ht="15" hidden="false" customHeight="false" outlineLevel="0" collapsed="false">
      <c r="A16" s="28"/>
      <c r="B16" s="28" t="s">
        <v>321</v>
      </c>
      <c r="C16" s="28" t="s">
        <v>21</v>
      </c>
      <c r="D16" s="39" t="n">
        <f aca="false">D14</f>
        <v>6</v>
      </c>
      <c r="E16" s="42"/>
    </row>
    <row r="17" customFormat="false" ht="15" hidden="false" customHeight="false" outlineLevel="0" collapsed="false">
      <c r="A17" s="25" t="s">
        <v>502</v>
      </c>
      <c r="B17" s="32" t="s">
        <v>323</v>
      </c>
      <c r="C17" s="26" t="s">
        <v>21</v>
      </c>
      <c r="D17" s="27" t="n">
        <v>2</v>
      </c>
      <c r="E17" s="42"/>
    </row>
    <row r="18" customFormat="false" ht="15" hidden="false" customHeight="false" outlineLevel="0" collapsed="false">
      <c r="A18" s="72"/>
      <c r="B18" s="28" t="s">
        <v>124</v>
      </c>
      <c r="C18" s="28" t="s">
        <v>28</v>
      </c>
      <c r="D18" s="39" t="n">
        <f aca="false">D17*0.2</f>
        <v>0.4</v>
      </c>
      <c r="E18" s="42" t="s">
        <v>125</v>
      </c>
    </row>
    <row r="19" customFormat="false" ht="15" hidden="false" customHeight="false" outlineLevel="0" collapsed="false">
      <c r="A19" s="66" t="s">
        <v>503</v>
      </c>
      <c r="B19" s="67" t="s">
        <v>325</v>
      </c>
      <c r="C19" s="68" t="s">
        <v>21</v>
      </c>
      <c r="D19" s="69" t="n">
        <v>1</v>
      </c>
      <c r="E19" s="70" t="s">
        <v>378</v>
      </c>
    </row>
    <row r="20" customFormat="false" ht="15" hidden="false" customHeight="false" outlineLevel="0" collapsed="false">
      <c r="A20" s="66" t="s">
        <v>504</v>
      </c>
      <c r="B20" s="67" t="s">
        <v>493</v>
      </c>
      <c r="C20" s="68" t="s">
        <v>21</v>
      </c>
      <c r="D20" s="69" t="n">
        <v>1</v>
      </c>
      <c r="E20" s="70" t="s">
        <v>378</v>
      </c>
    </row>
  </sheetData>
  <mergeCells count="2">
    <mergeCell ref="A1:E1"/>
    <mergeCell ref="A2:E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5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51"/>
  <sheetViews>
    <sheetView showFormulas="false" showGridLines="true" showRowColHeaders="true" showZeros="true" rightToLeft="false" tabSelected="true" showOutlineSymbols="true" defaultGridColor="true" view="pageBreakPreview" topLeftCell="A1" colorId="64" zoomScale="90" zoomScaleNormal="100" zoomScalePageLayoutView="90" workbookViewId="0">
      <selection pane="topLeft" activeCell="G32" activeCellId="0" sqref="G32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103.42"/>
    <col collapsed="false" customWidth="true" hidden="false" outlineLevel="0" max="3" min="3" style="1" width="10"/>
    <col collapsed="false" customWidth="true" hidden="false" outlineLevel="0" max="4" min="4" style="1" width="12.86"/>
    <col collapsed="false" customWidth="true" hidden="false" outlineLevel="0" max="5" min="5" style="1" width="63.71"/>
  </cols>
  <sheetData>
    <row r="1" customFormat="false" ht="15" hidden="false" customHeight="false" outlineLevel="0" collapsed="false">
      <c r="A1" s="19" t="s">
        <v>12</v>
      </c>
      <c r="B1" s="19"/>
      <c r="C1" s="19"/>
      <c r="D1" s="19"/>
      <c r="E1" s="19"/>
    </row>
    <row r="2" customFormat="false" ht="15" hidden="false" customHeight="false" outlineLevel="0" collapsed="false">
      <c r="A2" s="20" t="s">
        <v>13</v>
      </c>
      <c r="B2" s="20"/>
      <c r="C2" s="20"/>
      <c r="D2" s="20"/>
      <c r="E2" s="20"/>
    </row>
    <row r="3" customFormat="false" ht="33" hidden="false" customHeight="true" outlineLevel="0" collapsed="false">
      <c r="A3" s="21" t="s">
        <v>14</v>
      </c>
      <c r="B3" s="21" t="s">
        <v>15</v>
      </c>
      <c r="C3" s="21" t="s">
        <v>16</v>
      </c>
      <c r="D3" s="21" t="s">
        <v>17</v>
      </c>
      <c r="E3" s="21" t="s">
        <v>18</v>
      </c>
    </row>
    <row r="4" customFormat="false" ht="15" hidden="false" customHeight="false" outlineLevel="0" collapsed="false">
      <c r="A4" s="22" t="s">
        <v>19</v>
      </c>
      <c r="B4" s="22" t="s">
        <v>20</v>
      </c>
      <c r="C4" s="23" t="s">
        <v>21</v>
      </c>
      <c r="D4" s="24" t="n">
        <v>3</v>
      </c>
      <c r="E4" s="20" t="s">
        <v>22</v>
      </c>
    </row>
    <row r="5" customFormat="false" ht="15" hidden="false" customHeight="false" outlineLevel="0" collapsed="false">
      <c r="A5" s="22" t="s">
        <v>23</v>
      </c>
      <c r="B5" s="25" t="s">
        <v>24</v>
      </c>
      <c r="C5" s="26" t="s">
        <v>25</v>
      </c>
      <c r="D5" s="27" t="n">
        <f aca="false">(D6/3)*0.18</f>
        <v>0.54</v>
      </c>
      <c r="E5" s="28" t="s">
        <v>26</v>
      </c>
    </row>
    <row r="6" customFormat="false" ht="14.45" hidden="false" customHeight="false" outlineLevel="0" collapsed="false">
      <c r="A6" s="22"/>
      <c r="B6" s="29" t="s">
        <v>27</v>
      </c>
      <c r="C6" s="30" t="s">
        <v>28</v>
      </c>
      <c r="D6" s="31" t="n">
        <v>9</v>
      </c>
      <c r="E6" s="20" t="s">
        <v>29</v>
      </c>
    </row>
    <row r="7" customFormat="false" ht="15" hidden="false" customHeight="false" outlineLevel="0" collapsed="false">
      <c r="A7" s="22" t="s">
        <v>30</v>
      </c>
      <c r="B7" s="25" t="s">
        <v>24</v>
      </c>
      <c r="C7" s="26" t="s">
        <v>25</v>
      </c>
      <c r="D7" s="27" t="n">
        <f aca="false">(D8/2.5)*0.3</f>
        <v>0.9</v>
      </c>
      <c r="E7" s="28" t="s">
        <v>31</v>
      </c>
    </row>
    <row r="8" customFormat="false" ht="14.45" hidden="false" customHeight="false" outlineLevel="0" collapsed="false">
      <c r="A8" s="22"/>
      <c r="B8" s="29" t="s">
        <v>32</v>
      </c>
      <c r="C8" s="30" t="s">
        <v>28</v>
      </c>
      <c r="D8" s="31" t="n">
        <v>7.5</v>
      </c>
      <c r="E8" s="20" t="s">
        <v>33</v>
      </c>
    </row>
    <row r="9" customFormat="false" ht="15" hidden="false" customHeight="false" outlineLevel="0" collapsed="false">
      <c r="A9" s="22" t="s">
        <v>34</v>
      </c>
      <c r="B9" s="32" t="s">
        <v>35</v>
      </c>
      <c r="C9" s="32" t="s">
        <v>21</v>
      </c>
      <c r="D9" s="33" t="n">
        <f aca="false">(5+8)*3</f>
        <v>39</v>
      </c>
      <c r="E9" s="20" t="s">
        <v>36</v>
      </c>
    </row>
    <row r="10" customFormat="false" ht="15" hidden="false" customHeight="false" outlineLevel="0" collapsed="false">
      <c r="A10" s="22" t="s">
        <v>37</v>
      </c>
      <c r="B10" s="32" t="s">
        <v>38</v>
      </c>
      <c r="C10" s="32" t="s">
        <v>21</v>
      </c>
      <c r="D10" s="33" t="n">
        <v>3</v>
      </c>
      <c r="E10" s="20" t="s">
        <v>39</v>
      </c>
    </row>
    <row r="11" customFormat="false" ht="15" hidden="false" customHeight="false" outlineLevel="0" collapsed="false">
      <c r="A11" s="22" t="s">
        <v>40</v>
      </c>
      <c r="B11" s="32" t="s">
        <v>41</v>
      </c>
      <c r="C11" s="26" t="s">
        <v>42</v>
      </c>
      <c r="D11" s="34" t="n">
        <f aca="false">((8.424*3)+(14.04*2.5))*3/1000</f>
        <v>0.181116</v>
      </c>
      <c r="E11" s="20" t="s">
        <v>43</v>
      </c>
    </row>
    <row r="12" customFormat="false" ht="14.45" hidden="false" customHeight="false" outlineLevel="0" collapsed="false">
      <c r="A12" s="22" t="s">
        <v>44</v>
      </c>
      <c r="B12" s="22" t="s">
        <v>45</v>
      </c>
      <c r="C12" s="23" t="s">
        <v>21</v>
      </c>
      <c r="D12" s="24" t="n">
        <v>3</v>
      </c>
      <c r="E12" s="20" t="s">
        <v>46</v>
      </c>
    </row>
    <row r="13" customFormat="false" ht="15" hidden="false" customHeight="false" outlineLevel="0" collapsed="false">
      <c r="A13" s="22"/>
      <c r="B13" s="29" t="s">
        <v>47</v>
      </c>
      <c r="C13" s="30" t="s">
        <v>28</v>
      </c>
      <c r="D13" s="31" t="n">
        <v>1.5</v>
      </c>
      <c r="E13" s="20" t="s">
        <v>48</v>
      </c>
    </row>
    <row r="14" customFormat="false" ht="14.45" hidden="false" customHeight="false" outlineLevel="0" collapsed="false">
      <c r="A14" s="22" t="s">
        <v>49</v>
      </c>
      <c r="B14" s="22" t="s">
        <v>45</v>
      </c>
      <c r="C14" s="23" t="s">
        <v>21</v>
      </c>
      <c r="D14" s="24" t="n">
        <v>3</v>
      </c>
      <c r="E14" s="20" t="s">
        <v>50</v>
      </c>
    </row>
    <row r="15" customFormat="false" ht="15" hidden="false" customHeight="false" outlineLevel="0" collapsed="false">
      <c r="A15" s="22"/>
      <c r="B15" s="29" t="s">
        <v>51</v>
      </c>
      <c r="C15" s="30" t="s">
        <v>28</v>
      </c>
      <c r="D15" s="31" t="n">
        <v>1.5</v>
      </c>
      <c r="E15" s="20" t="s">
        <v>52</v>
      </c>
    </row>
    <row r="16" customFormat="false" ht="14.45" hidden="false" customHeight="false" outlineLevel="0" collapsed="false">
      <c r="A16" s="22" t="s">
        <v>53</v>
      </c>
      <c r="B16" s="22" t="s">
        <v>45</v>
      </c>
      <c r="C16" s="23" t="s">
        <v>21</v>
      </c>
      <c r="D16" s="24" t="n">
        <v>3</v>
      </c>
      <c r="E16" s="20" t="s">
        <v>54</v>
      </c>
    </row>
    <row r="17" customFormat="false" ht="15" hidden="false" customHeight="false" outlineLevel="0" collapsed="false">
      <c r="A17" s="22"/>
      <c r="B17" s="29" t="s">
        <v>55</v>
      </c>
      <c r="C17" s="30" t="s">
        <v>28</v>
      </c>
      <c r="D17" s="31" t="n">
        <v>1.5</v>
      </c>
      <c r="E17" s="20" t="s">
        <v>56</v>
      </c>
    </row>
    <row r="18" customFormat="false" ht="14.45" hidden="false" customHeight="false" outlineLevel="0" collapsed="false">
      <c r="A18" s="22" t="s">
        <v>57</v>
      </c>
      <c r="B18" s="22" t="s">
        <v>45</v>
      </c>
      <c r="C18" s="23" t="s">
        <v>21</v>
      </c>
      <c r="D18" s="24" t="n">
        <v>3</v>
      </c>
      <c r="E18" s="20" t="s">
        <v>58</v>
      </c>
    </row>
    <row r="19" customFormat="false" ht="15" hidden="false" customHeight="false" outlineLevel="0" collapsed="false">
      <c r="A19" s="22"/>
      <c r="B19" s="29" t="s">
        <v>59</v>
      </c>
      <c r="C19" s="30" t="s">
        <v>28</v>
      </c>
      <c r="D19" s="31" t="n">
        <v>2</v>
      </c>
      <c r="E19" s="20" t="s">
        <v>60</v>
      </c>
    </row>
    <row r="20" customFormat="false" ht="15" hidden="false" customHeight="false" outlineLevel="0" collapsed="false">
      <c r="A20" s="22" t="s">
        <v>61</v>
      </c>
      <c r="B20" s="32" t="s">
        <v>41</v>
      </c>
      <c r="C20" s="26" t="s">
        <v>42</v>
      </c>
      <c r="D20" s="35" t="n">
        <f aca="false">(((25.27)+(35.1))*3+10.92*3)/1000</f>
        <v>0.21387</v>
      </c>
      <c r="E20" s="20" t="s">
        <v>62</v>
      </c>
    </row>
    <row r="21" customFormat="false" ht="15" hidden="false" customHeight="true" outlineLevel="0" collapsed="false">
      <c r="A21" s="22" t="s">
        <v>63</v>
      </c>
      <c r="B21" s="32" t="s">
        <v>64</v>
      </c>
      <c r="C21" s="26" t="s">
        <v>65</v>
      </c>
      <c r="D21" s="34" t="n">
        <v>10.35</v>
      </c>
      <c r="E21" s="36" t="s">
        <v>66</v>
      </c>
    </row>
    <row r="22" customFormat="false" ht="14.45" hidden="false" customHeight="false" outlineLevel="0" collapsed="false">
      <c r="A22" s="22" t="s">
        <v>67</v>
      </c>
      <c r="B22" s="32" t="s">
        <v>68</v>
      </c>
      <c r="C22" s="26" t="s">
        <v>65</v>
      </c>
      <c r="D22" s="34" t="n">
        <f aca="false">D21</f>
        <v>10.35</v>
      </c>
      <c r="E22" s="36"/>
    </row>
    <row r="23" customFormat="false" ht="14.45" hidden="false" customHeight="false" outlineLevel="0" collapsed="false">
      <c r="A23" s="22" t="s">
        <v>69</v>
      </c>
      <c r="B23" s="32" t="s">
        <v>70</v>
      </c>
      <c r="C23" s="26" t="s">
        <v>71</v>
      </c>
      <c r="D23" s="37" t="n">
        <f aca="false">D22/100</f>
        <v>0.1035</v>
      </c>
      <c r="E23" s="20"/>
    </row>
    <row r="24" customFormat="false" ht="14.45" hidden="false" customHeight="false" outlineLevel="0" collapsed="false">
      <c r="A24" s="22" t="s">
        <v>72</v>
      </c>
      <c r="B24" s="32" t="s">
        <v>73</v>
      </c>
      <c r="C24" s="26" t="s">
        <v>71</v>
      </c>
      <c r="D24" s="37" t="n">
        <f aca="false">D23</f>
        <v>0.1035</v>
      </c>
      <c r="E24" s="20" t="s">
        <v>74</v>
      </c>
    </row>
    <row r="25" customFormat="false" ht="14.45" hidden="false" customHeight="false" outlineLevel="0" collapsed="false">
      <c r="A25" s="22" t="s">
        <v>75</v>
      </c>
      <c r="B25" s="32" t="s">
        <v>76</v>
      </c>
      <c r="C25" s="26" t="s">
        <v>71</v>
      </c>
      <c r="D25" s="37" t="n">
        <f aca="false">D23</f>
        <v>0.1035</v>
      </c>
      <c r="E25" s="20" t="s">
        <v>74</v>
      </c>
    </row>
    <row r="26" customFormat="false" ht="14.45" hidden="false" customHeight="false" outlineLevel="0" collapsed="false">
      <c r="A26" s="22"/>
      <c r="B26" s="32"/>
      <c r="C26" s="26"/>
      <c r="D26" s="37"/>
      <c r="E26" s="20"/>
    </row>
    <row r="27" customFormat="false" ht="15" hidden="false" customHeight="false" outlineLevel="0" collapsed="false">
      <c r="A27" s="22" t="s">
        <v>77</v>
      </c>
      <c r="B27" s="22" t="s">
        <v>78</v>
      </c>
      <c r="C27" s="23" t="s">
        <v>21</v>
      </c>
      <c r="D27" s="24" t="n">
        <v>3</v>
      </c>
      <c r="E27" s="38" t="s">
        <v>79</v>
      </c>
    </row>
    <row r="28" customFormat="false" ht="30" hidden="false" customHeight="false" outlineLevel="0" collapsed="false">
      <c r="A28" s="22" t="s">
        <v>80</v>
      </c>
      <c r="B28" s="32" t="s">
        <v>81</v>
      </c>
      <c r="C28" s="26" t="s">
        <v>21</v>
      </c>
      <c r="D28" s="27" t="n">
        <v>12</v>
      </c>
      <c r="E28" s="20"/>
    </row>
    <row r="29" customFormat="false" ht="15" hidden="false" customHeight="false" outlineLevel="0" collapsed="false">
      <c r="A29" s="22"/>
      <c r="B29" s="28" t="s">
        <v>82</v>
      </c>
      <c r="C29" s="28" t="s">
        <v>21</v>
      </c>
      <c r="D29" s="39" t="n">
        <f aca="false">D28</f>
        <v>12</v>
      </c>
      <c r="E29" s="20"/>
    </row>
    <row r="30" customFormat="false" ht="15" hidden="false" customHeight="false" outlineLevel="0" collapsed="false">
      <c r="A30" s="22"/>
      <c r="B30" s="28" t="s">
        <v>83</v>
      </c>
      <c r="C30" s="28" t="s">
        <v>21</v>
      </c>
      <c r="D30" s="39" t="n">
        <f aca="false">D29</f>
        <v>12</v>
      </c>
      <c r="E30" s="20"/>
    </row>
    <row r="31" customFormat="false" ht="14.45" hidden="false" customHeight="false" outlineLevel="0" collapsed="false">
      <c r="A31" s="30"/>
      <c r="B31" s="29" t="s">
        <v>84</v>
      </c>
      <c r="C31" s="23" t="s">
        <v>21</v>
      </c>
      <c r="D31" s="24" t="n">
        <f aca="false">3</f>
        <v>3</v>
      </c>
      <c r="E31" s="20" t="s">
        <v>85</v>
      </c>
    </row>
    <row r="32" customFormat="false" ht="15" hidden="false" customHeight="false" outlineLevel="0" collapsed="false">
      <c r="A32" s="22" t="s">
        <v>86</v>
      </c>
      <c r="B32" s="22" t="s">
        <v>87</v>
      </c>
      <c r="C32" s="23" t="s">
        <v>21</v>
      </c>
      <c r="D32" s="24" t="n">
        <f aca="false">3</f>
        <v>3</v>
      </c>
      <c r="E32" s="20"/>
    </row>
    <row r="33" customFormat="false" ht="14.45" hidden="false" customHeight="false" outlineLevel="0" collapsed="false">
      <c r="A33" s="22"/>
      <c r="B33" s="29" t="s">
        <v>88</v>
      </c>
      <c r="C33" s="28" t="s">
        <v>21</v>
      </c>
      <c r="D33" s="39" t="n">
        <f aca="false">D32</f>
        <v>3</v>
      </c>
      <c r="E33" s="20" t="s">
        <v>89</v>
      </c>
    </row>
    <row r="34" customFormat="false" ht="15" hidden="false" customHeight="false" outlineLevel="0" collapsed="false">
      <c r="A34" s="22"/>
      <c r="B34" s="29" t="s">
        <v>90</v>
      </c>
      <c r="C34" s="28" t="s">
        <v>21</v>
      </c>
      <c r="D34" s="39" t="n">
        <f aca="false">D33</f>
        <v>3</v>
      </c>
      <c r="E34" s="20" t="s">
        <v>91</v>
      </c>
    </row>
    <row r="35" customFormat="false" ht="15" hidden="false" customHeight="false" outlineLevel="0" collapsed="false">
      <c r="A35" s="22"/>
      <c r="B35" s="29" t="s">
        <v>92</v>
      </c>
      <c r="C35" s="28" t="s">
        <v>21</v>
      </c>
      <c r="D35" s="39" t="n">
        <f aca="false">D34</f>
        <v>3</v>
      </c>
      <c r="E35" s="20" t="s">
        <v>93</v>
      </c>
    </row>
    <row r="36" customFormat="false" ht="15" hidden="false" customHeight="false" outlineLevel="0" collapsed="false">
      <c r="A36" s="22"/>
      <c r="B36" s="29" t="s">
        <v>94</v>
      </c>
      <c r="C36" s="28" t="s">
        <v>21</v>
      </c>
      <c r="D36" s="39" t="n">
        <f aca="false">D35</f>
        <v>3</v>
      </c>
      <c r="E36" s="20" t="s">
        <v>95</v>
      </c>
    </row>
    <row r="37" customFormat="false" ht="15" hidden="false" customHeight="false" outlineLevel="0" collapsed="false">
      <c r="A37" s="22" t="s">
        <v>96</v>
      </c>
      <c r="B37" s="22" t="s">
        <v>97</v>
      </c>
      <c r="C37" s="28" t="s">
        <v>98</v>
      </c>
      <c r="D37" s="39" t="n">
        <v>24</v>
      </c>
      <c r="E37" s="20" t="s">
        <v>99</v>
      </c>
    </row>
    <row r="38" customFormat="false" ht="15" hidden="false" customHeight="false" outlineLevel="0" collapsed="false">
      <c r="A38" s="22"/>
      <c r="B38" s="29"/>
      <c r="C38" s="22"/>
      <c r="D38" s="22"/>
      <c r="E38" s="22"/>
    </row>
    <row r="39" customFormat="false" ht="15" hidden="false" customHeight="false" outlineLevel="0" collapsed="false">
      <c r="A39" s="22" t="s">
        <v>100</v>
      </c>
      <c r="B39" s="32" t="s">
        <v>101</v>
      </c>
      <c r="C39" s="23" t="s">
        <v>21</v>
      </c>
      <c r="D39" s="24" t="n">
        <f aca="false">3</f>
        <v>3</v>
      </c>
      <c r="E39" s="38" t="s">
        <v>79</v>
      </c>
    </row>
    <row r="40" customFormat="false" ht="15" hidden="false" customHeight="false" outlineLevel="0" collapsed="false">
      <c r="A40" s="29"/>
      <c r="B40" s="29" t="s">
        <v>102</v>
      </c>
      <c r="C40" s="29" t="s">
        <v>21</v>
      </c>
      <c r="D40" s="39" t="n">
        <f aca="false">D39</f>
        <v>3</v>
      </c>
      <c r="E40" s="29" t="s">
        <v>103</v>
      </c>
    </row>
    <row r="41" customFormat="false" ht="15" hidden="false" customHeight="false" outlineLevel="0" collapsed="false">
      <c r="A41" s="29"/>
      <c r="B41" s="29" t="s">
        <v>104</v>
      </c>
      <c r="C41" s="29" t="s">
        <v>105</v>
      </c>
      <c r="D41" s="39" t="n">
        <f aca="false">D40</f>
        <v>3</v>
      </c>
      <c r="E41" s="29"/>
    </row>
    <row r="42" customFormat="false" ht="15" hidden="false" customHeight="false" outlineLevel="0" collapsed="false">
      <c r="A42" s="22" t="s">
        <v>106</v>
      </c>
      <c r="B42" s="32" t="s">
        <v>107</v>
      </c>
      <c r="C42" s="26" t="s">
        <v>28</v>
      </c>
      <c r="D42" s="24" t="n">
        <v>30</v>
      </c>
      <c r="E42" s="28"/>
    </row>
    <row r="43" customFormat="false" ht="30" hidden="false" customHeight="false" outlineLevel="0" collapsed="false">
      <c r="A43" s="22" t="s">
        <v>108</v>
      </c>
      <c r="B43" s="32" t="s">
        <v>109</v>
      </c>
      <c r="C43" s="26" t="s">
        <v>110</v>
      </c>
      <c r="D43" s="26" t="n">
        <f aca="false">D42/100</f>
        <v>0.3</v>
      </c>
      <c r="E43" s="28"/>
    </row>
    <row r="44" customFormat="false" ht="15" hidden="false" customHeight="false" outlineLevel="0" collapsed="false">
      <c r="A44" s="22"/>
      <c r="B44" s="28" t="s">
        <v>111</v>
      </c>
      <c r="C44" s="28" t="s">
        <v>28</v>
      </c>
      <c r="D44" s="39" t="n">
        <f aca="false">D43*100</f>
        <v>30</v>
      </c>
      <c r="E44" s="28" t="s">
        <v>112</v>
      </c>
    </row>
    <row r="45" customFormat="false" ht="15" hidden="false" customHeight="false" outlineLevel="0" collapsed="false">
      <c r="A45" s="29"/>
      <c r="B45" s="29" t="s">
        <v>113</v>
      </c>
      <c r="C45" s="28" t="s">
        <v>28</v>
      </c>
      <c r="D45" s="40" t="n">
        <f aca="false">D44</f>
        <v>30</v>
      </c>
      <c r="E45" s="29" t="s">
        <v>114</v>
      </c>
    </row>
    <row r="46" customFormat="false" ht="15" hidden="false" customHeight="false" outlineLevel="0" collapsed="false">
      <c r="A46" s="29"/>
      <c r="B46" s="41" t="s">
        <v>115</v>
      </c>
      <c r="C46" s="28" t="s">
        <v>28</v>
      </c>
      <c r="D46" s="40" t="n">
        <v>1.5</v>
      </c>
      <c r="E46" s="29" t="s">
        <v>116</v>
      </c>
    </row>
    <row r="47" customFormat="false" ht="15" hidden="false" customHeight="false" outlineLevel="0" collapsed="false">
      <c r="A47" s="22" t="s">
        <v>117</v>
      </c>
      <c r="B47" s="32" t="s">
        <v>118</v>
      </c>
      <c r="C47" s="26" t="s">
        <v>21</v>
      </c>
      <c r="D47" s="27" t="n">
        <f aca="false">15</f>
        <v>15</v>
      </c>
      <c r="E47" s="28" t="s">
        <v>119</v>
      </c>
    </row>
    <row r="48" customFormat="false" ht="15" hidden="false" customHeight="false" outlineLevel="0" collapsed="false">
      <c r="A48" s="22"/>
      <c r="B48" s="28" t="s">
        <v>120</v>
      </c>
      <c r="C48" s="28" t="s">
        <v>21</v>
      </c>
      <c r="D48" s="34" t="n">
        <f aca="false">D47</f>
        <v>15</v>
      </c>
      <c r="E48" s="28"/>
    </row>
    <row r="49" customFormat="false" ht="15" hidden="false" customHeight="false" outlineLevel="0" collapsed="false">
      <c r="A49" s="22"/>
      <c r="B49" s="28" t="s">
        <v>121</v>
      </c>
      <c r="C49" s="28" t="s">
        <v>21</v>
      </c>
      <c r="D49" s="34" t="n">
        <f aca="false">D48</f>
        <v>15</v>
      </c>
      <c r="E49" s="28"/>
    </row>
    <row r="50" customFormat="false" ht="15" hidden="false" customHeight="false" outlineLevel="0" collapsed="false">
      <c r="A50" s="22" t="s">
        <v>122</v>
      </c>
      <c r="B50" s="32" t="s">
        <v>123</v>
      </c>
      <c r="C50" s="26" t="s">
        <v>21</v>
      </c>
      <c r="D50" s="27" t="n">
        <v>3</v>
      </c>
      <c r="E50" s="28"/>
    </row>
    <row r="51" customFormat="false" ht="15" hidden="false" customHeight="false" outlineLevel="0" collapsed="false">
      <c r="A51" s="28"/>
      <c r="B51" s="28" t="s">
        <v>124</v>
      </c>
      <c r="C51" s="28" t="s">
        <v>28</v>
      </c>
      <c r="D51" s="39" t="n">
        <f aca="false">D50*0.2</f>
        <v>0.6</v>
      </c>
      <c r="E51" s="42" t="s">
        <v>125</v>
      </c>
    </row>
  </sheetData>
  <mergeCells count="3">
    <mergeCell ref="A1:E1"/>
    <mergeCell ref="A2:E2"/>
    <mergeCell ref="E21:E2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5" man="true" max="65535" min="0"/>
  </colBreak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22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A4" activeCellId="0" sqref="A4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103.42"/>
    <col collapsed="false" customWidth="true" hidden="false" outlineLevel="0" max="3" min="3" style="1" width="10"/>
    <col collapsed="false" customWidth="true" hidden="false" outlineLevel="0" max="4" min="4" style="1" width="12.86"/>
    <col collapsed="false" customWidth="true" hidden="false" outlineLevel="0" max="5" min="5" style="1" width="48.57"/>
  </cols>
  <sheetData>
    <row r="1" customFormat="false" ht="15" hidden="false" customHeight="true" outlineLevel="0" collapsed="false">
      <c r="A1" s="61" t="s">
        <v>505</v>
      </c>
      <c r="B1" s="61"/>
      <c r="C1" s="61"/>
      <c r="D1" s="61"/>
      <c r="E1" s="61"/>
    </row>
    <row r="2" customFormat="false" ht="15" hidden="false" customHeight="true" outlineLevel="0" collapsed="false">
      <c r="A2" s="61" t="s">
        <v>506</v>
      </c>
      <c r="B2" s="61"/>
      <c r="C2" s="61"/>
      <c r="D2" s="61"/>
      <c r="E2" s="61"/>
    </row>
    <row r="3" customFormat="false" ht="44.25" hidden="false" customHeight="true" outlineLevel="0" collapsed="false">
      <c r="A3" s="21" t="s">
        <v>14</v>
      </c>
      <c r="B3" s="21" t="s">
        <v>15</v>
      </c>
      <c r="C3" s="21" t="s">
        <v>16</v>
      </c>
      <c r="D3" s="21" t="s">
        <v>17</v>
      </c>
      <c r="E3" s="21" t="s">
        <v>18</v>
      </c>
    </row>
    <row r="4" customFormat="false" ht="15" hidden="false" customHeight="false" outlineLevel="0" collapsed="false">
      <c r="A4" s="25" t="s">
        <v>507</v>
      </c>
      <c r="B4" s="32" t="s">
        <v>483</v>
      </c>
      <c r="C4" s="26" t="s">
        <v>303</v>
      </c>
      <c r="D4" s="27" t="n">
        <v>140</v>
      </c>
      <c r="E4" s="42"/>
    </row>
    <row r="5" customFormat="false" ht="15" hidden="false" customHeight="false" outlineLevel="0" collapsed="false">
      <c r="A5" s="62"/>
      <c r="B5" s="28" t="s">
        <v>484</v>
      </c>
      <c r="C5" s="28" t="s">
        <v>28</v>
      </c>
      <c r="D5" s="39" t="n">
        <f aca="false">D4</f>
        <v>140</v>
      </c>
      <c r="E5" s="42"/>
    </row>
    <row r="6" customFormat="false" ht="15" hidden="false" customHeight="false" outlineLevel="0" collapsed="false">
      <c r="A6" s="25" t="s">
        <v>508</v>
      </c>
      <c r="B6" s="32" t="s">
        <v>307</v>
      </c>
      <c r="C6" s="26" t="s">
        <v>303</v>
      </c>
      <c r="D6" s="27" t="n">
        <f aca="false">D4</f>
        <v>140</v>
      </c>
      <c r="E6" s="42"/>
    </row>
    <row r="7" customFormat="false" ht="15" hidden="false" customHeight="false" outlineLevel="0" collapsed="false">
      <c r="A7" s="25" t="s">
        <v>509</v>
      </c>
      <c r="B7" s="32" t="s">
        <v>118</v>
      </c>
      <c r="C7" s="26" t="s">
        <v>21</v>
      </c>
      <c r="D7" s="73" t="n">
        <f aca="false">D4/0.3</f>
        <v>466.666666666667</v>
      </c>
      <c r="E7" s="42"/>
    </row>
    <row r="8" customFormat="false" ht="15" hidden="false" customHeight="false" outlineLevel="0" collapsed="false">
      <c r="A8" s="63"/>
      <c r="B8" s="28" t="s">
        <v>120</v>
      </c>
      <c r="C8" s="28" t="s">
        <v>21</v>
      </c>
      <c r="D8" s="74" t="n">
        <f aca="false">D7</f>
        <v>466.666666666667</v>
      </c>
      <c r="E8" s="42"/>
    </row>
    <row r="9" customFormat="false" ht="15" hidden="false" customHeight="false" outlineLevel="0" collapsed="false">
      <c r="A9" s="63"/>
      <c r="B9" s="28" t="s">
        <v>121</v>
      </c>
      <c r="C9" s="28" t="s">
        <v>21</v>
      </c>
      <c r="D9" s="74" t="n">
        <f aca="false">D7</f>
        <v>466.666666666667</v>
      </c>
      <c r="E9" s="42"/>
    </row>
    <row r="10" customFormat="false" ht="15" hidden="false" customHeight="false" outlineLevel="0" collapsed="false">
      <c r="A10" s="63"/>
      <c r="B10" s="28" t="s">
        <v>111</v>
      </c>
      <c r="C10" s="28" t="s">
        <v>28</v>
      </c>
      <c r="D10" s="39" t="n">
        <f aca="false">D6</f>
        <v>140</v>
      </c>
      <c r="E10" s="42"/>
    </row>
    <row r="11" customFormat="false" ht="15" hidden="false" customHeight="false" outlineLevel="0" collapsed="false">
      <c r="A11" s="63"/>
      <c r="B11" s="28" t="s">
        <v>332</v>
      </c>
      <c r="C11" s="28" t="s">
        <v>21</v>
      </c>
      <c r="D11" s="39" t="n">
        <f aca="false">ROUNDUP(D4/100,0)</f>
        <v>2</v>
      </c>
      <c r="E11" s="42"/>
    </row>
    <row r="12" customFormat="false" ht="15" hidden="false" customHeight="false" outlineLevel="0" collapsed="false">
      <c r="A12" s="63"/>
      <c r="B12" s="28" t="s">
        <v>333</v>
      </c>
      <c r="C12" s="28" t="s">
        <v>21</v>
      </c>
      <c r="D12" s="39" t="n">
        <f aca="false">ROUNDUP(D4/100,0)</f>
        <v>2</v>
      </c>
      <c r="E12" s="42"/>
    </row>
    <row r="13" customFormat="false" ht="15" hidden="false" customHeight="false" outlineLevel="0" collapsed="false">
      <c r="A13" s="25" t="s">
        <v>510</v>
      </c>
      <c r="B13" s="32" t="s">
        <v>371</v>
      </c>
      <c r="C13" s="26" t="s">
        <v>21</v>
      </c>
      <c r="D13" s="27" t="n">
        <v>2</v>
      </c>
      <c r="E13" s="26" t="s">
        <v>311</v>
      </c>
    </row>
    <row r="14" customFormat="false" ht="15" hidden="false" customHeight="false" outlineLevel="0" collapsed="false">
      <c r="A14" s="25" t="s">
        <v>511</v>
      </c>
      <c r="B14" s="32" t="s">
        <v>313</v>
      </c>
      <c r="C14" s="26" t="s">
        <v>21</v>
      </c>
      <c r="D14" s="27" t="n">
        <f aca="false">D13*3</f>
        <v>6</v>
      </c>
      <c r="E14" s="26" t="s">
        <v>304</v>
      </c>
    </row>
    <row r="15" customFormat="false" ht="15" hidden="false" customHeight="false" outlineLevel="0" collapsed="false">
      <c r="A15" s="28"/>
      <c r="B15" s="28" t="s">
        <v>373</v>
      </c>
      <c r="C15" s="28" t="s">
        <v>21</v>
      </c>
      <c r="D15" s="39" t="n">
        <f aca="false">D14</f>
        <v>6</v>
      </c>
      <c r="E15" s="64"/>
    </row>
    <row r="16" customFormat="false" ht="15" hidden="false" customHeight="false" outlineLevel="0" collapsed="false">
      <c r="A16" s="25" t="s">
        <v>512</v>
      </c>
      <c r="B16" s="32" t="s">
        <v>319</v>
      </c>
      <c r="C16" s="26" t="s">
        <v>21</v>
      </c>
      <c r="D16" s="27" t="n">
        <f aca="false">6</f>
        <v>6</v>
      </c>
      <c r="E16" s="42" t="s">
        <v>304</v>
      </c>
    </row>
    <row r="17" customFormat="false" ht="15" hidden="false" customHeight="false" outlineLevel="0" collapsed="false">
      <c r="A17" s="28"/>
      <c r="B17" s="28" t="s">
        <v>375</v>
      </c>
      <c r="C17" s="28" t="s">
        <v>21</v>
      </c>
      <c r="D17" s="39" t="n">
        <f aca="false">D16</f>
        <v>6</v>
      </c>
      <c r="E17" s="42"/>
    </row>
    <row r="18" customFormat="false" ht="15" hidden="false" customHeight="false" outlineLevel="0" collapsed="false">
      <c r="A18" s="28"/>
      <c r="B18" s="28" t="s">
        <v>321</v>
      </c>
      <c r="C18" s="28" t="s">
        <v>21</v>
      </c>
      <c r="D18" s="39" t="n">
        <f aca="false">D16</f>
        <v>6</v>
      </c>
      <c r="E18" s="42"/>
    </row>
    <row r="19" customFormat="false" ht="15" hidden="false" customHeight="false" outlineLevel="0" collapsed="false">
      <c r="A19" s="25" t="s">
        <v>513</v>
      </c>
      <c r="B19" s="32" t="s">
        <v>323</v>
      </c>
      <c r="C19" s="26" t="s">
        <v>21</v>
      </c>
      <c r="D19" s="27" t="n">
        <v>2</v>
      </c>
      <c r="E19" s="42"/>
    </row>
    <row r="20" customFormat="false" ht="15" hidden="false" customHeight="false" outlineLevel="0" collapsed="false">
      <c r="A20" s="72"/>
      <c r="B20" s="28" t="s">
        <v>124</v>
      </c>
      <c r="C20" s="28" t="s">
        <v>28</v>
      </c>
      <c r="D20" s="39" t="n">
        <f aca="false">D19*0.2</f>
        <v>0.4</v>
      </c>
      <c r="E20" s="42" t="s">
        <v>125</v>
      </c>
    </row>
    <row r="21" customFormat="false" ht="15" hidden="false" customHeight="false" outlineLevel="0" collapsed="false">
      <c r="A21" s="66" t="s">
        <v>514</v>
      </c>
      <c r="B21" s="67" t="s">
        <v>325</v>
      </c>
      <c r="C21" s="68" t="s">
        <v>21</v>
      </c>
      <c r="D21" s="69" t="n">
        <v>1</v>
      </c>
      <c r="E21" s="70" t="s">
        <v>378</v>
      </c>
    </row>
    <row r="22" customFormat="false" ht="15" hidden="false" customHeight="false" outlineLevel="0" collapsed="false">
      <c r="A22" s="66" t="s">
        <v>515</v>
      </c>
      <c r="B22" s="67" t="s">
        <v>493</v>
      </c>
      <c r="C22" s="68" t="s">
        <v>21</v>
      </c>
      <c r="D22" s="69" t="n">
        <v>1</v>
      </c>
      <c r="E22" s="70" t="s">
        <v>378</v>
      </c>
    </row>
  </sheetData>
  <mergeCells count="2">
    <mergeCell ref="A1:E1"/>
    <mergeCell ref="A2:E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5" man="true" max="65535" min="0"/>
  </colBreak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27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A24" activeCellId="0" sqref="A24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103.42"/>
    <col collapsed="false" customWidth="true" hidden="false" outlineLevel="0" max="3" min="3" style="1" width="10"/>
    <col collapsed="false" customWidth="true" hidden="false" outlineLevel="0" max="4" min="4" style="1" width="12.86"/>
    <col collapsed="false" customWidth="true" hidden="false" outlineLevel="0" max="5" min="5" style="1" width="48.57"/>
  </cols>
  <sheetData>
    <row r="1" customFormat="false" ht="15" hidden="false" customHeight="true" outlineLevel="0" collapsed="false">
      <c r="A1" s="61" t="s">
        <v>516</v>
      </c>
      <c r="B1" s="61"/>
      <c r="C1" s="61"/>
      <c r="D1" s="61"/>
      <c r="E1" s="61"/>
    </row>
    <row r="2" customFormat="false" ht="15" hidden="false" customHeight="true" outlineLevel="0" collapsed="false">
      <c r="A2" s="61" t="s">
        <v>517</v>
      </c>
      <c r="B2" s="61"/>
      <c r="C2" s="61"/>
      <c r="D2" s="61"/>
      <c r="E2" s="61"/>
    </row>
    <row r="3" customFormat="false" ht="45.75" hidden="false" customHeight="true" outlineLevel="0" collapsed="false">
      <c r="A3" s="21" t="s">
        <v>14</v>
      </c>
      <c r="B3" s="21" t="s">
        <v>15</v>
      </c>
      <c r="C3" s="21" t="s">
        <v>16</v>
      </c>
      <c r="D3" s="21" t="s">
        <v>17</v>
      </c>
      <c r="E3" s="21" t="s">
        <v>18</v>
      </c>
    </row>
    <row r="4" customFormat="false" ht="15" hidden="false" customHeight="false" outlineLevel="0" collapsed="false">
      <c r="A4" s="25" t="s">
        <v>518</v>
      </c>
      <c r="B4" s="32" t="s">
        <v>519</v>
      </c>
      <c r="C4" s="26" t="s">
        <v>303</v>
      </c>
      <c r="D4" s="27" t="n">
        <v>90</v>
      </c>
      <c r="E4" s="42"/>
    </row>
    <row r="5" customFormat="false" ht="15" hidden="false" customHeight="false" outlineLevel="0" collapsed="false">
      <c r="A5" s="62"/>
      <c r="B5" s="28" t="s">
        <v>520</v>
      </c>
      <c r="C5" s="28" t="s">
        <v>28</v>
      </c>
      <c r="D5" s="39" t="n">
        <f aca="false">D4</f>
        <v>90</v>
      </c>
      <c r="E5" s="42"/>
    </row>
    <row r="6" customFormat="false" ht="15" hidden="false" customHeight="false" outlineLevel="0" collapsed="false">
      <c r="A6" s="25" t="s">
        <v>521</v>
      </c>
      <c r="B6" s="32" t="s">
        <v>307</v>
      </c>
      <c r="C6" s="26" t="s">
        <v>303</v>
      </c>
      <c r="D6" s="27" t="n">
        <f aca="false">D4</f>
        <v>90</v>
      </c>
      <c r="E6" s="42"/>
    </row>
    <row r="7" customFormat="false" ht="15" hidden="false" customHeight="false" outlineLevel="0" collapsed="false">
      <c r="A7" s="25" t="s">
        <v>522</v>
      </c>
      <c r="B7" s="32" t="s">
        <v>118</v>
      </c>
      <c r="C7" s="26" t="s">
        <v>21</v>
      </c>
      <c r="D7" s="73" t="n">
        <f aca="false">ROUNDUP(D6/0.3,)</f>
        <v>300</v>
      </c>
      <c r="E7" s="42"/>
    </row>
    <row r="8" customFormat="false" ht="15" hidden="false" customHeight="false" outlineLevel="0" collapsed="false">
      <c r="A8" s="63"/>
      <c r="B8" s="28" t="s">
        <v>120</v>
      </c>
      <c r="C8" s="28" t="s">
        <v>21</v>
      </c>
      <c r="D8" s="74" t="n">
        <f aca="false">D7</f>
        <v>300</v>
      </c>
      <c r="E8" s="42"/>
    </row>
    <row r="9" customFormat="false" ht="15" hidden="false" customHeight="false" outlineLevel="0" collapsed="false">
      <c r="A9" s="63"/>
      <c r="B9" s="28" t="s">
        <v>121</v>
      </c>
      <c r="C9" s="28" t="s">
        <v>21</v>
      </c>
      <c r="D9" s="74" t="n">
        <f aca="false">D7</f>
        <v>300</v>
      </c>
      <c r="E9" s="42"/>
    </row>
    <row r="10" customFormat="false" ht="15" hidden="false" customHeight="false" outlineLevel="0" collapsed="false">
      <c r="A10" s="63"/>
      <c r="B10" s="28" t="s">
        <v>111</v>
      </c>
      <c r="C10" s="28" t="s">
        <v>28</v>
      </c>
      <c r="D10" s="39" t="n">
        <f aca="false">D6</f>
        <v>90</v>
      </c>
      <c r="E10" s="42"/>
    </row>
    <row r="11" customFormat="false" ht="15" hidden="false" customHeight="false" outlineLevel="0" collapsed="false">
      <c r="A11" s="63"/>
      <c r="B11" s="28" t="s">
        <v>332</v>
      </c>
      <c r="C11" s="28" t="s">
        <v>21</v>
      </c>
      <c r="D11" s="39" t="n">
        <f aca="false">ROUNDUP(D4/100,0)</f>
        <v>1</v>
      </c>
      <c r="E11" s="42"/>
    </row>
    <row r="12" customFormat="false" ht="15" hidden="false" customHeight="false" outlineLevel="0" collapsed="false">
      <c r="A12" s="63"/>
      <c r="B12" s="28" t="s">
        <v>333</v>
      </c>
      <c r="C12" s="28" t="s">
        <v>21</v>
      </c>
      <c r="D12" s="39" t="n">
        <f aca="false">ROUNDUP(D4/100,0)</f>
        <v>1</v>
      </c>
      <c r="E12" s="42"/>
    </row>
    <row r="13" customFormat="false" ht="15" hidden="false" customHeight="false" outlineLevel="0" collapsed="false">
      <c r="A13" s="25" t="s">
        <v>523</v>
      </c>
      <c r="B13" s="32" t="s">
        <v>371</v>
      </c>
      <c r="C13" s="26" t="s">
        <v>21</v>
      </c>
      <c r="D13" s="27" t="n">
        <v>2</v>
      </c>
      <c r="E13" s="26" t="s">
        <v>311</v>
      </c>
    </row>
    <row r="14" customFormat="false" ht="15" hidden="false" customHeight="false" outlineLevel="0" collapsed="false">
      <c r="A14" s="25" t="s">
        <v>524</v>
      </c>
      <c r="B14" s="32" t="s">
        <v>313</v>
      </c>
      <c r="C14" s="26" t="s">
        <v>21</v>
      </c>
      <c r="D14" s="27" t="n">
        <f aca="false">D13*3</f>
        <v>6</v>
      </c>
      <c r="E14" s="26" t="s">
        <v>304</v>
      </c>
    </row>
    <row r="15" customFormat="false" ht="15" hidden="false" customHeight="false" outlineLevel="0" collapsed="false">
      <c r="A15" s="28"/>
      <c r="B15" s="28" t="s">
        <v>525</v>
      </c>
      <c r="C15" s="28" t="s">
        <v>21</v>
      </c>
      <c r="D15" s="39" t="n">
        <f aca="false">D14</f>
        <v>6</v>
      </c>
      <c r="E15" s="64"/>
    </row>
    <row r="16" customFormat="false" ht="15" hidden="false" customHeight="false" outlineLevel="0" collapsed="false">
      <c r="A16" s="25" t="s">
        <v>526</v>
      </c>
      <c r="B16" s="32" t="s">
        <v>319</v>
      </c>
      <c r="C16" s="26" t="s">
        <v>21</v>
      </c>
      <c r="D16" s="27" t="n">
        <f aca="false">ROUNDUP(D4/50,0)+2</f>
        <v>4</v>
      </c>
      <c r="E16" s="42" t="s">
        <v>304</v>
      </c>
    </row>
    <row r="17" customFormat="false" ht="15" hidden="false" customHeight="false" outlineLevel="0" collapsed="false">
      <c r="A17" s="28"/>
      <c r="B17" s="28" t="s">
        <v>375</v>
      </c>
      <c r="C17" s="28" t="s">
        <v>21</v>
      </c>
      <c r="D17" s="39" t="n">
        <f aca="false">D16</f>
        <v>4</v>
      </c>
      <c r="E17" s="42"/>
    </row>
    <row r="18" customFormat="false" ht="15" hidden="false" customHeight="false" outlineLevel="0" collapsed="false">
      <c r="A18" s="28"/>
      <c r="B18" s="28" t="s">
        <v>321</v>
      </c>
      <c r="C18" s="28" t="s">
        <v>21</v>
      </c>
      <c r="D18" s="39" t="n">
        <f aca="false">D16</f>
        <v>4</v>
      </c>
      <c r="E18" s="42"/>
    </row>
    <row r="19" customFormat="false" ht="15" hidden="false" customHeight="false" outlineLevel="0" collapsed="false">
      <c r="A19" s="25" t="s">
        <v>527</v>
      </c>
      <c r="B19" s="32" t="s">
        <v>323</v>
      </c>
      <c r="C19" s="26" t="s">
        <v>21</v>
      </c>
      <c r="D19" s="27" t="n">
        <v>2</v>
      </c>
      <c r="E19" s="42"/>
    </row>
    <row r="20" customFormat="false" ht="15" hidden="false" customHeight="false" outlineLevel="0" collapsed="false">
      <c r="A20" s="72"/>
      <c r="B20" s="28" t="s">
        <v>124</v>
      </c>
      <c r="C20" s="28" t="s">
        <v>28</v>
      </c>
      <c r="D20" s="39" t="n">
        <f aca="false">D19*0.2</f>
        <v>0.4</v>
      </c>
      <c r="E20" s="42" t="s">
        <v>125</v>
      </c>
    </row>
    <row r="21" customFormat="false" ht="15" hidden="false" customHeight="false" outlineLevel="0" collapsed="false">
      <c r="A21" s="66" t="s">
        <v>528</v>
      </c>
      <c r="B21" s="67" t="s">
        <v>325</v>
      </c>
      <c r="C21" s="68" t="s">
        <v>21</v>
      </c>
      <c r="D21" s="69" t="n">
        <v>1</v>
      </c>
      <c r="E21" s="70" t="s">
        <v>378</v>
      </c>
    </row>
    <row r="22" customFormat="false" ht="15" hidden="false" customHeight="false" outlineLevel="0" collapsed="false">
      <c r="A22" s="66" t="s">
        <v>529</v>
      </c>
      <c r="B22" s="67" t="s">
        <v>493</v>
      </c>
      <c r="C22" s="68" t="s">
        <v>21</v>
      </c>
      <c r="D22" s="69" t="n">
        <v>1</v>
      </c>
      <c r="E22" s="70" t="s">
        <v>378</v>
      </c>
    </row>
    <row r="23" customFormat="false" ht="15" hidden="false" customHeight="false" outlineLevel="0" collapsed="false">
      <c r="A23" s="20" t="s">
        <v>380</v>
      </c>
      <c r="B23" s="20"/>
      <c r="C23" s="20"/>
      <c r="D23" s="20"/>
      <c r="E23" s="20"/>
    </row>
    <row r="24" customFormat="false" ht="15" hidden="false" customHeight="true" outlineLevel="0" collapsed="false">
      <c r="A24" s="25" t="s">
        <v>530</v>
      </c>
      <c r="B24" s="32" t="s">
        <v>442</v>
      </c>
      <c r="C24" s="26" t="s">
        <v>21</v>
      </c>
      <c r="D24" s="27" t="n">
        <v>13</v>
      </c>
      <c r="E24" s="72"/>
    </row>
    <row r="25" customFormat="false" ht="15" hidden="false" customHeight="false" outlineLevel="0" collapsed="false">
      <c r="A25" s="72"/>
      <c r="B25" s="28" t="s">
        <v>443</v>
      </c>
      <c r="C25" s="28" t="s">
        <v>28</v>
      </c>
      <c r="D25" s="39" t="n">
        <f aca="false">D24*0.3</f>
        <v>3.9</v>
      </c>
      <c r="E25" s="28" t="s">
        <v>444</v>
      </c>
    </row>
    <row r="26" customFormat="false" ht="15" hidden="false" customHeight="false" outlineLevel="0" collapsed="false">
      <c r="A26" s="25" t="s">
        <v>531</v>
      </c>
      <c r="B26" s="32" t="s">
        <v>446</v>
      </c>
      <c r="C26" s="26" t="s">
        <v>200</v>
      </c>
      <c r="D26" s="75" t="n">
        <f aca="false">0.002*D25</f>
        <v>0.0078</v>
      </c>
      <c r="E26" s="28" t="s">
        <v>447</v>
      </c>
    </row>
    <row r="27" customFormat="false" ht="15" hidden="false" customHeight="false" outlineLevel="0" collapsed="false">
      <c r="A27" s="72"/>
      <c r="B27" s="28" t="s">
        <v>448</v>
      </c>
      <c r="C27" s="28" t="s">
        <v>449</v>
      </c>
      <c r="D27" s="39" t="n">
        <f aca="false">D26*1000</f>
        <v>7.8</v>
      </c>
      <c r="E27" s="28"/>
    </row>
  </sheetData>
  <mergeCells count="3">
    <mergeCell ref="A1:E1"/>
    <mergeCell ref="A2:E2"/>
    <mergeCell ref="A23:E2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5" man="true" max="65535" min="0"/>
  </colBreak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22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E37" activeCellId="0" sqref="E3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103.42"/>
    <col collapsed="false" customWidth="true" hidden="false" outlineLevel="0" max="3" min="3" style="1" width="10"/>
    <col collapsed="false" customWidth="true" hidden="false" outlineLevel="0" max="4" min="4" style="1" width="12.86"/>
    <col collapsed="false" customWidth="true" hidden="false" outlineLevel="0" max="5" min="5" style="1" width="48.57"/>
  </cols>
  <sheetData>
    <row r="1" customFormat="false" ht="15" hidden="false" customHeight="true" outlineLevel="0" collapsed="false">
      <c r="A1" s="61" t="s">
        <v>532</v>
      </c>
      <c r="B1" s="61"/>
      <c r="C1" s="61"/>
      <c r="D1" s="61"/>
      <c r="E1" s="61"/>
    </row>
    <row r="2" customFormat="false" ht="15" hidden="false" customHeight="true" outlineLevel="0" collapsed="false">
      <c r="A2" s="61" t="s">
        <v>451</v>
      </c>
      <c r="B2" s="61"/>
      <c r="C2" s="61"/>
      <c r="D2" s="61"/>
      <c r="E2" s="61"/>
    </row>
    <row r="3" customFormat="false" ht="42" hidden="false" customHeight="true" outlineLevel="0" collapsed="false">
      <c r="A3" s="21" t="s">
        <v>14</v>
      </c>
      <c r="B3" s="21" t="s">
        <v>15</v>
      </c>
      <c r="C3" s="21" t="s">
        <v>16</v>
      </c>
      <c r="D3" s="21" t="s">
        <v>17</v>
      </c>
      <c r="E3" s="21" t="s">
        <v>18</v>
      </c>
    </row>
    <row r="4" customFormat="false" ht="15" hidden="false" customHeight="false" outlineLevel="0" collapsed="false">
      <c r="A4" s="25" t="s">
        <v>533</v>
      </c>
      <c r="B4" s="32" t="s">
        <v>519</v>
      </c>
      <c r="C4" s="26" t="s">
        <v>303</v>
      </c>
      <c r="D4" s="27" t="n">
        <v>1320</v>
      </c>
      <c r="E4" s="42"/>
    </row>
    <row r="5" customFormat="false" ht="15" hidden="false" customHeight="false" outlineLevel="0" collapsed="false">
      <c r="A5" s="62"/>
      <c r="B5" s="28" t="s">
        <v>520</v>
      </c>
      <c r="C5" s="28" t="s">
        <v>28</v>
      </c>
      <c r="D5" s="39" t="n">
        <f aca="false">D4</f>
        <v>1320</v>
      </c>
      <c r="E5" s="42"/>
    </row>
    <row r="6" customFormat="false" ht="15" hidden="false" customHeight="false" outlineLevel="0" collapsed="false">
      <c r="A6" s="25" t="s">
        <v>534</v>
      </c>
      <c r="B6" s="32" t="s">
        <v>307</v>
      </c>
      <c r="C6" s="26" t="s">
        <v>303</v>
      </c>
      <c r="D6" s="27" t="n">
        <f aca="false">D4</f>
        <v>1320</v>
      </c>
      <c r="E6" s="42"/>
    </row>
    <row r="7" customFormat="false" ht="15" hidden="false" customHeight="false" outlineLevel="0" collapsed="false">
      <c r="A7" s="25" t="s">
        <v>535</v>
      </c>
      <c r="B7" s="32" t="s">
        <v>118</v>
      </c>
      <c r="C7" s="26" t="s">
        <v>21</v>
      </c>
      <c r="D7" s="73" t="n">
        <f aca="false">ROUNDUP(D6/0.3,)</f>
        <v>4400</v>
      </c>
      <c r="E7" s="42"/>
    </row>
    <row r="8" customFormat="false" ht="15" hidden="false" customHeight="false" outlineLevel="0" collapsed="false">
      <c r="A8" s="63"/>
      <c r="B8" s="28" t="s">
        <v>120</v>
      </c>
      <c r="C8" s="28" t="s">
        <v>21</v>
      </c>
      <c r="D8" s="74" t="n">
        <f aca="false">D7</f>
        <v>4400</v>
      </c>
      <c r="E8" s="42"/>
    </row>
    <row r="9" customFormat="false" ht="15" hidden="false" customHeight="false" outlineLevel="0" collapsed="false">
      <c r="A9" s="63"/>
      <c r="B9" s="28" t="s">
        <v>121</v>
      </c>
      <c r="C9" s="28" t="s">
        <v>21</v>
      </c>
      <c r="D9" s="74" t="n">
        <f aca="false">D7</f>
        <v>4400</v>
      </c>
      <c r="E9" s="42"/>
    </row>
    <row r="10" customFormat="false" ht="15" hidden="false" customHeight="false" outlineLevel="0" collapsed="false">
      <c r="A10" s="63"/>
      <c r="B10" s="28" t="s">
        <v>111</v>
      </c>
      <c r="C10" s="28" t="s">
        <v>28</v>
      </c>
      <c r="D10" s="39" t="n">
        <f aca="false">D6</f>
        <v>1320</v>
      </c>
      <c r="E10" s="42"/>
    </row>
    <row r="11" customFormat="false" ht="15" hidden="false" customHeight="false" outlineLevel="0" collapsed="false">
      <c r="A11" s="63"/>
      <c r="B11" s="28" t="s">
        <v>332</v>
      </c>
      <c r="C11" s="28" t="s">
        <v>21</v>
      </c>
      <c r="D11" s="39" t="n">
        <f aca="false">ROUNDUP(D4/100,0)</f>
        <v>14</v>
      </c>
      <c r="E11" s="42"/>
    </row>
    <row r="12" customFormat="false" ht="15" hidden="false" customHeight="false" outlineLevel="0" collapsed="false">
      <c r="A12" s="63"/>
      <c r="B12" s="28" t="s">
        <v>333</v>
      </c>
      <c r="C12" s="28" t="s">
        <v>21</v>
      </c>
      <c r="D12" s="39" t="n">
        <f aca="false">ROUNDUP(D4/100,0)</f>
        <v>14</v>
      </c>
      <c r="E12" s="42"/>
    </row>
    <row r="13" customFormat="false" ht="15" hidden="false" customHeight="false" outlineLevel="0" collapsed="false">
      <c r="A13" s="25" t="s">
        <v>536</v>
      </c>
      <c r="B13" s="32" t="s">
        <v>371</v>
      </c>
      <c r="C13" s="26" t="s">
        <v>21</v>
      </c>
      <c r="D13" s="27" t="n">
        <v>2</v>
      </c>
      <c r="E13" s="26" t="s">
        <v>311</v>
      </c>
    </row>
    <row r="14" customFormat="false" ht="15" hidden="false" customHeight="false" outlineLevel="0" collapsed="false">
      <c r="A14" s="25" t="s">
        <v>537</v>
      </c>
      <c r="B14" s="32" t="s">
        <v>313</v>
      </c>
      <c r="C14" s="26" t="s">
        <v>21</v>
      </c>
      <c r="D14" s="27" t="n">
        <f aca="false">D13*3</f>
        <v>6</v>
      </c>
      <c r="E14" s="26" t="s">
        <v>304</v>
      </c>
    </row>
    <row r="15" customFormat="false" ht="15" hidden="false" customHeight="false" outlineLevel="0" collapsed="false">
      <c r="A15" s="28"/>
      <c r="B15" s="28" t="s">
        <v>525</v>
      </c>
      <c r="C15" s="28" t="s">
        <v>21</v>
      </c>
      <c r="D15" s="39" t="n">
        <f aca="false">D14</f>
        <v>6</v>
      </c>
      <c r="E15" s="64"/>
    </row>
    <row r="16" customFormat="false" ht="15" hidden="false" customHeight="false" outlineLevel="0" collapsed="false">
      <c r="A16" s="25" t="s">
        <v>538</v>
      </c>
      <c r="B16" s="32" t="s">
        <v>319</v>
      </c>
      <c r="C16" s="26" t="s">
        <v>21</v>
      </c>
      <c r="D16" s="27" t="n">
        <f aca="false">ROUNDUP(D4/50,0)+2</f>
        <v>29</v>
      </c>
      <c r="E16" s="42" t="s">
        <v>304</v>
      </c>
    </row>
    <row r="17" customFormat="false" ht="15" hidden="false" customHeight="false" outlineLevel="0" collapsed="false">
      <c r="A17" s="28"/>
      <c r="B17" s="28" t="s">
        <v>375</v>
      </c>
      <c r="C17" s="28" t="s">
        <v>21</v>
      </c>
      <c r="D17" s="39" t="n">
        <f aca="false">D16</f>
        <v>29</v>
      </c>
      <c r="E17" s="42"/>
    </row>
    <row r="18" customFormat="false" ht="15" hidden="false" customHeight="false" outlineLevel="0" collapsed="false">
      <c r="A18" s="28"/>
      <c r="B18" s="28" t="s">
        <v>321</v>
      </c>
      <c r="C18" s="28" t="s">
        <v>21</v>
      </c>
      <c r="D18" s="39" t="n">
        <f aca="false">D16</f>
        <v>29</v>
      </c>
      <c r="E18" s="42"/>
    </row>
    <row r="19" customFormat="false" ht="15" hidden="false" customHeight="false" outlineLevel="0" collapsed="false">
      <c r="A19" s="25" t="s">
        <v>539</v>
      </c>
      <c r="B19" s="32" t="s">
        <v>323</v>
      </c>
      <c r="C19" s="26" t="s">
        <v>21</v>
      </c>
      <c r="D19" s="27" t="n">
        <v>2</v>
      </c>
      <c r="E19" s="42"/>
    </row>
    <row r="20" customFormat="false" ht="15" hidden="false" customHeight="false" outlineLevel="0" collapsed="false">
      <c r="A20" s="72"/>
      <c r="B20" s="28" t="s">
        <v>124</v>
      </c>
      <c r="C20" s="28" t="s">
        <v>28</v>
      </c>
      <c r="D20" s="39" t="n">
        <f aca="false">D19*0.2</f>
        <v>0.4</v>
      </c>
      <c r="E20" s="42" t="s">
        <v>125</v>
      </c>
    </row>
    <row r="21" customFormat="false" ht="15" hidden="false" customHeight="false" outlineLevel="0" collapsed="false">
      <c r="A21" s="66" t="s">
        <v>540</v>
      </c>
      <c r="B21" s="67" t="s">
        <v>325</v>
      </c>
      <c r="C21" s="68" t="s">
        <v>21</v>
      </c>
      <c r="D21" s="69" t="n">
        <v>1</v>
      </c>
      <c r="E21" s="70" t="s">
        <v>378</v>
      </c>
    </row>
    <row r="22" customFormat="false" ht="15" hidden="false" customHeight="false" outlineLevel="0" collapsed="false">
      <c r="A22" s="66" t="s">
        <v>541</v>
      </c>
      <c r="B22" s="67" t="s">
        <v>493</v>
      </c>
      <c r="C22" s="68" t="s">
        <v>21</v>
      </c>
      <c r="D22" s="69" t="n">
        <v>1</v>
      </c>
      <c r="E22" s="70" t="s">
        <v>378</v>
      </c>
    </row>
  </sheetData>
  <mergeCells count="2">
    <mergeCell ref="A1:E1"/>
    <mergeCell ref="A2:E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5" man="true" max="65535" min="0"/>
  </colBreak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23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B31" activeCellId="0" sqref="B31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103.42"/>
    <col collapsed="false" customWidth="true" hidden="false" outlineLevel="0" max="3" min="3" style="1" width="10"/>
    <col collapsed="false" customWidth="true" hidden="false" outlineLevel="0" max="4" min="4" style="1" width="12.86"/>
    <col collapsed="false" customWidth="true" hidden="false" outlineLevel="0" max="5" min="5" style="1" width="48.57"/>
  </cols>
  <sheetData>
    <row r="1" customFormat="false" ht="15" hidden="false" customHeight="true" outlineLevel="0" collapsed="false">
      <c r="A1" s="61" t="s">
        <v>542</v>
      </c>
      <c r="B1" s="61"/>
      <c r="C1" s="61"/>
      <c r="D1" s="61"/>
      <c r="E1" s="61"/>
    </row>
    <row r="2" customFormat="false" ht="15" hidden="false" customHeight="true" outlineLevel="0" collapsed="false">
      <c r="A2" s="61" t="s">
        <v>506</v>
      </c>
      <c r="B2" s="61"/>
      <c r="C2" s="61"/>
      <c r="D2" s="61"/>
      <c r="E2" s="61"/>
    </row>
    <row r="3" customFormat="false" ht="41.25" hidden="false" customHeight="true" outlineLevel="0" collapsed="false">
      <c r="A3" s="21" t="s">
        <v>14</v>
      </c>
      <c r="B3" s="21" t="s">
        <v>15</v>
      </c>
      <c r="C3" s="21" t="s">
        <v>16</v>
      </c>
      <c r="D3" s="21" t="s">
        <v>17</v>
      </c>
      <c r="E3" s="21" t="s">
        <v>18</v>
      </c>
    </row>
    <row r="4" customFormat="false" ht="15" hidden="false" customHeight="false" outlineLevel="0" collapsed="false">
      <c r="A4" s="25" t="s">
        <v>543</v>
      </c>
      <c r="B4" s="32" t="s">
        <v>483</v>
      </c>
      <c r="C4" s="26" t="s">
        <v>303</v>
      </c>
      <c r="D4" s="27" t="n">
        <v>130</v>
      </c>
      <c r="E4" s="42"/>
    </row>
    <row r="5" customFormat="false" ht="15" hidden="false" customHeight="false" outlineLevel="0" collapsed="false">
      <c r="A5" s="62"/>
      <c r="B5" s="28" t="s">
        <v>484</v>
      </c>
      <c r="C5" s="28" t="s">
        <v>28</v>
      </c>
      <c r="D5" s="39" t="n">
        <f aca="false">D4</f>
        <v>130</v>
      </c>
      <c r="E5" s="42"/>
    </row>
    <row r="6" customFormat="false" ht="15" hidden="false" customHeight="false" outlineLevel="0" collapsed="false">
      <c r="A6" s="25" t="s">
        <v>544</v>
      </c>
      <c r="B6" s="32" t="s">
        <v>545</v>
      </c>
      <c r="C6" s="26" t="s">
        <v>303</v>
      </c>
      <c r="D6" s="27" t="n">
        <v>60</v>
      </c>
      <c r="E6" s="42"/>
    </row>
    <row r="7" customFormat="false" ht="15" hidden="false" customHeight="false" outlineLevel="0" collapsed="false">
      <c r="A7" s="25" t="s">
        <v>546</v>
      </c>
      <c r="B7" s="32" t="s">
        <v>307</v>
      </c>
      <c r="C7" s="26" t="s">
        <v>303</v>
      </c>
      <c r="D7" s="27" t="n">
        <v>70</v>
      </c>
      <c r="E7" s="42"/>
    </row>
    <row r="8" customFormat="false" ht="15" hidden="false" customHeight="false" outlineLevel="0" collapsed="false">
      <c r="A8" s="25" t="s">
        <v>547</v>
      </c>
      <c r="B8" s="32" t="s">
        <v>118</v>
      </c>
      <c r="C8" s="26" t="s">
        <v>21</v>
      </c>
      <c r="D8" s="73" t="n">
        <f aca="false">D7/0.5</f>
        <v>140</v>
      </c>
      <c r="E8" s="42"/>
    </row>
    <row r="9" customFormat="false" ht="15" hidden="false" customHeight="false" outlineLevel="0" collapsed="false">
      <c r="A9" s="63"/>
      <c r="B9" s="28" t="s">
        <v>120</v>
      </c>
      <c r="C9" s="28" t="s">
        <v>21</v>
      </c>
      <c r="D9" s="74" t="n">
        <f aca="false">D8</f>
        <v>140</v>
      </c>
      <c r="E9" s="42"/>
    </row>
    <row r="10" customFormat="false" ht="15" hidden="false" customHeight="false" outlineLevel="0" collapsed="false">
      <c r="A10" s="63"/>
      <c r="B10" s="28" t="s">
        <v>121</v>
      </c>
      <c r="C10" s="28" t="s">
        <v>21</v>
      </c>
      <c r="D10" s="74" t="n">
        <f aca="false">D8</f>
        <v>140</v>
      </c>
      <c r="E10" s="42"/>
    </row>
    <row r="11" customFormat="false" ht="15" hidden="false" customHeight="false" outlineLevel="0" collapsed="false">
      <c r="A11" s="63"/>
      <c r="B11" s="28" t="s">
        <v>111</v>
      </c>
      <c r="C11" s="28" t="s">
        <v>28</v>
      </c>
      <c r="D11" s="39" t="n">
        <v>130</v>
      </c>
      <c r="E11" s="42"/>
    </row>
    <row r="12" customFormat="false" ht="15" hidden="false" customHeight="false" outlineLevel="0" collapsed="false">
      <c r="A12" s="63"/>
      <c r="B12" s="28" t="s">
        <v>332</v>
      </c>
      <c r="C12" s="28" t="s">
        <v>21</v>
      </c>
      <c r="D12" s="39" t="n">
        <f aca="false">ROUNDDOWN(D4/100,0)</f>
        <v>1</v>
      </c>
      <c r="E12" s="42"/>
    </row>
    <row r="13" customFormat="false" ht="15" hidden="false" customHeight="false" outlineLevel="0" collapsed="false">
      <c r="A13" s="63"/>
      <c r="B13" s="28" t="s">
        <v>333</v>
      </c>
      <c r="C13" s="28" t="s">
        <v>21</v>
      </c>
      <c r="D13" s="39" t="n">
        <f aca="false">ROUNDDOWN(D4/100,0)</f>
        <v>1</v>
      </c>
      <c r="E13" s="42"/>
    </row>
    <row r="14" customFormat="false" ht="15" hidden="false" customHeight="false" outlineLevel="0" collapsed="false">
      <c r="A14" s="25" t="s">
        <v>548</v>
      </c>
      <c r="B14" s="32" t="s">
        <v>371</v>
      </c>
      <c r="C14" s="26" t="s">
        <v>21</v>
      </c>
      <c r="D14" s="27" t="n">
        <v>4</v>
      </c>
      <c r="E14" s="26" t="s">
        <v>311</v>
      </c>
    </row>
    <row r="15" customFormat="false" ht="15" hidden="false" customHeight="false" outlineLevel="0" collapsed="false">
      <c r="A15" s="25" t="s">
        <v>549</v>
      </c>
      <c r="B15" s="32" t="s">
        <v>313</v>
      </c>
      <c r="C15" s="26" t="s">
        <v>21</v>
      </c>
      <c r="D15" s="27" t="n">
        <f aca="false">D14*3</f>
        <v>12</v>
      </c>
      <c r="E15" s="26" t="s">
        <v>304</v>
      </c>
    </row>
    <row r="16" customFormat="false" ht="15" hidden="false" customHeight="false" outlineLevel="0" collapsed="false">
      <c r="A16" s="28"/>
      <c r="B16" s="28" t="s">
        <v>373</v>
      </c>
      <c r="C16" s="28" t="s">
        <v>21</v>
      </c>
      <c r="D16" s="39" t="n">
        <f aca="false">D15</f>
        <v>12</v>
      </c>
      <c r="E16" s="64"/>
    </row>
    <row r="17" customFormat="false" ht="15" hidden="false" customHeight="false" outlineLevel="0" collapsed="false">
      <c r="A17" s="25" t="s">
        <v>550</v>
      </c>
      <c r="B17" s="32" t="s">
        <v>319</v>
      </c>
      <c r="C17" s="26" t="s">
        <v>21</v>
      </c>
      <c r="D17" s="27" t="n">
        <f aca="false">6</f>
        <v>6</v>
      </c>
      <c r="E17" s="42" t="s">
        <v>304</v>
      </c>
    </row>
    <row r="18" customFormat="false" ht="15" hidden="false" customHeight="false" outlineLevel="0" collapsed="false">
      <c r="A18" s="28"/>
      <c r="B18" s="28" t="s">
        <v>375</v>
      </c>
      <c r="C18" s="28" t="s">
        <v>21</v>
      </c>
      <c r="D18" s="39" t="n">
        <f aca="false">D17</f>
        <v>6</v>
      </c>
      <c r="E18" s="42"/>
    </row>
    <row r="19" customFormat="false" ht="15" hidden="false" customHeight="false" outlineLevel="0" collapsed="false">
      <c r="A19" s="28"/>
      <c r="B19" s="28" t="s">
        <v>321</v>
      </c>
      <c r="C19" s="28" t="s">
        <v>21</v>
      </c>
      <c r="D19" s="39" t="n">
        <f aca="false">D17</f>
        <v>6</v>
      </c>
      <c r="E19" s="42"/>
    </row>
    <row r="20" customFormat="false" ht="15" hidden="false" customHeight="false" outlineLevel="0" collapsed="false">
      <c r="A20" s="25" t="s">
        <v>551</v>
      </c>
      <c r="B20" s="32" t="s">
        <v>323</v>
      </c>
      <c r="C20" s="26" t="s">
        <v>21</v>
      </c>
      <c r="D20" s="27" t="n">
        <v>4</v>
      </c>
      <c r="E20" s="42"/>
    </row>
    <row r="21" customFormat="false" ht="15" hidden="false" customHeight="false" outlineLevel="0" collapsed="false">
      <c r="A21" s="72"/>
      <c r="B21" s="28" t="s">
        <v>124</v>
      </c>
      <c r="C21" s="28" t="s">
        <v>28</v>
      </c>
      <c r="D21" s="39" t="n">
        <f aca="false">D20*0.2</f>
        <v>0.8</v>
      </c>
      <c r="E21" s="42" t="s">
        <v>125</v>
      </c>
    </row>
    <row r="22" customFormat="false" ht="15" hidden="false" customHeight="false" outlineLevel="0" collapsed="false">
      <c r="A22" s="66" t="s">
        <v>552</v>
      </c>
      <c r="B22" s="67" t="s">
        <v>325</v>
      </c>
      <c r="C22" s="68" t="s">
        <v>21</v>
      </c>
      <c r="D22" s="69" t="n">
        <v>2</v>
      </c>
      <c r="E22" s="70" t="s">
        <v>378</v>
      </c>
    </row>
    <row r="23" customFormat="false" ht="15" hidden="false" customHeight="false" outlineLevel="0" collapsed="false">
      <c r="A23" s="66" t="s">
        <v>553</v>
      </c>
      <c r="B23" s="67" t="s">
        <v>493</v>
      </c>
      <c r="C23" s="68" t="s">
        <v>21</v>
      </c>
      <c r="D23" s="69" t="n">
        <v>2</v>
      </c>
      <c r="E23" s="70" t="s">
        <v>378</v>
      </c>
    </row>
  </sheetData>
  <mergeCells count="2">
    <mergeCell ref="A1:E1"/>
    <mergeCell ref="A2:E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5" man="true" max="65535" min="0"/>
  </colBreak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22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A4" activeCellId="0" sqref="A4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103.42"/>
    <col collapsed="false" customWidth="true" hidden="false" outlineLevel="0" max="3" min="3" style="1" width="10"/>
    <col collapsed="false" customWidth="true" hidden="false" outlineLevel="0" max="4" min="4" style="1" width="12.86"/>
    <col collapsed="false" customWidth="true" hidden="false" outlineLevel="0" max="5" min="5" style="1" width="48.57"/>
  </cols>
  <sheetData>
    <row r="1" customFormat="false" ht="15" hidden="false" customHeight="true" outlineLevel="0" collapsed="false">
      <c r="A1" s="61" t="s">
        <v>554</v>
      </c>
      <c r="B1" s="61"/>
      <c r="C1" s="61"/>
      <c r="D1" s="61"/>
      <c r="E1" s="61"/>
    </row>
    <row r="2" customFormat="false" ht="15" hidden="false" customHeight="true" outlineLevel="0" collapsed="false">
      <c r="A2" s="61" t="s">
        <v>451</v>
      </c>
      <c r="B2" s="61"/>
      <c r="C2" s="61"/>
      <c r="D2" s="61"/>
      <c r="E2" s="61"/>
    </row>
    <row r="3" customFormat="false" ht="43.5" hidden="false" customHeight="true" outlineLevel="0" collapsed="false">
      <c r="A3" s="21" t="s">
        <v>14</v>
      </c>
      <c r="B3" s="21" t="s">
        <v>15</v>
      </c>
      <c r="C3" s="21" t="s">
        <v>16</v>
      </c>
      <c r="D3" s="21" t="s">
        <v>17</v>
      </c>
      <c r="E3" s="21" t="s">
        <v>18</v>
      </c>
    </row>
    <row r="4" customFormat="false" ht="15" hidden="false" customHeight="false" outlineLevel="0" collapsed="false">
      <c r="A4" s="25" t="s">
        <v>555</v>
      </c>
      <c r="B4" s="32" t="s">
        <v>519</v>
      </c>
      <c r="C4" s="26" t="s">
        <v>303</v>
      </c>
      <c r="D4" s="27" t="n">
        <v>40</v>
      </c>
      <c r="E4" s="42"/>
    </row>
    <row r="5" customFormat="false" ht="15" hidden="false" customHeight="false" outlineLevel="0" collapsed="false">
      <c r="A5" s="62"/>
      <c r="B5" s="28" t="s">
        <v>520</v>
      </c>
      <c r="C5" s="28" t="s">
        <v>28</v>
      </c>
      <c r="D5" s="39" t="n">
        <f aca="false">D4</f>
        <v>40</v>
      </c>
      <c r="E5" s="42"/>
    </row>
    <row r="6" customFormat="false" ht="15" hidden="false" customHeight="false" outlineLevel="0" collapsed="false">
      <c r="A6" s="25" t="s">
        <v>556</v>
      </c>
      <c r="B6" s="32" t="s">
        <v>307</v>
      </c>
      <c r="C6" s="26" t="s">
        <v>303</v>
      </c>
      <c r="D6" s="27" t="n">
        <f aca="false">D4</f>
        <v>40</v>
      </c>
      <c r="E6" s="42"/>
    </row>
    <row r="7" customFormat="false" ht="15" hidden="false" customHeight="false" outlineLevel="0" collapsed="false">
      <c r="A7" s="25" t="s">
        <v>557</v>
      </c>
      <c r="B7" s="32" t="s">
        <v>118</v>
      </c>
      <c r="C7" s="26" t="s">
        <v>21</v>
      </c>
      <c r="D7" s="73" t="n">
        <f aca="false">ROUNDUP(D6/0.3,)</f>
        <v>134</v>
      </c>
      <c r="E7" s="42"/>
    </row>
    <row r="8" customFormat="false" ht="15" hidden="false" customHeight="false" outlineLevel="0" collapsed="false">
      <c r="A8" s="63"/>
      <c r="B8" s="28" t="s">
        <v>120</v>
      </c>
      <c r="C8" s="28" t="s">
        <v>21</v>
      </c>
      <c r="D8" s="74" t="n">
        <f aca="false">D7</f>
        <v>134</v>
      </c>
      <c r="E8" s="42"/>
    </row>
    <row r="9" customFormat="false" ht="15" hidden="false" customHeight="false" outlineLevel="0" collapsed="false">
      <c r="A9" s="63"/>
      <c r="B9" s="28" t="s">
        <v>121</v>
      </c>
      <c r="C9" s="28" t="s">
        <v>21</v>
      </c>
      <c r="D9" s="74" t="n">
        <f aca="false">D7</f>
        <v>134</v>
      </c>
      <c r="E9" s="42"/>
    </row>
    <row r="10" customFormat="false" ht="15" hidden="false" customHeight="false" outlineLevel="0" collapsed="false">
      <c r="A10" s="63"/>
      <c r="B10" s="28" t="s">
        <v>111</v>
      </c>
      <c r="C10" s="28" t="s">
        <v>28</v>
      </c>
      <c r="D10" s="39" t="n">
        <f aca="false">D6</f>
        <v>40</v>
      </c>
      <c r="E10" s="42"/>
    </row>
    <row r="11" customFormat="false" ht="15" hidden="false" customHeight="false" outlineLevel="0" collapsed="false">
      <c r="A11" s="63"/>
      <c r="B11" s="28" t="s">
        <v>332</v>
      </c>
      <c r="C11" s="28" t="s">
        <v>21</v>
      </c>
      <c r="D11" s="39" t="n">
        <f aca="false">ROUNDUP(D4/100,0)</f>
        <v>1</v>
      </c>
      <c r="E11" s="42"/>
    </row>
    <row r="12" customFormat="false" ht="15" hidden="false" customHeight="false" outlineLevel="0" collapsed="false">
      <c r="A12" s="63"/>
      <c r="B12" s="28" t="s">
        <v>333</v>
      </c>
      <c r="C12" s="28" t="s">
        <v>21</v>
      </c>
      <c r="D12" s="39" t="n">
        <f aca="false">ROUNDUP(D4/100,0)</f>
        <v>1</v>
      </c>
      <c r="E12" s="42"/>
    </row>
    <row r="13" customFormat="false" ht="15" hidden="false" customHeight="false" outlineLevel="0" collapsed="false">
      <c r="A13" s="25" t="s">
        <v>558</v>
      </c>
      <c r="B13" s="32" t="s">
        <v>371</v>
      </c>
      <c r="C13" s="26" t="s">
        <v>21</v>
      </c>
      <c r="D13" s="27" t="n">
        <v>4</v>
      </c>
      <c r="E13" s="26" t="s">
        <v>311</v>
      </c>
    </row>
    <row r="14" customFormat="false" ht="15" hidden="false" customHeight="false" outlineLevel="0" collapsed="false">
      <c r="A14" s="25" t="s">
        <v>559</v>
      </c>
      <c r="B14" s="32" t="s">
        <v>313</v>
      </c>
      <c r="C14" s="26" t="s">
        <v>21</v>
      </c>
      <c r="D14" s="27" t="n">
        <f aca="false">D13*3</f>
        <v>12</v>
      </c>
      <c r="E14" s="26" t="s">
        <v>304</v>
      </c>
    </row>
    <row r="15" customFormat="false" ht="15" hidden="false" customHeight="false" outlineLevel="0" collapsed="false">
      <c r="A15" s="28"/>
      <c r="B15" s="28" t="s">
        <v>525</v>
      </c>
      <c r="C15" s="28" t="s">
        <v>21</v>
      </c>
      <c r="D15" s="39" t="n">
        <f aca="false">D14</f>
        <v>12</v>
      </c>
      <c r="E15" s="64"/>
    </row>
    <row r="16" customFormat="false" ht="15" hidden="false" customHeight="false" outlineLevel="0" collapsed="false">
      <c r="A16" s="25" t="s">
        <v>560</v>
      </c>
      <c r="B16" s="32" t="s">
        <v>319</v>
      </c>
      <c r="C16" s="26" t="s">
        <v>21</v>
      </c>
      <c r="D16" s="27" t="n">
        <f aca="false">ROUNDUP(D4/10,0)</f>
        <v>4</v>
      </c>
      <c r="E16" s="42" t="s">
        <v>304</v>
      </c>
    </row>
    <row r="17" customFormat="false" ht="15" hidden="false" customHeight="false" outlineLevel="0" collapsed="false">
      <c r="A17" s="28"/>
      <c r="B17" s="28" t="s">
        <v>375</v>
      </c>
      <c r="C17" s="28" t="s">
        <v>21</v>
      </c>
      <c r="D17" s="39" t="n">
        <f aca="false">D16</f>
        <v>4</v>
      </c>
      <c r="E17" s="42"/>
    </row>
    <row r="18" customFormat="false" ht="15" hidden="false" customHeight="false" outlineLevel="0" collapsed="false">
      <c r="A18" s="28"/>
      <c r="B18" s="28" t="s">
        <v>321</v>
      </c>
      <c r="C18" s="28" t="s">
        <v>21</v>
      </c>
      <c r="D18" s="39" t="n">
        <f aca="false">D16</f>
        <v>4</v>
      </c>
      <c r="E18" s="42"/>
    </row>
    <row r="19" customFormat="false" ht="15" hidden="false" customHeight="false" outlineLevel="0" collapsed="false">
      <c r="A19" s="25" t="s">
        <v>561</v>
      </c>
      <c r="B19" s="32" t="s">
        <v>323</v>
      </c>
      <c r="C19" s="26" t="s">
        <v>21</v>
      </c>
      <c r="D19" s="27" t="n">
        <v>4</v>
      </c>
      <c r="E19" s="42"/>
    </row>
    <row r="20" customFormat="false" ht="15" hidden="false" customHeight="false" outlineLevel="0" collapsed="false">
      <c r="A20" s="72"/>
      <c r="B20" s="28" t="s">
        <v>124</v>
      </c>
      <c r="C20" s="28" t="s">
        <v>28</v>
      </c>
      <c r="D20" s="39" t="n">
        <f aca="false">D19*0.2</f>
        <v>0.8</v>
      </c>
      <c r="E20" s="42" t="s">
        <v>125</v>
      </c>
    </row>
    <row r="21" customFormat="false" ht="15" hidden="false" customHeight="false" outlineLevel="0" collapsed="false">
      <c r="A21" s="66" t="s">
        <v>562</v>
      </c>
      <c r="B21" s="67" t="s">
        <v>325</v>
      </c>
      <c r="C21" s="68" t="s">
        <v>21</v>
      </c>
      <c r="D21" s="69" t="n">
        <v>2</v>
      </c>
      <c r="E21" s="70" t="s">
        <v>378</v>
      </c>
    </row>
    <row r="22" customFormat="false" ht="15" hidden="false" customHeight="false" outlineLevel="0" collapsed="false">
      <c r="A22" s="66" t="s">
        <v>563</v>
      </c>
      <c r="B22" s="67" t="s">
        <v>493</v>
      </c>
      <c r="C22" s="68" t="s">
        <v>21</v>
      </c>
      <c r="D22" s="69" t="n">
        <v>2</v>
      </c>
      <c r="E22" s="70" t="s">
        <v>378</v>
      </c>
    </row>
  </sheetData>
  <mergeCells count="2">
    <mergeCell ref="A1:E1"/>
    <mergeCell ref="A2:E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5" man="true" max="65535" min="0"/>
  </colBreak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22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A4" activeCellId="0" sqref="A4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103.42"/>
    <col collapsed="false" customWidth="true" hidden="false" outlineLevel="0" max="3" min="3" style="1" width="10"/>
    <col collapsed="false" customWidth="true" hidden="false" outlineLevel="0" max="4" min="4" style="1" width="12.86"/>
    <col collapsed="false" customWidth="true" hidden="false" outlineLevel="0" max="5" min="5" style="1" width="48.57"/>
  </cols>
  <sheetData>
    <row r="1" customFormat="false" ht="15" hidden="false" customHeight="true" outlineLevel="0" collapsed="false">
      <c r="A1" s="61" t="s">
        <v>564</v>
      </c>
      <c r="B1" s="61"/>
      <c r="C1" s="61"/>
      <c r="D1" s="61"/>
      <c r="E1" s="61"/>
    </row>
    <row r="2" customFormat="false" ht="15" hidden="false" customHeight="true" outlineLevel="0" collapsed="false">
      <c r="A2" s="61" t="s">
        <v>495</v>
      </c>
      <c r="B2" s="61"/>
      <c r="C2" s="61"/>
      <c r="D2" s="61"/>
      <c r="E2" s="61"/>
    </row>
    <row r="3" customFormat="false" ht="42.75" hidden="false" customHeight="true" outlineLevel="0" collapsed="false">
      <c r="A3" s="21" t="s">
        <v>14</v>
      </c>
      <c r="B3" s="21" t="s">
        <v>15</v>
      </c>
      <c r="C3" s="21" t="s">
        <v>16</v>
      </c>
      <c r="D3" s="21" t="s">
        <v>17</v>
      </c>
      <c r="E3" s="21" t="s">
        <v>18</v>
      </c>
    </row>
    <row r="4" customFormat="false" ht="15" hidden="false" customHeight="false" outlineLevel="0" collapsed="false">
      <c r="A4" s="25" t="s">
        <v>565</v>
      </c>
      <c r="B4" s="32" t="s">
        <v>519</v>
      </c>
      <c r="C4" s="26" t="s">
        <v>303</v>
      </c>
      <c r="D4" s="27" t="n">
        <v>380</v>
      </c>
      <c r="E4" s="42"/>
    </row>
    <row r="5" customFormat="false" ht="15" hidden="false" customHeight="false" outlineLevel="0" collapsed="false">
      <c r="A5" s="62"/>
      <c r="B5" s="28" t="s">
        <v>520</v>
      </c>
      <c r="C5" s="28" t="s">
        <v>28</v>
      </c>
      <c r="D5" s="39" t="n">
        <f aca="false">D4</f>
        <v>380</v>
      </c>
      <c r="E5" s="42"/>
    </row>
    <row r="6" customFormat="false" ht="15" hidden="false" customHeight="false" outlineLevel="0" collapsed="false">
      <c r="A6" s="25" t="s">
        <v>566</v>
      </c>
      <c r="B6" s="32" t="s">
        <v>307</v>
      </c>
      <c r="C6" s="26" t="s">
        <v>303</v>
      </c>
      <c r="D6" s="27" t="n">
        <f aca="false">D4</f>
        <v>380</v>
      </c>
      <c r="E6" s="42"/>
    </row>
    <row r="7" customFormat="false" ht="15" hidden="false" customHeight="false" outlineLevel="0" collapsed="false">
      <c r="A7" s="25" t="s">
        <v>567</v>
      </c>
      <c r="B7" s="32" t="s">
        <v>118</v>
      </c>
      <c r="C7" s="26" t="s">
        <v>21</v>
      </c>
      <c r="D7" s="73" t="n">
        <f aca="false">ROUNDUP(D6/0.3,)</f>
        <v>1267</v>
      </c>
      <c r="E7" s="42"/>
    </row>
    <row r="8" customFormat="false" ht="15" hidden="false" customHeight="false" outlineLevel="0" collapsed="false">
      <c r="A8" s="63"/>
      <c r="B8" s="28" t="s">
        <v>120</v>
      </c>
      <c r="C8" s="28" t="s">
        <v>21</v>
      </c>
      <c r="D8" s="74" t="n">
        <f aca="false">D7</f>
        <v>1267</v>
      </c>
      <c r="E8" s="42"/>
    </row>
    <row r="9" customFormat="false" ht="15" hidden="false" customHeight="false" outlineLevel="0" collapsed="false">
      <c r="A9" s="63"/>
      <c r="B9" s="28" t="s">
        <v>121</v>
      </c>
      <c r="C9" s="28" t="s">
        <v>21</v>
      </c>
      <c r="D9" s="74" t="n">
        <f aca="false">D7</f>
        <v>1267</v>
      </c>
      <c r="E9" s="42"/>
    </row>
    <row r="10" customFormat="false" ht="15" hidden="false" customHeight="false" outlineLevel="0" collapsed="false">
      <c r="A10" s="63"/>
      <c r="B10" s="28" t="s">
        <v>111</v>
      </c>
      <c r="C10" s="28" t="s">
        <v>28</v>
      </c>
      <c r="D10" s="39" t="n">
        <f aca="false">D6</f>
        <v>380</v>
      </c>
      <c r="E10" s="42"/>
    </row>
    <row r="11" customFormat="false" ht="15" hidden="false" customHeight="false" outlineLevel="0" collapsed="false">
      <c r="A11" s="63"/>
      <c r="B11" s="28" t="s">
        <v>332</v>
      </c>
      <c r="C11" s="28" t="s">
        <v>21</v>
      </c>
      <c r="D11" s="39" t="n">
        <f aca="false">ROUNDUP(D4/100,0)</f>
        <v>4</v>
      </c>
      <c r="E11" s="42"/>
    </row>
    <row r="12" customFormat="false" ht="15" hidden="false" customHeight="false" outlineLevel="0" collapsed="false">
      <c r="A12" s="63"/>
      <c r="B12" s="28" t="s">
        <v>333</v>
      </c>
      <c r="C12" s="28" t="s">
        <v>21</v>
      </c>
      <c r="D12" s="39" t="n">
        <f aca="false">ROUNDUP(D4/100,0)</f>
        <v>4</v>
      </c>
      <c r="E12" s="42"/>
    </row>
    <row r="13" customFormat="false" ht="15" hidden="false" customHeight="false" outlineLevel="0" collapsed="false">
      <c r="A13" s="25" t="s">
        <v>568</v>
      </c>
      <c r="B13" s="32" t="s">
        <v>371</v>
      </c>
      <c r="C13" s="26" t="s">
        <v>21</v>
      </c>
      <c r="D13" s="27" t="n">
        <v>2</v>
      </c>
      <c r="E13" s="26" t="s">
        <v>311</v>
      </c>
    </row>
    <row r="14" customFormat="false" ht="15" hidden="false" customHeight="false" outlineLevel="0" collapsed="false">
      <c r="A14" s="25" t="s">
        <v>569</v>
      </c>
      <c r="B14" s="32" t="s">
        <v>313</v>
      </c>
      <c r="C14" s="26" t="s">
        <v>21</v>
      </c>
      <c r="D14" s="27" t="n">
        <f aca="false">D13*3</f>
        <v>6</v>
      </c>
      <c r="E14" s="26" t="s">
        <v>304</v>
      </c>
    </row>
    <row r="15" customFormat="false" ht="15" hidden="false" customHeight="false" outlineLevel="0" collapsed="false">
      <c r="A15" s="28"/>
      <c r="B15" s="28" t="s">
        <v>525</v>
      </c>
      <c r="C15" s="28" t="s">
        <v>21</v>
      </c>
      <c r="D15" s="39" t="n">
        <f aca="false">D14</f>
        <v>6</v>
      </c>
      <c r="E15" s="64"/>
    </row>
    <row r="16" customFormat="false" ht="15" hidden="false" customHeight="false" outlineLevel="0" collapsed="false">
      <c r="A16" s="25" t="s">
        <v>570</v>
      </c>
      <c r="B16" s="32" t="s">
        <v>319</v>
      </c>
      <c r="C16" s="26" t="s">
        <v>21</v>
      </c>
      <c r="D16" s="27" t="n">
        <f aca="false">ROUNDUP(D4/50,0)+2</f>
        <v>10</v>
      </c>
      <c r="E16" s="42" t="s">
        <v>304</v>
      </c>
    </row>
    <row r="17" customFormat="false" ht="15" hidden="false" customHeight="false" outlineLevel="0" collapsed="false">
      <c r="A17" s="28"/>
      <c r="B17" s="28" t="s">
        <v>375</v>
      </c>
      <c r="C17" s="28" t="s">
        <v>21</v>
      </c>
      <c r="D17" s="39" t="n">
        <f aca="false">D16</f>
        <v>10</v>
      </c>
      <c r="E17" s="42"/>
    </row>
    <row r="18" customFormat="false" ht="15" hidden="false" customHeight="false" outlineLevel="0" collapsed="false">
      <c r="A18" s="28"/>
      <c r="B18" s="28" t="s">
        <v>321</v>
      </c>
      <c r="C18" s="28" t="s">
        <v>21</v>
      </c>
      <c r="D18" s="39" t="n">
        <f aca="false">D16</f>
        <v>10</v>
      </c>
      <c r="E18" s="42"/>
    </row>
    <row r="19" customFormat="false" ht="15" hidden="false" customHeight="false" outlineLevel="0" collapsed="false">
      <c r="A19" s="25" t="s">
        <v>571</v>
      </c>
      <c r="B19" s="32" t="s">
        <v>323</v>
      </c>
      <c r="C19" s="26" t="s">
        <v>21</v>
      </c>
      <c r="D19" s="27" t="n">
        <v>2</v>
      </c>
      <c r="E19" s="42"/>
    </row>
    <row r="20" customFormat="false" ht="15" hidden="false" customHeight="false" outlineLevel="0" collapsed="false">
      <c r="A20" s="78"/>
      <c r="B20" s="28" t="s">
        <v>124</v>
      </c>
      <c r="C20" s="28" t="s">
        <v>28</v>
      </c>
      <c r="D20" s="39" t="n">
        <f aca="false">D19*0.2</f>
        <v>0.4</v>
      </c>
      <c r="E20" s="42" t="s">
        <v>125</v>
      </c>
    </row>
    <row r="21" customFormat="false" ht="15" hidden="false" customHeight="false" outlineLevel="0" collapsed="false">
      <c r="A21" s="66" t="s">
        <v>572</v>
      </c>
      <c r="B21" s="67" t="s">
        <v>325</v>
      </c>
      <c r="C21" s="68" t="s">
        <v>21</v>
      </c>
      <c r="D21" s="69" t="n">
        <v>2</v>
      </c>
      <c r="E21" s="70" t="s">
        <v>378</v>
      </c>
    </row>
    <row r="22" customFormat="false" ht="15" hidden="false" customHeight="false" outlineLevel="0" collapsed="false">
      <c r="A22" s="66" t="s">
        <v>573</v>
      </c>
      <c r="B22" s="67" t="s">
        <v>493</v>
      </c>
      <c r="C22" s="68" t="s">
        <v>21</v>
      </c>
      <c r="D22" s="69" t="n">
        <v>2</v>
      </c>
      <c r="E22" s="70" t="s">
        <v>378</v>
      </c>
    </row>
  </sheetData>
  <mergeCells count="2">
    <mergeCell ref="A1:E1"/>
    <mergeCell ref="A2:E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5" man="true" max="65535" min="0"/>
  </colBreak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1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E25" activeCellId="0" sqref="E25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103.42"/>
    <col collapsed="false" customWidth="true" hidden="false" outlineLevel="0" max="3" min="3" style="1" width="10"/>
    <col collapsed="false" customWidth="true" hidden="false" outlineLevel="0" max="4" min="4" style="1" width="12.86"/>
    <col collapsed="false" customWidth="true" hidden="false" outlineLevel="0" max="5" min="5" style="1" width="48.57"/>
  </cols>
  <sheetData>
    <row r="1" customFormat="false" ht="15" hidden="false" customHeight="true" outlineLevel="0" collapsed="false">
      <c r="A1" s="61" t="s">
        <v>574</v>
      </c>
      <c r="B1" s="61"/>
      <c r="C1" s="61"/>
      <c r="D1" s="61"/>
      <c r="E1" s="61"/>
    </row>
    <row r="2" customFormat="false" ht="40.5" hidden="false" customHeight="true" outlineLevel="0" collapsed="false">
      <c r="A2" s="21" t="s">
        <v>14</v>
      </c>
      <c r="B2" s="21" t="s">
        <v>15</v>
      </c>
      <c r="C2" s="21" t="s">
        <v>16</v>
      </c>
      <c r="D2" s="21" t="s">
        <v>17</v>
      </c>
      <c r="E2" s="21" t="s">
        <v>18</v>
      </c>
    </row>
    <row r="3" customFormat="false" ht="15" hidden="false" customHeight="false" outlineLevel="0" collapsed="false">
      <c r="A3" s="22" t="s">
        <v>575</v>
      </c>
      <c r="B3" s="32" t="s">
        <v>576</v>
      </c>
      <c r="C3" s="26" t="s">
        <v>21</v>
      </c>
      <c r="D3" s="27" t="n">
        <v>8</v>
      </c>
      <c r="E3" s="28"/>
    </row>
    <row r="4" customFormat="false" ht="15" hidden="false" customHeight="false" outlineLevel="0" collapsed="false">
      <c r="A4" s="22" t="s">
        <v>577</v>
      </c>
      <c r="B4" s="32" t="s">
        <v>285</v>
      </c>
      <c r="C4" s="26" t="s">
        <v>21</v>
      </c>
      <c r="D4" s="27" t="n">
        <f aca="false">D3*4</f>
        <v>32</v>
      </c>
      <c r="E4" s="28"/>
    </row>
    <row r="5" customFormat="false" ht="15" hidden="false" customHeight="false" outlineLevel="0" collapsed="false">
      <c r="A5" s="28"/>
      <c r="B5" s="28" t="s">
        <v>153</v>
      </c>
      <c r="C5" s="28" t="s">
        <v>21</v>
      </c>
      <c r="D5" s="39" t="n">
        <f aca="false">D4</f>
        <v>32</v>
      </c>
      <c r="E5" s="28"/>
    </row>
    <row r="6" customFormat="false" ht="15" hidden="false" customHeight="false" outlineLevel="0" collapsed="false">
      <c r="A6" s="22"/>
      <c r="B6" s="28" t="s">
        <v>578</v>
      </c>
      <c r="C6" s="28" t="s">
        <v>21</v>
      </c>
      <c r="D6" s="39" t="n">
        <v>1</v>
      </c>
      <c r="E6" s="28" t="s">
        <v>579</v>
      </c>
    </row>
    <row r="7" customFormat="false" ht="15" hidden="false" customHeight="false" outlineLevel="0" collapsed="false">
      <c r="A7" s="28"/>
      <c r="B7" s="28" t="s">
        <v>580</v>
      </c>
      <c r="C7" s="28" t="s">
        <v>21</v>
      </c>
      <c r="D7" s="39" t="n">
        <v>1</v>
      </c>
      <c r="E7" s="28" t="s">
        <v>579</v>
      </c>
    </row>
    <row r="8" customFormat="false" ht="15" hidden="false" customHeight="false" outlineLevel="0" collapsed="false">
      <c r="A8" s="28"/>
      <c r="B8" s="28" t="s">
        <v>581</v>
      </c>
      <c r="C8" s="28" t="s">
        <v>21</v>
      </c>
      <c r="D8" s="39" t="n">
        <v>1</v>
      </c>
      <c r="E8" s="28" t="s">
        <v>579</v>
      </c>
    </row>
    <row r="9" customFormat="false" ht="15" hidden="false" customHeight="false" outlineLevel="0" collapsed="false">
      <c r="A9" s="28"/>
      <c r="B9" s="28" t="s">
        <v>582</v>
      </c>
      <c r="C9" s="28" t="s">
        <v>21</v>
      </c>
      <c r="D9" s="39" t="n">
        <v>1</v>
      </c>
      <c r="E9" s="28" t="s">
        <v>583</v>
      </c>
    </row>
    <row r="10" customFormat="false" ht="15" hidden="false" customHeight="false" outlineLevel="0" collapsed="false">
      <c r="A10" s="28"/>
      <c r="B10" s="28" t="s">
        <v>584</v>
      </c>
      <c r="C10" s="28" t="s">
        <v>21</v>
      </c>
      <c r="D10" s="39" t="n">
        <v>1</v>
      </c>
      <c r="E10" s="28" t="s">
        <v>583</v>
      </c>
    </row>
    <row r="11" customFormat="false" ht="15" hidden="false" customHeight="false" outlineLevel="0" collapsed="false">
      <c r="A11" s="28"/>
      <c r="B11" s="28" t="s">
        <v>585</v>
      </c>
      <c r="C11" s="28" t="s">
        <v>21</v>
      </c>
      <c r="D11" s="39" t="n">
        <v>3</v>
      </c>
      <c r="E11" s="28" t="s">
        <v>586</v>
      </c>
    </row>
  </sheetData>
  <mergeCells count="1">
    <mergeCell ref="A1:E1"/>
  </mergeCells>
  <printOptions headings="false" gridLines="false" gridLinesSet="true" horizontalCentered="tru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  <colBreaks count="1" manualBreakCount="1">
    <brk id="5" man="true" max="65535" min="0"/>
  </colBreaks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33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J22" activeCellId="0" sqref="J22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104.42"/>
    <col collapsed="false" customWidth="true" hidden="false" outlineLevel="0" max="3" min="3" style="1" width="10"/>
    <col collapsed="false" customWidth="true" hidden="false" outlineLevel="0" max="4" min="4" style="1" width="12.86"/>
    <col collapsed="false" customWidth="true" hidden="false" outlineLevel="0" max="5" min="5" style="1" width="48.57"/>
  </cols>
  <sheetData>
    <row r="1" customFormat="false" ht="15" hidden="false" customHeight="true" outlineLevel="0" collapsed="false">
      <c r="A1" s="61" t="s">
        <v>587</v>
      </c>
      <c r="B1" s="61"/>
      <c r="C1" s="61"/>
      <c r="D1" s="61"/>
      <c r="E1" s="61"/>
    </row>
    <row r="2" customFormat="false" ht="15" hidden="false" customHeight="true" outlineLevel="0" collapsed="false">
      <c r="A2" s="36" t="s">
        <v>588</v>
      </c>
      <c r="B2" s="36"/>
      <c r="C2" s="36"/>
      <c r="D2" s="36"/>
      <c r="E2" s="36"/>
    </row>
    <row r="3" customFormat="false" ht="39.75" hidden="false" customHeight="true" outlineLevel="0" collapsed="false">
      <c r="A3" s="79" t="s">
        <v>14</v>
      </c>
      <c r="B3" s="79" t="s">
        <v>15</v>
      </c>
      <c r="C3" s="79" t="s">
        <v>16</v>
      </c>
      <c r="D3" s="79" t="s">
        <v>17</v>
      </c>
      <c r="E3" s="79" t="s">
        <v>18</v>
      </c>
    </row>
    <row r="4" customFormat="false" ht="15" hidden="false" customHeight="false" outlineLevel="0" collapsed="false">
      <c r="A4" s="25" t="s">
        <v>589</v>
      </c>
      <c r="B4" s="32" t="s">
        <v>590</v>
      </c>
      <c r="C4" s="26" t="s">
        <v>21</v>
      </c>
      <c r="D4" s="27" t="n">
        <f aca="false">D5+D6+D7+D9</f>
        <v>5</v>
      </c>
      <c r="E4" s="28"/>
    </row>
    <row r="5" customFormat="false" ht="15" hidden="false" customHeight="false" outlineLevel="0" collapsed="false">
      <c r="A5" s="22"/>
      <c r="B5" s="28" t="s">
        <v>591</v>
      </c>
      <c r="C5" s="28" t="s">
        <v>21</v>
      </c>
      <c r="D5" s="39" t="n">
        <v>2</v>
      </c>
      <c r="E5" s="60" t="s">
        <v>592</v>
      </c>
    </row>
    <row r="6" customFormat="false" ht="15" hidden="false" customHeight="false" outlineLevel="0" collapsed="false">
      <c r="A6" s="22"/>
      <c r="B6" s="28" t="s">
        <v>593</v>
      </c>
      <c r="C6" s="28" t="s">
        <v>21</v>
      </c>
      <c r="D6" s="39" t="n">
        <v>1</v>
      </c>
      <c r="E6" s="28" t="s">
        <v>594</v>
      </c>
    </row>
    <row r="7" customFormat="false" ht="15" hidden="false" customHeight="false" outlineLevel="0" collapsed="false">
      <c r="A7" s="22"/>
      <c r="B7" s="28" t="s">
        <v>595</v>
      </c>
      <c r="C7" s="28" t="s">
        <v>21</v>
      </c>
      <c r="D7" s="39" t="n">
        <v>1</v>
      </c>
      <c r="E7" s="28" t="s">
        <v>596</v>
      </c>
    </row>
    <row r="8" customFormat="false" ht="15" hidden="false" customHeight="false" outlineLevel="0" collapsed="false">
      <c r="A8" s="22"/>
      <c r="B8" s="28" t="s">
        <v>597</v>
      </c>
      <c r="C8" s="28" t="s">
        <v>21</v>
      </c>
      <c r="D8" s="39" t="n">
        <v>6</v>
      </c>
      <c r="E8" s="28"/>
    </row>
    <row r="9" customFormat="false" ht="15" hidden="false" customHeight="false" outlineLevel="0" collapsed="false">
      <c r="A9" s="22"/>
      <c r="B9" s="28" t="s">
        <v>598</v>
      </c>
      <c r="C9" s="28" t="s">
        <v>21</v>
      </c>
      <c r="D9" s="39" t="n">
        <v>1</v>
      </c>
      <c r="E9" s="28"/>
    </row>
    <row r="10" customFormat="false" ht="15" hidden="false" customHeight="false" outlineLevel="0" collapsed="false">
      <c r="A10" s="22" t="s">
        <v>599</v>
      </c>
      <c r="B10" s="32" t="s">
        <v>600</v>
      </c>
      <c r="C10" s="26" t="s">
        <v>21</v>
      </c>
      <c r="D10" s="27" t="n">
        <f aca="false">6</f>
        <v>6</v>
      </c>
      <c r="E10" s="28"/>
    </row>
    <row r="11" customFormat="false" ht="15" hidden="false" customHeight="false" outlineLevel="0" collapsed="false">
      <c r="A11" s="28"/>
      <c r="B11" s="28" t="s">
        <v>601</v>
      </c>
      <c r="C11" s="28" t="s">
        <v>21</v>
      </c>
      <c r="D11" s="39" t="n">
        <v>6</v>
      </c>
      <c r="E11" s="28"/>
    </row>
    <row r="12" customFormat="false" ht="15" hidden="false" customHeight="false" outlineLevel="0" collapsed="false">
      <c r="A12" s="22" t="s">
        <v>602</v>
      </c>
      <c r="B12" s="32" t="s">
        <v>603</v>
      </c>
      <c r="C12" s="26" t="s">
        <v>21</v>
      </c>
      <c r="D12" s="27" t="n">
        <f aca="false">D13</f>
        <v>1</v>
      </c>
      <c r="E12" s="60" t="s">
        <v>604</v>
      </c>
    </row>
    <row r="13" customFormat="false" ht="15" hidden="false" customHeight="false" outlineLevel="0" collapsed="false">
      <c r="A13" s="60"/>
      <c r="B13" s="60" t="s">
        <v>605</v>
      </c>
      <c r="C13" s="28" t="s">
        <v>21</v>
      </c>
      <c r="D13" s="39" t="n">
        <v>1</v>
      </c>
      <c r="E13" s="60" t="s">
        <v>606</v>
      </c>
    </row>
    <row r="14" customFormat="false" ht="30" hidden="false" customHeight="false" outlineLevel="0" collapsed="false">
      <c r="A14" s="22" t="s">
        <v>607</v>
      </c>
      <c r="B14" s="32" t="s">
        <v>608</v>
      </c>
      <c r="C14" s="23" t="s">
        <v>21</v>
      </c>
      <c r="D14" s="24" t="n">
        <v>1</v>
      </c>
      <c r="E14" s="28" t="s">
        <v>609</v>
      </c>
    </row>
    <row r="15" customFormat="false" ht="15" hidden="false" customHeight="false" outlineLevel="0" collapsed="false">
      <c r="A15" s="22" t="s">
        <v>610</v>
      </c>
      <c r="B15" s="80" t="s">
        <v>611</v>
      </c>
      <c r="C15" s="23" t="s">
        <v>21</v>
      </c>
      <c r="D15" s="24" t="n">
        <v>20</v>
      </c>
      <c r="E15" s="81"/>
    </row>
    <row r="16" customFormat="false" ht="15" hidden="false" customHeight="false" outlineLevel="0" collapsed="false">
      <c r="A16" s="22"/>
      <c r="B16" s="82" t="s">
        <v>612</v>
      </c>
      <c r="C16" s="28" t="s">
        <v>21</v>
      </c>
      <c r="D16" s="39" t="n">
        <v>10</v>
      </c>
      <c r="E16" s="81"/>
    </row>
    <row r="17" customFormat="false" ht="15" hidden="false" customHeight="false" outlineLevel="0" collapsed="false">
      <c r="A17" s="60"/>
      <c r="B17" s="82" t="s">
        <v>613</v>
      </c>
      <c r="C17" s="28" t="s">
        <v>21</v>
      </c>
      <c r="D17" s="39" t="n">
        <v>10</v>
      </c>
      <c r="E17" s="81"/>
    </row>
    <row r="18" customFormat="false" ht="15" hidden="false" customHeight="true" outlineLevel="0" collapsed="false">
      <c r="A18" s="36" t="s">
        <v>614</v>
      </c>
      <c r="B18" s="36"/>
      <c r="C18" s="36"/>
      <c r="D18" s="36"/>
      <c r="E18" s="36"/>
    </row>
    <row r="19" customFormat="false" ht="15" hidden="false" customHeight="false" outlineLevel="0" collapsed="false">
      <c r="A19" s="25" t="s">
        <v>615</v>
      </c>
      <c r="B19" s="32" t="s">
        <v>616</v>
      </c>
      <c r="C19" s="26" t="s">
        <v>21</v>
      </c>
      <c r="D19" s="27" t="n">
        <f aca="false">D20+D21</f>
        <v>6</v>
      </c>
      <c r="E19" s="60" t="s">
        <v>617</v>
      </c>
    </row>
    <row r="20" customFormat="false" ht="15" hidden="false" customHeight="false" outlineLevel="0" collapsed="false">
      <c r="A20" s="22"/>
      <c r="B20" s="28" t="s">
        <v>618</v>
      </c>
      <c r="C20" s="28" t="s">
        <v>21</v>
      </c>
      <c r="D20" s="39" t="n">
        <v>2</v>
      </c>
      <c r="E20" s="60" t="s">
        <v>592</v>
      </c>
    </row>
    <row r="21" customFormat="false" ht="15" hidden="false" customHeight="false" outlineLevel="0" collapsed="false">
      <c r="A21" s="22"/>
      <c r="B21" s="28" t="s">
        <v>619</v>
      </c>
      <c r="C21" s="28" t="s">
        <v>21</v>
      </c>
      <c r="D21" s="39" t="n">
        <v>4</v>
      </c>
      <c r="E21" s="60" t="s">
        <v>592</v>
      </c>
    </row>
    <row r="22" customFormat="false" ht="15" hidden="false" customHeight="false" outlineLevel="0" collapsed="false">
      <c r="A22" s="22" t="s">
        <v>620</v>
      </c>
      <c r="B22" s="32" t="s">
        <v>616</v>
      </c>
      <c r="C22" s="26" t="s">
        <v>21</v>
      </c>
      <c r="D22" s="27" t="n">
        <f aca="false">D23+D24+D25</f>
        <v>13</v>
      </c>
      <c r="E22" s="60" t="s">
        <v>621</v>
      </c>
    </row>
    <row r="23" customFormat="false" ht="15" hidden="false" customHeight="false" outlineLevel="0" collapsed="false">
      <c r="A23" s="22"/>
      <c r="B23" s="82" t="s">
        <v>622</v>
      </c>
      <c r="C23" s="28" t="s">
        <v>21</v>
      </c>
      <c r="D23" s="39" t="n">
        <v>10</v>
      </c>
      <c r="E23" s="81"/>
    </row>
    <row r="24" customFormat="false" ht="15" hidden="false" customHeight="false" outlineLevel="0" collapsed="false">
      <c r="A24" s="22"/>
      <c r="B24" s="82" t="s">
        <v>623</v>
      </c>
      <c r="C24" s="28" t="s">
        <v>21</v>
      </c>
      <c r="D24" s="39" t="n">
        <v>1</v>
      </c>
      <c r="E24" s="81"/>
    </row>
    <row r="25" customFormat="false" ht="15" hidden="false" customHeight="false" outlineLevel="0" collapsed="false">
      <c r="A25" s="22"/>
      <c r="B25" s="82" t="s">
        <v>618</v>
      </c>
      <c r="C25" s="28" t="s">
        <v>21</v>
      </c>
      <c r="D25" s="39" t="n">
        <v>2</v>
      </c>
      <c r="E25" s="81"/>
    </row>
    <row r="26" customFormat="false" ht="15" hidden="false" customHeight="true" outlineLevel="0" collapsed="false">
      <c r="A26" s="36" t="s">
        <v>624</v>
      </c>
      <c r="B26" s="36"/>
      <c r="C26" s="36"/>
      <c r="D26" s="36"/>
      <c r="E26" s="36"/>
    </row>
    <row r="27" customFormat="false" ht="15.75" hidden="false" customHeight="true" outlineLevel="0" collapsed="false">
      <c r="A27" s="25" t="s">
        <v>625</v>
      </c>
      <c r="B27" s="83" t="s">
        <v>626</v>
      </c>
      <c r="C27" s="26" t="s">
        <v>21</v>
      </c>
      <c r="D27" s="27" t="n">
        <v>1</v>
      </c>
      <c r="E27" s="60" t="s">
        <v>604</v>
      </c>
    </row>
    <row r="28" customFormat="false" ht="15" hidden="false" customHeight="false" outlineLevel="0" collapsed="false">
      <c r="A28" s="60"/>
      <c r="B28" s="81" t="s">
        <v>627</v>
      </c>
      <c r="C28" s="28" t="s">
        <v>21</v>
      </c>
      <c r="D28" s="39" t="n">
        <v>1</v>
      </c>
      <c r="E28" s="60" t="s">
        <v>628</v>
      </c>
    </row>
    <row r="29" customFormat="false" ht="15" hidden="false" customHeight="false" outlineLevel="0" collapsed="false">
      <c r="A29" s="22" t="s">
        <v>629</v>
      </c>
      <c r="B29" s="80" t="s">
        <v>611</v>
      </c>
      <c r="C29" s="23" t="s">
        <v>21</v>
      </c>
      <c r="D29" s="24" t="n">
        <v>5</v>
      </c>
      <c r="E29" s="72"/>
    </row>
    <row r="30" customFormat="false" ht="15" hidden="false" customHeight="false" outlineLevel="0" collapsed="false">
      <c r="A30" s="78"/>
      <c r="B30" s="16" t="s">
        <v>630</v>
      </c>
      <c r="C30" s="28" t="s">
        <v>21</v>
      </c>
      <c r="D30" s="39" t="n">
        <v>5</v>
      </c>
      <c r="E30" s="84"/>
    </row>
    <row r="31" customFormat="false" ht="15" hidden="false" customHeight="true" outlineLevel="0" collapsed="false">
      <c r="A31" s="36" t="s">
        <v>631</v>
      </c>
      <c r="B31" s="36"/>
      <c r="C31" s="36"/>
      <c r="D31" s="36"/>
      <c r="E31" s="36"/>
    </row>
    <row r="32" customFormat="false" ht="15" hidden="false" customHeight="false" outlineLevel="0" collapsed="false">
      <c r="A32" s="22" t="s">
        <v>632</v>
      </c>
      <c r="B32" s="80" t="s">
        <v>611</v>
      </c>
      <c r="C32" s="23" t="s">
        <v>21</v>
      </c>
      <c r="D32" s="24" t="n">
        <v>5</v>
      </c>
      <c r="E32" s="72"/>
    </row>
    <row r="33" customFormat="false" ht="15" hidden="false" customHeight="false" outlineLevel="0" collapsed="false">
      <c r="A33" s="72"/>
      <c r="B33" s="85" t="s">
        <v>630</v>
      </c>
      <c r="C33" s="28" t="s">
        <v>21</v>
      </c>
      <c r="D33" s="39" t="n">
        <v>5</v>
      </c>
      <c r="E33" s="86"/>
    </row>
  </sheetData>
  <mergeCells count="5">
    <mergeCell ref="A1:E1"/>
    <mergeCell ref="A2:E2"/>
    <mergeCell ref="A18:E18"/>
    <mergeCell ref="A26:E26"/>
    <mergeCell ref="A31:E3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5" man="true" max="65535" min="0"/>
  </colBreaks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9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C45" activeCellId="0" sqref="C45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103.42"/>
    <col collapsed="false" customWidth="true" hidden="false" outlineLevel="0" max="3" min="3" style="1" width="10"/>
    <col collapsed="false" customWidth="true" hidden="false" outlineLevel="0" max="4" min="4" style="1" width="12.86"/>
    <col collapsed="false" customWidth="true" hidden="false" outlineLevel="0" max="5" min="5" style="1" width="48.57"/>
  </cols>
  <sheetData>
    <row r="1" customFormat="false" ht="15" hidden="false" customHeight="true" outlineLevel="0" collapsed="false">
      <c r="A1" s="61" t="s">
        <v>633</v>
      </c>
      <c r="B1" s="61"/>
      <c r="C1" s="61"/>
      <c r="D1" s="61"/>
      <c r="E1" s="61"/>
    </row>
    <row r="2" customFormat="false" ht="42.75" hidden="false" customHeight="true" outlineLevel="0" collapsed="false">
      <c r="A2" s="21" t="s">
        <v>14</v>
      </c>
      <c r="B2" s="21" t="s">
        <v>15</v>
      </c>
      <c r="C2" s="21" t="s">
        <v>16</v>
      </c>
      <c r="D2" s="21" t="s">
        <v>17</v>
      </c>
      <c r="E2" s="21" t="s">
        <v>18</v>
      </c>
    </row>
    <row r="3" customFormat="false" ht="15" hidden="false" customHeight="false" outlineLevel="0" collapsed="false">
      <c r="A3" s="22" t="s">
        <v>634</v>
      </c>
      <c r="B3" s="26" t="s">
        <v>635</v>
      </c>
      <c r="C3" s="26" t="s">
        <v>21</v>
      </c>
      <c r="D3" s="27" t="n">
        <f aca="false">SUM(D4:D16)</f>
        <v>14</v>
      </c>
      <c r="E3" s="28"/>
    </row>
    <row r="4" customFormat="false" ht="16.5" hidden="false" customHeight="false" outlineLevel="0" collapsed="false">
      <c r="A4" s="28"/>
      <c r="B4" s="28" t="s">
        <v>636</v>
      </c>
      <c r="C4" s="28" t="s">
        <v>21</v>
      </c>
      <c r="D4" s="39" t="n">
        <v>1</v>
      </c>
      <c r="E4" s="29" t="s">
        <v>637</v>
      </c>
    </row>
    <row r="5" customFormat="false" ht="15" hidden="false" customHeight="false" outlineLevel="0" collapsed="false">
      <c r="A5" s="28"/>
      <c r="B5" s="29" t="s">
        <v>102</v>
      </c>
      <c r="C5" s="29" t="s">
        <v>21</v>
      </c>
      <c r="D5" s="39" t="n">
        <f aca="false">D4</f>
        <v>1</v>
      </c>
      <c r="E5" s="29" t="s">
        <v>103</v>
      </c>
    </row>
    <row r="6" customFormat="false" ht="15" hidden="false" customHeight="false" outlineLevel="0" collapsed="false">
      <c r="A6" s="28"/>
      <c r="B6" s="28" t="s">
        <v>146</v>
      </c>
      <c r="C6" s="28" t="s">
        <v>21</v>
      </c>
      <c r="D6" s="39" t="n">
        <v>2</v>
      </c>
      <c r="E6" s="29" t="s">
        <v>638</v>
      </c>
    </row>
    <row r="7" customFormat="false" ht="15" hidden="false" customHeight="false" outlineLevel="0" collapsed="false">
      <c r="A7" s="28"/>
      <c r="B7" s="28" t="s">
        <v>639</v>
      </c>
      <c r="C7" s="28" t="s">
        <v>21</v>
      </c>
      <c r="D7" s="39" t="n">
        <v>1</v>
      </c>
      <c r="E7" s="29" t="s">
        <v>640</v>
      </c>
    </row>
    <row r="8" customFormat="false" ht="15" hidden="false" customHeight="false" outlineLevel="0" collapsed="false">
      <c r="A8" s="28"/>
      <c r="B8" s="28" t="s">
        <v>641</v>
      </c>
      <c r="C8" s="28" t="s">
        <v>21</v>
      </c>
      <c r="D8" s="39" t="n">
        <v>1</v>
      </c>
      <c r="E8" s="29" t="s">
        <v>640</v>
      </c>
    </row>
    <row r="9" customFormat="false" ht="30" hidden="false" customHeight="false" outlineLevel="0" collapsed="false">
      <c r="A9" s="28"/>
      <c r="B9" s="59" t="s">
        <v>642</v>
      </c>
      <c r="C9" s="28" t="s">
        <v>21</v>
      </c>
      <c r="D9" s="39" t="n">
        <v>1</v>
      </c>
      <c r="E9" s="29" t="s">
        <v>643</v>
      </c>
    </row>
    <row r="10" customFormat="false" ht="15" hidden="false" customHeight="false" outlineLevel="0" collapsed="false">
      <c r="A10" s="28"/>
      <c r="B10" s="28" t="s">
        <v>644</v>
      </c>
      <c r="C10" s="28" t="s">
        <v>21</v>
      </c>
      <c r="D10" s="39" t="n">
        <v>1</v>
      </c>
      <c r="E10" s="29" t="s">
        <v>645</v>
      </c>
    </row>
    <row r="11" customFormat="false" ht="15" hidden="false" customHeight="false" outlineLevel="0" collapsed="false">
      <c r="A11" s="28"/>
      <c r="B11" s="28" t="s">
        <v>646</v>
      </c>
      <c r="C11" s="28" t="s">
        <v>21</v>
      </c>
      <c r="D11" s="39" t="n">
        <v>1</v>
      </c>
      <c r="E11" s="29" t="s">
        <v>647</v>
      </c>
    </row>
    <row r="12" customFormat="false" ht="15" hidden="false" customHeight="false" outlineLevel="0" collapsed="false">
      <c r="A12" s="28"/>
      <c r="B12" s="28" t="s">
        <v>648</v>
      </c>
      <c r="C12" s="28" t="s">
        <v>21</v>
      </c>
      <c r="D12" s="39" t="n">
        <v>1</v>
      </c>
      <c r="E12" s="29" t="s">
        <v>645</v>
      </c>
    </row>
    <row r="13" customFormat="false" ht="15" hidden="false" customHeight="false" outlineLevel="0" collapsed="false">
      <c r="A13" s="28"/>
      <c r="B13" s="28" t="s">
        <v>649</v>
      </c>
      <c r="C13" s="28" t="s">
        <v>21</v>
      </c>
      <c r="D13" s="39" t="n">
        <v>1</v>
      </c>
      <c r="E13" s="29" t="s">
        <v>647</v>
      </c>
    </row>
    <row r="14" customFormat="false" ht="15" hidden="false" customHeight="false" outlineLevel="0" collapsed="false">
      <c r="A14" s="28"/>
      <c r="B14" s="28" t="s">
        <v>593</v>
      </c>
      <c r="C14" s="28" t="s">
        <v>21</v>
      </c>
      <c r="D14" s="39" t="n">
        <v>1</v>
      </c>
      <c r="E14" s="29" t="s">
        <v>643</v>
      </c>
    </row>
    <row r="15" customFormat="false" ht="15" hidden="false" customHeight="false" outlineLevel="0" collapsed="false">
      <c r="A15" s="28"/>
      <c r="B15" s="28" t="s">
        <v>650</v>
      </c>
      <c r="C15" s="28" t="s">
        <v>21</v>
      </c>
      <c r="D15" s="39" t="n">
        <v>1</v>
      </c>
      <c r="E15" s="29" t="s">
        <v>651</v>
      </c>
    </row>
    <row r="16" customFormat="false" ht="15" hidden="false" customHeight="false" outlineLevel="0" collapsed="false">
      <c r="A16" s="28"/>
      <c r="B16" s="28" t="s">
        <v>652</v>
      </c>
      <c r="C16" s="28" t="s">
        <v>21</v>
      </c>
      <c r="D16" s="39" t="n">
        <v>1</v>
      </c>
      <c r="E16" s="29" t="s">
        <v>643</v>
      </c>
    </row>
    <row r="17" customFormat="false" ht="15" hidden="false" customHeight="true" outlineLevel="0" collapsed="false">
      <c r="A17" s="61" t="s">
        <v>653</v>
      </c>
      <c r="B17" s="61"/>
      <c r="C17" s="61"/>
      <c r="D17" s="61"/>
      <c r="E17" s="61"/>
    </row>
    <row r="18" customFormat="false" ht="15" hidden="false" customHeight="false" outlineLevel="0" collapsed="false">
      <c r="A18" s="22" t="s">
        <v>654</v>
      </c>
      <c r="B18" s="26" t="s">
        <v>655</v>
      </c>
      <c r="C18" s="26" t="s">
        <v>21</v>
      </c>
      <c r="D18" s="27" t="n">
        <v>1</v>
      </c>
      <c r="E18" s="87"/>
    </row>
    <row r="19" customFormat="false" ht="15" hidden="false" customHeight="false" outlineLevel="0" collapsed="false">
      <c r="A19" s="28"/>
      <c r="B19" s="28" t="s">
        <v>656</v>
      </c>
      <c r="C19" s="28" t="s">
        <v>21</v>
      </c>
      <c r="D19" s="39" t="n">
        <v>1</v>
      </c>
      <c r="E19" s="28"/>
    </row>
  </sheetData>
  <mergeCells count="2">
    <mergeCell ref="A1:E1"/>
    <mergeCell ref="A17:E1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5" man="true" max="65535" min="0"/>
  </colBreak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9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E31" activeCellId="0" sqref="E31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103.42"/>
    <col collapsed="false" customWidth="true" hidden="false" outlineLevel="0" max="3" min="3" style="1" width="10"/>
    <col collapsed="false" customWidth="true" hidden="false" outlineLevel="0" max="4" min="4" style="1" width="12.86"/>
    <col collapsed="false" customWidth="true" hidden="false" outlineLevel="0" max="5" min="5" style="1" width="48.57"/>
  </cols>
  <sheetData>
    <row r="1" customFormat="false" ht="15" hidden="false" customHeight="true" outlineLevel="0" collapsed="false">
      <c r="A1" s="61" t="s">
        <v>657</v>
      </c>
      <c r="B1" s="61"/>
      <c r="C1" s="61"/>
      <c r="D1" s="61"/>
      <c r="E1" s="61"/>
    </row>
    <row r="2" customFormat="false" ht="37.5" hidden="false" customHeight="true" outlineLevel="0" collapsed="false">
      <c r="A2" s="21" t="s">
        <v>14</v>
      </c>
      <c r="B2" s="21" t="s">
        <v>15</v>
      </c>
      <c r="C2" s="21" t="s">
        <v>16</v>
      </c>
      <c r="D2" s="21" t="s">
        <v>17</v>
      </c>
      <c r="E2" s="21" t="s">
        <v>18</v>
      </c>
    </row>
    <row r="3" customFormat="false" ht="15" hidden="false" customHeight="false" outlineLevel="0" collapsed="false">
      <c r="A3" s="22" t="s">
        <v>658</v>
      </c>
      <c r="B3" s="26" t="s">
        <v>659</v>
      </c>
      <c r="C3" s="26" t="s">
        <v>21</v>
      </c>
      <c r="D3" s="27" t="n">
        <f aca="false">D5+D6+D7</f>
        <v>3</v>
      </c>
      <c r="E3" s="28"/>
    </row>
    <row r="4" customFormat="false" ht="15" hidden="false" customHeight="false" outlineLevel="0" collapsed="false">
      <c r="A4" s="22" t="s">
        <v>660</v>
      </c>
      <c r="B4" s="26" t="s">
        <v>661</v>
      </c>
      <c r="C4" s="26" t="s">
        <v>21</v>
      </c>
      <c r="D4" s="27" t="n">
        <v>3</v>
      </c>
      <c r="E4" s="28"/>
    </row>
    <row r="5" customFormat="false" ht="15" hidden="false" customHeight="false" outlineLevel="0" collapsed="false">
      <c r="A5" s="28"/>
      <c r="B5" s="28" t="s">
        <v>662</v>
      </c>
      <c r="C5" s="28" t="s">
        <v>21</v>
      </c>
      <c r="D5" s="39" t="n">
        <v>1</v>
      </c>
      <c r="E5" s="28" t="s">
        <v>663</v>
      </c>
    </row>
    <row r="6" customFormat="false" ht="15" hidden="false" customHeight="false" outlineLevel="0" collapsed="false">
      <c r="A6" s="28"/>
      <c r="B6" s="28" t="s">
        <v>664</v>
      </c>
      <c r="C6" s="28" t="s">
        <v>21</v>
      </c>
      <c r="D6" s="39" t="n">
        <v>1</v>
      </c>
      <c r="E6" s="28" t="s">
        <v>663</v>
      </c>
    </row>
    <row r="7" customFormat="false" ht="15" hidden="false" customHeight="false" outlineLevel="0" collapsed="false">
      <c r="A7" s="28"/>
      <c r="B7" s="28" t="s">
        <v>665</v>
      </c>
      <c r="C7" s="28" t="s">
        <v>21</v>
      </c>
      <c r="D7" s="39" t="n">
        <v>1</v>
      </c>
      <c r="E7" s="28" t="s">
        <v>663</v>
      </c>
    </row>
    <row r="8" customFormat="false" ht="15" hidden="false" customHeight="false" outlineLevel="0" collapsed="false">
      <c r="A8" s="22" t="s">
        <v>666</v>
      </c>
      <c r="B8" s="26" t="s">
        <v>667</v>
      </c>
      <c r="C8" s="26" t="s">
        <v>668</v>
      </c>
      <c r="D8" s="55" t="s">
        <v>669</v>
      </c>
      <c r="E8" s="28"/>
    </row>
    <row r="9" customFormat="false" ht="15" hidden="false" customHeight="false" outlineLevel="0" collapsed="false">
      <c r="A9" s="22" t="s">
        <v>670</v>
      </c>
      <c r="B9" s="22" t="s">
        <v>671</v>
      </c>
      <c r="C9" s="27" t="s">
        <v>303</v>
      </c>
      <c r="D9" s="27" t="n">
        <v>350</v>
      </c>
      <c r="E9" s="28"/>
    </row>
  </sheetData>
  <mergeCells count="1">
    <mergeCell ref="A1:E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5" man="true" max="65535" min="0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32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J32" activeCellId="0" sqref="J32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103.42"/>
    <col collapsed="false" customWidth="true" hidden="false" outlineLevel="0" max="3" min="3" style="1" width="10"/>
    <col collapsed="false" customWidth="true" hidden="false" outlineLevel="0" max="4" min="4" style="1" width="12.86"/>
    <col collapsed="false" customWidth="true" hidden="false" outlineLevel="0" max="5" min="5" style="1" width="48.57"/>
  </cols>
  <sheetData>
    <row r="1" customFormat="false" ht="15" hidden="false" customHeight="false" outlineLevel="0" collapsed="false">
      <c r="A1" s="19" t="s">
        <v>126</v>
      </c>
      <c r="B1" s="19"/>
      <c r="C1" s="19"/>
      <c r="D1" s="19"/>
      <c r="E1" s="19"/>
    </row>
    <row r="2" customFormat="false" ht="15" hidden="false" customHeight="false" outlineLevel="0" collapsed="false">
      <c r="A2" s="20" t="s">
        <v>127</v>
      </c>
      <c r="B2" s="20"/>
      <c r="C2" s="20"/>
      <c r="D2" s="20"/>
      <c r="E2" s="20"/>
    </row>
    <row r="3" customFormat="false" ht="38.25" hidden="false" customHeight="true" outlineLevel="0" collapsed="false">
      <c r="A3" s="21" t="s">
        <v>14</v>
      </c>
      <c r="B3" s="21" t="s">
        <v>15</v>
      </c>
      <c r="C3" s="21" t="s">
        <v>16</v>
      </c>
      <c r="D3" s="21" t="s">
        <v>17</v>
      </c>
      <c r="E3" s="21" t="s">
        <v>18</v>
      </c>
    </row>
    <row r="4" customFormat="false" ht="15" hidden="false" customHeight="false" outlineLevel="0" collapsed="false">
      <c r="A4" s="22" t="s">
        <v>128</v>
      </c>
      <c r="B4" s="22" t="s">
        <v>129</v>
      </c>
      <c r="C4" s="23" t="s">
        <v>21</v>
      </c>
      <c r="D4" s="24" t="n">
        <v>3</v>
      </c>
      <c r="E4" s="28"/>
    </row>
    <row r="5" customFormat="false" ht="15" hidden="false" customHeight="false" outlineLevel="0" collapsed="false">
      <c r="A5" s="22"/>
      <c r="B5" s="28" t="s">
        <v>130</v>
      </c>
      <c r="C5" s="39" t="s">
        <v>21</v>
      </c>
      <c r="D5" s="39" t="n">
        <f aca="false">D4</f>
        <v>3</v>
      </c>
      <c r="E5" s="28" t="s">
        <v>131</v>
      </c>
    </row>
    <row r="6" customFormat="false" ht="15" hidden="false" customHeight="false" outlineLevel="0" collapsed="false">
      <c r="A6" s="22" t="s">
        <v>132</v>
      </c>
      <c r="B6" s="32" t="s">
        <v>133</v>
      </c>
      <c r="C6" s="32" t="s">
        <v>21</v>
      </c>
      <c r="D6" s="33" t="n">
        <f aca="false">(4+4)*D4</f>
        <v>24</v>
      </c>
      <c r="E6" s="28" t="s">
        <v>134</v>
      </c>
    </row>
    <row r="7" customFormat="false" ht="15" hidden="false" customHeight="false" outlineLevel="0" collapsed="false">
      <c r="A7" s="22" t="s">
        <v>135</v>
      </c>
      <c r="B7" s="32" t="s">
        <v>64</v>
      </c>
      <c r="C7" s="26" t="s">
        <v>65</v>
      </c>
      <c r="D7" s="27" t="n">
        <f aca="false">0.13*D4</f>
        <v>0.39</v>
      </c>
      <c r="E7" s="28" t="s">
        <v>136</v>
      </c>
    </row>
    <row r="8" customFormat="false" ht="15" hidden="false" customHeight="false" outlineLevel="0" collapsed="false">
      <c r="A8" s="22" t="s">
        <v>137</v>
      </c>
      <c r="B8" s="32" t="s">
        <v>68</v>
      </c>
      <c r="C8" s="26" t="s">
        <v>65</v>
      </c>
      <c r="D8" s="27" t="n">
        <f aca="false">D7</f>
        <v>0.39</v>
      </c>
      <c r="E8" s="28" t="s">
        <v>138</v>
      </c>
    </row>
    <row r="9" customFormat="false" ht="15" hidden="false" customHeight="false" outlineLevel="0" collapsed="false">
      <c r="A9" s="22" t="s">
        <v>139</v>
      </c>
      <c r="B9" s="32" t="s">
        <v>70</v>
      </c>
      <c r="C9" s="26" t="s">
        <v>71</v>
      </c>
      <c r="D9" s="26" t="n">
        <f aca="false">D8/100</f>
        <v>0.0039</v>
      </c>
      <c r="E9" s="28"/>
    </row>
    <row r="10" customFormat="false" ht="14.45" hidden="false" customHeight="false" outlineLevel="0" collapsed="false">
      <c r="A10" s="22" t="s">
        <v>140</v>
      </c>
      <c r="B10" s="32" t="s">
        <v>73</v>
      </c>
      <c r="C10" s="26" t="s">
        <v>71</v>
      </c>
      <c r="D10" s="26" t="n">
        <f aca="false">D8/100</f>
        <v>0.0039</v>
      </c>
      <c r="E10" s="20" t="s">
        <v>74</v>
      </c>
    </row>
    <row r="11" customFormat="false" ht="14.45" hidden="false" customHeight="false" outlineLevel="0" collapsed="false">
      <c r="A11" s="22" t="s">
        <v>141</v>
      </c>
      <c r="B11" s="32" t="s">
        <v>76</v>
      </c>
      <c r="C11" s="26" t="s">
        <v>71</v>
      </c>
      <c r="D11" s="26" t="n">
        <f aca="false">D8/100</f>
        <v>0.0039</v>
      </c>
      <c r="E11" s="20" t="s">
        <v>74</v>
      </c>
    </row>
    <row r="12" customFormat="false" ht="15" hidden="false" customHeight="false" outlineLevel="0" collapsed="false">
      <c r="A12" s="22" t="s">
        <v>142</v>
      </c>
      <c r="B12" s="32" t="s">
        <v>143</v>
      </c>
      <c r="C12" s="26" t="s">
        <v>21</v>
      </c>
      <c r="D12" s="27" t="n">
        <v>3</v>
      </c>
      <c r="E12" s="28" t="s">
        <v>144</v>
      </c>
    </row>
    <row r="13" customFormat="false" ht="15" hidden="false" customHeight="false" outlineLevel="0" collapsed="false">
      <c r="A13" s="22"/>
      <c r="B13" s="43" t="s">
        <v>145</v>
      </c>
      <c r="C13" s="39" t="s">
        <v>21</v>
      </c>
      <c r="D13" s="39" t="n">
        <v>3</v>
      </c>
      <c r="E13" s="28"/>
    </row>
    <row r="14" customFormat="false" ht="15" hidden="false" customHeight="false" outlineLevel="0" collapsed="false">
      <c r="A14" s="22"/>
      <c r="B14" s="43" t="s">
        <v>146</v>
      </c>
      <c r="C14" s="39" t="s">
        <v>21</v>
      </c>
      <c r="D14" s="39" t="n">
        <v>3</v>
      </c>
      <c r="E14" s="28"/>
    </row>
    <row r="15" customFormat="false" ht="15" hidden="false" customHeight="false" outlineLevel="0" collapsed="false">
      <c r="A15" s="22"/>
      <c r="B15" s="28" t="s">
        <v>147</v>
      </c>
      <c r="C15" s="39" t="s">
        <v>21</v>
      </c>
      <c r="D15" s="39" t="n">
        <f aca="false">D13*4</f>
        <v>12</v>
      </c>
      <c r="E15" s="28"/>
    </row>
    <row r="16" customFormat="false" ht="15" hidden="false" customHeight="false" outlineLevel="0" collapsed="false">
      <c r="A16" s="22"/>
      <c r="B16" s="28" t="s">
        <v>148</v>
      </c>
      <c r="C16" s="39" t="s">
        <v>21</v>
      </c>
      <c r="D16" s="39" t="n">
        <f aca="false">D15</f>
        <v>12</v>
      </c>
      <c r="E16" s="28"/>
    </row>
    <row r="17" customFormat="false" ht="15" hidden="false" customHeight="false" outlineLevel="0" collapsed="false">
      <c r="A17" s="22" t="s">
        <v>149</v>
      </c>
      <c r="B17" s="32" t="s">
        <v>150</v>
      </c>
      <c r="C17" s="26" t="s">
        <v>21</v>
      </c>
      <c r="D17" s="27" t="n">
        <v>3</v>
      </c>
      <c r="E17" s="28"/>
    </row>
    <row r="18" customFormat="false" ht="15" hidden="false" customHeight="false" outlineLevel="0" collapsed="false">
      <c r="A18" s="22" t="s">
        <v>151</v>
      </c>
      <c r="B18" s="32" t="s">
        <v>152</v>
      </c>
      <c r="C18" s="26" t="s">
        <v>21</v>
      </c>
      <c r="D18" s="27" t="n">
        <f aca="false">D4*4</f>
        <v>12</v>
      </c>
      <c r="E18" s="28"/>
    </row>
    <row r="19" customFormat="false" ht="15" hidden="false" customHeight="false" outlineLevel="0" collapsed="false">
      <c r="A19" s="22"/>
      <c r="B19" s="28" t="s">
        <v>153</v>
      </c>
      <c r="C19" s="28" t="s">
        <v>21</v>
      </c>
      <c r="D19" s="39" t="n">
        <f aca="false">D18</f>
        <v>12</v>
      </c>
      <c r="E19" s="28"/>
    </row>
    <row r="20" customFormat="false" ht="15" hidden="false" customHeight="false" outlineLevel="0" collapsed="false">
      <c r="A20" s="22"/>
      <c r="B20" s="28" t="s">
        <v>154</v>
      </c>
      <c r="C20" s="28" t="s">
        <v>21</v>
      </c>
      <c r="D20" s="39" t="n">
        <f aca="false">D18*3</f>
        <v>36</v>
      </c>
      <c r="E20" s="28"/>
    </row>
    <row r="21" customFormat="false" ht="15" hidden="true" customHeight="false" outlineLevel="0" collapsed="false">
      <c r="A21" s="44" t="s">
        <v>155</v>
      </c>
      <c r="B21" s="45" t="s">
        <v>156</v>
      </c>
      <c r="C21" s="46" t="s">
        <v>21</v>
      </c>
      <c r="D21" s="47" t="n">
        <v>1</v>
      </c>
      <c r="E21" s="48"/>
    </row>
    <row r="22" customFormat="false" ht="15" hidden="true" customHeight="false" outlineLevel="0" collapsed="false">
      <c r="A22" s="44" t="s">
        <v>157</v>
      </c>
      <c r="B22" s="45" t="s">
        <v>158</v>
      </c>
      <c r="C22" s="46" t="s">
        <v>21</v>
      </c>
      <c r="D22" s="47" t="n">
        <v>1</v>
      </c>
      <c r="E22" s="48"/>
    </row>
    <row r="23" customFormat="false" ht="15" hidden="false" customHeight="false" outlineLevel="0" collapsed="false">
      <c r="A23" s="20" t="s">
        <v>159</v>
      </c>
      <c r="B23" s="20"/>
      <c r="C23" s="20"/>
      <c r="D23" s="20"/>
      <c r="E23" s="20"/>
    </row>
    <row r="24" customFormat="false" ht="15" hidden="false" customHeight="false" outlineLevel="0" collapsed="false">
      <c r="A24" s="22" t="s">
        <v>160</v>
      </c>
      <c r="B24" s="22" t="s">
        <v>161</v>
      </c>
      <c r="C24" s="23" t="s">
        <v>21</v>
      </c>
      <c r="D24" s="24" t="n">
        <v>3</v>
      </c>
      <c r="E24" s="20"/>
    </row>
    <row r="25" customFormat="false" ht="15" hidden="false" customHeight="false" outlineLevel="0" collapsed="false">
      <c r="A25" s="22" t="s">
        <v>162</v>
      </c>
      <c r="B25" s="25" t="s">
        <v>24</v>
      </c>
      <c r="C25" s="26" t="s">
        <v>25</v>
      </c>
      <c r="D25" s="27" t="n">
        <f aca="false">0.05*2</f>
        <v>0.1</v>
      </c>
      <c r="E25" s="28" t="s">
        <v>163</v>
      </c>
    </row>
    <row r="26" customFormat="false" ht="15" hidden="false" customHeight="false" outlineLevel="0" collapsed="false">
      <c r="A26" s="30"/>
      <c r="B26" s="49" t="s">
        <v>164</v>
      </c>
      <c r="C26" s="39" t="s">
        <v>28</v>
      </c>
      <c r="D26" s="39" t="n">
        <v>9</v>
      </c>
      <c r="E26" s="20" t="s">
        <v>165</v>
      </c>
    </row>
    <row r="27" customFormat="false" ht="15" hidden="false" customHeight="false" outlineLevel="0" collapsed="false">
      <c r="A27" s="22" t="s">
        <v>166</v>
      </c>
      <c r="B27" s="32" t="s">
        <v>41</v>
      </c>
      <c r="C27" s="26" t="s">
        <v>42</v>
      </c>
      <c r="D27" s="50" t="n">
        <f aca="false">(4.68*D24)/1000</f>
        <v>0.01404</v>
      </c>
      <c r="E27" s="28" t="s">
        <v>167</v>
      </c>
    </row>
    <row r="28" customFormat="false" ht="15" hidden="false" customHeight="false" outlineLevel="0" collapsed="false">
      <c r="A28" s="22" t="s">
        <v>168</v>
      </c>
      <c r="B28" s="32" t="s">
        <v>64</v>
      </c>
      <c r="C28" s="26" t="s">
        <v>65</v>
      </c>
      <c r="D28" s="27" t="n">
        <f aca="false">0.3*D24</f>
        <v>0.9</v>
      </c>
      <c r="E28" s="28"/>
    </row>
    <row r="29" customFormat="false" ht="15" hidden="false" customHeight="false" outlineLevel="0" collapsed="false">
      <c r="A29" s="22" t="s">
        <v>169</v>
      </c>
      <c r="B29" s="32" t="s">
        <v>68</v>
      </c>
      <c r="C29" s="26" t="s">
        <v>65</v>
      </c>
      <c r="D29" s="27" t="n">
        <f aca="false">D28</f>
        <v>0.9</v>
      </c>
      <c r="E29" s="28"/>
    </row>
    <row r="30" customFormat="false" ht="15" hidden="false" customHeight="false" outlineLevel="0" collapsed="false">
      <c r="A30" s="22" t="s">
        <v>170</v>
      </c>
      <c r="B30" s="32" t="s">
        <v>70</v>
      </c>
      <c r="C30" s="26" t="s">
        <v>71</v>
      </c>
      <c r="D30" s="26" t="n">
        <f aca="false">D29/100</f>
        <v>0.009</v>
      </c>
      <c r="E30" s="28"/>
    </row>
    <row r="31" customFormat="false" ht="14.45" hidden="false" customHeight="false" outlineLevel="0" collapsed="false">
      <c r="A31" s="22" t="s">
        <v>171</v>
      </c>
      <c r="B31" s="32" t="s">
        <v>73</v>
      </c>
      <c r="C31" s="26" t="s">
        <v>71</v>
      </c>
      <c r="D31" s="26" t="n">
        <f aca="false">D29/100</f>
        <v>0.009</v>
      </c>
      <c r="E31" s="20" t="s">
        <v>74</v>
      </c>
    </row>
    <row r="32" customFormat="false" ht="14.45" hidden="false" customHeight="false" outlineLevel="0" collapsed="false">
      <c r="A32" s="22" t="s">
        <v>172</v>
      </c>
      <c r="B32" s="32" t="s">
        <v>76</v>
      </c>
      <c r="C32" s="26" t="s">
        <v>71</v>
      </c>
      <c r="D32" s="26" t="n">
        <f aca="false">D29/100</f>
        <v>0.009</v>
      </c>
      <c r="E32" s="20" t="s">
        <v>74</v>
      </c>
    </row>
  </sheetData>
  <mergeCells count="3">
    <mergeCell ref="A1:E1"/>
    <mergeCell ref="A2:E2"/>
    <mergeCell ref="A23:E2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5" man="true" max="65535" min="0"/>
  </colBreaks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5"/>
  <sheetViews>
    <sheetView showFormulas="false" showGridLines="true" showRowColHeaders="true" showZeros="true" rightToLeft="false" tabSelected="false" showOutlineSymbols="true" defaultGridColor="true" view="pageBreakPreview" topLeftCell="A7" colorId="64" zoomScale="90" zoomScaleNormal="100" zoomScalePageLayoutView="90" workbookViewId="0">
      <selection pane="topLeft" activeCell="E29" activeCellId="0" sqref="E29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29"/>
    <col collapsed="false" customWidth="true" hidden="false" outlineLevel="0" max="2" min="2" style="1" width="107.85"/>
    <col collapsed="false" customWidth="true" hidden="false" outlineLevel="0" max="3" min="3" style="1" width="13.15"/>
    <col collapsed="false" customWidth="true" hidden="false" outlineLevel="0" max="4" min="4" style="1" width="12.86"/>
    <col collapsed="false" customWidth="true" hidden="false" outlineLevel="0" max="5" min="5" style="1" width="51.15"/>
  </cols>
  <sheetData>
    <row r="1" customFormat="false" ht="57.75" hidden="false" customHeight="true" outlineLevel="0" collapsed="false">
      <c r="A1" s="2" t="s">
        <v>0</v>
      </c>
      <c r="B1" s="2"/>
      <c r="C1" s="2"/>
      <c r="D1" s="2"/>
      <c r="E1" s="2"/>
      <c r="F1" s="3"/>
    </row>
    <row r="2" customFormat="false" ht="26.25" hidden="false" customHeight="true" outlineLevel="0" collapsed="false">
      <c r="A2" s="4" t="s">
        <v>1</v>
      </c>
      <c r="B2" s="4"/>
      <c r="C2" s="4"/>
      <c r="D2" s="4"/>
      <c r="E2" s="4"/>
      <c r="F2" s="5"/>
    </row>
    <row r="3" customFormat="false" ht="15.75" hidden="false" customHeight="false" outlineLevel="0" collapsed="false">
      <c r="A3" s="6"/>
      <c r="B3" s="7"/>
      <c r="C3" s="7"/>
      <c r="D3" s="7"/>
      <c r="E3" s="7"/>
      <c r="F3" s="7"/>
    </row>
    <row r="4" customFormat="false" ht="15.75" hidden="false" customHeight="true" outlineLevel="0" collapsed="false">
      <c r="A4" s="8" t="s">
        <v>2</v>
      </c>
      <c r="B4" s="9" t="s">
        <v>672</v>
      </c>
      <c r="C4" s="9"/>
      <c r="D4" s="9"/>
      <c r="E4" s="9"/>
      <c r="F4" s="9"/>
    </row>
    <row r="5" customFormat="false" ht="15.75" hidden="false" customHeight="true" outlineLevel="0" collapsed="false">
      <c r="A5" s="10"/>
      <c r="B5" s="9" t="s">
        <v>4</v>
      </c>
      <c r="C5" s="9"/>
      <c r="D5" s="9"/>
      <c r="E5" s="11"/>
      <c r="F5" s="11"/>
    </row>
    <row r="6" customFormat="false" ht="15.75" hidden="false" customHeight="false" outlineLevel="0" collapsed="false">
      <c r="A6" s="10"/>
      <c r="B6" s="12"/>
      <c r="C6" s="12"/>
      <c r="D6" s="12"/>
      <c r="E6" s="11"/>
      <c r="F6" s="11"/>
    </row>
    <row r="7" customFormat="false" ht="15.75" hidden="false" customHeight="false" outlineLevel="0" collapsed="false">
      <c r="A7" s="10"/>
      <c r="B7" s="13"/>
      <c r="C7" s="13"/>
      <c r="D7" s="13"/>
      <c r="E7" s="13"/>
      <c r="F7" s="13"/>
    </row>
    <row r="8" customFormat="false" ht="33" hidden="false" customHeight="true" outlineLevel="0" collapsed="false">
      <c r="A8" s="10"/>
      <c r="B8" s="13" t="s">
        <v>5</v>
      </c>
      <c r="C8" s="13"/>
      <c r="D8" s="13"/>
      <c r="E8" s="14"/>
      <c r="F8" s="15"/>
    </row>
    <row r="9" customFormat="false" ht="15.75" hidden="false" customHeight="true" outlineLevel="0" collapsed="false">
      <c r="A9" s="10"/>
      <c r="B9" s="9" t="s">
        <v>6</v>
      </c>
      <c r="C9" s="9"/>
      <c r="D9" s="9"/>
      <c r="E9" s="9"/>
      <c r="F9" s="15"/>
    </row>
    <row r="10" customFormat="false" ht="15" hidden="false" customHeight="true" outlineLevel="0" collapsed="false">
      <c r="A10" s="16"/>
      <c r="B10" s="9" t="s">
        <v>7</v>
      </c>
      <c r="C10" s="9"/>
      <c r="D10" s="9"/>
      <c r="E10" s="9"/>
      <c r="F10" s="17"/>
    </row>
    <row r="11" customFormat="false" ht="15" hidden="false" customHeight="true" outlineLevel="0" collapsed="false">
      <c r="A11" s="16"/>
      <c r="B11" s="9" t="s">
        <v>8</v>
      </c>
      <c r="C11" s="9"/>
      <c r="D11" s="9"/>
      <c r="E11" s="9"/>
      <c r="F11" s="17"/>
    </row>
    <row r="12" customFormat="false" ht="44.25" hidden="false" customHeight="true" outlineLevel="0" collapsed="false">
      <c r="A12" s="16"/>
      <c r="B12" s="9" t="s">
        <v>9</v>
      </c>
      <c r="C12" s="9"/>
      <c r="D12" s="9"/>
      <c r="E12" s="18"/>
      <c r="F12" s="17"/>
    </row>
    <row r="14" customFormat="false" ht="15" hidden="false" customHeight="false" outlineLevel="0" collapsed="false">
      <c r="A14" s="16"/>
      <c r="B14" s="16"/>
      <c r="C14" s="16"/>
      <c r="D14" s="16"/>
      <c r="E14" s="16"/>
    </row>
    <row r="15" customFormat="false" ht="24" hidden="false" customHeight="true" outlineLevel="0" collapsed="false">
      <c r="A15" s="88" t="s">
        <v>673</v>
      </c>
      <c r="B15" s="88"/>
      <c r="C15" s="88"/>
      <c r="D15" s="88"/>
      <c r="E15" s="88"/>
    </row>
    <row r="16" customFormat="false" ht="24" hidden="false" customHeight="true" outlineLevel="0" collapsed="false">
      <c r="A16" s="21" t="s">
        <v>14</v>
      </c>
      <c r="B16" s="21" t="s">
        <v>15</v>
      </c>
      <c r="C16" s="21" t="s">
        <v>16</v>
      </c>
      <c r="D16" s="21" t="s">
        <v>17</v>
      </c>
      <c r="E16" s="21" t="s">
        <v>18</v>
      </c>
    </row>
    <row r="17" customFormat="false" ht="15" hidden="false" customHeight="false" outlineLevel="0" collapsed="false">
      <c r="A17" s="25" t="s">
        <v>19</v>
      </c>
      <c r="B17" s="25" t="s">
        <v>674</v>
      </c>
      <c r="C17" s="26" t="s">
        <v>675</v>
      </c>
      <c r="D17" s="27" t="n">
        <v>1</v>
      </c>
      <c r="E17" s="89"/>
    </row>
    <row r="18" customFormat="false" ht="15" hidden="false" customHeight="false" outlineLevel="0" collapsed="false">
      <c r="A18" s="90"/>
      <c r="B18" s="90"/>
      <c r="C18" s="91"/>
      <c r="D18" s="92"/>
      <c r="E18" s="93"/>
      <c r="K18" s="94"/>
    </row>
    <row r="19" customFormat="false" ht="15" hidden="false" customHeight="false" outlineLevel="0" collapsed="false">
      <c r="A19" s="90"/>
      <c r="B19" s="90"/>
      <c r="C19" s="91"/>
      <c r="D19" s="92"/>
      <c r="E19" s="93"/>
    </row>
    <row r="20" customFormat="false" ht="15" hidden="false" customHeight="false" outlineLevel="0" collapsed="false">
      <c r="A20" s="90"/>
      <c r="B20" s="90"/>
      <c r="C20" s="91"/>
      <c r="D20" s="92"/>
      <c r="E20" s="93"/>
    </row>
    <row r="21" customFormat="false" ht="24" hidden="false" customHeight="true" outlineLevel="0" collapsed="false">
      <c r="A21" s="88" t="s">
        <v>676</v>
      </c>
      <c r="B21" s="88"/>
      <c r="C21" s="88"/>
      <c r="D21" s="88"/>
      <c r="E21" s="88"/>
    </row>
    <row r="22" customFormat="false" ht="24" hidden="false" customHeight="true" outlineLevel="0" collapsed="false">
      <c r="A22" s="21" t="s">
        <v>14</v>
      </c>
      <c r="B22" s="21" t="s">
        <v>15</v>
      </c>
      <c r="C22" s="21" t="s">
        <v>16</v>
      </c>
      <c r="D22" s="21" t="s">
        <v>17</v>
      </c>
      <c r="E22" s="21" t="s">
        <v>18</v>
      </c>
    </row>
    <row r="23" customFormat="false" ht="15" hidden="false" customHeight="false" outlineLevel="0" collapsed="false">
      <c r="A23" s="25" t="s">
        <v>128</v>
      </c>
      <c r="B23" s="22" t="s">
        <v>677</v>
      </c>
      <c r="C23" s="23" t="s">
        <v>678</v>
      </c>
      <c r="D23" s="24" t="n">
        <v>6</v>
      </c>
      <c r="E23" s="28" t="s">
        <v>679</v>
      </c>
    </row>
    <row r="24" customFormat="false" ht="15" hidden="false" customHeight="false" outlineLevel="0" collapsed="false">
      <c r="A24" s="25" t="s">
        <v>142</v>
      </c>
      <c r="B24" s="22" t="s">
        <v>680</v>
      </c>
      <c r="C24" s="23" t="s">
        <v>21</v>
      </c>
      <c r="D24" s="95" t="n">
        <v>23</v>
      </c>
      <c r="E24" s="28" t="s">
        <v>681</v>
      </c>
    </row>
    <row r="25" customFormat="false" ht="15" hidden="false" customHeight="false" outlineLevel="0" collapsed="false">
      <c r="A25" s="25" t="s">
        <v>149</v>
      </c>
      <c r="B25" s="25" t="s">
        <v>682</v>
      </c>
      <c r="C25" s="26" t="s">
        <v>675</v>
      </c>
      <c r="D25" s="27" t="n">
        <v>1</v>
      </c>
      <c r="E25" s="28" t="s">
        <v>683</v>
      </c>
    </row>
    <row r="26" customFormat="false" ht="15" hidden="false" customHeight="false" outlineLevel="0" collapsed="false">
      <c r="A26" s="25" t="s">
        <v>160</v>
      </c>
      <c r="B26" s="25" t="s">
        <v>684</v>
      </c>
      <c r="C26" s="26" t="s">
        <v>675</v>
      </c>
      <c r="D26" s="27" t="n">
        <v>1</v>
      </c>
      <c r="E26" s="28" t="s">
        <v>685</v>
      </c>
    </row>
    <row r="27" customFormat="false" ht="15" hidden="false" customHeight="false" outlineLevel="0" collapsed="false">
      <c r="A27" s="25" t="s">
        <v>686</v>
      </c>
      <c r="B27" s="25" t="s">
        <v>687</v>
      </c>
      <c r="C27" s="26" t="s">
        <v>675</v>
      </c>
      <c r="D27" s="27" t="n">
        <v>1</v>
      </c>
      <c r="E27" s="28" t="s">
        <v>688</v>
      </c>
    </row>
    <row r="29" customFormat="false" ht="15" hidden="false" customHeight="false" outlineLevel="0" collapsed="false">
      <c r="A29" s="90" t="s">
        <v>689</v>
      </c>
      <c r="B29" s="90" t="s">
        <v>690</v>
      </c>
      <c r="C29" s="91" t="s">
        <v>21</v>
      </c>
      <c r="D29" s="92" t="n">
        <v>7</v>
      </c>
    </row>
    <row r="30" customFormat="false" ht="15" hidden="false" customHeight="false" outlineLevel="0" collapsed="false">
      <c r="A30" s="16"/>
      <c r="B30" s="90" t="s">
        <v>691</v>
      </c>
      <c r="C30" s="91" t="s">
        <v>692</v>
      </c>
      <c r="D30" s="92" t="n">
        <v>1.2</v>
      </c>
      <c r="E30" s="16"/>
    </row>
    <row r="31" customFormat="false" ht="15" hidden="false" customHeight="false" outlineLevel="0" collapsed="false">
      <c r="A31" s="16"/>
      <c r="B31" s="16"/>
      <c r="C31" s="16"/>
      <c r="D31" s="16"/>
      <c r="E31" s="16"/>
    </row>
    <row r="32" customFormat="false" ht="26.25" hidden="false" customHeight="true" outlineLevel="0" collapsed="false">
      <c r="A32" s="96" t="s">
        <v>693</v>
      </c>
      <c r="B32" s="96"/>
      <c r="C32" s="96"/>
      <c r="D32" s="96"/>
      <c r="E32" s="96"/>
    </row>
    <row r="33" customFormat="false" ht="28.5" hidden="false" customHeight="true" outlineLevel="0" collapsed="false">
      <c r="A33" s="21" t="s">
        <v>14</v>
      </c>
      <c r="B33" s="21" t="s">
        <v>15</v>
      </c>
      <c r="C33" s="21" t="s">
        <v>16</v>
      </c>
      <c r="D33" s="21" t="s">
        <v>17</v>
      </c>
      <c r="E33" s="21" t="s">
        <v>18</v>
      </c>
    </row>
    <row r="34" customFormat="false" ht="15" hidden="false" customHeight="false" outlineLevel="0" collapsed="false">
      <c r="A34" s="25" t="s">
        <v>175</v>
      </c>
      <c r="B34" s="32" t="s">
        <v>325</v>
      </c>
      <c r="C34" s="23" t="s">
        <v>21</v>
      </c>
      <c r="D34" s="24" t="n">
        <f aca="false">'Раздел 5'!D20+'Раздел 6'!D22+'Раздел 7'!D20+'Раздел 9'!D26</f>
        <v>8</v>
      </c>
      <c r="E34" s="28" t="s">
        <v>326</v>
      </c>
    </row>
    <row r="35" customFormat="false" ht="15" hidden="false" customHeight="false" outlineLevel="0" collapsed="false">
      <c r="A35" s="25" t="s">
        <v>193</v>
      </c>
      <c r="B35" s="32" t="s">
        <v>325</v>
      </c>
      <c r="C35" s="23" t="s">
        <v>21</v>
      </c>
      <c r="D35" s="24" t="n">
        <f aca="false">'Раздел 9'!D25+'Раздел 17'!D21+'Раздел 18'!D19+'Раздел 19'!D21+'Раздел 20'!D21+'Раздел 21'!D21+'Раздел 22'!D22+'Раздел 23'!D21+'Раздел 24'!D21</f>
        <v>12</v>
      </c>
      <c r="E35" s="28" t="s">
        <v>378</v>
      </c>
    </row>
    <row r="36" customFormat="false" ht="15" hidden="false" customHeight="false" outlineLevel="0" collapsed="false">
      <c r="A36" s="65" t="s">
        <v>223</v>
      </c>
      <c r="B36" s="32" t="s">
        <v>325</v>
      </c>
      <c r="C36" s="23" t="s">
        <v>21</v>
      </c>
      <c r="D36" s="24" t="n">
        <f aca="false">'Раздел 8'!D19</f>
        <v>3</v>
      </c>
      <c r="E36" s="28" t="s">
        <v>360</v>
      </c>
    </row>
    <row r="37" customFormat="false" ht="15" hidden="false" customHeight="false" outlineLevel="0" collapsed="false">
      <c r="A37" s="22" t="s">
        <v>237</v>
      </c>
      <c r="B37" s="23" t="s">
        <v>478</v>
      </c>
      <c r="C37" s="23" t="s">
        <v>21</v>
      </c>
      <c r="D37" s="24" t="n">
        <f aca="false">'Раздел 16'!D14</f>
        <v>14</v>
      </c>
      <c r="E37" s="60" t="s">
        <v>479</v>
      </c>
    </row>
    <row r="38" customFormat="false" ht="15" hidden="false" customHeight="false" outlineLevel="0" collapsed="false">
      <c r="A38" s="25" t="s">
        <v>241</v>
      </c>
      <c r="B38" s="32" t="s">
        <v>493</v>
      </c>
      <c r="C38" s="23" t="s">
        <v>21</v>
      </c>
      <c r="D38" s="24" t="n">
        <f aca="false">'Раздел 17'!D22+'Раздел 18'!D20+'Раздел 19'!D22+'Раздел 20'!D22+'Раздел 21'!D22+'Раздел 22'!D23+'Раздел 23'!D22+'Раздел 24'!D22</f>
        <v>11</v>
      </c>
      <c r="E38" s="28" t="s">
        <v>378</v>
      </c>
    </row>
    <row r="45" customFormat="false" ht="15" hidden="false" customHeight="false" outlineLevel="0" collapsed="false">
      <c r="B45" s="1" t="s">
        <v>694</v>
      </c>
    </row>
  </sheetData>
  <mergeCells count="14">
    <mergeCell ref="A1:E1"/>
    <mergeCell ref="A2:E2"/>
    <mergeCell ref="B4:D4"/>
    <mergeCell ref="E4:F4"/>
    <mergeCell ref="B5:D5"/>
    <mergeCell ref="B7:F7"/>
    <mergeCell ref="B8:D8"/>
    <mergeCell ref="B9:E9"/>
    <mergeCell ref="B10:E10"/>
    <mergeCell ref="B11:E11"/>
    <mergeCell ref="B12:D12"/>
    <mergeCell ref="A15:E15"/>
    <mergeCell ref="A21:E21"/>
    <mergeCell ref="A32:E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5" man="true" max="65535" min="0"/>
  </colBreak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48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W34" activeCellId="0" sqref="W34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29"/>
    <col collapsed="false" customWidth="true" hidden="false" outlineLevel="0" max="2" min="2" style="1" width="22.42"/>
    <col collapsed="false" customWidth="true" hidden="false" outlineLevel="0" max="3" min="3" style="1" width="10.71"/>
    <col collapsed="false" customWidth="true" hidden="false" outlineLevel="0" max="4" min="4" style="1" width="12.86"/>
    <col collapsed="false" customWidth="true" hidden="false" outlineLevel="0" max="5" min="5" style="1" width="11.71"/>
    <col collapsed="false" customWidth="true" hidden="false" outlineLevel="0" max="10" min="9" style="1" width="8"/>
    <col collapsed="false" customWidth="true" hidden="false" outlineLevel="0" max="12" min="12" style="1" width="8.15"/>
    <col collapsed="false" customWidth="true" hidden="false" outlineLevel="0" max="18" min="18" style="1" width="10.71"/>
  </cols>
  <sheetData>
    <row r="1" customFormat="false" ht="57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customFormat="false" ht="15.75" hidden="false" customHeight="false" outlineLevel="0" collapsed="false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customFormat="false" ht="15.75" hidden="false" customHeight="true" outlineLevel="0" collapsed="false">
      <c r="A3" s="98" t="s">
        <v>695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</row>
    <row r="4" customFormat="false" ht="15.75" hidden="false" customHeight="true" outlineLevel="0" collapsed="false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</row>
    <row r="5" customFormat="false" ht="29.25" hidden="false" customHeight="true" outlineLevel="0" collapsed="false">
      <c r="A5" s="100"/>
      <c r="B5" s="101" t="s">
        <v>696</v>
      </c>
      <c r="C5" s="100"/>
      <c r="D5" s="100"/>
      <c r="E5" s="102" t="s">
        <v>697</v>
      </c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0"/>
    </row>
    <row r="6" customFormat="false" ht="15.75" hidden="false" customHeight="false" outlineLevel="0" collapsed="false">
      <c r="A6" s="100"/>
      <c r="B6" s="101"/>
      <c r="C6" s="100"/>
      <c r="D6" s="100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0"/>
    </row>
    <row r="7" customFormat="false" ht="33" hidden="false" customHeight="true" outlineLevel="0" collapsed="false">
      <c r="A7" s="100"/>
      <c r="B7" s="101"/>
      <c r="C7" s="100"/>
      <c r="D7" s="100" t="s">
        <v>698</v>
      </c>
      <c r="E7" s="102" t="s">
        <v>699</v>
      </c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0"/>
    </row>
    <row r="8" customFormat="false" ht="15.75" hidden="false" customHeight="true" outlineLevel="0" collapsed="false">
      <c r="A8" s="100"/>
      <c r="B8" s="101"/>
      <c r="C8" s="100"/>
      <c r="D8" s="100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0"/>
    </row>
    <row r="9" customFormat="false" ht="43.5" hidden="false" customHeight="true" outlineLevel="0" collapsed="false">
      <c r="A9" s="103"/>
      <c r="B9" s="104" t="s">
        <v>700</v>
      </c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</row>
    <row r="10" customFormat="false" ht="15" hidden="false" customHeight="true" outlineLevel="0" collapsed="false">
      <c r="A10" s="103"/>
      <c r="B10" s="105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</row>
    <row r="11" customFormat="false" ht="55.5" hidden="false" customHeight="true" outlineLevel="0" collapsed="false">
      <c r="A11" s="106"/>
      <c r="B11" s="107" t="s">
        <v>701</v>
      </c>
      <c r="C11" s="107"/>
      <c r="D11" s="107"/>
      <c r="E11" s="107"/>
      <c r="F11" s="107"/>
      <c r="G11" s="107"/>
      <c r="H11" s="107"/>
      <c r="I11" s="108" t="s">
        <v>702</v>
      </c>
      <c r="J11" s="109" t="s">
        <v>703</v>
      </c>
      <c r="K11" s="109" t="s">
        <v>704</v>
      </c>
      <c r="L11" s="109" t="s">
        <v>705</v>
      </c>
      <c r="M11" s="109" t="s">
        <v>706</v>
      </c>
      <c r="N11" s="109" t="s">
        <v>703</v>
      </c>
      <c r="O11" s="109" t="s">
        <v>704</v>
      </c>
      <c r="P11" s="109" t="s">
        <v>705</v>
      </c>
      <c r="Q11" s="109" t="s">
        <v>706</v>
      </c>
      <c r="R11" s="108" t="s">
        <v>707</v>
      </c>
      <c r="S11" s="108" t="s">
        <v>708</v>
      </c>
    </row>
    <row r="12" customFormat="false" ht="18" hidden="false" customHeight="true" outlineLevel="0" collapsed="false">
      <c r="A12" s="110" t="n">
        <v>1</v>
      </c>
      <c r="B12" s="111" t="s">
        <v>709</v>
      </c>
      <c r="C12" s="111"/>
      <c r="D12" s="111"/>
      <c r="E12" s="111"/>
      <c r="F12" s="111"/>
      <c r="G12" s="111"/>
      <c r="H12" s="111"/>
      <c r="I12" s="112" t="n">
        <v>1</v>
      </c>
      <c r="J12" s="113" t="n">
        <v>0</v>
      </c>
      <c r="K12" s="113" t="n">
        <v>1</v>
      </c>
      <c r="L12" s="113" t="n">
        <v>0</v>
      </c>
      <c r="M12" s="113" t="n">
        <v>0</v>
      </c>
      <c r="N12" s="114" t="n">
        <f aca="false">I12*J12</f>
        <v>0</v>
      </c>
      <c r="O12" s="110" t="n">
        <f aca="false">I12*K12</f>
        <v>1</v>
      </c>
      <c r="P12" s="110" t="n">
        <f aca="false">I12*L12</f>
        <v>0</v>
      </c>
      <c r="Q12" s="110" t="n">
        <f aca="false">I12*M12</f>
        <v>0</v>
      </c>
      <c r="R12" s="110" t="n">
        <f aca="false">SUM(J12:M12)</f>
        <v>1</v>
      </c>
      <c r="S12" s="110" t="n">
        <f aca="false">R12*I12</f>
        <v>1</v>
      </c>
    </row>
    <row r="13" customFormat="false" ht="18" hidden="false" customHeight="true" outlineLevel="0" collapsed="false">
      <c r="A13" s="110" t="n">
        <v>2</v>
      </c>
      <c r="B13" s="111" t="s">
        <v>710</v>
      </c>
      <c r="C13" s="111"/>
      <c r="D13" s="111"/>
      <c r="E13" s="111"/>
      <c r="F13" s="111"/>
      <c r="G13" s="111"/>
      <c r="H13" s="111"/>
      <c r="I13" s="112" t="n">
        <v>3</v>
      </c>
      <c r="J13" s="113" t="n">
        <v>0</v>
      </c>
      <c r="K13" s="113" t="n">
        <v>2</v>
      </c>
      <c r="L13" s="113" t="n">
        <v>0</v>
      </c>
      <c r="M13" s="113" t="n">
        <v>0</v>
      </c>
      <c r="N13" s="114" t="n">
        <f aca="false">I13*J13</f>
        <v>0</v>
      </c>
      <c r="O13" s="110" t="n">
        <f aca="false">I13*K13</f>
        <v>6</v>
      </c>
      <c r="P13" s="110" t="n">
        <f aca="false">I13*L13</f>
        <v>0</v>
      </c>
      <c r="Q13" s="110" t="n">
        <f aca="false">I13*M13</f>
        <v>0</v>
      </c>
      <c r="R13" s="110" t="n">
        <f aca="false">SUM(J13:M13)</f>
        <v>2</v>
      </c>
      <c r="S13" s="110" t="n">
        <f aca="false">R13*I13</f>
        <v>6</v>
      </c>
    </row>
    <row r="14" customFormat="false" ht="18" hidden="false" customHeight="true" outlineLevel="0" collapsed="false">
      <c r="A14" s="110" t="n">
        <v>3</v>
      </c>
      <c r="B14" s="111" t="s">
        <v>711</v>
      </c>
      <c r="C14" s="111"/>
      <c r="D14" s="111"/>
      <c r="E14" s="111"/>
      <c r="F14" s="111"/>
      <c r="G14" s="111"/>
      <c r="H14" s="111"/>
      <c r="I14" s="112" t="n">
        <v>7</v>
      </c>
      <c r="J14" s="113" t="n">
        <v>0</v>
      </c>
      <c r="K14" s="113" t="n">
        <v>1</v>
      </c>
      <c r="L14" s="113" t="n">
        <v>0</v>
      </c>
      <c r="M14" s="113" t="n">
        <v>0</v>
      </c>
      <c r="N14" s="114" t="n">
        <f aca="false">I14*J14</f>
        <v>0</v>
      </c>
      <c r="O14" s="110" t="n">
        <f aca="false">I14*K14</f>
        <v>7</v>
      </c>
      <c r="P14" s="110" t="n">
        <f aca="false">I14*L14</f>
        <v>0</v>
      </c>
      <c r="Q14" s="110" t="n">
        <f aca="false">I14*M14</f>
        <v>0</v>
      </c>
      <c r="R14" s="110" t="n">
        <f aca="false">SUM(J14:M14)</f>
        <v>1</v>
      </c>
      <c r="S14" s="110" t="n">
        <f aca="false">R14*I14</f>
        <v>7</v>
      </c>
    </row>
    <row r="15" customFormat="false" ht="18" hidden="false" customHeight="true" outlineLevel="0" collapsed="false">
      <c r="A15" s="110" t="n">
        <v>4</v>
      </c>
      <c r="B15" s="111" t="s">
        <v>712</v>
      </c>
      <c r="C15" s="111"/>
      <c r="D15" s="111"/>
      <c r="E15" s="111"/>
      <c r="F15" s="111"/>
      <c r="G15" s="111"/>
      <c r="H15" s="111"/>
      <c r="I15" s="112" t="n">
        <v>1</v>
      </c>
      <c r="J15" s="113" t="n">
        <v>0</v>
      </c>
      <c r="K15" s="113" t="n">
        <v>1</v>
      </c>
      <c r="L15" s="113" t="n">
        <v>0</v>
      </c>
      <c r="M15" s="113" t="n">
        <v>0</v>
      </c>
      <c r="N15" s="114" t="n">
        <f aca="false">I15*J15</f>
        <v>0</v>
      </c>
      <c r="O15" s="110" t="n">
        <f aca="false">I15*K15</f>
        <v>1</v>
      </c>
      <c r="P15" s="110" t="n">
        <f aca="false">I15*L15</f>
        <v>0</v>
      </c>
      <c r="Q15" s="110" t="n">
        <f aca="false">I15*M15</f>
        <v>0</v>
      </c>
      <c r="R15" s="110" t="n">
        <f aca="false">SUM(J15:M15)</f>
        <v>1</v>
      </c>
      <c r="S15" s="110" t="n">
        <f aca="false">R15*I15</f>
        <v>1</v>
      </c>
    </row>
    <row r="16" customFormat="false" ht="16.5" hidden="false" customHeight="true" outlineLevel="0" collapsed="false">
      <c r="A16" s="115"/>
      <c r="B16" s="116"/>
      <c r="C16" s="117"/>
      <c r="D16" s="117"/>
      <c r="E16" s="117"/>
      <c r="F16" s="117"/>
      <c r="G16" s="117"/>
      <c r="H16" s="118"/>
      <c r="I16" s="119"/>
      <c r="J16" s="120"/>
      <c r="K16" s="120"/>
      <c r="L16" s="120"/>
      <c r="M16" s="120"/>
      <c r="N16" s="121"/>
      <c r="O16" s="121"/>
      <c r="P16" s="121"/>
      <c r="Q16" s="121"/>
      <c r="R16" s="121"/>
      <c r="S16" s="121"/>
    </row>
    <row r="17" customFormat="false" ht="15" hidden="false" customHeight="false" outlineLevel="0" collapsed="false">
      <c r="A17" s="106"/>
      <c r="B17" s="122" t="s">
        <v>713</v>
      </c>
      <c r="C17" s="123"/>
      <c r="D17" s="123"/>
      <c r="E17" s="123"/>
      <c r="F17" s="123"/>
      <c r="G17" s="123"/>
      <c r="H17" s="123"/>
      <c r="I17" s="106"/>
      <c r="J17" s="106"/>
      <c r="K17" s="106"/>
      <c r="L17" s="124"/>
      <c r="M17" s="124"/>
      <c r="N17" s="125" t="n">
        <f aca="false">SUM(N12:N14)</f>
        <v>0</v>
      </c>
      <c r="O17" s="103"/>
      <c r="P17" s="103"/>
      <c r="Q17" s="103"/>
      <c r="R17" s="103"/>
      <c r="S17" s="103"/>
    </row>
    <row r="18" customFormat="false" ht="15" hidden="false" customHeight="false" outlineLevel="0" collapsed="false">
      <c r="A18" s="106"/>
      <c r="B18" s="122" t="s">
        <v>714</v>
      </c>
      <c r="C18" s="123"/>
      <c r="D18" s="123"/>
      <c r="E18" s="123"/>
      <c r="F18" s="123"/>
      <c r="G18" s="123"/>
      <c r="H18" s="123"/>
      <c r="I18" s="106"/>
      <c r="J18" s="106"/>
      <c r="K18" s="106"/>
      <c r="L18" s="124"/>
      <c r="M18" s="124"/>
      <c r="N18" s="125" t="n">
        <f aca="false">SUM(O12:O15)</f>
        <v>15</v>
      </c>
      <c r="O18" s="103"/>
      <c r="P18" s="103"/>
      <c r="Q18" s="103"/>
      <c r="R18" s="103"/>
      <c r="S18" s="103"/>
    </row>
    <row r="19" customFormat="false" ht="15" hidden="false" customHeight="false" outlineLevel="0" collapsed="false">
      <c r="A19" s="106"/>
      <c r="B19" s="126" t="s">
        <v>715</v>
      </c>
      <c r="C19" s="127"/>
      <c r="D19" s="127"/>
      <c r="E19" s="127"/>
      <c r="F19" s="127"/>
      <c r="G19" s="127"/>
      <c r="H19" s="127"/>
      <c r="I19" s="128"/>
      <c r="J19" s="106"/>
      <c r="K19" s="106"/>
      <c r="L19" s="124"/>
      <c r="M19" s="124"/>
      <c r="N19" s="125" t="n">
        <f aca="false">SUM(P12:P14)</f>
        <v>0</v>
      </c>
      <c r="O19" s="103"/>
      <c r="P19" s="103"/>
      <c r="Q19" s="103"/>
      <c r="R19" s="103"/>
      <c r="S19" s="103"/>
    </row>
    <row r="20" customFormat="false" ht="15" hidden="false" customHeight="false" outlineLevel="0" collapsed="false">
      <c r="A20" s="106"/>
      <c r="B20" s="126" t="s">
        <v>716</v>
      </c>
      <c r="C20" s="127"/>
      <c r="D20" s="127"/>
      <c r="E20" s="127"/>
      <c r="F20" s="127"/>
      <c r="G20" s="127"/>
      <c r="H20" s="127"/>
      <c r="I20" s="128"/>
      <c r="J20" s="106"/>
      <c r="K20" s="106"/>
      <c r="L20" s="124"/>
      <c r="M20" s="124"/>
      <c r="N20" s="103" t="n">
        <f aca="false">SUM(Q12:Q14)</f>
        <v>0</v>
      </c>
      <c r="O20" s="103"/>
      <c r="P20" s="103"/>
      <c r="Q20" s="103"/>
      <c r="R20" s="103"/>
      <c r="S20" s="103"/>
    </row>
    <row r="21" customFormat="false" ht="15.75" hidden="false" customHeight="false" outlineLevel="0" collapsed="false">
      <c r="A21" s="129"/>
      <c r="B21" s="130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</row>
    <row r="22" customFormat="false" ht="15" hidden="false" customHeight="false" outlineLevel="0" collapsed="false">
      <c r="A22" s="131"/>
      <c r="B22" s="132" t="s">
        <v>717</v>
      </c>
      <c r="C22" s="131"/>
      <c r="D22" s="131"/>
      <c r="E22" s="131"/>
      <c r="F22" s="131"/>
      <c r="G22" s="131"/>
      <c r="H22" s="131"/>
      <c r="I22" s="131"/>
      <c r="J22" s="131"/>
      <c r="K22" s="133"/>
      <c r="L22" s="133"/>
      <c r="M22" s="133"/>
      <c r="N22" s="133"/>
      <c r="O22" s="133"/>
      <c r="P22" s="133"/>
      <c r="Q22" s="133"/>
      <c r="R22" s="133"/>
      <c r="S22" s="131"/>
    </row>
    <row r="23" customFormat="false" ht="14.25" hidden="false" customHeight="true" outlineLevel="0" collapsed="false">
      <c r="A23" s="134" t="s">
        <v>718</v>
      </c>
      <c r="B23" s="135" t="s">
        <v>719</v>
      </c>
      <c r="C23" s="136" t="s">
        <v>720</v>
      </c>
      <c r="D23" s="136"/>
      <c r="E23" s="136"/>
      <c r="F23" s="136"/>
      <c r="G23" s="136"/>
      <c r="H23" s="136"/>
      <c r="I23" s="136"/>
      <c r="J23" s="136"/>
      <c r="K23" s="136"/>
      <c r="L23" s="137" t="s">
        <v>721</v>
      </c>
      <c r="M23" s="137"/>
      <c r="N23" s="137"/>
      <c r="O23" s="137"/>
      <c r="P23" s="137"/>
      <c r="Q23" s="137"/>
      <c r="R23" s="138" t="s">
        <v>722</v>
      </c>
      <c r="S23" s="135" t="s">
        <v>723</v>
      </c>
    </row>
    <row r="24" customFormat="false" ht="14.25" hidden="false" customHeight="true" outlineLevel="0" collapsed="false">
      <c r="A24" s="134"/>
      <c r="B24" s="135"/>
      <c r="C24" s="139" t="s">
        <v>724</v>
      </c>
      <c r="D24" s="139"/>
      <c r="E24" s="139"/>
      <c r="F24" s="139"/>
      <c r="G24" s="140" t="s">
        <v>725</v>
      </c>
      <c r="H24" s="141" t="s">
        <v>722</v>
      </c>
      <c r="I24" s="142" t="s">
        <v>726</v>
      </c>
      <c r="J24" s="142"/>
      <c r="K24" s="142"/>
      <c r="L24" s="143" t="s">
        <v>727</v>
      </c>
      <c r="M24" s="140" t="s">
        <v>728</v>
      </c>
      <c r="N24" s="141" t="s">
        <v>722</v>
      </c>
      <c r="O24" s="142" t="s">
        <v>729</v>
      </c>
      <c r="P24" s="142"/>
      <c r="Q24" s="142"/>
      <c r="R24" s="138"/>
      <c r="S24" s="135"/>
    </row>
    <row r="25" customFormat="false" ht="20.25" hidden="false" customHeight="true" outlineLevel="0" collapsed="false">
      <c r="A25" s="134"/>
      <c r="B25" s="135"/>
      <c r="C25" s="144" t="s">
        <v>730</v>
      </c>
      <c r="D25" s="140" t="s">
        <v>731</v>
      </c>
      <c r="E25" s="140"/>
      <c r="F25" s="140"/>
      <c r="G25" s="140"/>
      <c r="H25" s="141"/>
      <c r="I25" s="142"/>
      <c r="J25" s="142"/>
      <c r="K25" s="142"/>
      <c r="L25" s="143"/>
      <c r="M25" s="140"/>
      <c r="N25" s="141"/>
      <c r="O25" s="142"/>
      <c r="P25" s="142"/>
      <c r="Q25" s="142"/>
      <c r="R25" s="138"/>
      <c r="S25" s="135"/>
    </row>
    <row r="26" customFormat="false" ht="15" hidden="false" customHeight="false" outlineLevel="0" collapsed="false">
      <c r="A26" s="134"/>
      <c r="B26" s="135"/>
      <c r="C26" s="144"/>
      <c r="D26" s="145" t="s">
        <v>732</v>
      </c>
      <c r="E26" s="145" t="s">
        <v>733</v>
      </c>
      <c r="F26" s="145" t="s">
        <v>734</v>
      </c>
      <c r="G26" s="145" t="s">
        <v>735</v>
      </c>
      <c r="H26" s="145" t="s">
        <v>736</v>
      </c>
      <c r="I26" s="145" t="s">
        <v>737</v>
      </c>
      <c r="J26" s="145" t="s">
        <v>738</v>
      </c>
      <c r="K26" s="146" t="s">
        <v>739</v>
      </c>
      <c r="L26" s="147" t="s">
        <v>740</v>
      </c>
      <c r="M26" s="145" t="s">
        <v>741</v>
      </c>
      <c r="N26" s="145" t="s">
        <v>742</v>
      </c>
      <c r="O26" s="145" t="s">
        <v>743</v>
      </c>
      <c r="P26" s="145" t="s">
        <v>744</v>
      </c>
      <c r="Q26" s="146" t="s">
        <v>745</v>
      </c>
      <c r="R26" s="148" t="s">
        <v>746</v>
      </c>
      <c r="S26" s="135"/>
    </row>
    <row r="27" customFormat="false" ht="15" hidden="false" customHeight="false" outlineLevel="0" collapsed="false">
      <c r="A27" s="149" t="n">
        <v>1</v>
      </c>
      <c r="B27" s="150" t="n">
        <v>2</v>
      </c>
      <c r="C27" s="151" t="n">
        <v>3</v>
      </c>
      <c r="D27" s="152" t="n">
        <v>4</v>
      </c>
      <c r="E27" s="152" t="n">
        <v>5</v>
      </c>
      <c r="F27" s="152" t="n">
        <v>6</v>
      </c>
      <c r="G27" s="152" t="n">
        <v>7</v>
      </c>
      <c r="H27" s="152" t="n">
        <v>8</v>
      </c>
      <c r="I27" s="152" t="n">
        <v>9</v>
      </c>
      <c r="J27" s="152" t="n">
        <v>10</v>
      </c>
      <c r="K27" s="150" t="n">
        <v>11</v>
      </c>
      <c r="L27" s="153" t="n">
        <v>12</v>
      </c>
      <c r="M27" s="152" t="n">
        <v>13</v>
      </c>
      <c r="N27" s="152" t="n">
        <v>14</v>
      </c>
      <c r="O27" s="152" t="n">
        <v>15</v>
      </c>
      <c r="P27" s="152" t="n">
        <v>16</v>
      </c>
      <c r="Q27" s="150" t="n">
        <v>17</v>
      </c>
      <c r="R27" s="153" t="n">
        <v>18</v>
      </c>
      <c r="S27" s="150" t="n">
        <v>19</v>
      </c>
    </row>
    <row r="28" customFormat="false" ht="15" hidden="false" customHeight="false" outlineLevel="0" collapsed="false">
      <c r="A28" s="154"/>
      <c r="B28" s="155" t="s">
        <v>747</v>
      </c>
      <c r="C28" s="156"/>
      <c r="D28" s="157"/>
      <c r="E28" s="157"/>
      <c r="F28" s="157"/>
      <c r="G28" s="157"/>
      <c r="H28" s="157"/>
      <c r="I28" s="157"/>
      <c r="J28" s="157"/>
      <c r="K28" s="158"/>
      <c r="L28" s="159"/>
      <c r="M28" s="157"/>
      <c r="N28" s="157"/>
      <c r="O28" s="157"/>
      <c r="P28" s="157"/>
      <c r="Q28" s="158"/>
      <c r="R28" s="159"/>
      <c r="S28" s="160"/>
    </row>
    <row r="29" customFormat="false" ht="35.25" hidden="false" customHeight="true" outlineLevel="0" collapsed="false">
      <c r="A29" s="161" t="s">
        <v>19</v>
      </c>
      <c r="B29" s="162" t="str">
        <f aca="false">E5</f>
        <v>Информационная система измерения уровней воды (ИСИ УВ)</v>
      </c>
      <c r="C29" s="163" t="n">
        <f aca="false">N18</f>
        <v>15</v>
      </c>
      <c r="D29" s="164" t="n">
        <v>0</v>
      </c>
      <c r="E29" s="164" t="n">
        <v>9</v>
      </c>
      <c r="F29" s="164" t="n">
        <f aca="false">S12+S13</f>
        <v>7</v>
      </c>
      <c r="G29" s="164" t="n">
        <f aca="false">N17</f>
        <v>0</v>
      </c>
      <c r="H29" s="164" t="n">
        <f aca="false">SUM(C29,G29)</f>
        <v>15</v>
      </c>
      <c r="I29" s="164" t="n">
        <v>0</v>
      </c>
      <c r="J29" s="164" t="n">
        <v>0</v>
      </c>
      <c r="K29" s="165" t="n">
        <f aca="false">H29</f>
        <v>15</v>
      </c>
      <c r="L29" s="166" t="n">
        <f aca="false">N20</f>
        <v>0</v>
      </c>
      <c r="M29" s="164" t="n">
        <f aca="false">N19</f>
        <v>0</v>
      </c>
      <c r="N29" s="164" t="n">
        <f aca="false">SUM(L29:M29)</f>
        <v>0</v>
      </c>
      <c r="O29" s="164" t="n">
        <v>0</v>
      </c>
      <c r="P29" s="164" t="n">
        <f aca="false">N29</f>
        <v>0</v>
      </c>
      <c r="Q29" s="165" t="n">
        <v>0</v>
      </c>
      <c r="R29" s="166" t="n">
        <f aca="false">SUM(H29,N29)</f>
        <v>15</v>
      </c>
      <c r="S29" s="165"/>
    </row>
    <row r="30" customFormat="false" ht="15" hidden="false" customHeight="false" outlineLevel="0" collapsed="false">
      <c r="A30" s="167"/>
      <c r="B30" s="168"/>
      <c r="C30" s="169"/>
      <c r="D30" s="170"/>
      <c r="E30" s="170"/>
      <c r="F30" s="170"/>
      <c r="G30" s="170"/>
      <c r="H30" s="170"/>
      <c r="I30" s="170"/>
      <c r="J30" s="170"/>
      <c r="K30" s="171"/>
      <c r="L30" s="172"/>
      <c r="M30" s="170"/>
      <c r="N30" s="170"/>
      <c r="O30" s="170"/>
      <c r="P30" s="170"/>
      <c r="Q30" s="171"/>
      <c r="R30" s="172"/>
      <c r="S30" s="171"/>
    </row>
    <row r="31" customFormat="false" ht="15" hidden="false" customHeight="false" outlineLevel="0" collapsed="false">
      <c r="A31" s="173"/>
      <c r="B31" s="174" t="s">
        <v>748</v>
      </c>
      <c r="C31" s="175" t="n">
        <f aca="false">SUM(C29)</f>
        <v>15</v>
      </c>
      <c r="D31" s="175" t="n">
        <f aca="false">SUM(D29)</f>
        <v>0</v>
      </c>
      <c r="E31" s="175" t="n">
        <f aca="false">SUM(E29)</f>
        <v>9</v>
      </c>
      <c r="F31" s="175" t="n">
        <f aca="false">SUM(F29)</f>
        <v>7</v>
      </c>
      <c r="G31" s="176" t="n">
        <f aca="false">SUM(G29)</f>
        <v>0</v>
      </c>
      <c r="H31" s="176" t="n">
        <f aca="false">SUM(H29)</f>
        <v>15</v>
      </c>
      <c r="I31" s="175" t="n">
        <f aca="false">SUM(I29)</f>
        <v>0</v>
      </c>
      <c r="J31" s="175" t="n">
        <f aca="false">SUM(J29)</f>
        <v>0</v>
      </c>
      <c r="K31" s="175" t="n">
        <f aca="false">SUM(K29)</f>
        <v>15</v>
      </c>
      <c r="L31" s="177" t="n">
        <f aca="false">SUM(L29)</f>
        <v>0</v>
      </c>
      <c r="M31" s="176" t="n">
        <f aca="false">SUM(M29)</f>
        <v>0</v>
      </c>
      <c r="N31" s="176" t="n">
        <f aca="false">SUM(N29)</f>
        <v>0</v>
      </c>
      <c r="O31" s="175" t="n">
        <f aca="false">SUM(O29)</f>
        <v>0</v>
      </c>
      <c r="P31" s="175" t="n">
        <f aca="false">SUM(P29)</f>
        <v>0</v>
      </c>
      <c r="Q31" s="175" t="n">
        <f aca="false">SUM(Q29)</f>
        <v>0</v>
      </c>
      <c r="R31" s="177" t="n">
        <f aca="false">SUM(R29)</f>
        <v>15</v>
      </c>
      <c r="S31" s="178"/>
    </row>
    <row r="32" customFormat="false" ht="15" hidden="false" customHeight="false" outlineLevel="0" collapsed="false">
      <c r="A32" s="179"/>
      <c r="B32" s="180"/>
      <c r="C32" s="181"/>
      <c r="D32" s="180"/>
      <c r="E32" s="180"/>
      <c r="F32" s="180"/>
      <c r="G32" s="180"/>
      <c r="H32" s="180"/>
      <c r="I32" s="180"/>
      <c r="J32" s="180"/>
      <c r="K32" s="182"/>
      <c r="L32" s="180"/>
      <c r="M32" s="180"/>
      <c r="N32" s="180"/>
      <c r="O32" s="180"/>
      <c r="P32" s="180"/>
      <c r="Q32" s="180"/>
      <c r="R32" s="180"/>
      <c r="S32" s="180"/>
    </row>
    <row r="33" customFormat="false" ht="15" hidden="false" customHeight="false" outlineLevel="0" collapsed="false">
      <c r="A33" s="179"/>
      <c r="B33" s="132" t="s">
        <v>749</v>
      </c>
      <c r="C33" s="181"/>
      <c r="D33" s="180"/>
      <c r="E33" s="180"/>
      <c r="F33" s="180"/>
      <c r="G33" s="180"/>
      <c r="H33" s="180"/>
      <c r="I33" s="180"/>
      <c r="J33" s="180"/>
      <c r="K33" s="182"/>
      <c r="L33" s="180"/>
      <c r="M33" s="180"/>
      <c r="N33" s="180"/>
      <c r="O33" s="180"/>
      <c r="P33" s="180"/>
      <c r="Q33" s="180"/>
      <c r="R33" s="180"/>
      <c r="S33" s="180"/>
    </row>
    <row r="34" customFormat="false" ht="48.75" hidden="false" customHeight="true" outlineLevel="0" collapsed="false">
      <c r="A34" s="183" t="s">
        <v>718</v>
      </c>
      <c r="B34" s="184" t="s">
        <v>750</v>
      </c>
      <c r="C34" s="184"/>
      <c r="D34" s="184"/>
      <c r="E34" s="184"/>
      <c r="F34" s="184"/>
      <c r="G34" s="184"/>
      <c r="H34" s="184"/>
      <c r="I34" s="184"/>
      <c r="J34" s="184"/>
      <c r="K34" s="184"/>
      <c r="L34" s="185" t="s">
        <v>751</v>
      </c>
      <c r="M34" s="185"/>
      <c r="N34" s="186" t="s">
        <v>752</v>
      </c>
      <c r="O34" s="186"/>
      <c r="P34" s="186"/>
      <c r="Q34" s="186"/>
      <c r="R34" s="187" t="s">
        <v>753</v>
      </c>
      <c r="S34" s="187"/>
    </row>
    <row r="35" customFormat="false" ht="28.5" hidden="false" customHeight="true" outlineLevel="0" collapsed="false">
      <c r="A35" s="188" t="n">
        <v>1</v>
      </c>
      <c r="B35" s="189" t="s">
        <v>754</v>
      </c>
      <c r="C35" s="189"/>
      <c r="D35" s="189"/>
      <c r="E35" s="189"/>
      <c r="F35" s="189"/>
      <c r="G35" s="189"/>
      <c r="H35" s="189"/>
      <c r="I35" s="189"/>
      <c r="J35" s="189"/>
      <c r="K35" s="189"/>
      <c r="L35" s="190" t="s">
        <v>755</v>
      </c>
      <c r="M35" s="190"/>
      <c r="N35" s="191"/>
      <c r="O35" s="191"/>
      <c r="P35" s="191"/>
      <c r="Q35" s="191"/>
      <c r="R35" s="192"/>
      <c r="S35" s="192"/>
    </row>
    <row r="36" customFormat="false" ht="28.5" hidden="false" customHeight="true" outlineLevel="0" collapsed="false">
      <c r="A36" s="193" t="n">
        <v>2</v>
      </c>
      <c r="B36" s="194" t="s">
        <v>756</v>
      </c>
      <c r="C36" s="194"/>
      <c r="D36" s="194"/>
      <c r="E36" s="194"/>
      <c r="F36" s="194"/>
      <c r="G36" s="194"/>
      <c r="H36" s="194"/>
      <c r="I36" s="194"/>
      <c r="J36" s="194"/>
      <c r="K36" s="194"/>
      <c r="L36" s="140" t="s">
        <v>757</v>
      </c>
      <c r="M36" s="140"/>
      <c r="N36" s="195"/>
      <c r="O36" s="195"/>
      <c r="P36" s="195"/>
      <c r="Q36" s="195"/>
      <c r="R36" s="196"/>
      <c r="S36" s="196"/>
    </row>
    <row r="37" customFormat="false" ht="28.5" hidden="false" customHeight="true" outlineLevel="0" collapsed="false">
      <c r="A37" s="197" t="n">
        <v>3</v>
      </c>
      <c r="B37" s="198" t="s">
        <v>758</v>
      </c>
      <c r="C37" s="198"/>
      <c r="D37" s="198"/>
      <c r="E37" s="198"/>
      <c r="F37" s="198"/>
      <c r="G37" s="198"/>
      <c r="H37" s="198"/>
      <c r="I37" s="198"/>
      <c r="J37" s="198"/>
      <c r="K37" s="198"/>
      <c r="L37" s="199" t="s">
        <v>759</v>
      </c>
      <c r="M37" s="199"/>
      <c r="N37" s="200" t="n">
        <v>15</v>
      </c>
      <c r="O37" s="200"/>
      <c r="P37" s="200"/>
      <c r="Q37" s="200"/>
      <c r="R37" s="201"/>
      <c r="S37" s="201"/>
    </row>
    <row r="38" customFormat="false" ht="28.5" hidden="false" customHeight="true" outlineLevel="0" collapsed="false">
      <c r="A38" s="202"/>
      <c r="B38" s="203"/>
      <c r="C38" s="204"/>
      <c r="D38" s="204"/>
      <c r="E38" s="204"/>
      <c r="F38" s="204"/>
      <c r="G38" s="204"/>
      <c r="H38" s="204"/>
      <c r="I38" s="204"/>
      <c r="J38" s="204"/>
      <c r="K38" s="204"/>
      <c r="L38" s="205"/>
      <c r="M38" s="205"/>
      <c r="N38" s="206"/>
      <c r="O38" s="207"/>
      <c r="P38" s="207"/>
      <c r="Q38" s="207"/>
      <c r="R38" s="208"/>
      <c r="S38" s="208"/>
    </row>
    <row r="39" customFormat="false" ht="28.5" hidden="false" customHeight="true" outlineLevel="0" collapsed="false">
      <c r="A39" s="209" t="n">
        <v>1</v>
      </c>
      <c r="B39" s="210" t="s">
        <v>760</v>
      </c>
      <c r="C39" s="211" t="s">
        <v>761</v>
      </c>
      <c r="D39" s="212"/>
      <c r="E39" s="212"/>
      <c r="F39" s="212"/>
      <c r="G39" s="212"/>
      <c r="H39" s="212"/>
      <c r="I39" s="213"/>
      <c r="J39" s="213"/>
      <c r="K39" s="214" t="n">
        <f aca="false">(1+0.14*E29/C29)*(1+0.51*F29/C29)</f>
        <v>1.341992</v>
      </c>
      <c r="L39" s="213"/>
      <c r="M39" s="213"/>
      <c r="N39" s="213"/>
      <c r="O39" s="215"/>
      <c r="P39" s="215"/>
      <c r="Q39" s="215"/>
      <c r="R39" s="215"/>
      <c r="S39" s="216"/>
    </row>
    <row r="40" customFormat="false" ht="28.5" hidden="false" customHeight="true" outlineLevel="0" collapsed="false">
      <c r="A40" s="217" t="n">
        <v>2</v>
      </c>
      <c r="B40" s="218" t="s">
        <v>762</v>
      </c>
      <c r="C40" s="219" t="s">
        <v>763</v>
      </c>
      <c r="D40" s="220"/>
      <c r="E40" s="220"/>
      <c r="F40" s="220"/>
      <c r="G40" s="220"/>
      <c r="H40" s="220"/>
      <c r="I40" s="221"/>
      <c r="J40" s="221"/>
      <c r="K40" s="222" t="n">
        <v>1.51</v>
      </c>
      <c r="L40" s="221"/>
      <c r="M40" s="221"/>
      <c r="N40" s="221"/>
      <c r="O40" s="181"/>
      <c r="P40" s="181"/>
      <c r="Q40" s="181"/>
      <c r="R40" s="181"/>
      <c r="S40" s="223"/>
    </row>
    <row r="41" customFormat="false" ht="28.5" hidden="false" customHeight="true" outlineLevel="0" collapsed="false">
      <c r="A41" s="217" t="n">
        <v>3</v>
      </c>
      <c r="B41" s="218" t="s">
        <v>764</v>
      </c>
      <c r="C41" s="219" t="s">
        <v>765</v>
      </c>
      <c r="D41" s="220"/>
      <c r="E41" s="220"/>
      <c r="F41" s="220"/>
      <c r="G41" s="220"/>
      <c r="H41" s="220"/>
      <c r="I41" s="221"/>
      <c r="J41" s="221"/>
      <c r="K41" s="222" t="n">
        <v>1</v>
      </c>
      <c r="L41" s="221"/>
      <c r="M41" s="221"/>
      <c r="N41" s="221"/>
      <c r="O41" s="181"/>
      <c r="P41" s="181"/>
      <c r="Q41" s="181"/>
      <c r="R41" s="181"/>
      <c r="S41" s="223"/>
    </row>
    <row r="42" customFormat="false" ht="28.5" hidden="false" customHeight="true" outlineLevel="0" collapsed="false">
      <c r="A42" s="217" t="n">
        <v>4</v>
      </c>
      <c r="B42" s="218" t="s">
        <v>766</v>
      </c>
      <c r="C42" s="219" t="s">
        <v>767</v>
      </c>
      <c r="D42" s="219"/>
      <c r="E42" s="219"/>
      <c r="F42" s="219"/>
      <c r="G42" s="219"/>
      <c r="H42" s="219"/>
      <c r="I42" s="221"/>
      <c r="J42" s="221"/>
      <c r="K42" s="224" t="n">
        <f aca="false">0.5+C29/H29*K39*K40</f>
        <v>2.52640792</v>
      </c>
      <c r="L42" s="221"/>
      <c r="M42" s="221"/>
      <c r="N42" s="221"/>
      <c r="O42" s="181"/>
      <c r="P42" s="181"/>
      <c r="Q42" s="181"/>
      <c r="R42" s="181"/>
      <c r="S42" s="223"/>
    </row>
    <row r="43" customFormat="false" ht="28.5" hidden="false" customHeight="true" outlineLevel="0" collapsed="false">
      <c r="A43" s="217" t="n">
        <v>5</v>
      </c>
      <c r="B43" s="225" t="s">
        <v>768</v>
      </c>
      <c r="C43" s="219" t="s">
        <v>769</v>
      </c>
      <c r="D43" s="219"/>
      <c r="E43" s="219"/>
      <c r="F43" s="219"/>
      <c r="G43" s="219"/>
      <c r="H43" s="219"/>
      <c r="I43" s="221"/>
      <c r="J43" s="221"/>
      <c r="K43" s="224" t="n">
        <f aca="false">1+(1.31*L29+0.95*M29)/R29*K41</f>
        <v>1</v>
      </c>
      <c r="L43" s="221"/>
      <c r="M43" s="221"/>
      <c r="N43" s="221"/>
      <c r="O43" s="181"/>
      <c r="P43" s="181"/>
      <c r="Q43" s="181"/>
      <c r="R43" s="181"/>
      <c r="S43" s="223"/>
    </row>
    <row r="44" customFormat="false" ht="28.5" hidden="false" customHeight="true" outlineLevel="0" collapsed="false">
      <c r="A44" s="226" t="n">
        <v>6</v>
      </c>
      <c r="B44" s="227" t="s">
        <v>770</v>
      </c>
      <c r="C44" s="228" t="s">
        <v>771</v>
      </c>
      <c r="D44" s="228"/>
      <c r="E44" s="228"/>
      <c r="F44" s="228"/>
      <c r="G44" s="228"/>
      <c r="H44" s="228"/>
      <c r="I44" s="229"/>
      <c r="J44" s="229"/>
      <c r="K44" s="230" t="n">
        <f aca="false">1.566*(K42*K43)</f>
        <v>3.95635480272</v>
      </c>
      <c r="L44" s="231"/>
      <c r="M44" s="231"/>
      <c r="N44" s="231"/>
      <c r="O44" s="231"/>
      <c r="P44" s="231"/>
      <c r="Q44" s="231"/>
      <c r="R44" s="231"/>
      <c r="S44" s="232"/>
    </row>
    <row r="45" customFormat="false" ht="15" hidden="false" customHeight="false" outlineLevel="0" collapsed="false">
      <c r="A45" s="233"/>
      <c r="B45" s="233"/>
      <c r="C45" s="233"/>
      <c r="D45" s="233"/>
      <c r="E45" s="233"/>
      <c r="F45" s="233"/>
      <c r="G45" s="233"/>
      <c r="H45" s="233"/>
      <c r="I45" s="233"/>
      <c r="J45" s="233"/>
      <c r="K45" s="233"/>
      <c r="L45" s="233"/>
      <c r="M45" s="233"/>
      <c r="N45" s="233"/>
      <c r="O45" s="233"/>
      <c r="P45" s="233"/>
      <c r="Q45" s="233"/>
      <c r="R45" s="233"/>
      <c r="S45" s="233"/>
    </row>
    <row r="46" customFormat="false" ht="15" hidden="false" customHeight="false" outlineLevel="0" collapsed="false">
      <c r="A46" s="233"/>
      <c r="B46" s="233"/>
      <c r="C46" s="233"/>
      <c r="D46" s="233"/>
      <c r="E46" s="233"/>
      <c r="F46" s="233"/>
      <c r="G46" s="233"/>
      <c r="H46" s="233"/>
      <c r="I46" s="233"/>
      <c r="J46" s="233"/>
      <c r="K46" s="233"/>
      <c r="L46" s="233"/>
      <c r="M46" s="233"/>
      <c r="N46" s="233"/>
      <c r="O46" s="233"/>
      <c r="P46" s="233"/>
      <c r="Q46" s="233"/>
      <c r="R46" s="233"/>
      <c r="S46" s="233"/>
    </row>
    <row r="47" customFormat="false" ht="15" hidden="false" customHeight="false" outlineLevel="0" collapsed="false">
      <c r="A47" s="233"/>
      <c r="B47" s="233" t="s">
        <v>772</v>
      </c>
      <c r="C47" s="233" t="s">
        <v>773</v>
      </c>
      <c r="D47" s="233"/>
      <c r="E47" s="233"/>
      <c r="F47" s="233"/>
      <c r="G47" s="233"/>
      <c r="H47" s="233"/>
      <c r="I47" s="233"/>
      <c r="J47" s="233"/>
      <c r="K47" s="233"/>
      <c r="L47" s="233"/>
      <c r="M47" s="234"/>
      <c r="N47" s="234"/>
      <c r="O47" s="234"/>
      <c r="P47" s="235" t="s">
        <v>774</v>
      </c>
      <c r="Q47" s="235"/>
      <c r="R47" s="233"/>
      <c r="S47" s="233"/>
    </row>
    <row r="48" customFormat="false" ht="15" hidden="false" customHeight="false" outlineLevel="0" collapsed="false">
      <c r="A48" s="233"/>
      <c r="B48" s="233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33"/>
      <c r="O48" s="233"/>
      <c r="P48" s="233"/>
      <c r="Q48" s="233"/>
      <c r="R48" s="233"/>
      <c r="S48" s="233"/>
    </row>
  </sheetData>
  <mergeCells count="48">
    <mergeCell ref="A1:S1"/>
    <mergeCell ref="A3:S3"/>
    <mergeCell ref="E5:R5"/>
    <mergeCell ref="E6:R6"/>
    <mergeCell ref="E7:H7"/>
    <mergeCell ref="B9:S9"/>
    <mergeCell ref="B11:H11"/>
    <mergeCell ref="B12:H12"/>
    <mergeCell ref="B13:H13"/>
    <mergeCell ref="B14:H14"/>
    <mergeCell ref="B15:H15"/>
    <mergeCell ref="K22:R22"/>
    <mergeCell ref="A23:A26"/>
    <mergeCell ref="B23:B26"/>
    <mergeCell ref="C23:K23"/>
    <mergeCell ref="L23:Q23"/>
    <mergeCell ref="R23:R25"/>
    <mergeCell ref="S23:S26"/>
    <mergeCell ref="C24:F24"/>
    <mergeCell ref="G24:G25"/>
    <mergeCell ref="H24:H25"/>
    <mergeCell ref="I24:K25"/>
    <mergeCell ref="L24:L25"/>
    <mergeCell ref="M24:M25"/>
    <mergeCell ref="N24:N25"/>
    <mergeCell ref="O24:Q25"/>
    <mergeCell ref="C25:C26"/>
    <mergeCell ref="D25:F25"/>
    <mergeCell ref="B34:K34"/>
    <mergeCell ref="L34:M34"/>
    <mergeCell ref="N34:Q34"/>
    <mergeCell ref="R34:S34"/>
    <mergeCell ref="B35:K35"/>
    <mergeCell ref="L35:M35"/>
    <mergeCell ref="N35:Q35"/>
    <mergeCell ref="R35:S35"/>
    <mergeCell ref="B36:K36"/>
    <mergeCell ref="L36:M36"/>
    <mergeCell ref="N36:Q36"/>
    <mergeCell ref="R36:S36"/>
    <mergeCell ref="B37:K37"/>
    <mergeCell ref="L37:M37"/>
    <mergeCell ref="N37:Q37"/>
    <mergeCell ref="R37:S37"/>
    <mergeCell ref="C42:H42"/>
    <mergeCell ref="C43:H43"/>
    <mergeCell ref="C44:H44"/>
    <mergeCell ref="P47:Q4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2" man="true" max="16383" min="0"/>
  </rowBreaks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45"/>
  <sheetViews>
    <sheetView showFormulas="false" showGridLines="true" showRowColHeaders="true" showZeros="true" rightToLeft="false" tabSelected="false" showOutlineSymbols="true" defaultGridColor="true" view="pageBreakPreview" topLeftCell="A16" colorId="64" zoomScale="90" zoomScaleNormal="100" zoomScalePageLayoutView="90" workbookViewId="0">
      <selection pane="topLeft" activeCell="L16" activeCellId="0" sqref="L16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29"/>
    <col collapsed="false" customWidth="true" hidden="false" outlineLevel="0" max="2" min="2" style="1" width="72.42"/>
    <col collapsed="false" customWidth="true" hidden="false" outlineLevel="0" max="3" min="3" style="1" width="14"/>
    <col collapsed="false" customWidth="true" hidden="false" outlineLevel="0" max="4" min="4" style="1" width="12.86"/>
    <col collapsed="false" customWidth="true" hidden="false" outlineLevel="0" max="5" min="5" style="1" width="11.71"/>
    <col collapsed="false" customWidth="true" hidden="false" outlineLevel="0" max="10" min="9" style="1" width="8"/>
    <col collapsed="false" customWidth="true" hidden="false" outlineLevel="0" max="12" min="12" style="1" width="8.15"/>
  </cols>
  <sheetData>
    <row r="1" customFormat="false" ht="57.75" hidden="false" customHeight="true" outlineLevel="0" collapsed="false">
      <c r="A1" s="2" t="s">
        <v>0</v>
      </c>
      <c r="B1" s="2"/>
      <c r="C1" s="2"/>
      <c r="D1" s="236"/>
      <c r="E1" s="236"/>
      <c r="F1" s="3"/>
    </row>
    <row r="2" customFormat="false" ht="25.5" hidden="false" customHeight="true" outlineLevel="0" collapsed="false">
      <c r="A2" s="98" t="s">
        <v>775</v>
      </c>
      <c r="B2" s="98"/>
      <c r="C2" s="98"/>
      <c r="D2" s="237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97"/>
      <c r="R2" s="97"/>
      <c r="S2" s="97"/>
    </row>
    <row r="3" customFormat="false" ht="15.75" hidden="false" customHeight="true" outlineLevel="0" collapsed="false">
      <c r="A3" s="239"/>
      <c r="B3" s="239"/>
      <c r="C3" s="240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98"/>
      <c r="R3" s="98"/>
      <c r="S3" s="98"/>
    </row>
    <row r="4" customFormat="false" ht="30.75" hidden="false" customHeight="true" outlineLevel="0" collapsed="false">
      <c r="A4" s="242" t="s">
        <v>14</v>
      </c>
      <c r="B4" s="242" t="s">
        <v>776</v>
      </c>
      <c r="C4" s="242" t="s">
        <v>21</v>
      </c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99"/>
      <c r="R4" s="99"/>
      <c r="S4" s="99"/>
    </row>
    <row r="5" customFormat="false" ht="23.25" hidden="false" customHeight="true" outlineLevel="0" collapsed="false">
      <c r="A5" s="243" t="n">
        <v>1</v>
      </c>
      <c r="B5" s="244" t="s">
        <v>777</v>
      </c>
      <c r="C5" s="245" t="n">
        <v>1</v>
      </c>
      <c r="D5" s="246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102"/>
      <c r="R5" s="102"/>
      <c r="S5" s="100"/>
    </row>
    <row r="6" customFormat="false" ht="15.75" hidden="false" customHeight="false" outlineLevel="0" collapsed="false">
      <c r="A6" s="248"/>
      <c r="D6" s="246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102"/>
      <c r="R6" s="102"/>
      <c r="S6" s="100"/>
    </row>
    <row r="7" customFormat="false" ht="33" hidden="false" customHeight="true" outlineLevel="0" collapsed="false">
      <c r="A7" s="242" t="s">
        <v>14</v>
      </c>
      <c r="B7" s="242" t="s">
        <v>778</v>
      </c>
      <c r="C7" s="242" t="s">
        <v>21</v>
      </c>
      <c r="D7" s="246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102"/>
      <c r="R7" s="102"/>
      <c r="S7" s="100"/>
    </row>
    <row r="8" customFormat="false" ht="15.75" hidden="false" customHeight="true" outlineLevel="0" collapsed="false">
      <c r="A8" s="242"/>
      <c r="B8" s="249" t="s">
        <v>779</v>
      </c>
      <c r="C8" s="245"/>
      <c r="D8" s="246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 s="247"/>
      <c r="Q8" s="102"/>
      <c r="R8" s="102"/>
      <c r="S8" s="100"/>
    </row>
    <row r="9" customFormat="false" ht="30" hidden="false" customHeight="false" outlineLevel="0" collapsed="false">
      <c r="A9" s="243" t="n">
        <v>1</v>
      </c>
      <c r="B9" s="244" t="s">
        <v>780</v>
      </c>
      <c r="C9" s="245" t="n">
        <v>1</v>
      </c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104"/>
      <c r="R9" s="104"/>
      <c r="S9" s="104"/>
    </row>
    <row r="10" customFormat="false" ht="23.25" hidden="false" customHeight="true" outlineLevel="0" collapsed="false">
      <c r="A10" s="243" t="n">
        <v>2</v>
      </c>
      <c r="B10" s="244" t="s">
        <v>781</v>
      </c>
      <c r="C10" s="245" t="n">
        <v>1</v>
      </c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103"/>
      <c r="R10" s="103"/>
      <c r="S10" s="103"/>
    </row>
    <row r="11" customFormat="false" ht="23.25" hidden="false" customHeight="true" outlineLevel="0" collapsed="false">
      <c r="A11" s="243" t="n">
        <v>3</v>
      </c>
      <c r="B11" s="244" t="s">
        <v>782</v>
      </c>
      <c r="C11" s="245" t="n">
        <v>1</v>
      </c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1"/>
      <c r="Q11" s="250"/>
      <c r="R11" s="251"/>
      <c r="S11" s="251"/>
    </row>
    <row r="12" customFormat="false" ht="23.25" hidden="false" customHeight="true" outlineLevel="0" collapsed="false">
      <c r="A12" s="243" t="n">
        <v>4</v>
      </c>
      <c r="B12" s="244" t="s">
        <v>783</v>
      </c>
      <c r="C12" s="245" t="n">
        <v>1</v>
      </c>
      <c r="D12" s="247"/>
      <c r="E12" s="247"/>
      <c r="F12" s="247"/>
      <c r="G12" s="247"/>
      <c r="H12" s="247"/>
      <c r="I12" s="247"/>
      <c r="J12" s="247"/>
      <c r="K12" s="247"/>
      <c r="L12" s="247"/>
      <c r="M12" s="247"/>
      <c r="N12" s="247"/>
      <c r="O12" s="247"/>
      <c r="P12" s="247"/>
      <c r="Q12" s="252"/>
      <c r="R12" s="252"/>
      <c r="S12" s="252"/>
    </row>
    <row r="13" customFormat="false" ht="15" hidden="false" customHeight="false" outlineLevel="0" collapsed="false">
      <c r="A13" s="243" t="n">
        <v>5</v>
      </c>
      <c r="B13" s="244" t="s">
        <v>784</v>
      </c>
      <c r="C13" s="245" t="n">
        <v>1</v>
      </c>
      <c r="D13" s="247"/>
      <c r="E13" s="247"/>
      <c r="F13" s="247"/>
      <c r="G13" s="247"/>
      <c r="H13" s="247"/>
      <c r="I13" s="247"/>
      <c r="J13" s="247"/>
      <c r="K13" s="247"/>
      <c r="L13" s="247"/>
      <c r="M13" s="247"/>
      <c r="N13" s="247"/>
      <c r="O13" s="247"/>
      <c r="P13" s="247"/>
      <c r="Q13" s="252"/>
      <c r="R13" s="252"/>
      <c r="S13" s="252"/>
    </row>
    <row r="14" customFormat="false" ht="24" hidden="false" customHeight="true" outlineLevel="0" collapsed="false">
      <c r="A14" s="243" t="n">
        <v>6</v>
      </c>
      <c r="B14" s="244" t="s">
        <v>785</v>
      </c>
      <c r="C14" s="245" t="n">
        <v>1</v>
      </c>
      <c r="D14" s="247"/>
      <c r="E14" s="247"/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52"/>
      <c r="R14" s="252"/>
      <c r="S14" s="252"/>
    </row>
    <row r="15" customFormat="false" ht="15" hidden="false" customHeight="false" outlineLevel="0" collapsed="false">
      <c r="A15" s="243"/>
      <c r="B15" s="253" t="s">
        <v>786</v>
      </c>
      <c r="C15" s="254" t="n">
        <f aca="false">SUM(C9:C14)</f>
        <v>6</v>
      </c>
      <c r="D15" s="247"/>
      <c r="E15" s="247"/>
      <c r="F15" s="247"/>
      <c r="G15" s="247"/>
      <c r="H15" s="247"/>
      <c r="I15" s="247"/>
      <c r="J15" s="247"/>
      <c r="K15" s="247"/>
      <c r="L15" s="247"/>
      <c r="M15" s="247"/>
      <c r="N15" s="247"/>
      <c r="O15" s="247"/>
      <c r="P15" s="247"/>
      <c r="Q15" s="252"/>
      <c r="R15" s="252"/>
      <c r="S15" s="252"/>
    </row>
    <row r="16" customFormat="false" ht="24" hidden="false" customHeight="true" outlineLevel="0" collapsed="false">
      <c r="A16" s="243"/>
      <c r="B16" s="249" t="s">
        <v>787</v>
      </c>
      <c r="C16" s="245"/>
      <c r="D16" s="241"/>
      <c r="E16" s="241"/>
      <c r="F16" s="241"/>
      <c r="G16" s="241"/>
      <c r="H16" s="241"/>
      <c r="I16" s="241"/>
      <c r="J16" s="241"/>
      <c r="K16" s="241"/>
      <c r="L16" s="241"/>
      <c r="M16" s="241"/>
      <c r="N16" s="241"/>
      <c r="O16" s="241"/>
      <c r="P16" s="241"/>
      <c r="Q16" s="121"/>
      <c r="R16" s="121"/>
      <c r="S16" s="121"/>
    </row>
    <row r="17" customFormat="false" ht="15" hidden="false" customHeight="false" outlineLevel="0" collapsed="false">
      <c r="A17" s="243" t="n">
        <v>1</v>
      </c>
      <c r="B17" s="249" t="s">
        <v>788</v>
      </c>
      <c r="C17" s="245" t="n">
        <v>5</v>
      </c>
      <c r="D17" s="241"/>
      <c r="E17" s="241"/>
      <c r="F17" s="241"/>
      <c r="G17" s="241"/>
      <c r="H17" s="241"/>
      <c r="I17" s="241"/>
      <c r="J17" s="241"/>
      <c r="K17" s="241"/>
      <c r="L17" s="241"/>
      <c r="M17" s="241"/>
      <c r="N17" s="238"/>
      <c r="O17" s="238"/>
      <c r="P17" s="238"/>
      <c r="Q17" s="103"/>
      <c r="R17" s="103"/>
      <c r="S17" s="103"/>
    </row>
    <row r="18" customFormat="false" ht="15" hidden="false" customHeight="false" outlineLevel="0" collapsed="false">
      <c r="A18" s="243" t="n">
        <v>2</v>
      </c>
      <c r="B18" s="249" t="s">
        <v>789</v>
      </c>
      <c r="C18" s="245" t="n">
        <v>1</v>
      </c>
      <c r="D18" s="241"/>
      <c r="E18" s="241"/>
      <c r="F18" s="241"/>
      <c r="G18" s="241"/>
      <c r="H18" s="241"/>
      <c r="I18" s="241"/>
      <c r="J18" s="241"/>
      <c r="K18" s="241"/>
      <c r="L18" s="241"/>
      <c r="M18" s="241"/>
      <c r="N18" s="238"/>
      <c r="O18" s="238"/>
      <c r="P18" s="238"/>
      <c r="Q18" s="103"/>
      <c r="R18" s="103"/>
      <c r="S18" s="103"/>
    </row>
    <row r="19" customFormat="false" ht="27" hidden="false" customHeight="true" outlineLevel="0" collapsed="false">
      <c r="A19" s="243" t="n">
        <v>3</v>
      </c>
      <c r="B19" s="249" t="s">
        <v>790</v>
      </c>
      <c r="C19" s="245" t="n">
        <v>11</v>
      </c>
      <c r="D19" s="241"/>
      <c r="E19" s="241"/>
      <c r="F19" s="241"/>
      <c r="G19" s="241"/>
      <c r="H19" s="241"/>
      <c r="I19" s="241"/>
      <c r="J19" s="241"/>
      <c r="K19" s="241"/>
      <c r="L19" s="241"/>
      <c r="M19" s="241"/>
      <c r="N19" s="238"/>
      <c r="O19" s="238"/>
      <c r="P19" s="238"/>
      <c r="Q19" s="103"/>
      <c r="R19" s="103"/>
      <c r="S19" s="103"/>
    </row>
    <row r="20" customFormat="false" ht="15" hidden="false" customHeight="false" outlineLevel="0" collapsed="false">
      <c r="A20" s="243"/>
      <c r="B20" s="253" t="s">
        <v>791</v>
      </c>
      <c r="C20" s="254" t="n">
        <f aca="false">SUM(C17:C19)</f>
        <v>17</v>
      </c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38"/>
      <c r="O20" s="238"/>
      <c r="P20" s="238"/>
      <c r="Q20" s="103"/>
      <c r="R20" s="103"/>
      <c r="S20" s="103"/>
    </row>
    <row r="21" customFormat="false" ht="15.75" hidden="false" customHeight="false" outlineLevel="0" collapsed="false">
      <c r="D21" s="238"/>
      <c r="E21" s="238"/>
      <c r="F21" s="238"/>
      <c r="G21" s="238"/>
      <c r="H21" s="238"/>
      <c r="I21" s="238"/>
      <c r="J21" s="238"/>
      <c r="K21" s="238"/>
      <c r="L21" s="238"/>
      <c r="M21" s="238"/>
      <c r="N21" s="238"/>
      <c r="O21" s="238"/>
      <c r="P21" s="238"/>
      <c r="Q21" s="129"/>
      <c r="R21" s="129"/>
      <c r="S21" s="129"/>
    </row>
    <row r="22" customFormat="false" ht="15" hidden="false" customHeight="false" outlineLevel="0" collapsed="false">
      <c r="B22" s="255" t="s">
        <v>792</v>
      </c>
      <c r="C22" s="256" t="n">
        <f aca="false">C15+C20</f>
        <v>23</v>
      </c>
      <c r="D22" s="238"/>
      <c r="E22" s="238"/>
      <c r="F22" s="238"/>
      <c r="G22" s="238"/>
      <c r="H22" s="238"/>
      <c r="I22" s="238"/>
      <c r="J22" s="238"/>
      <c r="K22" s="241"/>
      <c r="L22" s="241"/>
      <c r="M22" s="241"/>
      <c r="N22" s="241"/>
      <c r="O22" s="241"/>
      <c r="P22" s="241"/>
      <c r="Q22" s="133"/>
      <c r="R22" s="133"/>
      <c r="S22" s="131"/>
    </row>
    <row r="23" customFormat="false" ht="15" hidden="false" customHeight="false" outlineLevel="0" collapsed="false">
      <c r="B23" s="257"/>
      <c r="D23" s="241"/>
      <c r="E23" s="241"/>
      <c r="F23" s="241"/>
      <c r="G23" s="241"/>
      <c r="H23" s="241"/>
      <c r="I23" s="241"/>
      <c r="J23" s="241"/>
      <c r="K23" s="241"/>
      <c r="L23" s="241"/>
      <c r="M23" s="241"/>
      <c r="N23" s="241"/>
      <c r="O23" s="241"/>
      <c r="P23" s="241"/>
      <c r="Q23" s="258"/>
      <c r="R23" s="208"/>
      <c r="S23" s="205"/>
    </row>
    <row r="24" customFormat="false" ht="54" hidden="false" customHeight="true" outlineLevel="0" collapsed="false">
      <c r="A24" s="242" t="s">
        <v>14</v>
      </c>
      <c r="B24" s="242" t="s">
        <v>677</v>
      </c>
      <c r="C24" s="242" t="s">
        <v>21</v>
      </c>
      <c r="D24" s="241"/>
      <c r="E24" s="241"/>
      <c r="F24" s="241"/>
      <c r="G24" s="241"/>
      <c r="H24" s="241"/>
      <c r="I24" s="241"/>
      <c r="J24" s="241"/>
      <c r="K24" s="241"/>
      <c r="L24" s="241"/>
      <c r="M24" s="241"/>
      <c r="N24" s="241"/>
      <c r="O24" s="241"/>
      <c r="P24" s="241"/>
      <c r="Q24" s="205"/>
      <c r="R24" s="208"/>
      <c r="S24" s="205"/>
    </row>
    <row r="25" customFormat="false" ht="15" hidden="false" customHeight="false" outlineLevel="0" collapsed="false">
      <c r="A25" s="243" t="n">
        <v>1</v>
      </c>
      <c r="B25" s="259" t="s">
        <v>793</v>
      </c>
      <c r="C25" s="242"/>
      <c r="D25" s="241"/>
      <c r="E25" s="241"/>
      <c r="F25" s="241"/>
      <c r="G25" s="241"/>
      <c r="H25" s="241"/>
      <c r="I25" s="241"/>
      <c r="J25" s="241"/>
      <c r="K25" s="241"/>
      <c r="L25" s="241"/>
      <c r="M25" s="241"/>
      <c r="N25" s="241"/>
      <c r="O25" s="241"/>
      <c r="P25" s="241"/>
      <c r="Q25" s="205"/>
      <c r="R25" s="208"/>
      <c r="S25" s="205"/>
    </row>
    <row r="26" customFormat="false" ht="38.25" hidden="false" customHeight="true" outlineLevel="0" collapsed="false">
      <c r="A26" s="243" t="n">
        <v>2</v>
      </c>
      <c r="B26" s="244" t="s">
        <v>794</v>
      </c>
      <c r="C26" s="245" t="n">
        <v>1</v>
      </c>
      <c r="D26" s="241"/>
      <c r="E26" s="241"/>
      <c r="F26" s="241"/>
      <c r="G26" s="241"/>
      <c r="H26" s="241"/>
      <c r="I26" s="241"/>
      <c r="J26" s="241"/>
      <c r="K26" s="241"/>
      <c r="L26" s="241"/>
      <c r="M26" s="241"/>
      <c r="N26" s="241"/>
      <c r="O26" s="241"/>
      <c r="P26" s="241"/>
      <c r="Q26" s="260"/>
      <c r="R26" s="258"/>
      <c r="S26" s="205"/>
    </row>
    <row r="27" customFormat="false" ht="24" hidden="false" customHeight="true" outlineLevel="0" collapsed="false">
      <c r="A27" s="243" t="n">
        <v>3</v>
      </c>
      <c r="B27" s="244" t="s">
        <v>795</v>
      </c>
      <c r="C27" s="245" t="n">
        <v>1</v>
      </c>
      <c r="D27" s="241"/>
      <c r="E27" s="241"/>
      <c r="F27" s="241"/>
      <c r="G27" s="241"/>
      <c r="H27" s="241"/>
      <c r="I27" s="241"/>
      <c r="J27" s="241"/>
      <c r="K27" s="241"/>
      <c r="L27" s="241"/>
      <c r="M27" s="241"/>
      <c r="N27" s="241"/>
      <c r="O27" s="241"/>
      <c r="P27" s="241"/>
      <c r="Q27" s="258"/>
      <c r="R27" s="258"/>
      <c r="S27" s="258"/>
    </row>
    <row r="28" customFormat="false" ht="24" hidden="false" customHeight="true" outlineLevel="0" collapsed="false">
      <c r="A28" s="243" t="n">
        <v>4</v>
      </c>
      <c r="B28" s="244" t="s">
        <v>796</v>
      </c>
      <c r="C28" s="245" t="n">
        <v>1</v>
      </c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241"/>
      <c r="P28" s="241"/>
      <c r="Q28" s="261"/>
      <c r="R28" s="261"/>
      <c r="S28" s="262"/>
    </row>
    <row r="29" customFormat="false" ht="24" hidden="false" customHeight="true" outlineLevel="0" collapsed="false">
      <c r="A29" s="263" t="n">
        <v>5</v>
      </c>
      <c r="B29" s="264" t="s">
        <v>797</v>
      </c>
      <c r="C29" s="265" t="n">
        <v>1</v>
      </c>
      <c r="D29" s="241"/>
      <c r="E29" s="241"/>
      <c r="F29" s="241"/>
      <c r="G29" s="241"/>
      <c r="H29" s="241"/>
      <c r="I29" s="241"/>
      <c r="J29" s="241"/>
      <c r="K29" s="241"/>
      <c r="L29" s="241"/>
      <c r="M29" s="241"/>
      <c r="N29" s="241"/>
      <c r="O29" s="241"/>
      <c r="P29" s="241"/>
      <c r="Q29" s="266"/>
      <c r="R29" s="266"/>
      <c r="S29" s="266"/>
    </row>
    <row r="30" customFormat="false" ht="15" hidden="false" customHeight="false" outlineLevel="0" collapsed="false">
      <c r="A30" s="243"/>
      <c r="B30" s="253" t="s">
        <v>798</v>
      </c>
      <c r="C30" s="254" t="n">
        <f aca="false">SUM(C26:C29)</f>
        <v>4</v>
      </c>
      <c r="D30" s="241"/>
      <c r="E30" s="241"/>
      <c r="F30" s="241"/>
      <c r="G30" s="241"/>
      <c r="H30" s="241"/>
      <c r="I30" s="241"/>
      <c r="J30" s="241"/>
      <c r="K30" s="241"/>
      <c r="L30" s="241"/>
      <c r="M30" s="241"/>
      <c r="N30" s="241"/>
      <c r="O30" s="241"/>
      <c r="P30" s="241"/>
      <c r="Q30" s="267"/>
      <c r="R30" s="267"/>
      <c r="S30" s="267"/>
    </row>
    <row r="31" customFormat="false" ht="15" hidden="false" customHeight="false" outlineLevel="0" collapsed="false">
      <c r="B31" s="268" t="s">
        <v>799</v>
      </c>
      <c r="C31" s="245"/>
      <c r="D31" s="241"/>
      <c r="E31" s="241"/>
      <c r="F31" s="241"/>
      <c r="G31" s="241"/>
      <c r="H31" s="241"/>
      <c r="I31" s="241"/>
      <c r="J31" s="241"/>
      <c r="K31" s="241"/>
      <c r="L31" s="241"/>
      <c r="M31" s="241"/>
      <c r="N31" s="241"/>
      <c r="O31" s="241"/>
      <c r="P31" s="241"/>
      <c r="Q31" s="269"/>
      <c r="R31" s="269"/>
      <c r="S31" s="269"/>
    </row>
    <row r="32" customFormat="false" ht="18" hidden="false" customHeight="true" outlineLevel="0" collapsed="false">
      <c r="A32" s="243" t="n">
        <v>6</v>
      </c>
      <c r="B32" s="244" t="s">
        <v>800</v>
      </c>
      <c r="C32" s="245" t="n">
        <v>1</v>
      </c>
      <c r="D32" s="241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180"/>
      <c r="R32" s="180"/>
      <c r="S32" s="180"/>
    </row>
    <row r="33" customFormat="false" ht="18" hidden="false" customHeight="true" outlineLevel="0" collapsed="false">
      <c r="A33" s="243" t="n">
        <v>7</v>
      </c>
      <c r="B33" s="244" t="s">
        <v>801</v>
      </c>
      <c r="C33" s="245" t="n">
        <v>1</v>
      </c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180"/>
      <c r="R33" s="180"/>
      <c r="S33" s="180"/>
    </row>
    <row r="34" customFormat="false" ht="15" hidden="false" customHeight="false" outlineLevel="0" collapsed="false">
      <c r="A34" s="243"/>
      <c r="B34" s="253" t="s">
        <v>802</v>
      </c>
      <c r="C34" s="254" t="n">
        <f aca="false">SUM(C32:C33)</f>
        <v>2</v>
      </c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  <c r="Q34" s="270"/>
      <c r="R34" s="208"/>
      <c r="S34" s="208"/>
    </row>
    <row r="35" customFormat="false" ht="15" hidden="false" customHeight="false" outlineLevel="0" collapsed="false">
      <c r="A35" s="271"/>
      <c r="B35" s="272"/>
      <c r="C35" s="273"/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41"/>
      <c r="O35" s="241"/>
      <c r="P35" s="241"/>
      <c r="Q35" s="274"/>
      <c r="R35" s="275"/>
      <c r="S35" s="275"/>
    </row>
    <row r="36" customFormat="false" ht="21.75" hidden="false" customHeight="true" outlineLevel="0" collapsed="false">
      <c r="A36" s="276"/>
      <c r="B36" s="255" t="s">
        <v>803</v>
      </c>
      <c r="C36" s="256" t="n">
        <f aca="false">C30+C34</f>
        <v>6</v>
      </c>
      <c r="D36" s="241"/>
      <c r="E36" s="241"/>
      <c r="F36" s="241"/>
      <c r="G36" s="241"/>
      <c r="H36" s="241"/>
      <c r="I36" s="241"/>
      <c r="J36" s="241"/>
      <c r="K36" s="241"/>
      <c r="L36" s="241"/>
      <c r="M36" s="241"/>
      <c r="N36" s="241"/>
      <c r="O36" s="241"/>
      <c r="P36" s="241"/>
      <c r="Q36" s="277"/>
      <c r="R36" s="208"/>
      <c r="S36" s="208"/>
    </row>
    <row r="37" customFormat="false" ht="15" hidden="false" customHeight="false" outlineLevel="0" collapsed="false">
      <c r="C37" s="278"/>
      <c r="D37" s="241"/>
      <c r="E37" s="241"/>
      <c r="F37" s="241"/>
      <c r="G37" s="241"/>
      <c r="H37" s="241"/>
      <c r="I37" s="241"/>
      <c r="J37" s="241"/>
      <c r="K37" s="241"/>
      <c r="L37" s="241"/>
      <c r="M37" s="241"/>
      <c r="N37" s="241"/>
      <c r="O37" s="241"/>
      <c r="P37" s="241"/>
      <c r="Q37" s="206"/>
      <c r="R37" s="208"/>
      <c r="S37" s="208"/>
    </row>
    <row r="38" customFormat="false" ht="28.5" hidden="false" customHeight="true" outlineLevel="0" collapsed="false">
      <c r="A38" s="242" t="s">
        <v>14</v>
      </c>
      <c r="B38" s="242" t="s">
        <v>804</v>
      </c>
      <c r="C38" s="242" t="s">
        <v>17</v>
      </c>
      <c r="D38" s="241"/>
      <c r="E38" s="241"/>
      <c r="F38" s="241"/>
      <c r="G38" s="241"/>
      <c r="H38" s="241"/>
      <c r="I38" s="241"/>
      <c r="J38" s="241"/>
      <c r="K38" s="241"/>
      <c r="L38" s="241"/>
      <c r="M38" s="241"/>
      <c r="N38" s="241"/>
      <c r="O38" s="241"/>
      <c r="P38" s="241"/>
      <c r="Q38" s="207"/>
      <c r="R38" s="208"/>
      <c r="S38" s="208"/>
    </row>
    <row r="39" customFormat="false" ht="28.5" hidden="false" customHeight="true" outlineLevel="0" collapsed="false">
      <c r="A39" s="243" t="n">
        <v>1</v>
      </c>
      <c r="B39" s="244" t="s">
        <v>805</v>
      </c>
      <c r="C39" s="245" t="n">
        <v>7</v>
      </c>
      <c r="D39" s="241"/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1"/>
      <c r="P39" s="241"/>
      <c r="Q39" s="181"/>
      <c r="R39" s="181"/>
      <c r="S39" s="181"/>
    </row>
    <row r="40" customFormat="false" ht="15" hidden="false" customHeight="false" outlineLevel="0" collapsed="false">
      <c r="C40" s="278"/>
      <c r="D40" s="241"/>
      <c r="E40" s="241"/>
      <c r="F40" s="241"/>
      <c r="G40" s="241"/>
      <c r="H40" s="241"/>
      <c r="I40" s="241"/>
      <c r="J40" s="241"/>
      <c r="K40" s="241"/>
      <c r="L40" s="241"/>
      <c r="M40" s="241"/>
      <c r="N40" s="241"/>
      <c r="O40" s="241"/>
      <c r="P40" s="241"/>
      <c r="Q40" s="181"/>
      <c r="R40" s="181"/>
      <c r="S40" s="181"/>
    </row>
    <row r="41" customFormat="false" ht="24" hidden="false" customHeight="true" outlineLevel="0" collapsed="false">
      <c r="A41" s="276"/>
      <c r="B41" s="255" t="s">
        <v>806</v>
      </c>
      <c r="C41" s="256" t="n">
        <f aca="false">SUM(C39:C40)</f>
        <v>7</v>
      </c>
      <c r="D41" s="241"/>
      <c r="E41" s="241"/>
      <c r="F41" s="241"/>
      <c r="G41" s="241"/>
      <c r="H41" s="241"/>
      <c r="I41" s="241"/>
      <c r="J41" s="241"/>
      <c r="K41" s="241"/>
      <c r="L41" s="241"/>
      <c r="M41" s="241"/>
      <c r="N41" s="241"/>
      <c r="O41" s="241"/>
      <c r="P41" s="241"/>
      <c r="Q41" s="181"/>
      <c r="R41" s="181"/>
      <c r="S41" s="181"/>
    </row>
    <row r="42" customFormat="false" ht="28.5" hidden="false" customHeight="true" outlineLevel="0" collapsed="false">
      <c r="D42" s="241"/>
      <c r="E42" s="241"/>
      <c r="F42" s="241"/>
      <c r="G42" s="241"/>
      <c r="H42" s="241"/>
      <c r="I42" s="241"/>
      <c r="J42" s="241"/>
      <c r="K42" s="241"/>
      <c r="L42" s="241"/>
      <c r="M42" s="241"/>
      <c r="N42" s="241"/>
      <c r="O42" s="241"/>
      <c r="P42" s="241"/>
      <c r="Q42" s="181"/>
      <c r="R42" s="181"/>
      <c r="S42" s="181"/>
    </row>
    <row r="43" customFormat="false" ht="15" hidden="false" customHeight="false" outlineLevel="0" collapsed="false">
      <c r="A43" s="279"/>
      <c r="B43" s="233" t="s">
        <v>807</v>
      </c>
      <c r="D43" s="241"/>
      <c r="E43" s="241"/>
      <c r="F43" s="241"/>
      <c r="G43" s="241"/>
      <c r="H43" s="241"/>
      <c r="I43" s="241"/>
      <c r="J43" s="241"/>
      <c r="K43" s="241"/>
      <c r="L43" s="241"/>
      <c r="M43" s="241"/>
      <c r="N43" s="241"/>
      <c r="O43" s="241"/>
      <c r="P43" s="241"/>
      <c r="Q43" s="181"/>
      <c r="R43" s="181"/>
      <c r="S43" s="181"/>
    </row>
    <row r="44" customFormat="false" ht="18" hidden="false" customHeight="true" outlineLevel="0" collapsed="false">
      <c r="B44" s="233" t="s">
        <v>773</v>
      </c>
      <c r="C44" s="233" t="s">
        <v>774</v>
      </c>
      <c r="D44" s="241"/>
      <c r="E44" s="241"/>
      <c r="F44" s="241"/>
      <c r="G44" s="241"/>
      <c r="H44" s="241"/>
      <c r="I44" s="241"/>
      <c r="J44" s="241"/>
      <c r="K44" s="241"/>
      <c r="L44" s="241"/>
      <c r="M44" s="241"/>
      <c r="N44" s="241"/>
      <c r="O44" s="241"/>
      <c r="P44" s="241"/>
      <c r="Q44" s="280"/>
      <c r="R44" s="280"/>
      <c r="S44" s="280"/>
    </row>
    <row r="45" customFormat="false" ht="15" hidden="false" customHeight="false" outlineLevel="0" collapsed="false">
      <c r="A45" s="233"/>
      <c r="B45" s="233"/>
      <c r="C45" s="233"/>
      <c r="D45" s="233"/>
      <c r="E45" s="233"/>
      <c r="F45" s="233"/>
      <c r="G45" s="233"/>
      <c r="H45" s="233"/>
      <c r="I45" s="233"/>
      <c r="J45" s="233"/>
      <c r="K45" s="233"/>
      <c r="L45" s="233"/>
      <c r="M45" s="233"/>
      <c r="N45" s="233"/>
      <c r="O45" s="233"/>
      <c r="P45" s="233"/>
      <c r="Q45" s="233"/>
      <c r="R45" s="233"/>
      <c r="S45" s="233"/>
    </row>
  </sheetData>
  <mergeCells count="2">
    <mergeCell ref="A1:C1"/>
    <mergeCell ref="A2:C2"/>
  </mergeCells>
  <printOptions headings="false" gridLines="false" gridLinesSet="true" horizontalCentered="tru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65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B27" activeCellId="0" sqref="B2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107.71"/>
    <col collapsed="false" customWidth="true" hidden="false" outlineLevel="0" max="3" min="3" style="1" width="10"/>
    <col collapsed="false" customWidth="true" hidden="false" outlineLevel="0" max="4" min="4" style="1" width="12.86"/>
    <col collapsed="false" customWidth="true" hidden="false" outlineLevel="0" max="5" min="5" style="1" width="77.14"/>
  </cols>
  <sheetData>
    <row r="1" customFormat="false" ht="15" hidden="false" customHeight="false" outlineLevel="0" collapsed="false">
      <c r="A1" s="19" t="s">
        <v>173</v>
      </c>
      <c r="B1" s="19"/>
      <c r="C1" s="19"/>
      <c r="D1" s="19"/>
      <c r="E1" s="19"/>
    </row>
    <row r="2" customFormat="false" ht="15" hidden="false" customHeight="false" outlineLevel="0" collapsed="false">
      <c r="A2" s="20" t="s">
        <v>174</v>
      </c>
      <c r="B2" s="20"/>
      <c r="C2" s="20"/>
      <c r="D2" s="20"/>
      <c r="E2" s="20"/>
    </row>
    <row r="3" customFormat="false" ht="36.75" hidden="false" customHeight="true" outlineLevel="0" collapsed="false">
      <c r="A3" s="51" t="s">
        <v>14</v>
      </c>
      <c r="B3" s="21" t="s">
        <v>15</v>
      </c>
      <c r="C3" s="21" t="s">
        <v>16</v>
      </c>
      <c r="D3" s="21" t="s">
        <v>17</v>
      </c>
      <c r="E3" s="21" t="s">
        <v>18</v>
      </c>
    </row>
    <row r="4" customFormat="false" ht="15" hidden="false" customHeight="false" outlineLevel="0" collapsed="false">
      <c r="A4" s="26" t="s">
        <v>175</v>
      </c>
      <c r="B4" s="22" t="s">
        <v>176</v>
      </c>
      <c r="C4" s="23" t="s">
        <v>21</v>
      </c>
      <c r="D4" s="24" t="n">
        <v>1</v>
      </c>
      <c r="E4" s="20"/>
    </row>
    <row r="5" customFormat="false" ht="15" hidden="false" customHeight="false" outlineLevel="0" collapsed="false">
      <c r="A5" s="52" t="s">
        <v>177</v>
      </c>
      <c r="B5" s="25" t="s">
        <v>178</v>
      </c>
      <c r="C5" s="23" t="s">
        <v>21</v>
      </c>
      <c r="D5" s="27" t="n">
        <f aca="false">300*D4</f>
        <v>300</v>
      </c>
      <c r="E5" s="28" t="s">
        <v>179</v>
      </c>
    </row>
    <row r="6" customFormat="false" ht="15" hidden="false" customHeight="false" outlineLevel="0" collapsed="false">
      <c r="A6" s="52"/>
      <c r="B6" s="29" t="s">
        <v>180</v>
      </c>
      <c r="C6" s="49" t="s">
        <v>21</v>
      </c>
      <c r="D6" s="53" t="n">
        <v>4</v>
      </c>
      <c r="E6" s="20" t="s">
        <v>181</v>
      </c>
    </row>
    <row r="7" customFormat="false" ht="15" hidden="false" customHeight="false" outlineLevel="0" collapsed="false">
      <c r="A7" s="52" t="s">
        <v>182</v>
      </c>
      <c r="B7" s="32" t="s">
        <v>41</v>
      </c>
      <c r="C7" s="26" t="s">
        <v>42</v>
      </c>
      <c r="D7" s="24" t="n">
        <f aca="false">(D6*95.88)/1000</f>
        <v>0.38352</v>
      </c>
      <c r="E7" s="29" t="s">
        <v>183</v>
      </c>
    </row>
    <row r="8" customFormat="false" ht="15" hidden="false" customHeight="false" outlineLevel="0" collapsed="false">
      <c r="A8" s="52" t="s">
        <v>184</v>
      </c>
      <c r="B8" s="32" t="s">
        <v>64</v>
      </c>
      <c r="C8" s="26" t="s">
        <v>65</v>
      </c>
      <c r="D8" s="24" t="n">
        <f aca="false">2.3*D6</f>
        <v>9.2</v>
      </c>
      <c r="E8" s="28"/>
    </row>
    <row r="9" customFormat="false" ht="15" hidden="false" customHeight="false" outlineLevel="0" collapsed="false">
      <c r="A9" s="52" t="s">
        <v>185</v>
      </c>
      <c r="B9" s="32" t="s">
        <v>68</v>
      </c>
      <c r="C9" s="26" t="s">
        <v>65</v>
      </c>
      <c r="D9" s="24" t="n">
        <f aca="false">D8</f>
        <v>9.2</v>
      </c>
      <c r="E9" s="28"/>
    </row>
    <row r="10" customFormat="false" ht="15" hidden="false" customHeight="false" outlineLevel="0" collapsed="false">
      <c r="A10" s="52" t="s">
        <v>186</v>
      </c>
      <c r="B10" s="32" t="s">
        <v>70</v>
      </c>
      <c r="C10" s="26" t="s">
        <v>71</v>
      </c>
      <c r="D10" s="24" t="n">
        <f aca="false">D9/100</f>
        <v>0.092</v>
      </c>
      <c r="E10" s="28"/>
    </row>
    <row r="11" customFormat="false" ht="14.45" hidden="false" customHeight="false" outlineLevel="0" collapsed="false">
      <c r="A11" s="52" t="s">
        <v>187</v>
      </c>
      <c r="B11" s="32" t="s">
        <v>73</v>
      </c>
      <c r="C11" s="26" t="s">
        <v>71</v>
      </c>
      <c r="D11" s="24" t="n">
        <f aca="false">D10</f>
        <v>0.092</v>
      </c>
      <c r="E11" s="20" t="s">
        <v>74</v>
      </c>
    </row>
    <row r="12" customFormat="false" ht="14.45" hidden="false" customHeight="false" outlineLevel="0" collapsed="false">
      <c r="A12" s="52" t="s">
        <v>188</v>
      </c>
      <c r="B12" s="32" t="s">
        <v>76</v>
      </c>
      <c r="C12" s="26" t="s">
        <v>71</v>
      </c>
      <c r="D12" s="24" t="n">
        <f aca="false">D10</f>
        <v>0.092</v>
      </c>
      <c r="E12" s="20" t="s">
        <v>74</v>
      </c>
    </row>
    <row r="13" customFormat="false" ht="15" hidden="false" customHeight="false" outlineLevel="0" collapsed="false">
      <c r="A13" s="52" t="s">
        <v>189</v>
      </c>
      <c r="B13" s="32" t="s">
        <v>190</v>
      </c>
      <c r="C13" s="26" t="s">
        <v>21</v>
      </c>
      <c r="D13" s="24" t="n">
        <v>1</v>
      </c>
      <c r="E13" s="20" t="s">
        <v>191</v>
      </c>
    </row>
    <row r="14" customFormat="false" ht="15" hidden="false" customHeight="false" outlineLevel="0" collapsed="false">
      <c r="A14" s="52"/>
      <c r="B14" s="29" t="s">
        <v>192</v>
      </c>
      <c r="C14" s="37" t="s">
        <v>21</v>
      </c>
      <c r="D14" s="34" t="n">
        <v>1</v>
      </c>
      <c r="E14" s="28"/>
    </row>
    <row r="15" customFormat="false" ht="15" hidden="false" customHeight="false" outlineLevel="0" collapsed="false">
      <c r="A15" s="52"/>
      <c r="B15" s="29"/>
      <c r="C15" s="37"/>
      <c r="D15" s="34"/>
      <c r="E15" s="28"/>
    </row>
    <row r="16" customFormat="false" ht="15" hidden="false" customHeight="false" outlineLevel="0" collapsed="false">
      <c r="A16" s="52" t="s">
        <v>193</v>
      </c>
      <c r="B16" s="32" t="s">
        <v>194</v>
      </c>
      <c r="C16" s="23" t="s">
        <v>21</v>
      </c>
      <c r="D16" s="24" t="n">
        <v>1</v>
      </c>
      <c r="E16" s="20"/>
    </row>
    <row r="17" customFormat="false" ht="17.25" hidden="false" customHeight="true" outlineLevel="0" collapsed="false">
      <c r="A17" s="52" t="s">
        <v>195</v>
      </c>
      <c r="B17" s="32" t="s">
        <v>196</v>
      </c>
      <c r="C17" s="23" t="s">
        <v>21</v>
      </c>
      <c r="D17" s="24" t="n">
        <v>1</v>
      </c>
      <c r="E17" s="20" t="s">
        <v>197</v>
      </c>
    </row>
    <row r="18" customFormat="false" ht="15" hidden="false" customHeight="false" outlineLevel="0" collapsed="false">
      <c r="A18" s="52" t="s">
        <v>198</v>
      </c>
      <c r="B18" s="32" t="s">
        <v>199</v>
      </c>
      <c r="C18" s="23" t="s">
        <v>200</v>
      </c>
      <c r="D18" s="24" t="n">
        <v>30</v>
      </c>
      <c r="E18" s="20" t="s">
        <v>201</v>
      </c>
    </row>
    <row r="19" customFormat="false" ht="15" hidden="false" customHeight="false" outlineLevel="0" collapsed="false">
      <c r="A19" s="52" t="s">
        <v>202</v>
      </c>
      <c r="B19" s="32" t="s">
        <v>203</v>
      </c>
      <c r="C19" s="23" t="s">
        <v>21</v>
      </c>
      <c r="D19" s="24" t="n">
        <v>5</v>
      </c>
      <c r="E19" s="20" t="s">
        <v>204</v>
      </c>
    </row>
    <row r="20" customFormat="false" ht="15" hidden="false" customHeight="false" outlineLevel="0" collapsed="false">
      <c r="A20" s="52" t="s">
        <v>205</v>
      </c>
      <c r="B20" s="32" t="s">
        <v>206</v>
      </c>
      <c r="C20" s="23" t="s">
        <v>200</v>
      </c>
      <c r="D20" s="24" t="n">
        <v>1</v>
      </c>
      <c r="E20" s="20" t="s">
        <v>207</v>
      </c>
    </row>
    <row r="21" customFormat="false" ht="15" hidden="false" customHeight="false" outlineLevel="0" collapsed="false">
      <c r="A21" s="52"/>
      <c r="B21" s="29" t="s">
        <v>208</v>
      </c>
      <c r="C21" s="37" t="s">
        <v>200</v>
      </c>
      <c r="D21" s="34" t="n">
        <v>1</v>
      </c>
      <c r="E21" s="20" t="s">
        <v>209</v>
      </c>
    </row>
    <row r="22" customFormat="false" ht="15" hidden="false" customHeight="false" outlineLevel="0" collapsed="false">
      <c r="A22" s="52" t="s">
        <v>210</v>
      </c>
      <c r="B22" s="32" t="s">
        <v>211</v>
      </c>
      <c r="C22" s="23" t="s">
        <v>21</v>
      </c>
      <c r="D22" s="24" t="n">
        <v>2</v>
      </c>
      <c r="E22" s="20" t="s">
        <v>212</v>
      </c>
    </row>
    <row r="23" customFormat="false" ht="15" hidden="false" customHeight="false" outlineLevel="0" collapsed="false">
      <c r="A23" s="52" t="s">
        <v>213</v>
      </c>
      <c r="B23" s="32" t="s">
        <v>214</v>
      </c>
      <c r="C23" s="26" t="s">
        <v>42</v>
      </c>
      <c r="D23" s="24" t="n">
        <f aca="false">(D6*95.88)/1000</f>
        <v>0.38352</v>
      </c>
      <c r="E23" s="20" t="s">
        <v>215</v>
      </c>
    </row>
    <row r="24" customFormat="false" ht="15" hidden="false" customHeight="false" outlineLevel="0" collapsed="false">
      <c r="A24" s="52" t="s">
        <v>216</v>
      </c>
      <c r="B24" s="32" t="s">
        <v>206</v>
      </c>
      <c r="C24" s="23" t="s">
        <v>200</v>
      </c>
      <c r="D24" s="24" t="n">
        <v>1</v>
      </c>
      <c r="E24" s="20" t="s">
        <v>207</v>
      </c>
    </row>
    <row r="25" customFormat="false" ht="15" hidden="false" customHeight="false" outlineLevel="0" collapsed="false">
      <c r="A25" s="52"/>
      <c r="B25" s="29" t="s">
        <v>208</v>
      </c>
      <c r="C25" s="37" t="s">
        <v>200</v>
      </c>
      <c r="D25" s="34" t="n">
        <v>1</v>
      </c>
      <c r="E25" s="20" t="s">
        <v>209</v>
      </c>
    </row>
    <row r="26" customFormat="false" ht="15" hidden="false" customHeight="false" outlineLevel="0" collapsed="false">
      <c r="A26" s="52" t="s">
        <v>217</v>
      </c>
      <c r="B26" s="32" t="s">
        <v>218</v>
      </c>
      <c r="C26" s="23" t="s">
        <v>200</v>
      </c>
      <c r="D26" s="24" t="n">
        <v>27</v>
      </c>
      <c r="E26" s="20"/>
    </row>
    <row r="27" customFormat="false" ht="15" hidden="false" customHeight="false" outlineLevel="0" collapsed="false">
      <c r="A27" s="52" t="s">
        <v>219</v>
      </c>
      <c r="B27" s="32" t="s">
        <v>220</v>
      </c>
      <c r="C27" s="23" t="s">
        <v>21</v>
      </c>
      <c r="D27" s="24" t="n">
        <v>1</v>
      </c>
      <c r="E27" s="20" t="s">
        <v>197</v>
      </c>
    </row>
    <row r="28" customFormat="false" ht="15" hidden="false" customHeight="false" outlineLevel="0" collapsed="false">
      <c r="A28" s="52" t="s">
        <v>221</v>
      </c>
      <c r="B28" s="32" t="s">
        <v>222</v>
      </c>
      <c r="C28" s="23" t="s">
        <v>200</v>
      </c>
      <c r="D28" s="24" t="n">
        <v>3</v>
      </c>
      <c r="E28" s="20"/>
    </row>
    <row r="29" customFormat="false" ht="15" hidden="false" customHeight="false" outlineLevel="0" collapsed="false">
      <c r="A29" s="52"/>
      <c r="B29" s="29"/>
      <c r="C29" s="30"/>
      <c r="D29" s="31"/>
      <c r="E29" s="20"/>
    </row>
    <row r="30" customFormat="false" ht="15" hidden="false" customHeight="false" outlineLevel="0" collapsed="false">
      <c r="A30" s="52" t="s">
        <v>223</v>
      </c>
      <c r="B30" s="22" t="s">
        <v>224</v>
      </c>
      <c r="C30" s="23" t="s">
        <v>21</v>
      </c>
      <c r="D30" s="24" t="n">
        <v>1</v>
      </c>
      <c r="E30" s="28"/>
    </row>
    <row r="31" customFormat="false" ht="15" hidden="false" customHeight="false" outlineLevel="0" collapsed="false">
      <c r="A31" s="52"/>
      <c r="B31" s="29" t="s">
        <v>225</v>
      </c>
      <c r="C31" s="49" t="s">
        <v>21</v>
      </c>
      <c r="D31" s="53" t="n">
        <v>4</v>
      </c>
      <c r="E31" s="20" t="s">
        <v>226</v>
      </c>
    </row>
    <row r="32" customFormat="false" ht="15" hidden="false" customHeight="false" outlineLevel="0" collapsed="false">
      <c r="A32" s="52" t="s">
        <v>227</v>
      </c>
      <c r="B32" s="25" t="s">
        <v>24</v>
      </c>
      <c r="C32" s="54" t="s">
        <v>25</v>
      </c>
      <c r="D32" s="55" t="n">
        <f aca="false">(D33/0.4)*0.05</f>
        <v>1.25</v>
      </c>
      <c r="E32" s="20" t="s">
        <v>228</v>
      </c>
    </row>
    <row r="33" customFormat="false" ht="15" hidden="false" customHeight="false" outlineLevel="0" collapsed="false">
      <c r="A33" s="52"/>
      <c r="B33" s="29" t="s">
        <v>229</v>
      </c>
      <c r="C33" s="49" t="s">
        <v>28</v>
      </c>
      <c r="D33" s="53" t="n">
        <v>10</v>
      </c>
      <c r="E33" s="20" t="s">
        <v>230</v>
      </c>
    </row>
    <row r="34" customFormat="false" ht="15" hidden="false" customHeight="false" outlineLevel="0" collapsed="false">
      <c r="A34" s="52" t="s">
        <v>231</v>
      </c>
      <c r="B34" s="32" t="s">
        <v>232</v>
      </c>
      <c r="C34" s="23" t="s">
        <v>21</v>
      </c>
      <c r="D34" s="24" t="n">
        <f aca="false">(D33-0.8/0.4)</f>
        <v>8</v>
      </c>
      <c r="E34" s="28"/>
    </row>
    <row r="35" customFormat="false" ht="15" hidden="false" customHeight="false" outlineLevel="0" collapsed="false">
      <c r="A35" s="52" t="s">
        <v>233</v>
      </c>
      <c r="B35" s="32" t="s">
        <v>234</v>
      </c>
      <c r="C35" s="32" t="s">
        <v>21</v>
      </c>
      <c r="D35" s="33" t="n">
        <f aca="false">(D33-0.8/0.4)*2</f>
        <v>16</v>
      </c>
      <c r="E35" s="28"/>
    </row>
    <row r="36" customFormat="false" ht="15" hidden="false" customHeight="false" outlineLevel="0" collapsed="false">
      <c r="A36" s="52" t="s">
        <v>235</v>
      </c>
      <c r="B36" s="32" t="s">
        <v>41</v>
      </c>
      <c r="C36" s="26" t="s">
        <v>42</v>
      </c>
      <c r="D36" s="34" t="n">
        <f aca="false">(D33*0.78)/1000</f>
        <v>0.0078</v>
      </c>
      <c r="E36" s="20" t="s">
        <v>236</v>
      </c>
    </row>
    <row r="37" customFormat="false" ht="15" hidden="false" customHeight="false" outlineLevel="0" collapsed="false">
      <c r="A37" s="52" t="s">
        <v>237</v>
      </c>
      <c r="B37" s="32" t="s">
        <v>238</v>
      </c>
      <c r="C37" s="23" t="s">
        <v>21</v>
      </c>
      <c r="D37" s="24" t="n">
        <v>1</v>
      </c>
      <c r="E37" s="20" t="s">
        <v>239</v>
      </c>
    </row>
    <row r="38" customFormat="false" ht="15" hidden="false" customHeight="false" outlineLevel="0" collapsed="false">
      <c r="A38" s="52"/>
      <c r="B38" s="29" t="s">
        <v>240</v>
      </c>
      <c r="C38" s="49" t="s">
        <v>21</v>
      </c>
      <c r="D38" s="53" t="n">
        <v>2</v>
      </c>
      <c r="E38" s="20"/>
    </row>
    <row r="39" customFormat="false" ht="15" hidden="false" customHeight="false" outlineLevel="0" collapsed="false">
      <c r="A39" s="52"/>
      <c r="B39" s="29"/>
      <c r="C39" s="49"/>
      <c r="D39" s="53"/>
      <c r="E39" s="20"/>
    </row>
    <row r="40" customFormat="false" ht="15" hidden="false" customHeight="false" outlineLevel="0" collapsed="false">
      <c r="A40" s="52" t="s">
        <v>241</v>
      </c>
      <c r="B40" s="22" t="s">
        <v>242</v>
      </c>
      <c r="C40" s="23" t="s">
        <v>21</v>
      </c>
      <c r="D40" s="24" t="n">
        <v>1</v>
      </c>
      <c r="E40" s="20"/>
    </row>
    <row r="41" customFormat="false" ht="30" hidden="false" customHeight="false" outlineLevel="0" collapsed="false">
      <c r="A41" s="52" t="s">
        <v>243</v>
      </c>
      <c r="B41" s="32" t="s">
        <v>244</v>
      </c>
      <c r="C41" s="26" t="s">
        <v>21</v>
      </c>
      <c r="D41" s="27" t="n">
        <f aca="false">D35</f>
        <v>16</v>
      </c>
      <c r="E41" s="20"/>
    </row>
    <row r="42" customFormat="false" ht="15" hidden="false" customHeight="false" outlineLevel="0" collapsed="false">
      <c r="A42" s="52"/>
      <c r="B42" s="28" t="s">
        <v>153</v>
      </c>
      <c r="C42" s="28" t="s">
        <v>21</v>
      </c>
      <c r="D42" s="39" t="n">
        <f aca="false">D41</f>
        <v>16</v>
      </c>
      <c r="E42" s="20"/>
    </row>
    <row r="43" customFormat="false" ht="15" hidden="false" customHeight="false" outlineLevel="0" collapsed="false">
      <c r="A43" s="52"/>
      <c r="B43" s="29" t="s">
        <v>245</v>
      </c>
      <c r="C43" s="23" t="s">
        <v>21</v>
      </c>
      <c r="D43" s="24" t="n">
        <v>1</v>
      </c>
      <c r="E43" s="20" t="s">
        <v>246</v>
      </c>
    </row>
    <row r="44" customFormat="false" ht="15" hidden="false" customHeight="false" outlineLevel="0" collapsed="false">
      <c r="A44" s="52" t="s">
        <v>247</v>
      </c>
      <c r="B44" s="32" t="s">
        <v>64</v>
      </c>
      <c r="C44" s="26" t="s">
        <v>65</v>
      </c>
      <c r="D44" s="34" t="n">
        <f aca="false">2.3*4</f>
        <v>9.2</v>
      </c>
      <c r="E44" s="20"/>
    </row>
    <row r="45" customFormat="false" ht="15" hidden="false" customHeight="false" outlineLevel="0" collapsed="false">
      <c r="A45" s="52" t="s">
        <v>248</v>
      </c>
      <c r="B45" s="32" t="s">
        <v>68</v>
      </c>
      <c r="C45" s="26" t="s">
        <v>65</v>
      </c>
      <c r="D45" s="34" t="n">
        <f aca="false">D44</f>
        <v>9.2</v>
      </c>
      <c r="E45" s="20"/>
    </row>
    <row r="46" customFormat="false" ht="15" hidden="false" customHeight="false" outlineLevel="0" collapsed="false">
      <c r="A46" s="52" t="s">
        <v>249</v>
      </c>
      <c r="B46" s="32" t="s">
        <v>70</v>
      </c>
      <c r="C46" s="26" t="s">
        <v>71</v>
      </c>
      <c r="D46" s="37" t="n">
        <f aca="false">D45/100</f>
        <v>0.092</v>
      </c>
      <c r="E46" s="20"/>
    </row>
    <row r="47" customFormat="false" ht="14.45" hidden="false" customHeight="false" outlineLevel="0" collapsed="false">
      <c r="A47" s="52" t="s">
        <v>250</v>
      </c>
      <c r="B47" s="32" t="s">
        <v>73</v>
      </c>
      <c r="C47" s="26" t="s">
        <v>71</v>
      </c>
      <c r="D47" s="37" t="n">
        <f aca="false">D46</f>
        <v>0.092</v>
      </c>
      <c r="E47" s="20" t="s">
        <v>74</v>
      </c>
    </row>
    <row r="48" customFormat="false" ht="14.45" hidden="false" customHeight="false" outlineLevel="0" collapsed="false">
      <c r="A48" s="52" t="s">
        <v>251</v>
      </c>
      <c r="B48" s="32" t="s">
        <v>76</v>
      </c>
      <c r="C48" s="26" t="s">
        <v>71</v>
      </c>
      <c r="D48" s="37" t="n">
        <f aca="false">D46</f>
        <v>0.092</v>
      </c>
      <c r="E48" s="20" t="s">
        <v>74</v>
      </c>
    </row>
    <row r="49" customFormat="false" ht="15" hidden="false" customHeight="false" outlineLevel="0" collapsed="false">
      <c r="A49" s="52"/>
      <c r="B49" s="32"/>
      <c r="C49" s="52"/>
      <c r="D49" s="34"/>
      <c r="E49" s="20"/>
    </row>
    <row r="50" customFormat="false" ht="15" hidden="false" customHeight="false" outlineLevel="0" collapsed="false">
      <c r="A50" s="52" t="s">
        <v>252</v>
      </c>
      <c r="B50" s="32" t="s">
        <v>253</v>
      </c>
      <c r="C50" s="23" t="s">
        <v>21</v>
      </c>
      <c r="D50" s="24" t="n">
        <v>1</v>
      </c>
      <c r="E50" s="20"/>
    </row>
    <row r="51" customFormat="false" ht="30" hidden="false" customHeight="false" outlineLevel="0" collapsed="false">
      <c r="A51" s="52" t="s">
        <v>254</v>
      </c>
      <c r="B51" s="32" t="s">
        <v>244</v>
      </c>
      <c r="C51" s="26" t="s">
        <v>21</v>
      </c>
      <c r="D51" s="27" t="n">
        <f aca="false">2*D50</f>
        <v>2</v>
      </c>
      <c r="E51" s="20"/>
    </row>
    <row r="52" customFormat="false" ht="15" hidden="false" customHeight="false" outlineLevel="0" collapsed="false">
      <c r="A52" s="52"/>
      <c r="B52" s="28" t="s">
        <v>153</v>
      </c>
      <c r="C52" s="28" t="s">
        <v>21</v>
      </c>
      <c r="D52" s="39" t="n">
        <f aca="false">D51</f>
        <v>2</v>
      </c>
      <c r="E52" s="20"/>
    </row>
    <row r="53" customFormat="false" ht="15" hidden="false" customHeight="false" outlineLevel="0" collapsed="false">
      <c r="A53" s="52"/>
      <c r="B53" s="28" t="s">
        <v>154</v>
      </c>
      <c r="C53" s="28" t="s">
        <v>21</v>
      </c>
      <c r="D53" s="39" t="n">
        <f aca="false">D51*2</f>
        <v>4</v>
      </c>
      <c r="E53" s="20"/>
    </row>
    <row r="54" customFormat="false" ht="15" hidden="false" customHeight="false" outlineLevel="0" collapsed="false">
      <c r="A54" s="52"/>
      <c r="B54" s="28" t="s">
        <v>255</v>
      </c>
      <c r="C54" s="28" t="s">
        <v>21</v>
      </c>
      <c r="D54" s="39" t="n">
        <f aca="false">D51</f>
        <v>2</v>
      </c>
      <c r="E54" s="20"/>
    </row>
    <row r="55" customFormat="false" ht="15" hidden="false" customHeight="false" outlineLevel="0" collapsed="false">
      <c r="A55" s="52" t="s">
        <v>256</v>
      </c>
      <c r="B55" s="32" t="s">
        <v>257</v>
      </c>
      <c r="C55" s="26" t="s">
        <v>21</v>
      </c>
      <c r="D55" s="24" t="n">
        <f aca="false">D56</f>
        <v>1</v>
      </c>
      <c r="E55" s="28" t="s">
        <v>258</v>
      </c>
    </row>
    <row r="56" customFormat="false" ht="16.5" hidden="false" customHeight="false" outlineLevel="0" collapsed="false">
      <c r="A56" s="52"/>
      <c r="B56" s="56" t="s">
        <v>259</v>
      </c>
      <c r="C56" s="57" t="s">
        <v>21</v>
      </c>
      <c r="D56" s="58" t="n">
        <v>1</v>
      </c>
      <c r="E56" s="28" t="s">
        <v>260</v>
      </c>
    </row>
    <row r="57" customFormat="false" ht="15" hidden="false" customHeight="false" outlineLevel="0" collapsed="false">
      <c r="A57" s="52"/>
      <c r="B57" s="59" t="s">
        <v>261</v>
      </c>
      <c r="C57" s="60" t="s">
        <v>28</v>
      </c>
      <c r="D57" s="34" t="n">
        <v>50</v>
      </c>
      <c r="E57" s="28" t="s">
        <v>262</v>
      </c>
    </row>
    <row r="58" customFormat="false" ht="15" hidden="false" customHeight="false" outlineLevel="0" collapsed="false">
      <c r="A58" s="52" t="s">
        <v>263</v>
      </c>
      <c r="B58" s="32" t="s">
        <v>107</v>
      </c>
      <c r="C58" s="26" t="s">
        <v>28</v>
      </c>
      <c r="D58" s="24" t="n">
        <f aca="false">3*D51</f>
        <v>6</v>
      </c>
      <c r="E58" s="28"/>
    </row>
    <row r="59" customFormat="false" ht="30" hidden="false" customHeight="false" outlineLevel="0" collapsed="false">
      <c r="A59" s="52" t="s">
        <v>264</v>
      </c>
      <c r="B59" s="32" t="s">
        <v>109</v>
      </c>
      <c r="C59" s="26" t="s">
        <v>110</v>
      </c>
      <c r="D59" s="26" t="n">
        <f aca="false">D58/100</f>
        <v>0.06</v>
      </c>
      <c r="E59" s="28"/>
    </row>
    <row r="60" customFormat="false" ht="15" hidden="false" customHeight="false" outlineLevel="0" collapsed="false">
      <c r="A60" s="52"/>
      <c r="B60" s="28" t="s">
        <v>111</v>
      </c>
      <c r="C60" s="28" t="s">
        <v>28</v>
      </c>
      <c r="D60" s="39" t="n">
        <f aca="false">3*D51</f>
        <v>6</v>
      </c>
      <c r="E60" s="28" t="s">
        <v>265</v>
      </c>
    </row>
    <row r="61" customFormat="false" ht="15" hidden="false" customHeight="false" outlineLevel="0" collapsed="false">
      <c r="A61" s="52" t="s">
        <v>266</v>
      </c>
      <c r="B61" s="32" t="s">
        <v>118</v>
      </c>
      <c r="C61" s="26" t="s">
        <v>21</v>
      </c>
      <c r="D61" s="27" t="n">
        <f aca="false">D60/0.5</f>
        <v>12</v>
      </c>
      <c r="E61" s="28" t="s">
        <v>267</v>
      </c>
    </row>
    <row r="62" customFormat="false" ht="15" hidden="false" customHeight="false" outlineLevel="0" collapsed="false">
      <c r="A62" s="52"/>
      <c r="B62" s="28" t="s">
        <v>120</v>
      </c>
      <c r="C62" s="28" t="s">
        <v>21</v>
      </c>
      <c r="D62" s="34" t="n">
        <f aca="false">D61</f>
        <v>12</v>
      </c>
      <c r="E62" s="28"/>
    </row>
    <row r="63" customFormat="false" ht="15" hidden="false" customHeight="false" outlineLevel="0" collapsed="false">
      <c r="A63" s="52"/>
      <c r="B63" s="28" t="s">
        <v>121</v>
      </c>
      <c r="C63" s="28" t="s">
        <v>21</v>
      </c>
      <c r="D63" s="34" t="n">
        <f aca="false">D62</f>
        <v>12</v>
      </c>
      <c r="E63" s="28"/>
    </row>
    <row r="64" customFormat="false" ht="15" hidden="false" customHeight="false" outlineLevel="0" collapsed="false">
      <c r="A64" s="52" t="s">
        <v>268</v>
      </c>
      <c r="B64" s="32" t="s">
        <v>123</v>
      </c>
      <c r="C64" s="26" t="s">
        <v>21</v>
      </c>
      <c r="D64" s="27" t="n">
        <f aca="false">D50*2</f>
        <v>2</v>
      </c>
      <c r="E64" s="28"/>
    </row>
    <row r="65" customFormat="false" ht="15" hidden="false" customHeight="false" outlineLevel="0" collapsed="false">
      <c r="A65" s="26"/>
      <c r="B65" s="28" t="s">
        <v>124</v>
      </c>
      <c r="C65" s="28" t="s">
        <v>28</v>
      </c>
      <c r="D65" s="39" t="n">
        <f aca="false">D64*0.2</f>
        <v>0.4</v>
      </c>
      <c r="E65" s="42" t="s">
        <v>125</v>
      </c>
    </row>
  </sheetData>
  <mergeCells count="2">
    <mergeCell ref="A1:E1"/>
    <mergeCell ref="A2:E2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5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35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G13" activeCellId="0" sqref="G13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103.42"/>
    <col collapsed="false" customWidth="true" hidden="false" outlineLevel="0" max="3" min="3" style="1" width="10"/>
    <col collapsed="false" customWidth="true" hidden="false" outlineLevel="0" max="4" min="4" style="1" width="12.86"/>
    <col collapsed="false" customWidth="true" hidden="false" outlineLevel="0" max="5" min="5" style="1" width="48.57"/>
  </cols>
  <sheetData>
    <row r="1" customFormat="false" ht="15" hidden="false" customHeight="false" outlineLevel="0" collapsed="false">
      <c r="A1" s="19" t="s">
        <v>269</v>
      </c>
      <c r="B1" s="19"/>
      <c r="C1" s="19"/>
      <c r="D1" s="19"/>
      <c r="E1" s="19"/>
    </row>
    <row r="2" customFormat="false" ht="15" hidden="false" customHeight="false" outlineLevel="0" collapsed="false">
      <c r="A2" s="20" t="s">
        <v>270</v>
      </c>
      <c r="B2" s="20"/>
      <c r="C2" s="20"/>
      <c r="D2" s="20"/>
      <c r="E2" s="20"/>
    </row>
    <row r="3" customFormat="false" ht="39" hidden="false" customHeight="true" outlineLevel="0" collapsed="false">
      <c r="A3" s="21" t="s">
        <v>14</v>
      </c>
      <c r="B3" s="21" t="s">
        <v>15</v>
      </c>
      <c r="C3" s="21" t="s">
        <v>16</v>
      </c>
      <c r="D3" s="21" t="s">
        <v>17</v>
      </c>
      <c r="E3" s="21" t="s">
        <v>18</v>
      </c>
    </row>
    <row r="4" customFormat="false" ht="15" hidden="false" customHeight="false" outlineLevel="0" collapsed="false">
      <c r="A4" s="25" t="s">
        <v>271</v>
      </c>
      <c r="B4" s="22" t="s">
        <v>129</v>
      </c>
      <c r="C4" s="23" t="s">
        <v>21</v>
      </c>
      <c r="D4" s="24" t="n">
        <v>1</v>
      </c>
      <c r="E4" s="28"/>
    </row>
    <row r="5" customFormat="false" ht="15" hidden="false" customHeight="false" outlineLevel="0" collapsed="false">
      <c r="A5" s="22"/>
      <c r="B5" s="28" t="s">
        <v>272</v>
      </c>
      <c r="C5" s="39" t="s">
        <v>21</v>
      </c>
      <c r="D5" s="39" t="n">
        <v>1</v>
      </c>
      <c r="E5" s="28" t="s">
        <v>273</v>
      </c>
    </row>
    <row r="6" customFormat="false" ht="15" hidden="false" customHeight="false" outlineLevel="0" collapsed="false">
      <c r="A6" s="22" t="s">
        <v>274</v>
      </c>
      <c r="B6" s="32" t="s">
        <v>133</v>
      </c>
      <c r="C6" s="32" t="s">
        <v>21</v>
      </c>
      <c r="D6" s="33" t="n">
        <v>12</v>
      </c>
      <c r="E6" s="28" t="s">
        <v>275</v>
      </c>
    </row>
    <row r="7" customFormat="false" ht="15" hidden="false" customHeight="false" outlineLevel="0" collapsed="false">
      <c r="A7" s="22" t="s">
        <v>276</v>
      </c>
      <c r="B7" s="32" t="s">
        <v>64</v>
      </c>
      <c r="C7" s="26" t="s">
        <v>65</v>
      </c>
      <c r="D7" s="27" t="n">
        <f aca="false">0.27</f>
        <v>0.27</v>
      </c>
      <c r="E7" s="28" t="s">
        <v>277</v>
      </c>
    </row>
    <row r="8" customFormat="false" ht="15" hidden="false" customHeight="false" outlineLevel="0" collapsed="false">
      <c r="A8" s="22" t="s">
        <v>278</v>
      </c>
      <c r="B8" s="32" t="s">
        <v>68</v>
      </c>
      <c r="C8" s="26" t="s">
        <v>65</v>
      </c>
      <c r="D8" s="27" t="n">
        <f aca="false">0.27</f>
        <v>0.27</v>
      </c>
      <c r="E8" s="28" t="s">
        <v>277</v>
      </c>
    </row>
    <row r="9" customFormat="false" ht="15" hidden="false" customHeight="false" outlineLevel="0" collapsed="false">
      <c r="A9" s="22" t="s">
        <v>279</v>
      </c>
      <c r="B9" s="32" t="s">
        <v>70</v>
      </c>
      <c r="C9" s="26" t="s">
        <v>71</v>
      </c>
      <c r="D9" s="26" t="n">
        <f aca="false">D8/100</f>
        <v>0.0027</v>
      </c>
      <c r="E9" s="28"/>
    </row>
    <row r="10" customFormat="false" ht="14.45" hidden="false" customHeight="false" outlineLevel="0" collapsed="false">
      <c r="A10" s="22" t="s">
        <v>155</v>
      </c>
      <c r="B10" s="32" t="s">
        <v>73</v>
      </c>
      <c r="C10" s="26" t="s">
        <v>71</v>
      </c>
      <c r="D10" s="26" t="n">
        <f aca="false">D8/100</f>
        <v>0.0027</v>
      </c>
      <c r="E10" s="20" t="s">
        <v>74</v>
      </c>
    </row>
    <row r="11" customFormat="false" ht="14.45" hidden="false" customHeight="false" outlineLevel="0" collapsed="false">
      <c r="A11" s="22" t="s">
        <v>157</v>
      </c>
      <c r="B11" s="32" t="s">
        <v>76</v>
      </c>
      <c r="C11" s="26" t="s">
        <v>71</v>
      </c>
      <c r="D11" s="26" t="n">
        <f aca="false">D8/100</f>
        <v>0.0027</v>
      </c>
      <c r="E11" s="20" t="s">
        <v>74</v>
      </c>
    </row>
    <row r="12" customFormat="false" ht="15" hidden="false" customHeight="false" outlineLevel="0" collapsed="false">
      <c r="A12" s="22" t="s">
        <v>280</v>
      </c>
      <c r="B12" s="32" t="s">
        <v>143</v>
      </c>
      <c r="C12" s="26" t="s">
        <v>21</v>
      </c>
      <c r="D12" s="27" t="n">
        <v>2</v>
      </c>
      <c r="E12" s="28" t="s">
        <v>144</v>
      </c>
    </row>
    <row r="13" customFormat="false" ht="15" hidden="false" customHeight="false" outlineLevel="0" collapsed="false">
      <c r="A13" s="22"/>
      <c r="B13" s="39" t="s">
        <v>281</v>
      </c>
      <c r="C13" s="39" t="s">
        <v>21</v>
      </c>
      <c r="D13" s="39" t="n">
        <v>1</v>
      </c>
      <c r="E13" s="28" t="s">
        <v>282</v>
      </c>
    </row>
    <row r="14" customFormat="false" ht="15" hidden="false" customHeight="false" outlineLevel="0" collapsed="false">
      <c r="A14" s="22"/>
      <c r="B14" s="43" t="s">
        <v>145</v>
      </c>
      <c r="C14" s="39" t="s">
        <v>21</v>
      </c>
      <c r="D14" s="39" t="n">
        <v>1</v>
      </c>
      <c r="E14" s="28"/>
    </row>
    <row r="15" customFormat="false" ht="15" hidden="false" customHeight="false" outlineLevel="0" collapsed="false">
      <c r="A15" s="22"/>
      <c r="B15" s="43" t="s">
        <v>146</v>
      </c>
      <c r="C15" s="39" t="s">
        <v>21</v>
      </c>
      <c r="D15" s="39" t="n">
        <v>1</v>
      </c>
      <c r="E15" s="28"/>
    </row>
    <row r="16" customFormat="false" ht="15" hidden="false" customHeight="false" outlineLevel="0" collapsed="false">
      <c r="A16" s="22"/>
      <c r="B16" s="28" t="s">
        <v>147</v>
      </c>
      <c r="C16" s="39" t="s">
        <v>21</v>
      </c>
      <c r="D16" s="39" t="n">
        <f aca="false">D13*4+D14*4</f>
        <v>8</v>
      </c>
      <c r="E16" s="28"/>
    </row>
    <row r="17" customFormat="false" ht="15" hidden="false" customHeight="false" outlineLevel="0" collapsed="false">
      <c r="A17" s="22"/>
      <c r="B17" s="28" t="s">
        <v>148</v>
      </c>
      <c r="C17" s="39" t="s">
        <v>21</v>
      </c>
      <c r="D17" s="39" t="n">
        <f aca="false">D16</f>
        <v>8</v>
      </c>
      <c r="E17" s="28"/>
    </row>
    <row r="18" customFormat="false" ht="15" hidden="false" customHeight="false" outlineLevel="0" collapsed="false">
      <c r="A18" s="22" t="s">
        <v>283</v>
      </c>
      <c r="B18" s="32" t="s">
        <v>150</v>
      </c>
      <c r="C18" s="26" t="s">
        <v>21</v>
      </c>
      <c r="D18" s="27" t="n">
        <v>1</v>
      </c>
      <c r="E18" s="28"/>
    </row>
    <row r="19" customFormat="false" ht="15" hidden="false" customHeight="false" outlineLevel="0" collapsed="false">
      <c r="A19" s="22" t="s">
        <v>284</v>
      </c>
      <c r="B19" s="32" t="s">
        <v>285</v>
      </c>
      <c r="C19" s="26" t="s">
        <v>21</v>
      </c>
      <c r="D19" s="27" t="n">
        <f aca="false">D4*4</f>
        <v>4</v>
      </c>
      <c r="E19" s="28"/>
    </row>
    <row r="20" customFormat="false" ht="15" hidden="false" customHeight="false" outlineLevel="0" collapsed="false">
      <c r="A20" s="22"/>
      <c r="B20" s="28" t="s">
        <v>153</v>
      </c>
      <c r="C20" s="28" t="s">
        <v>21</v>
      </c>
      <c r="D20" s="39" t="n">
        <f aca="false">D19</f>
        <v>4</v>
      </c>
      <c r="E20" s="28"/>
    </row>
    <row r="21" customFormat="false" ht="15" hidden="false" customHeight="false" outlineLevel="0" collapsed="false">
      <c r="A21" s="22"/>
      <c r="B21" s="28" t="s">
        <v>154</v>
      </c>
      <c r="C21" s="28" t="s">
        <v>21</v>
      </c>
      <c r="D21" s="39" t="n">
        <f aca="false">D19*3</f>
        <v>12</v>
      </c>
      <c r="E21" s="28"/>
    </row>
    <row r="22" customFormat="false" ht="15" hidden="true" customHeight="false" outlineLevel="0" collapsed="false">
      <c r="A22" s="44" t="s">
        <v>155</v>
      </c>
      <c r="B22" s="45" t="s">
        <v>156</v>
      </c>
      <c r="C22" s="46" t="s">
        <v>21</v>
      </c>
      <c r="D22" s="47" t="n">
        <v>1</v>
      </c>
      <c r="E22" s="48"/>
    </row>
    <row r="23" customFormat="false" ht="15" hidden="true" customHeight="false" outlineLevel="0" collapsed="false">
      <c r="A23" s="44" t="s">
        <v>157</v>
      </c>
      <c r="B23" s="45" t="s">
        <v>158</v>
      </c>
      <c r="C23" s="46" t="s">
        <v>21</v>
      </c>
      <c r="D23" s="47" t="n">
        <v>1</v>
      </c>
      <c r="E23" s="48"/>
    </row>
    <row r="24" customFormat="false" ht="15" hidden="false" customHeight="false" outlineLevel="0" collapsed="false">
      <c r="A24" s="22" t="s">
        <v>286</v>
      </c>
      <c r="B24" s="32" t="s">
        <v>287</v>
      </c>
      <c r="C24" s="26" t="s">
        <v>21</v>
      </c>
      <c r="D24" s="27" t="n">
        <v>1</v>
      </c>
      <c r="E24" s="49" t="s">
        <v>288</v>
      </c>
    </row>
    <row r="25" customFormat="false" ht="15" hidden="false" customHeight="false" outlineLevel="0" collapsed="false">
      <c r="A25" s="49"/>
      <c r="B25" s="49" t="s">
        <v>289</v>
      </c>
      <c r="C25" s="39" t="s">
        <v>21</v>
      </c>
      <c r="D25" s="39" t="n">
        <f aca="false">D24</f>
        <v>1</v>
      </c>
      <c r="E25" s="49"/>
    </row>
    <row r="26" customFormat="false" ht="15" hidden="false" customHeight="false" outlineLevel="0" collapsed="false">
      <c r="A26" s="20" t="s">
        <v>290</v>
      </c>
      <c r="B26" s="20"/>
      <c r="C26" s="20"/>
      <c r="D26" s="20"/>
      <c r="E26" s="20"/>
    </row>
    <row r="27" customFormat="false" ht="15" hidden="false" customHeight="false" outlineLevel="0" collapsed="false">
      <c r="A27" s="22" t="s">
        <v>291</v>
      </c>
      <c r="B27" s="22" t="s">
        <v>161</v>
      </c>
      <c r="C27" s="23" t="s">
        <v>21</v>
      </c>
      <c r="D27" s="24" t="n">
        <v>1</v>
      </c>
      <c r="E27" s="20"/>
    </row>
    <row r="28" customFormat="false" ht="15" hidden="false" customHeight="false" outlineLevel="0" collapsed="false">
      <c r="A28" s="22" t="s">
        <v>292</v>
      </c>
      <c r="B28" s="25" t="s">
        <v>24</v>
      </c>
      <c r="C28" s="26" t="s">
        <v>25</v>
      </c>
      <c r="D28" s="27" t="n">
        <f aca="false">0.05*1</f>
        <v>0.05</v>
      </c>
      <c r="E28" s="28" t="s">
        <v>163</v>
      </c>
    </row>
    <row r="29" customFormat="false" ht="15" hidden="false" customHeight="false" outlineLevel="0" collapsed="false">
      <c r="A29" s="30"/>
      <c r="B29" s="49" t="s">
        <v>164</v>
      </c>
      <c r="C29" s="39" t="s">
        <v>28</v>
      </c>
      <c r="D29" s="39" t="n">
        <v>3</v>
      </c>
      <c r="E29" s="20" t="s">
        <v>165</v>
      </c>
    </row>
    <row r="30" customFormat="false" ht="15" hidden="false" customHeight="false" outlineLevel="0" collapsed="false">
      <c r="A30" s="22" t="s">
        <v>293</v>
      </c>
      <c r="B30" s="32" t="s">
        <v>41</v>
      </c>
      <c r="C30" s="26" t="s">
        <v>42</v>
      </c>
      <c r="D30" s="50" t="n">
        <f aca="false">(4.68)/1000</f>
        <v>0.00468</v>
      </c>
      <c r="E30" s="28" t="s">
        <v>167</v>
      </c>
    </row>
    <row r="31" customFormat="false" ht="15" hidden="false" customHeight="false" outlineLevel="0" collapsed="false">
      <c r="A31" s="22" t="s">
        <v>294</v>
      </c>
      <c r="B31" s="32" t="s">
        <v>64</v>
      </c>
      <c r="C31" s="26" t="s">
        <v>65</v>
      </c>
      <c r="D31" s="27" t="n">
        <f aca="false">0.3</f>
        <v>0.3</v>
      </c>
      <c r="E31" s="28"/>
    </row>
    <row r="32" customFormat="false" ht="15" hidden="false" customHeight="false" outlineLevel="0" collapsed="false">
      <c r="A32" s="22" t="s">
        <v>295</v>
      </c>
      <c r="B32" s="32" t="s">
        <v>68</v>
      </c>
      <c r="C32" s="26" t="s">
        <v>65</v>
      </c>
      <c r="D32" s="27" t="n">
        <f aca="false">D31</f>
        <v>0.3</v>
      </c>
      <c r="E32" s="28"/>
    </row>
    <row r="33" customFormat="false" ht="15" hidden="false" customHeight="false" outlineLevel="0" collapsed="false">
      <c r="A33" s="22" t="s">
        <v>296</v>
      </c>
      <c r="B33" s="32" t="s">
        <v>70</v>
      </c>
      <c r="C33" s="26" t="s">
        <v>71</v>
      </c>
      <c r="D33" s="26" t="n">
        <f aca="false">D32/100</f>
        <v>0.003</v>
      </c>
      <c r="E33" s="28"/>
    </row>
    <row r="34" customFormat="false" ht="14.45" hidden="false" customHeight="false" outlineLevel="0" collapsed="false">
      <c r="A34" s="22" t="s">
        <v>297</v>
      </c>
      <c r="B34" s="32" t="s">
        <v>73</v>
      </c>
      <c r="C34" s="26" t="s">
        <v>71</v>
      </c>
      <c r="D34" s="26" t="n">
        <f aca="false">D32/100</f>
        <v>0.003</v>
      </c>
      <c r="E34" s="20" t="s">
        <v>74</v>
      </c>
    </row>
    <row r="35" customFormat="false" ht="14.45" hidden="false" customHeight="false" outlineLevel="0" collapsed="false">
      <c r="A35" s="22" t="s">
        <v>298</v>
      </c>
      <c r="B35" s="32" t="s">
        <v>76</v>
      </c>
      <c r="C35" s="26" t="s">
        <v>71</v>
      </c>
      <c r="D35" s="26" t="n">
        <f aca="false">D32/100</f>
        <v>0.003</v>
      </c>
      <c r="E35" s="20" t="s">
        <v>74</v>
      </c>
    </row>
  </sheetData>
  <mergeCells count="3">
    <mergeCell ref="A1:E1"/>
    <mergeCell ref="A2:E2"/>
    <mergeCell ref="A26:E2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5" man="true" max="65535" min="0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20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B32" activeCellId="0" sqref="B32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103.42"/>
    <col collapsed="false" customWidth="true" hidden="false" outlineLevel="0" max="3" min="3" style="1" width="10"/>
    <col collapsed="false" customWidth="true" hidden="false" outlineLevel="0" max="4" min="4" style="1" width="12.86"/>
    <col collapsed="false" customWidth="true" hidden="false" outlineLevel="0" max="5" min="5" style="1" width="48.57"/>
  </cols>
  <sheetData>
    <row r="1" customFormat="false" ht="15" hidden="false" customHeight="true" outlineLevel="0" collapsed="false">
      <c r="A1" s="61" t="s">
        <v>299</v>
      </c>
      <c r="B1" s="61"/>
      <c r="C1" s="61"/>
      <c r="D1" s="61"/>
      <c r="E1" s="61"/>
    </row>
    <row r="2" customFormat="false" ht="15" hidden="false" customHeight="true" outlineLevel="0" collapsed="false">
      <c r="A2" s="61" t="s">
        <v>300</v>
      </c>
      <c r="B2" s="61"/>
      <c r="C2" s="61"/>
      <c r="D2" s="61"/>
      <c r="E2" s="61"/>
    </row>
    <row r="3" customFormat="false" ht="36" hidden="false" customHeight="true" outlineLevel="0" collapsed="false">
      <c r="A3" s="21" t="s">
        <v>14</v>
      </c>
      <c r="B3" s="21" t="s">
        <v>15</v>
      </c>
      <c r="C3" s="21" t="s">
        <v>16</v>
      </c>
      <c r="D3" s="21" t="s">
        <v>17</v>
      </c>
      <c r="E3" s="21" t="s">
        <v>18</v>
      </c>
    </row>
    <row r="4" customFormat="false" ht="15" hidden="false" customHeight="false" outlineLevel="0" collapsed="false">
      <c r="A4" s="25" t="s">
        <v>301</v>
      </c>
      <c r="B4" s="32" t="s">
        <v>302</v>
      </c>
      <c r="C4" s="26" t="s">
        <v>303</v>
      </c>
      <c r="D4" s="27" t="n">
        <v>10</v>
      </c>
      <c r="E4" s="26" t="s">
        <v>304</v>
      </c>
    </row>
    <row r="5" customFormat="false" ht="15" hidden="false" customHeight="false" outlineLevel="0" collapsed="false">
      <c r="A5" s="62"/>
      <c r="B5" s="28" t="s">
        <v>305</v>
      </c>
      <c r="C5" s="28" t="s">
        <v>28</v>
      </c>
      <c r="D5" s="39" t="n">
        <f aca="false">D4</f>
        <v>10</v>
      </c>
      <c r="E5" s="28"/>
    </row>
    <row r="6" customFormat="false" ht="15" hidden="false" customHeight="false" outlineLevel="0" collapsed="false">
      <c r="A6" s="25" t="s">
        <v>306</v>
      </c>
      <c r="B6" s="32" t="s">
        <v>307</v>
      </c>
      <c r="C6" s="26" t="s">
        <v>303</v>
      </c>
      <c r="D6" s="27" t="n">
        <f aca="false">D4</f>
        <v>10</v>
      </c>
      <c r="E6" s="26" t="s">
        <v>304</v>
      </c>
    </row>
    <row r="7" customFormat="false" ht="15" hidden="false" customHeight="false" outlineLevel="0" collapsed="false">
      <c r="A7" s="25" t="s">
        <v>308</v>
      </c>
      <c r="B7" s="32" t="s">
        <v>118</v>
      </c>
      <c r="C7" s="26" t="s">
        <v>21</v>
      </c>
      <c r="D7" s="27" t="n">
        <f aca="false">ROUNDUP(D6/0.3,0)</f>
        <v>34</v>
      </c>
      <c r="E7" s="26" t="s">
        <v>304</v>
      </c>
    </row>
    <row r="8" customFormat="false" ht="15" hidden="false" customHeight="false" outlineLevel="0" collapsed="false">
      <c r="A8" s="63"/>
      <c r="B8" s="28" t="s">
        <v>120</v>
      </c>
      <c r="C8" s="28" t="s">
        <v>21</v>
      </c>
      <c r="D8" s="39" t="n">
        <f aca="false">D7</f>
        <v>34</v>
      </c>
      <c r="E8" s="64"/>
    </row>
    <row r="9" customFormat="false" ht="15" hidden="false" customHeight="false" outlineLevel="0" collapsed="false">
      <c r="A9" s="63"/>
      <c r="B9" s="28" t="s">
        <v>121</v>
      </c>
      <c r="C9" s="28" t="s">
        <v>21</v>
      </c>
      <c r="D9" s="39" t="n">
        <f aca="false">D7</f>
        <v>34</v>
      </c>
      <c r="E9" s="64"/>
    </row>
    <row r="10" customFormat="false" ht="15" hidden="false" customHeight="false" outlineLevel="0" collapsed="false">
      <c r="A10" s="63"/>
      <c r="B10" s="28" t="s">
        <v>111</v>
      </c>
      <c r="C10" s="28" t="s">
        <v>28</v>
      </c>
      <c r="D10" s="39" t="n">
        <f aca="false">D4</f>
        <v>10</v>
      </c>
      <c r="E10" s="64"/>
    </row>
    <row r="11" customFormat="false" ht="15" hidden="false" customHeight="false" outlineLevel="0" collapsed="false">
      <c r="A11" s="25" t="s">
        <v>309</v>
      </c>
      <c r="B11" s="32" t="s">
        <v>310</v>
      </c>
      <c r="C11" s="26" t="s">
        <v>21</v>
      </c>
      <c r="D11" s="27" t="n">
        <v>2</v>
      </c>
      <c r="E11" s="26" t="s">
        <v>311</v>
      </c>
    </row>
    <row r="12" customFormat="false" ht="15" hidden="false" customHeight="false" outlineLevel="0" collapsed="false">
      <c r="A12" s="25" t="s">
        <v>312</v>
      </c>
      <c r="B12" s="32" t="s">
        <v>313</v>
      </c>
      <c r="C12" s="26" t="s">
        <v>21</v>
      </c>
      <c r="D12" s="27" t="n">
        <f aca="false">D11*4</f>
        <v>8</v>
      </c>
      <c r="E12" s="26" t="s">
        <v>304</v>
      </c>
    </row>
    <row r="13" customFormat="false" ht="15" hidden="false" customHeight="false" outlineLevel="0" collapsed="false">
      <c r="A13" s="25"/>
      <c r="B13" s="28" t="s">
        <v>314</v>
      </c>
      <c r="C13" s="28" t="s">
        <v>21</v>
      </c>
      <c r="D13" s="39" t="n">
        <f aca="false">D11*4</f>
        <v>8</v>
      </c>
      <c r="E13" s="26"/>
    </row>
    <row r="14" customFormat="false" ht="15" hidden="true" customHeight="false" outlineLevel="0" collapsed="false">
      <c r="A14" s="25" t="s">
        <v>315</v>
      </c>
      <c r="B14" s="32" t="s">
        <v>316</v>
      </c>
      <c r="C14" s="32" t="s">
        <v>21</v>
      </c>
      <c r="D14" s="33" t="n">
        <v>13</v>
      </c>
      <c r="E14" s="26" t="s">
        <v>317</v>
      </c>
    </row>
    <row r="15" customFormat="false" ht="15" hidden="false" customHeight="false" outlineLevel="0" collapsed="false">
      <c r="A15" s="25" t="s">
        <v>318</v>
      </c>
      <c r="B15" s="32" t="s">
        <v>319</v>
      </c>
      <c r="C15" s="26" t="s">
        <v>21</v>
      </c>
      <c r="D15" s="27" t="n">
        <v>2</v>
      </c>
      <c r="E15" s="42" t="s">
        <v>304</v>
      </c>
    </row>
    <row r="16" customFormat="false" ht="15" hidden="false" customHeight="false" outlineLevel="0" collapsed="false">
      <c r="A16" s="62"/>
      <c r="B16" s="28" t="s">
        <v>320</v>
      </c>
      <c r="C16" s="28" t="s">
        <v>21</v>
      </c>
      <c r="D16" s="39" t="n">
        <f aca="false">2+2+120/30</f>
        <v>8</v>
      </c>
      <c r="E16" s="42"/>
    </row>
    <row r="17" customFormat="false" ht="15" hidden="false" customHeight="false" outlineLevel="0" collapsed="false">
      <c r="A17" s="62"/>
      <c r="B17" s="28" t="s">
        <v>321</v>
      </c>
      <c r="C17" s="28" t="s">
        <v>21</v>
      </c>
      <c r="D17" s="39" t="n">
        <v>8</v>
      </c>
      <c r="E17" s="42"/>
    </row>
    <row r="18" customFormat="false" ht="15" hidden="false" customHeight="false" outlineLevel="0" collapsed="false">
      <c r="A18" s="25" t="s">
        <v>322</v>
      </c>
      <c r="B18" s="32" t="s">
        <v>323</v>
      </c>
      <c r="C18" s="26" t="s">
        <v>21</v>
      </c>
      <c r="D18" s="27" t="n">
        <v>2</v>
      </c>
      <c r="E18" s="42"/>
    </row>
    <row r="19" customFormat="false" ht="15" hidden="false" customHeight="false" outlineLevel="0" collapsed="false">
      <c r="A19" s="65"/>
      <c r="B19" s="28" t="s">
        <v>124</v>
      </c>
      <c r="C19" s="28" t="s">
        <v>28</v>
      </c>
      <c r="D19" s="39" t="n">
        <f aca="false">D18*0.2</f>
        <v>0.4</v>
      </c>
      <c r="E19" s="42" t="s">
        <v>125</v>
      </c>
    </row>
    <row r="20" customFormat="false" ht="15" hidden="false" customHeight="false" outlineLevel="0" collapsed="false">
      <c r="A20" s="66" t="s">
        <v>324</v>
      </c>
      <c r="B20" s="67" t="s">
        <v>325</v>
      </c>
      <c r="C20" s="68" t="s">
        <v>21</v>
      </c>
      <c r="D20" s="69" t="n">
        <v>1</v>
      </c>
      <c r="E20" s="70" t="s">
        <v>326</v>
      </c>
    </row>
  </sheetData>
  <mergeCells count="2">
    <mergeCell ref="A1:E1"/>
    <mergeCell ref="A2:E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5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22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C40" activeCellId="0" sqref="C40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103.42"/>
    <col collapsed="false" customWidth="true" hidden="false" outlineLevel="0" max="3" min="3" style="1" width="10"/>
    <col collapsed="false" customWidth="true" hidden="false" outlineLevel="0" max="4" min="4" style="1" width="12.86"/>
    <col collapsed="false" customWidth="true" hidden="false" outlineLevel="0" max="5" min="5" style="1" width="48.57"/>
  </cols>
  <sheetData>
    <row r="1" customFormat="false" ht="15" hidden="false" customHeight="true" outlineLevel="0" collapsed="false">
      <c r="A1" s="61" t="s">
        <v>327</v>
      </c>
      <c r="B1" s="61"/>
      <c r="C1" s="61"/>
      <c r="D1" s="61"/>
      <c r="E1" s="61"/>
    </row>
    <row r="2" customFormat="false" ht="15" hidden="false" customHeight="true" outlineLevel="0" collapsed="false">
      <c r="A2" s="61" t="s">
        <v>328</v>
      </c>
      <c r="B2" s="61"/>
      <c r="C2" s="61"/>
      <c r="D2" s="61"/>
      <c r="E2" s="61"/>
    </row>
    <row r="3" customFormat="false" ht="41.25" hidden="false" customHeight="true" outlineLevel="0" collapsed="false">
      <c r="A3" s="21" t="s">
        <v>14</v>
      </c>
      <c r="B3" s="21" t="s">
        <v>15</v>
      </c>
      <c r="C3" s="21" t="s">
        <v>16</v>
      </c>
      <c r="D3" s="21" t="s">
        <v>17</v>
      </c>
      <c r="E3" s="21" t="s">
        <v>18</v>
      </c>
    </row>
    <row r="4" customFormat="false" ht="15" hidden="false" customHeight="false" outlineLevel="0" collapsed="false">
      <c r="A4" s="25" t="s">
        <v>329</v>
      </c>
      <c r="B4" s="32" t="s">
        <v>302</v>
      </c>
      <c r="C4" s="26" t="s">
        <v>303</v>
      </c>
      <c r="D4" s="27" t="n">
        <f aca="false">120+30+30</f>
        <v>180</v>
      </c>
      <c r="E4" s="26" t="s">
        <v>304</v>
      </c>
    </row>
    <row r="5" customFormat="false" ht="15" hidden="false" customHeight="false" outlineLevel="0" collapsed="false">
      <c r="A5" s="62"/>
      <c r="B5" s="28" t="s">
        <v>305</v>
      </c>
      <c r="C5" s="28" t="s">
        <v>28</v>
      </c>
      <c r="D5" s="39" t="n">
        <f aca="false">D4</f>
        <v>180</v>
      </c>
      <c r="E5" s="28"/>
    </row>
    <row r="6" customFormat="false" ht="15" hidden="false" customHeight="false" outlineLevel="0" collapsed="false">
      <c r="A6" s="25" t="s">
        <v>330</v>
      </c>
      <c r="B6" s="32" t="s">
        <v>307</v>
      </c>
      <c r="C6" s="26" t="s">
        <v>303</v>
      </c>
      <c r="D6" s="27" t="n">
        <f aca="false">D4</f>
        <v>180</v>
      </c>
      <c r="E6" s="26" t="s">
        <v>304</v>
      </c>
    </row>
    <row r="7" customFormat="false" ht="15" hidden="false" customHeight="false" outlineLevel="0" collapsed="false">
      <c r="A7" s="25" t="s">
        <v>331</v>
      </c>
      <c r="B7" s="32" t="s">
        <v>118</v>
      </c>
      <c r="C7" s="26" t="s">
        <v>21</v>
      </c>
      <c r="D7" s="27" t="n">
        <f aca="false">ROUNDUP(D6/0.3,0)</f>
        <v>600</v>
      </c>
      <c r="E7" s="26" t="s">
        <v>304</v>
      </c>
    </row>
    <row r="8" customFormat="false" ht="15" hidden="false" customHeight="false" outlineLevel="0" collapsed="false">
      <c r="A8" s="63"/>
      <c r="B8" s="28" t="s">
        <v>120</v>
      </c>
      <c r="C8" s="28" t="s">
        <v>21</v>
      </c>
      <c r="D8" s="39" t="n">
        <f aca="false">D7</f>
        <v>600</v>
      </c>
      <c r="E8" s="64"/>
    </row>
    <row r="9" customFormat="false" ht="15" hidden="false" customHeight="false" outlineLevel="0" collapsed="false">
      <c r="A9" s="63"/>
      <c r="B9" s="28" t="s">
        <v>121</v>
      </c>
      <c r="C9" s="28" t="s">
        <v>21</v>
      </c>
      <c r="D9" s="39" t="n">
        <f aca="false">D7</f>
        <v>600</v>
      </c>
      <c r="E9" s="64"/>
    </row>
    <row r="10" customFormat="false" ht="15" hidden="false" customHeight="false" outlineLevel="0" collapsed="false">
      <c r="A10" s="63"/>
      <c r="B10" s="28" t="s">
        <v>111</v>
      </c>
      <c r="C10" s="28" t="s">
        <v>28</v>
      </c>
      <c r="D10" s="39" t="n">
        <f aca="false">D4</f>
        <v>180</v>
      </c>
      <c r="E10" s="64"/>
    </row>
    <row r="11" customFormat="false" ht="15" hidden="false" customHeight="false" outlineLevel="0" collapsed="false">
      <c r="A11" s="63"/>
      <c r="B11" s="28" t="s">
        <v>332</v>
      </c>
      <c r="C11" s="28" t="s">
        <v>21</v>
      </c>
      <c r="D11" s="39" t="n">
        <f aca="false">ROUNDUP(120/100,0)</f>
        <v>2</v>
      </c>
      <c r="E11" s="64"/>
    </row>
    <row r="12" customFormat="false" ht="15" hidden="false" customHeight="false" outlineLevel="0" collapsed="false">
      <c r="A12" s="63"/>
      <c r="B12" s="28" t="s">
        <v>333</v>
      </c>
      <c r="C12" s="28" t="s">
        <v>21</v>
      </c>
      <c r="D12" s="39" t="n">
        <f aca="false">D11</f>
        <v>2</v>
      </c>
      <c r="E12" s="64"/>
    </row>
    <row r="13" customFormat="false" ht="15" hidden="false" customHeight="false" outlineLevel="0" collapsed="false">
      <c r="A13" s="25" t="s">
        <v>334</v>
      </c>
      <c r="B13" s="32" t="s">
        <v>310</v>
      </c>
      <c r="C13" s="26" t="s">
        <v>21</v>
      </c>
      <c r="D13" s="27" t="n">
        <v>6</v>
      </c>
      <c r="E13" s="26" t="s">
        <v>311</v>
      </c>
    </row>
    <row r="14" customFormat="false" ht="15" hidden="false" customHeight="false" outlineLevel="0" collapsed="false">
      <c r="A14" s="25" t="s">
        <v>335</v>
      </c>
      <c r="B14" s="32" t="s">
        <v>313</v>
      </c>
      <c r="C14" s="26" t="s">
        <v>21</v>
      </c>
      <c r="D14" s="27" t="n">
        <f aca="false">D13*4</f>
        <v>24</v>
      </c>
      <c r="E14" s="26" t="s">
        <v>304</v>
      </c>
    </row>
    <row r="15" customFormat="false" ht="15" hidden="false" customHeight="false" outlineLevel="0" collapsed="false">
      <c r="A15" s="25"/>
      <c r="B15" s="28" t="s">
        <v>314</v>
      </c>
      <c r="C15" s="28" t="s">
        <v>21</v>
      </c>
      <c r="D15" s="39" t="n">
        <f aca="false">D13*4</f>
        <v>24</v>
      </c>
      <c r="E15" s="26"/>
    </row>
    <row r="16" customFormat="false" ht="15" hidden="true" customHeight="false" outlineLevel="0" collapsed="false">
      <c r="A16" s="25" t="s">
        <v>315</v>
      </c>
      <c r="B16" s="32" t="s">
        <v>316</v>
      </c>
      <c r="C16" s="32" t="s">
        <v>21</v>
      </c>
      <c r="D16" s="33" t="n">
        <v>13</v>
      </c>
      <c r="E16" s="26" t="s">
        <v>317</v>
      </c>
    </row>
    <row r="17" customFormat="false" ht="15" hidden="false" customHeight="false" outlineLevel="0" collapsed="false">
      <c r="A17" s="25" t="s">
        <v>336</v>
      </c>
      <c r="B17" s="32" t="s">
        <v>319</v>
      </c>
      <c r="C17" s="26" t="s">
        <v>21</v>
      </c>
      <c r="D17" s="27" t="n">
        <f aca="false">D18</f>
        <v>8</v>
      </c>
      <c r="E17" s="42" t="s">
        <v>304</v>
      </c>
    </row>
    <row r="18" customFormat="false" ht="15" hidden="false" customHeight="false" outlineLevel="0" collapsed="false">
      <c r="A18" s="62"/>
      <c r="B18" s="28" t="s">
        <v>320</v>
      </c>
      <c r="C18" s="28" t="s">
        <v>21</v>
      </c>
      <c r="D18" s="39" t="n">
        <f aca="false">2+2+120/30</f>
        <v>8</v>
      </c>
      <c r="E18" s="42"/>
    </row>
    <row r="19" customFormat="false" ht="15" hidden="false" customHeight="false" outlineLevel="0" collapsed="false">
      <c r="A19" s="62"/>
      <c r="B19" s="28" t="s">
        <v>321</v>
      </c>
      <c r="C19" s="28" t="s">
        <v>21</v>
      </c>
      <c r="D19" s="39" t="n">
        <f aca="false">D17</f>
        <v>8</v>
      </c>
      <c r="E19" s="42"/>
    </row>
    <row r="20" customFormat="false" ht="15" hidden="false" customHeight="false" outlineLevel="0" collapsed="false">
      <c r="A20" s="25" t="s">
        <v>337</v>
      </c>
      <c r="B20" s="32" t="s">
        <v>323</v>
      </c>
      <c r="C20" s="26" t="s">
        <v>21</v>
      </c>
      <c r="D20" s="27" t="n">
        <v>6</v>
      </c>
      <c r="E20" s="42"/>
    </row>
    <row r="21" customFormat="false" ht="15" hidden="false" customHeight="false" outlineLevel="0" collapsed="false">
      <c r="A21" s="65"/>
      <c r="B21" s="28" t="s">
        <v>124</v>
      </c>
      <c r="C21" s="28" t="s">
        <v>28</v>
      </c>
      <c r="D21" s="39" t="n">
        <f aca="false">D20*0.2</f>
        <v>1.2</v>
      </c>
      <c r="E21" s="42" t="s">
        <v>125</v>
      </c>
    </row>
    <row r="22" customFormat="false" ht="15" hidden="false" customHeight="false" outlineLevel="0" collapsed="false">
      <c r="A22" s="66" t="s">
        <v>338</v>
      </c>
      <c r="B22" s="67" t="s">
        <v>325</v>
      </c>
      <c r="C22" s="68" t="s">
        <v>21</v>
      </c>
      <c r="D22" s="69" t="n">
        <v>3</v>
      </c>
      <c r="E22" s="70" t="s">
        <v>326</v>
      </c>
    </row>
  </sheetData>
  <mergeCells count="2">
    <mergeCell ref="A1:E1"/>
    <mergeCell ref="A2:E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5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20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C36" activeCellId="0" sqref="C36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103.42"/>
    <col collapsed="false" customWidth="true" hidden="false" outlineLevel="0" max="3" min="3" style="1" width="10"/>
    <col collapsed="false" customWidth="true" hidden="false" outlineLevel="0" max="4" min="4" style="1" width="12.86"/>
    <col collapsed="false" customWidth="true" hidden="false" outlineLevel="0" max="5" min="5" style="1" width="48.57"/>
  </cols>
  <sheetData>
    <row r="1" customFormat="false" ht="15" hidden="false" customHeight="true" outlineLevel="0" collapsed="false">
      <c r="A1" s="61" t="s">
        <v>339</v>
      </c>
      <c r="B1" s="61"/>
      <c r="C1" s="61"/>
      <c r="D1" s="61"/>
      <c r="E1" s="61"/>
    </row>
    <row r="2" customFormat="false" ht="15" hidden="false" customHeight="true" outlineLevel="0" collapsed="false">
      <c r="A2" s="61" t="s">
        <v>340</v>
      </c>
      <c r="B2" s="61"/>
      <c r="C2" s="61"/>
      <c r="D2" s="61"/>
      <c r="E2" s="61"/>
    </row>
    <row r="3" customFormat="false" ht="38.25" hidden="false" customHeight="true" outlineLevel="0" collapsed="false">
      <c r="A3" s="21" t="s">
        <v>14</v>
      </c>
      <c r="B3" s="21" t="s">
        <v>15</v>
      </c>
      <c r="C3" s="21" t="s">
        <v>16</v>
      </c>
      <c r="D3" s="21" t="s">
        <v>17</v>
      </c>
      <c r="E3" s="21" t="s">
        <v>18</v>
      </c>
    </row>
    <row r="4" customFormat="false" ht="15" hidden="false" customHeight="false" outlineLevel="0" collapsed="false">
      <c r="A4" s="25" t="s">
        <v>341</v>
      </c>
      <c r="B4" s="32" t="s">
        <v>302</v>
      </c>
      <c r="C4" s="26" t="s">
        <v>303</v>
      </c>
      <c r="D4" s="27" t="n">
        <f aca="false">10+90+90</f>
        <v>190</v>
      </c>
      <c r="E4" s="26" t="s">
        <v>304</v>
      </c>
    </row>
    <row r="5" customFormat="false" ht="15" hidden="false" customHeight="false" outlineLevel="0" collapsed="false">
      <c r="A5" s="62"/>
      <c r="B5" s="28" t="s">
        <v>305</v>
      </c>
      <c r="C5" s="28" t="s">
        <v>28</v>
      </c>
      <c r="D5" s="39" t="n">
        <f aca="false">D4</f>
        <v>190</v>
      </c>
      <c r="E5" s="28"/>
    </row>
    <row r="6" customFormat="false" ht="15" hidden="false" customHeight="false" outlineLevel="0" collapsed="false">
      <c r="A6" s="25" t="s">
        <v>342</v>
      </c>
      <c r="B6" s="32" t="s">
        <v>307</v>
      </c>
      <c r="C6" s="26" t="s">
        <v>303</v>
      </c>
      <c r="D6" s="27" t="n">
        <f aca="false">D4</f>
        <v>190</v>
      </c>
      <c r="E6" s="26" t="s">
        <v>304</v>
      </c>
    </row>
    <row r="7" customFormat="false" ht="15" hidden="false" customHeight="false" outlineLevel="0" collapsed="false">
      <c r="A7" s="25" t="s">
        <v>343</v>
      </c>
      <c r="B7" s="32" t="s">
        <v>118</v>
      </c>
      <c r="C7" s="26" t="s">
        <v>21</v>
      </c>
      <c r="D7" s="27" t="n">
        <f aca="false">ROUNDUP(D6/0.3,0)</f>
        <v>634</v>
      </c>
      <c r="E7" s="26" t="s">
        <v>304</v>
      </c>
    </row>
    <row r="8" customFormat="false" ht="15" hidden="false" customHeight="false" outlineLevel="0" collapsed="false">
      <c r="A8" s="63"/>
      <c r="B8" s="28" t="s">
        <v>120</v>
      </c>
      <c r="C8" s="28" t="s">
        <v>21</v>
      </c>
      <c r="D8" s="39" t="n">
        <f aca="false">D7</f>
        <v>634</v>
      </c>
      <c r="E8" s="64"/>
    </row>
    <row r="9" customFormat="false" ht="15" hidden="false" customHeight="false" outlineLevel="0" collapsed="false">
      <c r="A9" s="63"/>
      <c r="B9" s="28" t="s">
        <v>121</v>
      </c>
      <c r="C9" s="28" t="s">
        <v>21</v>
      </c>
      <c r="D9" s="39" t="n">
        <f aca="false">D7</f>
        <v>634</v>
      </c>
      <c r="E9" s="64"/>
    </row>
    <row r="10" customFormat="false" ht="15" hidden="false" customHeight="false" outlineLevel="0" collapsed="false">
      <c r="A10" s="63"/>
      <c r="B10" s="28" t="s">
        <v>111</v>
      </c>
      <c r="C10" s="28" t="s">
        <v>28</v>
      </c>
      <c r="D10" s="39" t="n">
        <f aca="false">D4</f>
        <v>190</v>
      </c>
      <c r="E10" s="64"/>
    </row>
    <row r="11" customFormat="false" ht="15" hidden="false" customHeight="false" outlineLevel="0" collapsed="false">
      <c r="A11" s="25" t="s">
        <v>344</v>
      </c>
      <c r="B11" s="32" t="s">
        <v>310</v>
      </c>
      <c r="C11" s="26" t="s">
        <v>21</v>
      </c>
      <c r="D11" s="27" t="n">
        <v>6</v>
      </c>
      <c r="E11" s="26" t="s">
        <v>311</v>
      </c>
    </row>
    <row r="12" customFormat="false" ht="15" hidden="false" customHeight="false" outlineLevel="0" collapsed="false">
      <c r="A12" s="25" t="s">
        <v>345</v>
      </c>
      <c r="B12" s="32" t="s">
        <v>313</v>
      </c>
      <c r="C12" s="26" t="s">
        <v>21</v>
      </c>
      <c r="D12" s="27" t="n">
        <f aca="false">D11*4</f>
        <v>24</v>
      </c>
      <c r="E12" s="26" t="s">
        <v>304</v>
      </c>
    </row>
    <row r="13" customFormat="false" ht="15" hidden="false" customHeight="false" outlineLevel="0" collapsed="false">
      <c r="A13" s="25"/>
      <c r="B13" s="28" t="s">
        <v>314</v>
      </c>
      <c r="C13" s="28" t="s">
        <v>21</v>
      </c>
      <c r="D13" s="39" t="n">
        <f aca="false">D11*4</f>
        <v>24</v>
      </c>
      <c r="E13" s="26"/>
    </row>
    <row r="14" customFormat="false" ht="15" hidden="true" customHeight="false" outlineLevel="0" collapsed="false">
      <c r="A14" s="25" t="s">
        <v>315</v>
      </c>
      <c r="B14" s="32" t="s">
        <v>316</v>
      </c>
      <c r="C14" s="32" t="s">
        <v>21</v>
      </c>
      <c r="D14" s="33" t="n">
        <v>13</v>
      </c>
      <c r="E14" s="26" t="s">
        <v>317</v>
      </c>
    </row>
    <row r="15" customFormat="false" ht="15" hidden="false" customHeight="false" outlineLevel="0" collapsed="false">
      <c r="A15" s="25" t="s">
        <v>346</v>
      </c>
      <c r="B15" s="32" t="s">
        <v>319</v>
      </c>
      <c r="C15" s="26" t="s">
        <v>21</v>
      </c>
      <c r="D15" s="27" t="n">
        <f aca="false">D16</f>
        <v>9</v>
      </c>
      <c r="E15" s="42" t="s">
        <v>304</v>
      </c>
    </row>
    <row r="16" customFormat="false" ht="15" hidden="false" customHeight="false" outlineLevel="0" collapsed="false">
      <c r="A16" s="62"/>
      <c r="B16" s="28" t="s">
        <v>320</v>
      </c>
      <c r="C16" s="28" t="s">
        <v>21</v>
      </c>
      <c r="D16" s="39" t="n">
        <f aca="false">90/30*3</f>
        <v>9</v>
      </c>
      <c r="E16" s="42"/>
    </row>
    <row r="17" customFormat="false" ht="15" hidden="false" customHeight="false" outlineLevel="0" collapsed="false">
      <c r="A17" s="62"/>
      <c r="B17" s="28" t="s">
        <v>321</v>
      </c>
      <c r="C17" s="28" t="s">
        <v>21</v>
      </c>
      <c r="D17" s="39" t="n">
        <f aca="false">D15</f>
        <v>9</v>
      </c>
      <c r="E17" s="42"/>
    </row>
    <row r="18" customFormat="false" ht="15" hidden="false" customHeight="false" outlineLevel="0" collapsed="false">
      <c r="A18" s="25" t="s">
        <v>347</v>
      </c>
      <c r="B18" s="32" t="s">
        <v>323</v>
      </c>
      <c r="C18" s="26" t="s">
        <v>21</v>
      </c>
      <c r="D18" s="27" t="n">
        <v>6</v>
      </c>
      <c r="E18" s="42"/>
    </row>
    <row r="19" customFormat="false" ht="15" hidden="false" customHeight="false" outlineLevel="0" collapsed="false">
      <c r="A19" s="65"/>
      <c r="B19" s="28" t="s">
        <v>124</v>
      </c>
      <c r="C19" s="28" t="s">
        <v>28</v>
      </c>
      <c r="D19" s="39" t="n">
        <f aca="false">D18*0.2</f>
        <v>1.2</v>
      </c>
      <c r="E19" s="42" t="s">
        <v>125</v>
      </c>
    </row>
    <row r="20" customFormat="false" ht="15" hidden="false" customHeight="false" outlineLevel="0" collapsed="false">
      <c r="A20" s="66" t="s">
        <v>348</v>
      </c>
      <c r="B20" s="67" t="s">
        <v>325</v>
      </c>
      <c r="C20" s="68" t="s">
        <v>21</v>
      </c>
      <c r="D20" s="69" t="n">
        <v>3</v>
      </c>
      <c r="E20" s="70" t="s">
        <v>326</v>
      </c>
    </row>
  </sheetData>
  <mergeCells count="2">
    <mergeCell ref="A1:E1"/>
    <mergeCell ref="A2:E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5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9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B27" activeCellId="0" sqref="B2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103.42"/>
    <col collapsed="false" customWidth="true" hidden="false" outlineLevel="0" max="3" min="3" style="1" width="10"/>
    <col collapsed="false" customWidth="true" hidden="false" outlineLevel="0" max="4" min="4" style="1" width="12.86"/>
    <col collapsed="false" customWidth="true" hidden="false" outlineLevel="0" max="5" min="5" style="1" width="48.57"/>
  </cols>
  <sheetData>
    <row r="1" customFormat="false" ht="15" hidden="false" customHeight="true" outlineLevel="0" collapsed="false">
      <c r="A1" s="61" t="s">
        <v>349</v>
      </c>
      <c r="B1" s="61"/>
      <c r="C1" s="61"/>
      <c r="D1" s="61"/>
      <c r="E1" s="61"/>
    </row>
    <row r="2" customFormat="false" ht="15" hidden="false" customHeight="true" outlineLevel="0" collapsed="false">
      <c r="A2" s="61" t="s">
        <v>350</v>
      </c>
      <c r="B2" s="61"/>
      <c r="C2" s="61"/>
      <c r="D2" s="61"/>
      <c r="E2" s="61"/>
    </row>
    <row r="3" customFormat="false" ht="39.75" hidden="false" customHeight="true" outlineLevel="0" collapsed="false">
      <c r="A3" s="21" t="s">
        <v>14</v>
      </c>
      <c r="B3" s="21" t="s">
        <v>15</v>
      </c>
      <c r="C3" s="21" t="s">
        <v>16</v>
      </c>
      <c r="D3" s="21" t="s">
        <v>17</v>
      </c>
      <c r="E3" s="21" t="s">
        <v>18</v>
      </c>
    </row>
    <row r="4" customFormat="false" ht="15" hidden="false" customHeight="false" outlineLevel="0" collapsed="false">
      <c r="A4" s="25" t="s">
        <v>351</v>
      </c>
      <c r="B4" s="32" t="s">
        <v>302</v>
      </c>
      <c r="C4" s="26" t="s">
        <v>303</v>
      </c>
      <c r="D4" s="27" t="n">
        <v>790</v>
      </c>
      <c r="E4" s="26" t="s">
        <v>304</v>
      </c>
    </row>
    <row r="5" customFormat="false" ht="15" hidden="false" customHeight="false" outlineLevel="0" collapsed="false">
      <c r="A5" s="62"/>
      <c r="B5" s="28" t="s">
        <v>352</v>
      </c>
      <c r="C5" s="28" t="s">
        <v>28</v>
      </c>
      <c r="D5" s="39" t="n">
        <f aca="false">D4</f>
        <v>790</v>
      </c>
      <c r="E5" s="28"/>
    </row>
    <row r="6" customFormat="false" ht="15" hidden="false" customHeight="false" outlineLevel="0" collapsed="false">
      <c r="A6" s="25" t="s">
        <v>353</v>
      </c>
      <c r="B6" s="32" t="s">
        <v>354</v>
      </c>
      <c r="C6" s="26" t="s">
        <v>303</v>
      </c>
      <c r="D6" s="27" t="n">
        <f aca="false">D4</f>
        <v>790</v>
      </c>
      <c r="E6" s="26" t="s">
        <v>304</v>
      </c>
    </row>
    <row r="7" customFormat="false" ht="15" hidden="false" customHeight="false" outlineLevel="0" collapsed="false">
      <c r="A7" s="25"/>
      <c r="B7" s="28" t="s">
        <v>111</v>
      </c>
      <c r="C7" s="28" t="s">
        <v>28</v>
      </c>
      <c r="D7" s="39" t="n">
        <f aca="false">D4</f>
        <v>790</v>
      </c>
      <c r="E7" s="26"/>
    </row>
    <row r="8" customFormat="false" ht="15" hidden="false" customHeight="false" outlineLevel="0" collapsed="false">
      <c r="A8" s="63"/>
      <c r="B8" s="28" t="s">
        <v>332</v>
      </c>
      <c r="C8" s="28" t="s">
        <v>21</v>
      </c>
      <c r="D8" s="39" t="n">
        <f aca="false">ROUNDDOWN(570/100,0)*3+3</f>
        <v>18</v>
      </c>
      <c r="E8" s="64"/>
    </row>
    <row r="9" customFormat="false" ht="15" hidden="false" customHeight="false" outlineLevel="0" collapsed="false">
      <c r="A9" s="63"/>
      <c r="B9" s="28" t="s">
        <v>333</v>
      </c>
      <c r="C9" s="28" t="s">
        <v>21</v>
      </c>
      <c r="D9" s="39" t="n">
        <f aca="false">D8</f>
        <v>18</v>
      </c>
      <c r="E9" s="64"/>
    </row>
    <row r="10" customFormat="false" ht="15" hidden="false" customHeight="false" outlineLevel="0" collapsed="false">
      <c r="A10" s="25" t="s">
        <v>355</v>
      </c>
      <c r="B10" s="32" t="s">
        <v>356</v>
      </c>
      <c r="C10" s="26" t="s">
        <v>21</v>
      </c>
      <c r="D10" s="27" t="n">
        <v>6</v>
      </c>
      <c r="E10" s="26" t="s">
        <v>311</v>
      </c>
    </row>
    <row r="11" customFormat="false" ht="15" hidden="false" customHeight="false" outlineLevel="0" collapsed="false">
      <c r="A11" s="25" t="s">
        <v>357</v>
      </c>
      <c r="B11" s="32" t="s">
        <v>313</v>
      </c>
      <c r="C11" s="26" t="s">
        <v>21</v>
      </c>
      <c r="D11" s="27" t="n">
        <f aca="false">D10*8</f>
        <v>48</v>
      </c>
      <c r="E11" s="26" t="s">
        <v>304</v>
      </c>
    </row>
    <row r="12" customFormat="false" ht="15" hidden="false" customHeight="false" outlineLevel="0" collapsed="false">
      <c r="A12" s="25"/>
      <c r="B12" s="28" t="s">
        <v>314</v>
      </c>
      <c r="C12" s="28" t="s">
        <v>21</v>
      </c>
      <c r="D12" s="39" t="n">
        <f aca="false">D10*8</f>
        <v>48</v>
      </c>
      <c r="E12" s="26"/>
    </row>
    <row r="13" customFormat="false" ht="15" hidden="true" customHeight="false" outlineLevel="0" collapsed="false">
      <c r="A13" s="25" t="s">
        <v>315</v>
      </c>
      <c r="B13" s="32" t="s">
        <v>316</v>
      </c>
      <c r="C13" s="32" t="s">
        <v>21</v>
      </c>
      <c r="D13" s="33" t="n">
        <v>13</v>
      </c>
      <c r="E13" s="26" t="s">
        <v>317</v>
      </c>
    </row>
    <row r="14" customFormat="false" ht="15" hidden="false" customHeight="false" outlineLevel="0" collapsed="false">
      <c r="A14" s="25" t="s">
        <v>358</v>
      </c>
      <c r="B14" s="32" t="s">
        <v>319</v>
      </c>
      <c r="C14" s="26" t="s">
        <v>21</v>
      </c>
      <c r="D14" s="27" t="n">
        <f aca="false">D15</f>
        <v>34</v>
      </c>
      <c r="E14" s="42" t="s">
        <v>304</v>
      </c>
    </row>
    <row r="15" customFormat="false" ht="15" hidden="false" customHeight="false" outlineLevel="0" collapsed="false">
      <c r="A15" s="62"/>
      <c r="B15" s="28" t="s">
        <v>320</v>
      </c>
      <c r="C15" s="28" t="s">
        <v>21</v>
      </c>
      <c r="D15" s="39" t="n">
        <f aca="false">(((200/50)+2)*2)+((30/10)*2)+(((340-40)/50)+2)*2</f>
        <v>34</v>
      </c>
      <c r="E15" s="42"/>
    </row>
    <row r="16" customFormat="false" ht="15" hidden="false" customHeight="false" outlineLevel="0" collapsed="false">
      <c r="A16" s="62"/>
      <c r="B16" s="28" t="s">
        <v>321</v>
      </c>
      <c r="C16" s="28" t="s">
        <v>21</v>
      </c>
      <c r="D16" s="39" t="n">
        <f aca="false">D14</f>
        <v>34</v>
      </c>
      <c r="E16" s="42"/>
    </row>
    <row r="17" customFormat="false" ht="15" hidden="false" customHeight="false" outlineLevel="0" collapsed="false">
      <c r="A17" s="25" t="s">
        <v>359</v>
      </c>
      <c r="B17" s="32" t="s">
        <v>323</v>
      </c>
      <c r="C17" s="26" t="s">
        <v>21</v>
      </c>
      <c r="D17" s="27" t="n">
        <f aca="false">D10</f>
        <v>6</v>
      </c>
      <c r="E17" s="42"/>
    </row>
    <row r="18" customFormat="false" ht="15" hidden="false" customHeight="false" outlineLevel="0" collapsed="false">
      <c r="A18" s="65"/>
      <c r="B18" s="28" t="s">
        <v>124</v>
      </c>
      <c r="C18" s="28" t="s">
        <v>28</v>
      </c>
      <c r="D18" s="39" t="n">
        <f aca="false">D17*0.2</f>
        <v>1.2</v>
      </c>
      <c r="E18" s="42" t="s">
        <v>125</v>
      </c>
    </row>
    <row r="19" customFormat="false" ht="15" hidden="false" customHeight="false" outlineLevel="0" collapsed="false">
      <c r="A19" s="66" t="s">
        <v>315</v>
      </c>
      <c r="B19" s="67" t="s">
        <v>325</v>
      </c>
      <c r="C19" s="68" t="s">
        <v>21</v>
      </c>
      <c r="D19" s="69" t="n">
        <v>3</v>
      </c>
      <c r="E19" s="70" t="s">
        <v>360</v>
      </c>
    </row>
  </sheetData>
  <mergeCells count="2">
    <mergeCell ref="A1:E1"/>
    <mergeCell ref="A2:E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5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292</TotalTime>
  <Application>AlterOffice/2025.3.1.0$Windows_X86_64 LibreOffice_project/431cd1b79110582f53535c95ed0a2449aadc8bf9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2025-03-13T09:06:12Z</dcterms:created>
  <dc:creator>Макушин Андрей Леонидович</dc:creator>
  <dc:description/>
  <dc:language>ru-RU</dc:language>
  <cp:lastModifiedBy>Наталья Романовна Духопельникова</cp:lastModifiedBy>
  <cp:lastPrinted>2026-03-10T10:39:35Z</cp:lastPrinted>
  <dcterms:modified xsi:type="dcterms:W3CDTF">2026-03-18T10:35:59Z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