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август\ЗП-26-000000026817       Ремонт кровли к. Четаи Чувашия\"/>
    </mc:Choice>
  </mc:AlternateContent>
  <bookViews>
    <workbookView xWindow="-105" yWindow="-105" windowWidth="23250" windowHeight="12570"/>
  </bookViews>
  <sheets>
    <sheet name="02-01-01" sheetId="7" r:id="rId1"/>
    <sheet name="Source" sheetId="1" state="hidden" r:id="rId2"/>
    <sheet name="SourceObSm" sheetId="2" state="hidden" r:id="rId3"/>
    <sheet name="SmtRes" sheetId="3" state="hidden" r:id="rId4"/>
    <sheet name="EtalonRes" sheetId="4" state="hidden" r:id="rId5"/>
    <sheet name="SrcPoprs" sheetId="5" state="hidden" r:id="rId6"/>
    <sheet name="SrcKA" sheetId="6" state="hidden" r:id="rId7"/>
  </sheets>
  <externalReferences>
    <externalReference r:id="rId8"/>
  </externalReferences>
  <definedNames>
    <definedName name="_xlnm.Print_Titles" localSheetId="0">'02-01-01'!$51:$51</definedName>
    <definedName name="_xlnm.Print_Area" localSheetId="0">'02-01-01'!$A$1:$L$533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" i="7" l="1"/>
  <c r="F24" i="7"/>
  <c r="F22" i="7"/>
  <c r="CO14" i="7"/>
  <c r="F14" i="7"/>
  <c r="CO12" i="7"/>
  <c r="F12" i="7"/>
  <c r="A9" i="7"/>
  <c r="L523" i="7" l="1"/>
  <c r="C523" i="7"/>
  <c r="L522" i="7"/>
  <c r="C522" i="7"/>
  <c r="L521" i="7"/>
  <c r="C521" i="7"/>
  <c r="L520" i="7"/>
  <c r="C520" i="7"/>
  <c r="L519" i="7"/>
  <c r="C519" i="7"/>
  <c r="L515" i="7"/>
  <c r="L514" i="7"/>
  <c r="L511" i="7"/>
  <c r="L510" i="7"/>
  <c r="L503" i="7"/>
  <c r="L499" i="7"/>
  <c r="L487" i="7"/>
  <c r="L486" i="7"/>
  <c r="L485" i="7"/>
  <c r="L484" i="7"/>
  <c r="L483" i="7"/>
  <c r="L482" i="7"/>
  <c r="L479" i="7"/>
  <c r="L478" i="7"/>
  <c r="L476" i="7"/>
  <c r="L473" i="7"/>
  <c r="L468" i="7"/>
  <c r="L467" i="7"/>
  <c r="L466" i="7"/>
  <c r="L461" i="7"/>
  <c r="L460" i="7"/>
  <c r="L456" i="7"/>
  <c r="L455" i="7"/>
  <c r="L454" i="7"/>
  <c r="L453" i="7"/>
  <c r="L452" i="7"/>
  <c r="L451" i="7"/>
  <c r="L448" i="7"/>
  <c r="L447" i="7"/>
  <c r="L445" i="7"/>
  <c r="L442" i="7"/>
  <c r="L432" i="7"/>
  <c r="L428" i="7"/>
  <c r="AU414" i="7"/>
  <c r="AS414" i="7"/>
  <c r="AP414" i="7"/>
  <c r="BA414" i="7"/>
  <c r="AZ414" i="7"/>
  <c r="AE414" i="7"/>
  <c r="AD414" i="7"/>
  <c r="L413" i="7"/>
  <c r="BB414" i="7" s="1"/>
  <c r="J413" i="7"/>
  <c r="E413" i="7"/>
  <c r="G413" i="7"/>
  <c r="D413" i="7"/>
  <c r="C413" i="7"/>
  <c r="AU412" i="7"/>
  <c r="AS412" i="7"/>
  <c r="AP412" i="7"/>
  <c r="BA412" i="7"/>
  <c r="AZ412" i="7"/>
  <c r="AE412" i="7"/>
  <c r="AD412" i="7"/>
  <c r="L411" i="7"/>
  <c r="BB412" i="7" s="1"/>
  <c r="J411" i="7"/>
  <c r="E411" i="7"/>
  <c r="G411" i="7"/>
  <c r="D411" i="7"/>
  <c r="C411" i="7"/>
  <c r="AE410" i="7"/>
  <c r="AD410" i="7"/>
  <c r="G409" i="7"/>
  <c r="F409" i="7"/>
  <c r="E409" i="7"/>
  <c r="G408" i="7"/>
  <c r="F408" i="7"/>
  <c r="E408" i="7"/>
  <c r="L405" i="7"/>
  <c r="I405" i="7"/>
  <c r="H405" i="7"/>
  <c r="G405" i="7"/>
  <c r="L404" i="7"/>
  <c r="I404" i="7"/>
  <c r="H404" i="7"/>
  <c r="G404" i="7"/>
  <c r="L403" i="7"/>
  <c r="I403" i="7"/>
  <c r="H403" i="7"/>
  <c r="G403" i="7"/>
  <c r="L401" i="7"/>
  <c r="J401" i="7"/>
  <c r="F401" i="7"/>
  <c r="E401" i="7"/>
  <c r="L400" i="7"/>
  <c r="J400" i="7"/>
  <c r="G400" i="7"/>
  <c r="F400" i="7"/>
  <c r="L399" i="7"/>
  <c r="L397" i="7" s="1"/>
  <c r="J399" i="7"/>
  <c r="F399" i="7"/>
  <c r="E399" i="7"/>
  <c r="L398" i="7"/>
  <c r="J398" i="7"/>
  <c r="G398" i="7"/>
  <c r="F398" i="7"/>
  <c r="L395" i="7"/>
  <c r="L394" i="7" s="1"/>
  <c r="J395" i="7"/>
  <c r="G395" i="7"/>
  <c r="F395" i="7"/>
  <c r="C393" i="7"/>
  <c r="C392" i="7"/>
  <c r="B392" i="7"/>
  <c r="E391" i="7"/>
  <c r="G391" i="7"/>
  <c r="D391" i="7"/>
  <c r="AE390" i="7"/>
  <c r="AD390" i="7"/>
  <c r="G389" i="7"/>
  <c r="E389" i="7"/>
  <c r="G388" i="7"/>
  <c r="E388" i="7"/>
  <c r="BA386" i="7"/>
  <c r="AZ386" i="7"/>
  <c r="AE386" i="7"/>
  <c r="AD386" i="7"/>
  <c r="L386" i="7"/>
  <c r="AW386" i="7" s="1"/>
  <c r="J386" i="7"/>
  <c r="E386" i="7"/>
  <c r="G386" i="7"/>
  <c r="D386" i="7"/>
  <c r="C386" i="7"/>
  <c r="B386" i="7"/>
  <c r="G384" i="7"/>
  <c r="E384" i="7"/>
  <c r="D384" i="7"/>
  <c r="C384" i="7"/>
  <c r="B384" i="7"/>
  <c r="L383" i="7"/>
  <c r="J383" i="7"/>
  <c r="G383" i="7"/>
  <c r="L382" i="7"/>
  <c r="I382" i="7"/>
  <c r="H382" i="7"/>
  <c r="G382" i="7"/>
  <c r="L380" i="7"/>
  <c r="J380" i="7"/>
  <c r="E380" i="7"/>
  <c r="G380" i="7" s="1"/>
  <c r="L379" i="7"/>
  <c r="J379" i="7"/>
  <c r="G379" i="7"/>
  <c r="L378" i="7"/>
  <c r="J378" i="7"/>
  <c r="E378" i="7"/>
  <c r="L377" i="7"/>
  <c r="J377" i="7"/>
  <c r="G377" i="7"/>
  <c r="L376" i="7"/>
  <c r="J376" i="7"/>
  <c r="E376" i="7"/>
  <c r="L375" i="7"/>
  <c r="J375" i="7"/>
  <c r="G375" i="7"/>
  <c r="L372" i="7"/>
  <c r="L371" i="7" s="1"/>
  <c r="J372" i="7"/>
  <c r="G372" i="7"/>
  <c r="C370" i="7"/>
  <c r="E369" i="7"/>
  <c r="G369" i="7"/>
  <c r="D369" i="7"/>
  <c r="C369" i="7"/>
  <c r="AW368" i="7"/>
  <c r="AE368" i="7"/>
  <c r="AD368" i="7"/>
  <c r="G367" i="7"/>
  <c r="E367" i="7"/>
  <c r="G366" i="7"/>
  <c r="E366" i="7"/>
  <c r="L362" i="7"/>
  <c r="AT368" i="7" s="1"/>
  <c r="L363" i="7"/>
  <c r="I363" i="7"/>
  <c r="H363" i="7"/>
  <c r="G363" i="7"/>
  <c r="L360" i="7"/>
  <c r="L359" i="7" s="1"/>
  <c r="J360" i="7"/>
  <c r="G360" i="7"/>
  <c r="C358" i="7"/>
  <c r="E357" i="7"/>
  <c r="G357" i="7"/>
  <c r="D357" i="7"/>
  <c r="C357" i="7"/>
  <c r="AW356" i="7"/>
  <c r="AE356" i="7"/>
  <c r="AD356" i="7"/>
  <c r="G355" i="7"/>
  <c r="E355" i="7"/>
  <c r="G354" i="7"/>
  <c r="E354" i="7"/>
  <c r="BA352" i="7"/>
  <c r="AZ352" i="7"/>
  <c r="AE352" i="7"/>
  <c r="AD352" i="7"/>
  <c r="L352" i="7"/>
  <c r="AW352" i="7" s="1"/>
  <c r="H352" i="7"/>
  <c r="E352" i="7"/>
  <c r="G352" i="7"/>
  <c r="D352" i="7"/>
  <c r="C352" i="7"/>
  <c r="B352" i="7"/>
  <c r="L349" i="7"/>
  <c r="AT356" i="7" s="1"/>
  <c r="L350" i="7"/>
  <c r="I350" i="7"/>
  <c r="H350" i="7"/>
  <c r="G350" i="7"/>
  <c r="L347" i="7"/>
  <c r="L346" i="7" s="1"/>
  <c r="J347" i="7"/>
  <c r="G347" i="7"/>
  <c r="C345" i="7"/>
  <c r="E344" i="7"/>
  <c r="G344" i="7"/>
  <c r="D344" i="7"/>
  <c r="C344" i="7"/>
  <c r="AE343" i="7"/>
  <c r="AD343" i="7"/>
  <c r="G342" i="7"/>
  <c r="F342" i="7"/>
  <c r="E342" i="7"/>
  <c r="G341" i="7"/>
  <c r="F341" i="7"/>
  <c r="E341" i="7"/>
  <c r="BA339" i="7"/>
  <c r="AZ339" i="7"/>
  <c r="AE339" i="7"/>
  <c r="AD339" i="7"/>
  <c r="L339" i="7"/>
  <c r="AW339" i="7" s="1"/>
  <c r="J339" i="7"/>
  <c r="E339" i="7"/>
  <c r="G339" i="7"/>
  <c r="D339" i="7"/>
  <c r="C339" i="7"/>
  <c r="B339" i="7"/>
  <c r="BA338" i="7"/>
  <c r="AZ338" i="7"/>
  <c r="AE338" i="7"/>
  <c r="AD338" i="7"/>
  <c r="L338" i="7"/>
  <c r="AN338" i="7" s="1"/>
  <c r="J338" i="7"/>
  <c r="E338" i="7"/>
  <c r="G338" i="7"/>
  <c r="D338" i="7"/>
  <c r="C338" i="7"/>
  <c r="B338" i="7"/>
  <c r="G336" i="7"/>
  <c r="E336" i="7"/>
  <c r="D336" i="7"/>
  <c r="C336" i="7"/>
  <c r="B336" i="7"/>
  <c r="G335" i="7"/>
  <c r="E335" i="7"/>
  <c r="D335" i="7"/>
  <c r="C335" i="7"/>
  <c r="B335" i="7"/>
  <c r="L334" i="7"/>
  <c r="L333" i="7" s="1"/>
  <c r="AW343" i="7" s="1"/>
  <c r="I334" i="7"/>
  <c r="H334" i="7"/>
  <c r="G334" i="7"/>
  <c r="L332" i="7"/>
  <c r="J332" i="7"/>
  <c r="F332" i="7"/>
  <c r="E332" i="7"/>
  <c r="L331" i="7"/>
  <c r="J331" i="7"/>
  <c r="G331" i="7"/>
  <c r="F331" i="7"/>
  <c r="L330" i="7"/>
  <c r="J330" i="7"/>
  <c r="F330" i="7"/>
  <c r="E330" i="7"/>
  <c r="L329" i="7"/>
  <c r="J329" i="7"/>
  <c r="G329" i="7"/>
  <c r="F329" i="7"/>
  <c r="L328" i="7"/>
  <c r="J328" i="7"/>
  <c r="F328" i="7"/>
  <c r="E328" i="7"/>
  <c r="L327" i="7"/>
  <c r="J327" i="7"/>
  <c r="G327" i="7"/>
  <c r="F327" i="7"/>
  <c r="L324" i="7"/>
  <c r="L323" i="7" s="1"/>
  <c r="J324" i="7"/>
  <c r="G324" i="7"/>
  <c r="F324" i="7"/>
  <c r="C322" i="7"/>
  <c r="C321" i="7"/>
  <c r="B321" i="7"/>
  <c r="E320" i="7"/>
  <c r="G320" i="7"/>
  <c r="D320" i="7"/>
  <c r="AW319" i="7"/>
  <c r="AE319" i="7"/>
  <c r="AD319" i="7"/>
  <c r="G318" i="7"/>
  <c r="F318" i="7"/>
  <c r="E318" i="7"/>
  <c r="G317" i="7"/>
  <c r="F317" i="7"/>
  <c r="E317" i="7"/>
  <c r="AW315" i="7"/>
  <c r="BA315" i="7"/>
  <c r="AZ315" i="7"/>
  <c r="AE315" i="7"/>
  <c r="AD315" i="7"/>
  <c r="L315" i="7"/>
  <c r="AN315" i="7" s="1"/>
  <c r="H315" i="7"/>
  <c r="E315" i="7"/>
  <c r="G315" i="7"/>
  <c r="D315" i="7"/>
  <c r="C315" i="7"/>
  <c r="B315" i="7"/>
  <c r="G313" i="7"/>
  <c r="E313" i="7"/>
  <c r="D313" i="7"/>
  <c r="C313" i="7"/>
  <c r="B313" i="7"/>
  <c r="L312" i="7"/>
  <c r="L310" i="7" s="1"/>
  <c r="J312" i="7"/>
  <c r="F312" i="7"/>
  <c r="E312" i="7"/>
  <c r="L311" i="7"/>
  <c r="J311" i="7"/>
  <c r="G311" i="7"/>
  <c r="F311" i="7"/>
  <c r="L308" i="7"/>
  <c r="L307" i="7" s="1"/>
  <c r="J308" i="7"/>
  <c r="G308" i="7"/>
  <c r="F308" i="7"/>
  <c r="C306" i="7"/>
  <c r="C305" i="7"/>
  <c r="B305" i="7"/>
  <c r="E304" i="7"/>
  <c r="G304" i="7"/>
  <c r="D304" i="7"/>
  <c r="AE303" i="7"/>
  <c r="AD303" i="7"/>
  <c r="G302" i="7"/>
  <c r="F302" i="7"/>
  <c r="E302" i="7"/>
  <c r="G301" i="7"/>
  <c r="F301" i="7"/>
  <c r="E301" i="7"/>
  <c r="BA299" i="7"/>
  <c r="AZ299" i="7"/>
  <c r="AE299" i="7"/>
  <c r="AD299" i="7"/>
  <c r="L299" i="7"/>
  <c r="AW299" i="7" s="1"/>
  <c r="I299" i="7"/>
  <c r="H299" i="7"/>
  <c r="E299" i="7"/>
  <c r="G299" i="7"/>
  <c r="D299" i="7"/>
  <c r="C299" i="7"/>
  <c r="B299" i="7"/>
  <c r="G297" i="7"/>
  <c r="E297" i="7"/>
  <c r="D297" i="7"/>
  <c r="C297" i="7"/>
  <c r="B297" i="7"/>
  <c r="L296" i="7"/>
  <c r="L295" i="7" s="1"/>
  <c r="AW303" i="7" s="1"/>
  <c r="I296" i="7"/>
  <c r="H296" i="7"/>
  <c r="G296" i="7"/>
  <c r="L294" i="7"/>
  <c r="J294" i="7"/>
  <c r="F294" i="7"/>
  <c r="E294" i="7"/>
  <c r="L293" i="7"/>
  <c r="J293" i="7"/>
  <c r="G293" i="7"/>
  <c r="F293" i="7"/>
  <c r="L292" i="7"/>
  <c r="L290" i="7" s="1"/>
  <c r="J292" i="7"/>
  <c r="F292" i="7"/>
  <c r="E292" i="7"/>
  <c r="L291" i="7"/>
  <c r="J291" i="7"/>
  <c r="G291" i="7"/>
  <c r="F291" i="7"/>
  <c r="L288" i="7"/>
  <c r="L287" i="7" s="1"/>
  <c r="J288" i="7"/>
  <c r="G288" i="7"/>
  <c r="F288" i="7"/>
  <c r="C286" i="7"/>
  <c r="C285" i="7"/>
  <c r="B285" i="7"/>
  <c r="E284" i="7"/>
  <c r="G284" i="7"/>
  <c r="D284" i="7"/>
  <c r="AW283" i="7"/>
  <c r="AE283" i="7"/>
  <c r="AD283" i="7"/>
  <c r="G282" i="7"/>
  <c r="F282" i="7"/>
  <c r="E282" i="7"/>
  <c r="G281" i="7"/>
  <c r="F281" i="7"/>
  <c r="E281" i="7"/>
  <c r="B279" i="7"/>
  <c r="BA278" i="7"/>
  <c r="AZ278" i="7"/>
  <c r="AE278" i="7"/>
  <c r="AD278" i="7"/>
  <c r="L278" i="7"/>
  <c r="AN278" i="7" s="1"/>
  <c r="J278" i="7"/>
  <c r="F278" i="7"/>
  <c r="E278" i="7"/>
  <c r="G278" i="7"/>
  <c r="D278" i="7"/>
  <c r="C278" i="7"/>
  <c r="B278" i="7"/>
  <c r="G276" i="7"/>
  <c r="F276" i="7"/>
  <c r="E276" i="7"/>
  <c r="D276" i="7"/>
  <c r="C276" i="7"/>
  <c r="B276" i="7"/>
  <c r="L275" i="7"/>
  <c r="J275" i="7"/>
  <c r="F275" i="7"/>
  <c r="E275" i="7"/>
  <c r="L274" i="7"/>
  <c r="J274" i="7"/>
  <c r="G274" i="7"/>
  <c r="F274" i="7"/>
  <c r="L273" i="7"/>
  <c r="J273" i="7"/>
  <c r="F273" i="7"/>
  <c r="E273" i="7"/>
  <c r="L272" i="7"/>
  <c r="J272" i="7"/>
  <c r="G272" i="7"/>
  <c r="F272" i="7"/>
  <c r="L269" i="7"/>
  <c r="L268" i="7" s="1"/>
  <c r="J269" i="7"/>
  <c r="G269" i="7"/>
  <c r="F269" i="7"/>
  <c r="C267" i="7"/>
  <c r="C266" i="7"/>
  <c r="B266" i="7"/>
  <c r="E265" i="7"/>
  <c r="G265" i="7"/>
  <c r="D265" i="7"/>
  <c r="AE264" i="7"/>
  <c r="AD264" i="7"/>
  <c r="G263" i="7"/>
  <c r="F263" i="7"/>
  <c r="E263" i="7"/>
  <c r="G262" i="7"/>
  <c r="F262" i="7"/>
  <c r="E262" i="7"/>
  <c r="BA260" i="7"/>
  <c r="AZ260" i="7"/>
  <c r="AE260" i="7"/>
  <c r="AD260" i="7"/>
  <c r="L260" i="7"/>
  <c r="AW260" i="7" s="1"/>
  <c r="J260" i="7"/>
  <c r="E260" i="7"/>
  <c r="G260" i="7"/>
  <c r="D260" i="7"/>
  <c r="C260" i="7"/>
  <c r="B260" i="7"/>
  <c r="G258" i="7"/>
  <c r="E258" i="7"/>
  <c r="D258" i="7"/>
  <c r="C258" i="7"/>
  <c r="B258" i="7"/>
  <c r="L257" i="7"/>
  <c r="I257" i="7"/>
  <c r="H257" i="7"/>
  <c r="G257" i="7"/>
  <c r="L256" i="7"/>
  <c r="I256" i="7"/>
  <c r="H256" i="7"/>
  <c r="G256" i="7"/>
  <c r="L254" i="7"/>
  <c r="I254" i="7"/>
  <c r="H254" i="7"/>
  <c r="G254" i="7"/>
  <c r="F254" i="7"/>
  <c r="L253" i="7"/>
  <c r="J253" i="7"/>
  <c r="F253" i="7"/>
  <c r="E253" i="7"/>
  <c r="L252" i="7"/>
  <c r="J252" i="7"/>
  <c r="G252" i="7"/>
  <c r="F252" i="7"/>
  <c r="L251" i="7"/>
  <c r="L249" i="7" s="1"/>
  <c r="AT264" i="7" s="1"/>
  <c r="J251" i="7"/>
  <c r="F251" i="7"/>
  <c r="E251" i="7"/>
  <c r="L250" i="7"/>
  <c r="J250" i="7"/>
  <c r="G250" i="7"/>
  <c r="F250" i="7"/>
  <c r="L247" i="7"/>
  <c r="L246" i="7" s="1"/>
  <c r="J247" i="7"/>
  <c r="G247" i="7"/>
  <c r="F247" i="7"/>
  <c r="C245" i="7"/>
  <c r="C244" i="7"/>
  <c r="B244" i="7"/>
  <c r="E243" i="7"/>
  <c r="G243" i="7"/>
  <c r="D243" i="7"/>
  <c r="AT242" i="7"/>
  <c r="AO242" i="7"/>
  <c r="AE242" i="7"/>
  <c r="AD242" i="7"/>
  <c r="G241" i="7"/>
  <c r="F241" i="7"/>
  <c r="E241" i="7"/>
  <c r="G240" i="7"/>
  <c r="F240" i="7"/>
  <c r="E240" i="7"/>
  <c r="BA238" i="7"/>
  <c r="AZ238" i="7"/>
  <c r="AE238" i="7"/>
  <c r="AD238" i="7"/>
  <c r="L238" i="7"/>
  <c r="AW238" i="7" s="1"/>
  <c r="I238" i="7"/>
  <c r="H238" i="7"/>
  <c r="E238" i="7"/>
  <c r="G238" i="7"/>
  <c r="D238" i="7"/>
  <c r="C238" i="7"/>
  <c r="B238" i="7"/>
  <c r="L236" i="7"/>
  <c r="L235" i="7" s="1"/>
  <c r="AW242" i="7" s="1"/>
  <c r="I236" i="7"/>
  <c r="H236" i="7"/>
  <c r="G236" i="7"/>
  <c r="L234" i="7"/>
  <c r="L233" i="7" s="1"/>
  <c r="J234" i="7"/>
  <c r="G234" i="7"/>
  <c r="F234" i="7"/>
  <c r="C232" i="7"/>
  <c r="C231" i="7"/>
  <c r="B231" i="7"/>
  <c r="E230" i="7"/>
  <c r="G230" i="7"/>
  <c r="D230" i="7"/>
  <c r="AW229" i="7"/>
  <c r="AE229" i="7"/>
  <c r="AD229" i="7"/>
  <c r="G228" i="7"/>
  <c r="F228" i="7"/>
  <c r="E228" i="7"/>
  <c r="G227" i="7"/>
  <c r="F227" i="7"/>
  <c r="E227" i="7"/>
  <c r="BA225" i="7"/>
  <c r="AZ225" i="7"/>
  <c r="AE225" i="7"/>
  <c r="AD225" i="7"/>
  <c r="L225" i="7"/>
  <c r="AN225" i="7" s="1"/>
  <c r="I225" i="7"/>
  <c r="H225" i="7"/>
  <c r="J225" i="7" s="1"/>
  <c r="E225" i="7"/>
  <c r="G225" i="7"/>
  <c r="D225" i="7"/>
  <c r="C225" i="7"/>
  <c r="B225" i="7"/>
  <c r="G223" i="7"/>
  <c r="E223" i="7"/>
  <c r="D223" i="7"/>
  <c r="C223" i="7"/>
  <c r="B223" i="7"/>
  <c r="L222" i="7"/>
  <c r="J222" i="7"/>
  <c r="F222" i="7"/>
  <c r="E222" i="7"/>
  <c r="L221" i="7"/>
  <c r="J221" i="7"/>
  <c r="G221" i="7"/>
  <c r="F221" i="7"/>
  <c r="L220" i="7"/>
  <c r="L218" i="7" s="1"/>
  <c r="J220" i="7"/>
  <c r="F220" i="7"/>
  <c r="E220" i="7"/>
  <c r="L219" i="7"/>
  <c r="J219" i="7"/>
  <c r="G219" i="7"/>
  <c r="F219" i="7"/>
  <c r="L216" i="7"/>
  <c r="L215" i="7" s="1"/>
  <c r="AR229" i="7" s="1"/>
  <c r="J216" i="7"/>
  <c r="G216" i="7"/>
  <c r="F216" i="7"/>
  <c r="C214" i="7"/>
  <c r="C213" i="7"/>
  <c r="B213" i="7"/>
  <c r="E212" i="7"/>
  <c r="G212" i="7"/>
  <c r="D212" i="7"/>
  <c r="AW211" i="7"/>
  <c r="AE211" i="7"/>
  <c r="AD211" i="7"/>
  <c r="G210" i="7"/>
  <c r="E210" i="7"/>
  <c r="G209" i="7"/>
  <c r="E209" i="7"/>
  <c r="G206" i="7"/>
  <c r="F206" i="7"/>
  <c r="E206" i="7"/>
  <c r="D206" i="7"/>
  <c r="C206" i="7"/>
  <c r="B206" i="7"/>
  <c r="L205" i="7"/>
  <c r="J205" i="7"/>
  <c r="F205" i="7"/>
  <c r="E205" i="7"/>
  <c r="L204" i="7"/>
  <c r="J204" i="7"/>
  <c r="G204" i="7"/>
  <c r="F204" i="7"/>
  <c r="L203" i="7"/>
  <c r="L201" i="7" s="1"/>
  <c r="J203" i="7"/>
  <c r="F203" i="7"/>
  <c r="E203" i="7"/>
  <c r="L202" i="7"/>
  <c r="J202" i="7"/>
  <c r="G202" i="7"/>
  <c r="F202" i="7"/>
  <c r="L199" i="7"/>
  <c r="L198" i="7" s="1"/>
  <c r="J199" i="7"/>
  <c r="G199" i="7"/>
  <c r="F199" i="7"/>
  <c r="C197" i="7"/>
  <c r="C196" i="7"/>
  <c r="B196" i="7"/>
  <c r="E195" i="7"/>
  <c r="G195" i="7"/>
  <c r="D195" i="7"/>
  <c r="AW194" i="7"/>
  <c r="AE194" i="7"/>
  <c r="AD194" i="7"/>
  <c r="G193" i="7"/>
  <c r="E193" i="7"/>
  <c r="G192" i="7"/>
  <c r="E192" i="7"/>
  <c r="G189" i="7"/>
  <c r="F189" i="7"/>
  <c r="E189" i="7"/>
  <c r="D189" i="7"/>
  <c r="C189" i="7"/>
  <c r="B189" i="7"/>
  <c r="L188" i="7"/>
  <c r="J188" i="7"/>
  <c r="F188" i="7"/>
  <c r="E188" i="7"/>
  <c r="L187" i="7"/>
  <c r="J187" i="7"/>
  <c r="G187" i="7"/>
  <c r="F187" i="7"/>
  <c r="L186" i="7"/>
  <c r="L184" i="7" s="1"/>
  <c r="J186" i="7"/>
  <c r="F186" i="7"/>
  <c r="E186" i="7"/>
  <c r="L185" i="7"/>
  <c r="J185" i="7"/>
  <c r="G185" i="7"/>
  <c r="F185" i="7"/>
  <c r="L182" i="7"/>
  <c r="L181" i="7" s="1"/>
  <c r="J182" i="7"/>
  <c r="G182" i="7"/>
  <c r="F182" i="7"/>
  <c r="C180" i="7"/>
  <c r="C179" i="7"/>
  <c r="B179" i="7"/>
  <c r="E178" i="7"/>
  <c r="G178" i="7"/>
  <c r="D178" i="7"/>
  <c r="AE177" i="7"/>
  <c r="AD177" i="7"/>
  <c r="G176" i="7"/>
  <c r="E176" i="7"/>
  <c r="G175" i="7"/>
  <c r="E175" i="7"/>
  <c r="G172" i="7"/>
  <c r="F172" i="7"/>
  <c r="E172" i="7"/>
  <c r="D172" i="7"/>
  <c r="C172" i="7"/>
  <c r="B172" i="7"/>
  <c r="L171" i="7"/>
  <c r="I171" i="7"/>
  <c r="H171" i="7"/>
  <c r="G171" i="7"/>
  <c r="F171" i="7"/>
  <c r="L170" i="7"/>
  <c r="I170" i="7"/>
  <c r="H170" i="7"/>
  <c r="G170" i="7"/>
  <c r="F170" i="7"/>
  <c r="L168" i="7"/>
  <c r="I168" i="7"/>
  <c r="H168" i="7"/>
  <c r="J168" i="7" s="1"/>
  <c r="G168" i="7"/>
  <c r="F168" i="7"/>
  <c r="L167" i="7"/>
  <c r="J167" i="7"/>
  <c r="F167" i="7"/>
  <c r="E167" i="7"/>
  <c r="L166" i="7"/>
  <c r="J166" i="7"/>
  <c r="G166" i="7"/>
  <c r="F166" i="7"/>
  <c r="L165" i="7"/>
  <c r="L163" i="7" s="1"/>
  <c r="J165" i="7"/>
  <c r="F165" i="7"/>
  <c r="E165" i="7"/>
  <c r="L164" i="7"/>
  <c r="J164" i="7"/>
  <c r="G164" i="7"/>
  <c r="F164" i="7"/>
  <c r="L161" i="7"/>
  <c r="L160" i="7" s="1"/>
  <c r="AR177" i="7" s="1"/>
  <c r="J161" i="7"/>
  <c r="G161" i="7"/>
  <c r="F161" i="7"/>
  <c r="C159" i="7"/>
  <c r="C158" i="7"/>
  <c r="B158" i="7"/>
  <c r="E157" i="7"/>
  <c r="G157" i="7"/>
  <c r="D157" i="7"/>
  <c r="AW156" i="7"/>
  <c r="AE156" i="7"/>
  <c r="AD156" i="7"/>
  <c r="G155" i="7"/>
  <c r="E155" i="7"/>
  <c r="G154" i="7"/>
  <c r="E154" i="7"/>
  <c r="L150" i="7"/>
  <c r="AT156" i="7" s="1"/>
  <c r="L151" i="7"/>
  <c r="I151" i="7"/>
  <c r="H151" i="7"/>
  <c r="G151" i="7"/>
  <c r="L148" i="7"/>
  <c r="L147" i="7" s="1"/>
  <c r="J148" i="7"/>
  <c r="G148" i="7"/>
  <c r="C146" i="7"/>
  <c r="E145" i="7"/>
  <c r="G145" i="7"/>
  <c r="D145" i="7"/>
  <c r="C145" i="7"/>
  <c r="AE144" i="7"/>
  <c r="AD144" i="7"/>
  <c r="G143" i="7"/>
  <c r="E143" i="7"/>
  <c r="G142" i="7"/>
  <c r="E142" i="7"/>
  <c r="G139" i="7"/>
  <c r="F139" i="7"/>
  <c r="E139" i="7"/>
  <c r="D139" i="7"/>
  <c r="C139" i="7"/>
  <c r="B139" i="7"/>
  <c r="G138" i="7"/>
  <c r="F138" i="7"/>
  <c r="E138" i="7"/>
  <c r="D138" i="7"/>
  <c r="C138" i="7"/>
  <c r="B138" i="7"/>
  <c r="L137" i="7"/>
  <c r="I137" i="7"/>
  <c r="H137" i="7"/>
  <c r="G137" i="7"/>
  <c r="F137" i="7"/>
  <c r="L136" i="7"/>
  <c r="J136" i="7"/>
  <c r="G136" i="7"/>
  <c r="F136" i="7"/>
  <c r="L135" i="7"/>
  <c r="J135" i="7"/>
  <c r="G135" i="7"/>
  <c r="F135" i="7"/>
  <c r="L133" i="7"/>
  <c r="L131" i="7" s="1"/>
  <c r="J133" i="7"/>
  <c r="F133" i="7"/>
  <c r="G133" i="7" s="1"/>
  <c r="E133" i="7"/>
  <c r="L132" i="7"/>
  <c r="J132" i="7"/>
  <c r="G132" i="7"/>
  <c r="F132" i="7"/>
  <c r="L129" i="7"/>
  <c r="L128" i="7" s="1"/>
  <c r="J129" i="7"/>
  <c r="G129" i="7"/>
  <c r="F129" i="7"/>
  <c r="C127" i="7"/>
  <c r="E125" i="7"/>
  <c r="G125" i="7"/>
  <c r="D125" i="7"/>
  <c r="C125" i="7"/>
  <c r="AE124" i="7"/>
  <c r="AD124" i="7"/>
  <c r="G123" i="7"/>
  <c r="E123" i="7"/>
  <c r="G122" i="7"/>
  <c r="E122" i="7"/>
  <c r="G119" i="7"/>
  <c r="F119" i="7"/>
  <c r="E119" i="7"/>
  <c r="D119" i="7"/>
  <c r="C119" i="7"/>
  <c r="B119" i="7"/>
  <c r="L118" i="7"/>
  <c r="I118" i="7"/>
  <c r="H118" i="7"/>
  <c r="G118" i="7"/>
  <c r="F118" i="7"/>
  <c r="L117" i="7"/>
  <c r="J117" i="7"/>
  <c r="G117" i="7"/>
  <c r="F117" i="7"/>
  <c r="L116" i="7"/>
  <c r="J116" i="7"/>
  <c r="G116" i="7"/>
  <c r="F116" i="7"/>
  <c r="L114" i="7"/>
  <c r="L112" i="7" s="1"/>
  <c r="J114" i="7"/>
  <c r="F114" i="7"/>
  <c r="E114" i="7"/>
  <c r="L113" i="7"/>
  <c r="J113" i="7"/>
  <c r="G113" i="7"/>
  <c r="F113" i="7"/>
  <c r="L110" i="7"/>
  <c r="L109" i="7" s="1"/>
  <c r="J110" i="7"/>
  <c r="G110" i="7"/>
  <c r="F110" i="7"/>
  <c r="C108" i="7"/>
  <c r="E106" i="7"/>
  <c r="G106" i="7"/>
  <c r="D106" i="7"/>
  <c r="C106" i="7"/>
  <c r="AW105" i="7"/>
  <c r="AE105" i="7"/>
  <c r="AD105" i="7"/>
  <c r="G104" i="7"/>
  <c r="E104" i="7"/>
  <c r="G103" i="7"/>
  <c r="E103" i="7"/>
  <c r="BA101" i="7"/>
  <c r="AZ101" i="7"/>
  <c r="AE101" i="7"/>
  <c r="AD101" i="7"/>
  <c r="L101" i="7"/>
  <c r="AN101" i="7" s="1"/>
  <c r="H101" i="7"/>
  <c r="E101" i="7"/>
  <c r="G101" i="7"/>
  <c r="D101" i="7"/>
  <c r="C101" i="7"/>
  <c r="B101" i="7"/>
  <c r="L99" i="7"/>
  <c r="L97" i="7" s="1"/>
  <c r="J99" i="7"/>
  <c r="E99" i="7"/>
  <c r="L98" i="7"/>
  <c r="J98" i="7"/>
  <c r="G98" i="7"/>
  <c r="L95" i="7"/>
  <c r="L94" i="7" s="1"/>
  <c r="J95" i="7"/>
  <c r="G95" i="7"/>
  <c r="C93" i="7"/>
  <c r="E92" i="7"/>
  <c r="G92" i="7"/>
  <c r="D92" i="7"/>
  <c r="C92" i="7"/>
  <c r="AW91" i="7"/>
  <c r="AE91" i="7"/>
  <c r="AD91" i="7"/>
  <c r="G90" i="7"/>
  <c r="E90" i="7"/>
  <c r="G89" i="7"/>
  <c r="E89" i="7"/>
  <c r="BA87" i="7"/>
  <c r="AZ87" i="7"/>
  <c r="AE87" i="7"/>
  <c r="AD87" i="7"/>
  <c r="L87" i="7"/>
  <c r="AN87" i="7" s="1"/>
  <c r="H87" i="7"/>
  <c r="E87" i="7"/>
  <c r="G87" i="7"/>
  <c r="D87" i="7"/>
  <c r="C87" i="7"/>
  <c r="B87" i="7"/>
  <c r="L85" i="7"/>
  <c r="L83" i="7" s="1"/>
  <c r="J85" i="7"/>
  <c r="E85" i="7"/>
  <c r="L84" i="7"/>
  <c r="J84" i="7"/>
  <c r="G84" i="7"/>
  <c r="L81" i="7"/>
  <c r="L80" i="7" s="1"/>
  <c r="J81" i="7"/>
  <c r="G81" i="7"/>
  <c r="C79" i="7"/>
  <c r="E78" i="7"/>
  <c r="G78" i="7"/>
  <c r="D78" i="7"/>
  <c r="C78" i="7"/>
  <c r="AW77" i="7"/>
  <c r="AE77" i="7"/>
  <c r="AD77" i="7"/>
  <c r="G76" i="7"/>
  <c r="E76" i="7"/>
  <c r="G75" i="7"/>
  <c r="E75" i="7"/>
  <c r="BA73" i="7"/>
  <c r="AZ73" i="7"/>
  <c r="AE73" i="7"/>
  <c r="AD73" i="7"/>
  <c r="L73" i="7"/>
  <c r="AN73" i="7" s="1"/>
  <c r="H73" i="7"/>
  <c r="E73" i="7"/>
  <c r="G73" i="7"/>
  <c r="D73" i="7"/>
  <c r="C73" i="7"/>
  <c r="B73" i="7"/>
  <c r="L71" i="7"/>
  <c r="L69" i="7" s="1"/>
  <c r="J71" i="7"/>
  <c r="E71" i="7"/>
  <c r="L70" i="7"/>
  <c r="J70" i="7"/>
  <c r="G70" i="7"/>
  <c r="L67" i="7"/>
  <c r="L66" i="7" s="1"/>
  <c r="J67" i="7"/>
  <c r="G67" i="7"/>
  <c r="C65" i="7"/>
  <c r="E64" i="7"/>
  <c r="G64" i="7"/>
  <c r="D64" i="7"/>
  <c r="C64" i="7"/>
  <c r="AW63" i="7"/>
  <c r="AE63" i="7"/>
  <c r="AD63" i="7"/>
  <c r="G62" i="7"/>
  <c r="E62" i="7"/>
  <c r="G61" i="7"/>
  <c r="E61" i="7"/>
  <c r="L57" i="7"/>
  <c r="L58" i="7"/>
  <c r="I58" i="7"/>
  <c r="H58" i="7"/>
  <c r="J58" i="7" s="1"/>
  <c r="G58" i="7"/>
  <c r="L55" i="7"/>
  <c r="L54" i="7" s="1"/>
  <c r="AR63" i="7" s="1"/>
  <c r="J55" i="7"/>
  <c r="G55" i="7"/>
  <c r="C53" i="7"/>
  <c r="E52" i="7"/>
  <c r="G52" i="7"/>
  <c r="D52" i="7"/>
  <c r="C52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" i="3"/>
  <c r="Y1" i="3"/>
  <c r="CY1" i="3"/>
  <c r="CZ1" i="3"/>
  <c r="DB1" i="3" s="1"/>
  <c r="DA1" i="3"/>
  <c r="DC1" i="3"/>
  <c r="A2" i="3"/>
  <c r="Y2" i="3"/>
  <c r="CY2" i="3"/>
  <c r="CZ2" i="3"/>
  <c r="DB2" i="3" s="1"/>
  <c r="DA2" i="3"/>
  <c r="DC2" i="3"/>
  <c r="A3" i="3"/>
  <c r="Y3" i="3"/>
  <c r="CY3" i="3"/>
  <c r="CZ3" i="3"/>
  <c r="DB3" i="3" s="1"/>
  <c r="DA3" i="3"/>
  <c r="DC3" i="3"/>
  <c r="A4" i="3"/>
  <c r="Y4" i="3"/>
  <c r="CY4" i="3"/>
  <c r="CZ4" i="3"/>
  <c r="DA4" i="3"/>
  <c r="DB4" i="3"/>
  <c r="DC4" i="3"/>
  <c r="A5" i="3"/>
  <c r="Y5" i="3"/>
  <c r="CY5" i="3"/>
  <c r="CZ5" i="3"/>
  <c r="DB5" i="3" s="1"/>
  <c r="DA5" i="3"/>
  <c r="DC5" i="3"/>
  <c r="A6" i="3"/>
  <c r="Y6" i="3"/>
  <c r="CY6" i="3"/>
  <c r="CZ6" i="3"/>
  <c r="DB6" i="3" s="1"/>
  <c r="DA6" i="3"/>
  <c r="DC6" i="3"/>
  <c r="A7" i="3"/>
  <c r="Y7" i="3"/>
  <c r="CY7" i="3"/>
  <c r="CZ7" i="3"/>
  <c r="DA7" i="3"/>
  <c r="DB7" i="3"/>
  <c r="DC7" i="3"/>
  <c r="A8" i="3"/>
  <c r="Y8" i="3"/>
  <c r="CY8" i="3"/>
  <c r="CZ8" i="3"/>
  <c r="DA8" i="3"/>
  <c r="DB8" i="3"/>
  <c r="DC8" i="3"/>
  <c r="A9" i="3"/>
  <c r="Y9" i="3"/>
  <c r="CY9" i="3"/>
  <c r="CZ9" i="3"/>
  <c r="DA9" i="3"/>
  <c r="DB9" i="3"/>
  <c r="DC9" i="3"/>
  <c r="A10" i="3"/>
  <c r="Y10" i="3"/>
  <c r="CY10" i="3"/>
  <c r="CZ10" i="3"/>
  <c r="DA10" i="3"/>
  <c r="DB10" i="3"/>
  <c r="DC10" i="3"/>
  <c r="A11" i="3"/>
  <c r="Y11" i="3"/>
  <c r="CY11" i="3"/>
  <c r="CZ11" i="3"/>
  <c r="DB11" i="3" s="1"/>
  <c r="DA11" i="3"/>
  <c r="DC11" i="3"/>
  <c r="A12" i="3"/>
  <c r="Y12" i="3"/>
  <c r="CY12" i="3"/>
  <c r="CZ12" i="3"/>
  <c r="DA12" i="3"/>
  <c r="DB12" i="3"/>
  <c r="DC12" i="3"/>
  <c r="A13" i="3"/>
  <c r="Y13" i="3"/>
  <c r="CY13" i="3"/>
  <c r="CZ13" i="3"/>
  <c r="DB13" i="3" s="1"/>
  <c r="DA13" i="3"/>
  <c r="DC13" i="3"/>
  <c r="A14" i="3"/>
  <c r="Y14" i="3"/>
  <c r="CY14" i="3"/>
  <c r="CZ14" i="3"/>
  <c r="DB14" i="3" s="1"/>
  <c r="DA14" i="3"/>
  <c r="DC14" i="3"/>
  <c r="A15" i="3"/>
  <c r="Y15" i="3"/>
  <c r="CY15" i="3"/>
  <c r="CZ15" i="3"/>
  <c r="DB15" i="3" s="1"/>
  <c r="DA15" i="3"/>
  <c r="DC15" i="3"/>
  <c r="A16" i="3"/>
  <c r="Y16" i="3"/>
  <c r="CY16" i="3"/>
  <c r="CZ16" i="3"/>
  <c r="DA16" i="3"/>
  <c r="DB16" i="3"/>
  <c r="DC16" i="3"/>
  <c r="A17" i="3"/>
  <c r="Y17" i="3"/>
  <c r="CY17" i="3"/>
  <c r="CZ17" i="3"/>
  <c r="DB17" i="3" s="1"/>
  <c r="DA17" i="3"/>
  <c r="DC17" i="3"/>
  <c r="A18" i="3"/>
  <c r="Y18" i="3"/>
  <c r="CY18" i="3"/>
  <c r="CZ18" i="3"/>
  <c r="DB18" i="3" s="1"/>
  <c r="DA18" i="3"/>
  <c r="DC18" i="3"/>
  <c r="A19" i="3"/>
  <c r="Y19" i="3"/>
  <c r="CY19" i="3"/>
  <c r="CZ19" i="3"/>
  <c r="DA19" i="3"/>
  <c r="DB19" i="3"/>
  <c r="DC19" i="3"/>
  <c r="A20" i="3"/>
  <c r="Y20" i="3"/>
  <c r="CY20" i="3"/>
  <c r="CZ20" i="3"/>
  <c r="DA20" i="3"/>
  <c r="DB20" i="3"/>
  <c r="DC20" i="3"/>
  <c r="A21" i="3"/>
  <c r="Y21" i="3"/>
  <c r="CY21" i="3"/>
  <c r="CZ21" i="3"/>
  <c r="DB21" i="3" s="1"/>
  <c r="DA21" i="3"/>
  <c r="DC21" i="3"/>
  <c r="A22" i="3"/>
  <c r="Y22" i="3"/>
  <c r="CY22" i="3"/>
  <c r="CZ22" i="3"/>
  <c r="DA22" i="3"/>
  <c r="DB22" i="3"/>
  <c r="DC22" i="3"/>
  <c r="A23" i="3"/>
  <c r="Y23" i="3"/>
  <c r="CY23" i="3"/>
  <c r="CZ23" i="3"/>
  <c r="DB23" i="3" s="1"/>
  <c r="DA23" i="3"/>
  <c r="DC23" i="3"/>
  <c r="A24" i="3"/>
  <c r="Y24" i="3"/>
  <c r="CY24" i="3"/>
  <c r="CZ24" i="3"/>
  <c r="DB24" i="3" s="1"/>
  <c r="DA24" i="3"/>
  <c r="DC24" i="3"/>
  <c r="A25" i="3"/>
  <c r="Y25" i="3"/>
  <c r="CY25" i="3"/>
  <c r="CZ25" i="3"/>
  <c r="DA25" i="3"/>
  <c r="DB25" i="3"/>
  <c r="DC25" i="3"/>
  <c r="A26" i="3"/>
  <c r="Y26" i="3"/>
  <c r="CY26" i="3"/>
  <c r="CZ26" i="3"/>
  <c r="DB26" i="3" s="1"/>
  <c r="DA26" i="3"/>
  <c r="DC26" i="3"/>
  <c r="A27" i="3"/>
  <c r="Y27" i="3"/>
  <c r="CY27" i="3"/>
  <c r="CZ27" i="3"/>
  <c r="DA27" i="3"/>
  <c r="DB27" i="3"/>
  <c r="DC27" i="3"/>
  <c r="A28" i="3"/>
  <c r="Y28" i="3"/>
  <c r="CY28" i="3"/>
  <c r="CZ28" i="3"/>
  <c r="DB28" i="3" s="1"/>
  <c r="DA28" i="3"/>
  <c r="DC28" i="3"/>
  <c r="A29" i="3"/>
  <c r="Y29" i="3"/>
  <c r="CY29" i="3"/>
  <c r="CZ29" i="3"/>
  <c r="DA29" i="3"/>
  <c r="DB29" i="3"/>
  <c r="DC29" i="3"/>
  <c r="A30" i="3"/>
  <c r="Y30" i="3"/>
  <c r="CY30" i="3"/>
  <c r="CZ30" i="3"/>
  <c r="DB30" i="3" s="1"/>
  <c r="DA30" i="3"/>
  <c r="DC30" i="3"/>
  <c r="A31" i="3"/>
  <c r="Y31" i="3"/>
  <c r="CY31" i="3"/>
  <c r="CZ31" i="3"/>
  <c r="DA31" i="3"/>
  <c r="DB31" i="3"/>
  <c r="DC31" i="3"/>
  <c r="A32" i="3"/>
  <c r="Y32" i="3"/>
  <c r="CY32" i="3"/>
  <c r="CZ32" i="3"/>
  <c r="DB32" i="3" s="1"/>
  <c r="DA32" i="3"/>
  <c r="DC32" i="3"/>
  <c r="A33" i="3"/>
  <c r="Y33" i="3"/>
  <c r="CY33" i="3"/>
  <c r="CZ33" i="3"/>
  <c r="DA33" i="3"/>
  <c r="DB33" i="3"/>
  <c r="DC33" i="3"/>
  <c r="A34" i="3"/>
  <c r="Y34" i="3"/>
  <c r="CY34" i="3"/>
  <c r="CZ34" i="3"/>
  <c r="DB34" i="3" s="1"/>
  <c r="DA34" i="3"/>
  <c r="DC34" i="3"/>
  <c r="A35" i="3"/>
  <c r="Y35" i="3"/>
  <c r="CY35" i="3"/>
  <c r="CZ35" i="3"/>
  <c r="DB35" i="3" s="1"/>
  <c r="DA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B37" i="3" s="1"/>
  <c r="DA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B39" i="3" s="1"/>
  <c r="DA39" i="3"/>
  <c r="DC39" i="3"/>
  <c r="A40" i="3"/>
  <c r="Y40" i="3"/>
  <c r="CY40" i="3"/>
  <c r="CZ40" i="3"/>
  <c r="DA40" i="3"/>
  <c r="DB40" i="3"/>
  <c r="DC40" i="3"/>
  <c r="A41" i="3"/>
  <c r="Y41" i="3"/>
  <c r="CY41" i="3"/>
  <c r="CZ41" i="3"/>
  <c r="DB41" i="3" s="1"/>
  <c r="DA41" i="3"/>
  <c r="DC41" i="3"/>
  <c r="A42" i="3"/>
  <c r="Y42" i="3"/>
  <c r="CY42" i="3"/>
  <c r="CZ42" i="3"/>
  <c r="DA42" i="3"/>
  <c r="DB42" i="3"/>
  <c r="DC42" i="3"/>
  <c r="A43" i="3"/>
  <c r="Y43" i="3"/>
  <c r="CY43" i="3"/>
  <c r="CZ43" i="3"/>
  <c r="DB43" i="3" s="1"/>
  <c r="DA43" i="3"/>
  <c r="DC43" i="3"/>
  <c r="A44" i="3"/>
  <c r="Y44" i="3"/>
  <c r="CY44" i="3"/>
  <c r="CZ44" i="3"/>
  <c r="DA44" i="3"/>
  <c r="DB44" i="3"/>
  <c r="DC44" i="3"/>
  <c r="A45" i="3"/>
  <c r="Y45" i="3"/>
  <c r="CY45" i="3"/>
  <c r="CZ45" i="3"/>
  <c r="DB45" i="3" s="1"/>
  <c r="DA45" i="3"/>
  <c r="DC45" i="3"/>
  <c r="A46" i="3"/>
  <c r="Y46" i="3"/>
  <c r="CY46" i="3"/>
  <c r="CZ46" i="3"/>
  <c r="DA46" i="3"/>
  <c r="DB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B48" i="3" s="1"/>
  <c r="DA48" i="3"/>
  <c r="DC48" i="3"/>
  <c r="A49" i="3"/>
  <c r="Y49" i="3"/>
  <c r="CY49" i="3"/>
  <c r="CZ49" i="3"/>
  <c r="DB49" i="3" s="1"/>
  <c r="DA49" i="3"/>
  <c r="DC49" i="3"/>
  <c r="A50" i="3"/>
  <c r="Y50" i="3"/>
  <c r="CY50" i="3"/>
  <c r="CZ50" i="3"/>
  <c r="DB50" i="3" s="1"/>
  <c r="DA50" i="3"/>
  <c r="DC50" i="3"/>
  <c r="A51" i="3"/>
  <c r="Y51" i="3"/>
  <c r="CY51" i="3"/>
  <c r="CZ51" i="3"/>
  <c r="DA51" i="3"/>
  <c r="DB51" i="3"/>
  <c r="DC51" i="3"/>
  <c r="A52" i="3"/>
  <c r="Y52" i="3"/>
  <c r="CY52" i="3"/>
  <c r="CZ52" i="3"/>
  <c r="DB52" i="3" s="1"/>
  <c r="DA52" i="3"/>
  <c r="DC52" i="3"/>
  <c r="A53" i="3"/>
  <c r="Y53" i="3"/>
  <c r="CY53" i="3"/>
  <c r="CZ53" i="3"/>
  <c r="DA53" i="3"/>
  <c r="DB53" i="3"/>
  <c r="DC53" i="3"/>
  <c r="A54" i="3"/>
  <c r="Y54" i="3"/>
  <c r="CY54" i="3"/>
  <c r="CZ54" i="3"/>
  <c r="DB54" i="3" s="1"/>
  <c r="DA54" i="3"/>
  <c r="DC54" i="3"/>
  <c r="A55" i="3"/>
  <c r="Y55" i="3"/>
  <c r="CY55" i="3"/>
  <c r="CZ55" i="3"/>
  <c r="DA55" i="3"/>
  <c r="DB55" i="3"/>
  <c r="DC55" i="3"/>
  <c r="A56" i="3"/>
  <c r="Y56" i="3"/>
  <c r="CY56" i="3"/>
  <c r="CZ56" i="3"/>
  <c r="DB56" i="3" s="1"/>
  <c r="DA56" i="3"/>
  <c r="DC56" i="3"/>
  <c r="A57" i="3"/>
  <c r="Y57" i="3"/>
  <c r="CY57" i="3"/>
  <c r="CZ57" i="3"/>
  <c r="DB57" i="3" s="1"/>
  <c r="DA57" i="3"/>
  <c r="DC57" i="3"/>
  <c r="A58" i="3"/>
  <c r="Y58" i="3"/>
  <c r="CY58" i="3"/>
  <c r="CZ58" i="3"/>
  <c r="DA58" i="3"/>
  <c r="DB58" i="3"/>
  <c r="DC58" i="3"/>
  <c r="A59" i="3"/>
  <c r="Y59" i="3"/>
  <c r="CY59" i="3"/>
  <c r="CZ59" i="3"/>
  <c r="DA59" i="3"/>
  <c r="DB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A61" i="3"/>
  <c r="DB61" i="3"/>
  <c r="DC61" i="3"/>
  <c r="A62" i="3"/>
  <c r="Y62" i="3"/>
  <c r="CY62" i="3"/>
  <c r="CZ62" i="3"/>
  <c r="DB62" i="3" s="1"/>
  <c r="DA62" i="3"/>
  <c r="DC62" i="3"/>
  <c r="A63" i="3"/>
  <c r="Y63" i="3"/>
  <c r="CY63" i="3"/>
  <c r="CZ63" i="3"/>
  <c r="DA63" i="3"/>
  <c r="DB63" i="3"/>
  <c r="DC63" i="3"/>
  <c r="A64" i="3"/>
  <c r="Y64" i="3"/>
  <c r="CY64" i="3"/>
  <c r="CZ64" i="3"/>
  <c r="DB64" i="3" s="1"/>
  <c r="DA64" i="3"/>
  <c r="DC64" i="3"/>
  <c r="A65" i="3"/>
  <c r="Y65" i="3"/>
  <c r="CY65" i="3"/>
  <c r="CZ65" i="3"/>
  <c r="DA65" i="3"/>
  <c r="DB65" i="3"/>
  <c r="DC65" i="3"/>
  <c r="A66" i="3"/>
  <c r="Y66" i="3"/>
  <c r="CY66" i="3"/>
  <c r="CZ66" i="3"/>
  <c r="DB66" i="3" s="1"/>
  <c r="DA66" i="3"/>
  <c r="DC66" i="3"/>
  <c r="A67" i="3"/>
  <c r="Y67" i="3"/>
  <c r="CY67" i="3"/>
  <c r="CZ67" i="3"/>
  <c r="DA67" i="3"/>
  <c r="DB67" i="3"/>
  <c r="DC67" i="3"/>
  <c r="A68" i="3"/>
  <c r="Y68" i="3"/>
  <c r="CY68" i="3"/>
  <c r="CZ68" i="3"/>
  <c r="DB68" i="3" s="1"/>
  <c r="DA68" i="3"/>
  <c r="DC68" i="3"/>
  <c r="A69" i="3"/>
  <c r="Y69" i="3"/>
  <c r="CY69" i="3"/>
  <c r="CZ69" i="3"/>
  <c r="DB69" i="3" s="1"/>
  <c r="DA69" i="3"/>
  <c r="DC69" i="3"/>
  <c r="A70" i="3"/>
  <c r="Y70" i="3"/>
  <c r="CY70" i="3"/>
  <c r="CZ70" i="3"/>
  <c r="DA70" i="3"/>
  <c r="DB70" i="3"/>
  <c r="DC70" i="3"/>
  <c r="A71" i="3"/>
  <c r="Y71" i="3"/>
  <c r="CY71" i="3"/>
  <c r="CZ71" i="3"/>
  <c r="DB71" i="3" s="1"/>
  <c r="DA71" i="3"/>
  <c r="DC71" i="3"/>
  <c r="A72" i="3"/>
  <c r="Y72" i="3"/>
  <c r="CY72" i="3"/>
  <c r="CZ72" i="3"/>
  <c r="DA72" i="3"/>
  <c r="DB72" i="3"/>
  <c r="DC72" i="3"/>
  <c r="A73" i="3"/>
  <c r="Y73" i="3"/>
  <c r="CY73" i="3"/>
  <c r="CZ73" i="3"/>
  <c r="DB73" i="3" s="1"/>
  <c r="DA73" i="3"/>
  <c r="DC73" i="3"/>
  <c r="A74" i="3"/>
  <c r="Y74" i="3"/>
  <c r="CY74" i="3"/>
  <c r="CZ74" i="3"/>
  <c r="DB74" i="3" s="1"/>
  <c r="DA74" i="3"/>
  <c r="DC74" i="3"/>
  <c r="A75" i="3"/>
  <c r="Y75" i="3"/>
  <c r="CY75" i="3"/>
  <c r="CZ75" i="3"/>
  <c r="DB75" i="3" s="1"/>
  <c r="DA75" i="3"/>
  <c r="DC75" i="3"/>
  <c r="A76" i="3"/>
  <c r="Y76" i="3"/>
  <c r="CY76" i="3"/>
  <c r="CZ76" i="3"/>
  <c r="DA76" i="3"/>
  <c r="DB76" i="3"/>
  <c r="DC76" i="3"/>
  <c r="A77" i="3"/>
  <c r="Y77" i="3"/>
  <c r="CY77" i="3"/>
  <c r="CZ77" i="3"/>
  <c r="DA77" i="3"/>
  <c r="DB77" i="3"/>
  <c r="DC77" i="3"/>
  <c r="A78" i="3"/>
  <c r="Y78" i="3"/>
  <c r="CY78" i="3"/>
  <c r="CZ78" i="3"/>
  <c r="DB78" i="3" s="1"/>
  <c r="DA78" i="3"/>
  <c r="DC78" i="3"/>
  <c r="A79" i="3"/>
  <c r="Y79" i="3"/>
  <c r="CY79" i="3"/>
  <c r="CZ79" i="3"/>
  <c r="DA79" i="3"/>
  <c r="DB79" i="3"/>
  <c r="DC79" i="3"/>
  <c r="A80" i="3"/>
  <c r="Y80" i="3"/>
  <c r="CY80" i="3"/>
  <c r="CZ80" i="3"/>
  <c r="DB80" i="3" s="1"/>
  <c r="DA80" i="3"/>
  <c r="DC80" i="3"/>
  <c r="A81" i="3"/>
  <c r="Y81" i="3"/>
  <c r="CY81" i="3"/>
  <c r="CZ81" i="3"/>
  <c r="DA81" i="3"/>
  <c r="DB81" i="3"/>
  <c r="DC81" i="3"/>
  <c r="A82" i="3"/>
  <c r="Y82" i="3"/>
  <c r="CY82" i="3"/>
  <c r="CZ82" i="3"/>
  <c r="DB82" i="3" s="1"/>
  <c r="DA82" i="3"/>
  <c r="DC82" i="3"/>
  <c r="A83" i="3"/>
  <c r="Y83" i="3"/>
  <c r="CY83" i="3"/>
  <c r="CZ83" i="3"/>
  <c r="DB83" i="3" s="1"/>
  <c r="DA83" i="3"/>
  <c r="DC83" i="3"/>
  <c r="A84" i="3"/>
  <c r="Y84" i="3"/>
  <c r="CY84" i="3"/>
  <c r="CZ84" i="3"/>
  <c r="DB84" i="3" s="1"/>
  <c r="DA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A86" i="3"/>
  <c r="DB86" i="3"/>
  <c r="DC86" i="3"/>
  <c r="A87" i="3"/>
  <c r="Y87" i="3"/>
  <c r="CY87" i="3"/>
  <c r="CZ87" i="3"/>
  <c r="DB87" i="3" s="1"/>
  <c r="DA87" i="3"/>
  <c r="DC87" i="3"/>
  <c r="A88" i="3"/>
  <c r="Y88" i="3"/>
  <c r="CY88" i="3"/>
  <c r="CZ88" i="3"/>
  <c r="DA88" i="3"/>
  <c r="DB88" i="3"/>
  <c r="DC88" i="3"/>
  <c r="A89" i="3"/>
  <c r="Y89" i="3"/>
  <c r="CY89" i="3"/>
  <c r="CZ89" i="3"/>
  <c r="DA89" i="3"/>
  <c r="DB89" i="3"/>
  <c r="DC89" i="3"/>
  <c r="A90" i="3"/>
  <c r="Y90" i="3"/>
  <c r="CY90" i="3"/>
  <c r="CZ90" i="3"/>
  <c r="DA90" i="3"/>
  <c r="DB90" i="3"/>
  <c r="DC90" i="3"/>
  <c r="A91" i="3"/>
  <c r="Y91" i="3"/>
  <c r="CY91" i="3"/>
  <c r="CZ91" i="3"/>
  <c r="DB91" i="3" s="1"/>
  <c r="DA91" i="3"/>
  <c r="DC91" i="3"/>
  <c r="A92" i="3"/>
  <c r="Y92" i="3"/>
  <c r="CY92" i="3"/>
  <c r="CZ92" i="3"/>
  <c r="DB92" i="3" s="1"/>
  <c r="DA92" i="3"/>
  <c r="DC92" i="3"/>
  <c r="A93" i="3"/>
  <c r="Y93" i="3"/>
  <c r="CY93" i="3"/>
  <c r="CZ93" i="3"/>
  <c r="DA93" i="3"/>
  <c r="DB93" i="3"/>
  <c r="DC93" i="3"/>
  <c r="A94" i="3"/>
  <c r="Y94" i="3"/>
  <c r="CY94" i="3"/>
  <c r="CZ94" i="3"/>
  <c r="DB94" i="3" s="1"/>
  <c r="DA94" i="3"/>
  <c r="DC94" i="3"/>
  <c r="A95" i="3"/>
  <c r="Y95" i="3"/>
  <c r="CY95" i="3"/>
  <c r="CZ95" i="3"/>
  <c r="DA95" i="3"/>
  <c r="DB95" i="3"/>
  <c r="DC95" i="3"/>
  <c r="A96" i="3"/>
  <c r="Y96" i="3"/>
  <c r="CY96" i="3"/>
  <c r="CZ96" i="3"/>
  <c r="DA96" i="3"/>
  <c r="DB96" i="3"/>
  <c r="DC96" i="3"/>
  <c r="A97" i="3"/>
  <c r="Y97" i="3"/>
  <c r="CY97" i="3"/>
  <c r="CZ97" i="3"/>
  <c r="DB97" i="3" s="1"/>
  <c r="DA97" i="3"/>
  <c r="DC97" i="3"/>
  <c r="A98" i="3"/>
  <c r="Y98" i="3"/>
  <c r="CW98" i="3" s="1"/>
  <c r="CY98" i="3"/>
  <c r="CZ98" i="3"/>
  <c r="DA98" i="3"/>
  <c r="DB98" i="3"/>
  <c r="DC98" i="3"/>
  <c r="A99" i="3"/>
  <c r="Y99" i="3"/>
  <c r="CY99" i="3"/>
  <c r="CZ99" i="3"/>
  <c r="DA99" i="3"/>
  <c r="DB99" i="3"/>
  <c r="DC99" i="3"/>
  <c r="A100" i="3"/>
  <c r="Y100" i="3"/>
  <c r="CY100" i="3"/>
  <c r="CZ100" i="3"/>
  <c r="DA100" i="3"/>
  <c r="DB100" i="3"/>
  <c r="DC100" i="3"/>
  <c r="A101" i="3"/>
  <c r="Y101" i="3"/>
  <c r="CY101" i="3"/>
  <c r="CZ101" i="3"/>
  <c r="DA101" i="3"/>
  <c r="DB101" i="3"/>
  <c r="DC101" i="3"/>
  <c r="A102" i="3"/>
  <c r="Y102" i="3"/>
  <c r="CY102" i="3"/>
  <c r="CZ102" i="3"/>
  <c r="DA102" i="3"/>
  <c r="DB102" i="3"/>
  <c r="DC102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I24" i="1"/>
  <c r="K24" i="1"/>
  <c r="AC24" i="1"/>
  <c r="AE24" i="1"/>
  <c r="AD24" i="1" s="1"/>
  <c r="AF24" i="1"/>
  <c r="AG24" i="1"/>
  <c r="AH24" i="1"/>
  <c r="AI24" i="1"/>
  <c r="AJ24" i="1"/>
  <c r="CQ24" i="1"/>
  <c r="CR24" i="1"/>
  <c r="CS24" i="1"/>
  <c r="CT24" i="1"/>
  <c r="CU24" i="1"/>
  <c r="T24" i="1" s="1"/>
  <c r="CV24" i="1"/>
  <c r="CW24" i="1"/>
  <c r="CX24" i="1"/>
  <c r="W24" i="1" s="1"/>
  <c r="GL24" i="1"/>
  <c r="GO24" i="1"/>
  <c r="GP24" i="1"/>
  <c r="GV24" i="1"/>
  <c r="GX24" i="1"/>
  <c r="HC24" i="1"/>
  <c r="C25" i="1"/>
  <c r="D25" i="1"/>
  <c r="I25" i="1"/>
  <c r="K25" i="1"/>
  <c r="AC25" i="1"/>
  <c r="AE25" i="1"/>
  <c r="AD25" i="1" s="1"/>
  <c r="AF25" i="1"/>
  <c r="AG25" i="1"/>
  <c r="CU25" i="1" s="1"/>
  <c r="AH25" i="1"/>
  <c r="AI25" i="1"/>
  <c r="AJ25" i="1"/>
  <c r="CQ25" i="1"/>
  <c r="CR25" i="1"/>
  <c r="CS25" i="1"/>
  <c r="CT25" i="1"/>
  <c r="CV25" i="1"/>
  <c r="CW25" i="1"/>
  <c r="CX25" i="1"/>
  <c r="GL25" i="1"/>
  <c r="GO25" i="1"/>
  <c r="GP25" i="1"/>
  <c r="GV25" i="1"/>
  <c r="HC25" i="1"/>
  <c r="AC26" i="1"/>
  <c r="AE26" i="1"/>
  <c r="AD26" i="1" s="1"/>
  <c r="AF26" i="1"/>
  <c r="AG26" i="1"/>
  <c r="AH26" i="1"/>
  <c r="CV26" i="1" s="1"/>
  <c r="AI26" i="1"/>
  <c r="CW26" i="1" s="1"/>
  <c r="AJ26" i="1"/>
  <c r="CQ26" i="1"/>
  <c r="CR26" i="1"/>
  <c r="CS26" i="1"/>
  <c r="CT26" i="1"/>
  <c r="CU26" i="1"/>
  <c r="CX26" i="1"/>
  <c r="GL26" i="1"/>
  <c r="GO26" i="1"/>
  <c r="GP26" i="1"/>
  <c r="GV26" i="1"/>
  <c r="HC26" i="1" s="1"/>
  <c r="C27" i="1"/>
  <c r="D27" i="1"/>
  <c r="I27" i="1"/>
  <c r="K27" i="1"/>
  <c r="AC27" i="1"/>
  <c r="AE27" i="1"/>
  <c r="AD27" i="1" s="1"/>
  <c r="AF27" i="1"/>
  <c r="AG27" i="1"/>
  <c r="AH27" i="1"/>
  <c r="AI27" i="1"/>
  <c r="AJ27" i="1"/>
  <c r="CQ27" i="1"/>
  <c r="CR27" i="1"/>
  <c r="CS27" i="1"/>
  <c r="CT27" i="1"/>
  <c r="CU27" i="1"/>
  <c r="T27" i="1" s="1"/>
  <c r="CV27" i="1"/>
  <c r="CW27" i="1"/>
  <c r="CX27" i="1"/>
  <c r="W27" i="1" s="1"/>
  <c r="GL27" i="1"/>
  <c r="GO27" i="1"/>
  <c r="GP27" i="1"/>
  <c r="GV27" i="1"/>
  <c r="HC27" i="1" s="1"/>
  <c r="GX27" i="1" s="1"/>
  <c r="I28" i="1"/>
  <c r="GX28" i="1" s="1"/>
  <c r="S28" i="1"/>
  <c r="AC28" i="1"/>
  <c r="AB28" i="1" s="1"/>
  <c r="AE28" i="1"/>
  <c r="AD28" i="1" s="1"/>
  <c r="AF28" i="1"/>
  <c r="AG28" i="1"/>
  <c r="AH28" i="1"/>
  <c r="CV28" i="1" s="1"/>
  <c r="U28" i="1" s="1"/>
  <c r="AI28" i="1"/>
  <c r="AJ28" i="1"/>
  <c r="CQ28" i="1"/>
  <c r="CR28" i="1"/>
  <c r="CS28" i="1"/>
  <c r="R28" i="1" s="1"/>
  <c r="CT28" i="1"/>
  <c r="CU28" i="1"/>
  <c r="CW28" i="1"/>
  <c r="V28" i="1" s="1"/>
  <c r="CX28" i="1"/>
  <c r="GL28" i="1"/>
  <c r="GO28" i="1"/>
  <c r="GP28" i="1"/>
  <c r="GV28" i="1"/>
  <c r="HC28" i="1"/>
  <c r="C29" i="1"/>
  <c r="D29" i="1"/>
  <c r="I29" i="1"/>
  <c r="K29" i="1"/>
  <c r="AC29" i="1"/>
  <c r="AE29" i="1"/>
  <c r="AD29" i="1" s="1"/>
  <c r="AF29" i="1"/>
  <c r="AG29" i="1"/>
  <c r="CU29" i="1" s="1"/>
  <c r="T29" i="1" s="1"/>
  <c r="AH29" i="1"/>
  <c r="AI29" i="1"/>
  <c r="AJ29" i="1"/>
  <c r="CX29" i="1" s="1"/>
  <c r="W29" i="1" s="1"/>
  <c r="CQ29" i="1"/>
  <c r="CR29" i="1"/>
  <c r="CS29" i="1"/>
  <c r="CT29" i="1"/>
  <c r="CV29" i="1"/>
  <c r="CW29" i="1"/>
  <c r="GL29" i="1"/>
  <c r="GO29" i="1"/>
  <c r="GP29" i="1"/>
  <c r="GV29" i="1"/>
  <c r="HC29" i="1"/>
  <c r="GX29" i="1" s="1"/>
  <c r="I30" i="1"/>
  <c r="R30" i="1"/>
  <c r="U30" i="1"/>
  <c r="AB30" i="1"/>
  <c r="AC30" i="1"/>
  <c r="AE30" i="1"/>
  <c r="AD30" i="1" s="1"/>
  <c r="AF30" i="1"/>
  <c r="AG30" i="1"/>
  <c r="CU30" i="1" s="1"/>
  <c r="T30" i="1" s="1"/>
  <c r="AH30" i="1"/>
  <c r="AI30" i="1"/>
  <c r="AJ30" i="1"/>
  <c r="CX30" i="1" s="1"/>
  <c r="W30" i="1" s="1"/>
  <c r="CQ30" i="1"/>
  <c r="P30" i="1" s="1"/>
  <c r="CP30" i="1" s="1"/>
  <c r="O30" i="1" s="1"/>
  <c r="CR30" i="1"/>
  <c r="Q30" i="1" s="1"/>
  <c r="CS30" i="1"/>
  <c r="CT30" i="1"/>
  <c r="S30" i="1" s="1"/>
  <c r="CV30" i="1"/>
  <c r="CW30" i="1"/>
  <c r="V30" i="1" s="1"/>
  <c r="GL30" i="1"/>
  <c r="GO30" i="1"/>
  <c r="GP30" i="1"/>
  <c r="GV30" i="1"/>
  <c r="HC30" i="1"/>
  <c r="GX30" i="1" s="1"/>
  <c r="C31" i="1"/>
  <c r="D31" i="1"/>
  <c r="I31" i="1"/>
  <c r="K31" i="1"/>
  <c r="W31" i="1"/>
  <c r="AC31" i="1"/>
  <c r="AE31" i="1"/>
  <c r="AD31" i="1" s="1"/>
  <c r="AF31" i="1"/>
  <c r="AG31" i="1"/>
  <c r="CU31" i="1" s="1"/>
  <c r="T31" i="1" s="1"/>
  <c r="AH31" i="1"/>
  <c r="AI31" i="1"/>
  <c r="AJ31" i="1"/>
  <c r="CX31" i="1" s="1"/>
  <c r="CQ31" i="1"/>
  <c r="CR31" i="1"/>
  <c r="CS31" i="1"/>
  <c r="CT31" i="1"/>
  <c r="CV31" i="1"/>
  <c r="CW31" i="1"/>
  <c r="GL31" i="1"/>
  <c r="GO31" i="1"/>
  <c r="GP31" i="1"/>
  <c r="GV31" i="1"/>
  <c r="HC31" i="1" s="1"/>
  <c r="GX31" i="1" s="1"/>
  <c r="C32" i="1"/>
  <c r="D32" i="1"/>
  <c r="I32" i="1"/>
  <c r="K32" i="1"/>
  <c r="T32" i="1"/>
  <c r="AC32" i="1"/>
  <c r="AE32" i="1"/>
  <c r="AD32" i="1" s="1"/>
  <c r="AF32" i="1"/>
  <c r="AG32" i="1"/>
  <c r="CU32" i="1" s="1"/>
  <c r="AH32" i="1"/>
  <c r="AI32" i="1"/>
  <c r="AJ32" i="1"/>
  <c r="CQ32" i="1"/>
  <c r="CR32" i="1"/>
  <c r="CS32" i="1"/>
  <c r="CT32" i="1"/>
  <c r="CV32" i="1"/>
  <c r="CW32" i="1"/>
  <c r="CX32" i="1"/>
  <c r="W32" i="1" s="1"/>
  <c r="GL32" i="1"/>
  <c r="GO32" i="1"/>
  <c r="GP32" i="1"/>
  <c r="GV32" i="1"/>
  <c r="HC32" i="1" s="1"/>
  <c r="GX32" i="1" s="1"/>
  <c r="C33" i="1"/>
  <c r="D33" i="1"/>
  <c r="I33" i="1"/>
  <c r="K33" i="1"/>
  <c r="AC33" i="1"/>
  <c r="AE33" i="1"/>
  <c r="AD33" i="1" s="1"/>
  <c r="AF33" i="1"/>
  <c r="AG33" i="1"/>
  <c r="AH33" i="1"/>
  <c r="AI33" i="1"/>
  <c r="AJ33" i="1"/>
  <c r="CQ33" i="1"/>
  <c r="CR33" i="1"/>
  <c r="CS33" i="1"/>
  <c r="CT33" i="1"/>
  <c r="CU33" i="1"/>
  <c r="T33" i="1" s="1"/>
  <c r="CV33" i="1"/>
  <c r="CW33" i="1"/>
  <c r="CX33" i="1"/>
  <c r="W33" i="1" s="1"/>
  <c r="GL33" i="1"/>
  <c r="GO33" i="1"/>
  <c r="GP33" i="1"/>
  <c r="GV33" i="1"/>
  <c r="HC33" i="1" s="1"/>
  <c r="GX33" i="1" s="1"/>
  <c r="C34" i="1"/>
  <c r="D34" i="1"/>
  <c r="I34" i="1"/>
  <c r="K34" i="1"/>
  <c r="AC34" i="1"/>
  <c r="AE34" i="1"/>
  <c r="AD34" i="1" s="1"/>
  <c r="AF34" i="1"/>
  <c r="AG34" i="1"/>
  <c r="AH34" i="1"/>
  <c r="AI34" i="1"/>
  <c r="AJ34" i="1"/>
  <c r="CQ34" i="1"/>
  <c r="CR34" i="1"/>
  <c r="CS34" i="1"/>
  <c r="CT34" i="1"/>
  <c r="CU34" i="1"/>
  <c r="T34" i="1" s="1"/>
  <c r="CV34" i="1"/>
  <c r="CW34" i="1"/>
  <c r="CX34" i="1"/>
  <c r="W34" i="1" s="1"/>
  <c r="GL34" i="1"/>
  <c r="GO34" i="1"/>
  <c r="GP34" i="1"/>
  <c r="GV34" i="1"/>
  <c r="HC34" i="1" s="1"/>
  <c r="GX34" i="1" s="1"/>
  <c r="C35" i="1"/>
  <c r="D35" i="1"/>
  <c r="I35" i="1"/>
  <c r="K35" i="1"/>
  <c r="AC35" i="1"/>
  <c r="AE35" i="1"/>
  <c r="AD35" i="1" s="1"/>
  <c r="AF35" i="1"/>
  <c r="AG35" i="1"/>
  <c r="AH35" i="1"/>
  <c r="AI35" i="1"/>
  <c r="AJ35" i="1"/>
  <c r="CQ35" i="1"/>
  <c r="CR35" i="1"/>
  <c r="CS35" i="1"/>
  <c r="CT35" i="1"/>
  <c r="CU35" i="1"/>
  <c r="T35" i="1" s="1"/>
  <c r="CV35" i="1"/>
  <c r="CW35" i="1"/>
  <c r="CX35" i="1"/>
  <c r="W35" i="1" s="1"/>
  <c r="GL35" i="1"/>
  <c r="GO35" i="1"/>
  <c r="GP35" i="1"/>
  <c r="GV35" i="1"/>
  <c r="HC35" i="1" s="1"/>
  <c r="GX35" i="1" s="1"/>
  <c r="C36" i="1"/>
  <c r="D36" i="1"/>
  <c r="I36" i="1"/>
  <c r="K36" i="1"/>
  <c r="AC36" i="1"/>
  <c r="AE36" i="1"/>
  <c r="AD36" i="1" s="1"/>
  <c r="AF36" i="1"/>
  <c r="AG36" i="1"/>
  <c r="AH36" i="1"/>
  <c r="AI36" i="1"/>
  <c r="AJ36" i="1"/>
  <c r="CQ36" i="1"/>
  <c r="CR36" i="1"/>
  <c r="CS36" i="1"/>
  <c r="CT36" i="1"/>
  <c r="CU36" i="1"/>
  <c r="T36" i="1" s="1"/>
  <c r="CV36" i="1"/>
  <c r="CW36" i="1"/>
  <c r="CX36" i="1"/>
  <c r="W36" i="1" s="1"/>
  <c r="GL36" i="1"/>
  <c r="GO36" i="1"/>
  <c r="GP36" i="1"/>
  <c r="GV36" i="1"/>
  <c r="HC36" i="1"/>
  <c r="GX36" i="1" s="1"/>
  <c r="C37" i="1"/>
  <c r="D37" i="1"/>
  <c r="I37" i="1"/>
  <c r="K37" i="1"/>
  <c r="AC37" i="1"/>
  <c r="AE37" i="1"/>
  <c r="AD37" i="1" s="1"/>
  <c r="AF37" i="1"/>
  <c r="AG37" i="1"/>
  <c r="AH37" i="1"/>
  <c r="AI37" i="1"/>
  <c r="AJ37" i="1"/>
  <c r="CX37" i="1" s="1"/>
  <c r="CQ37" i="1"/>
  <c r="CR37" i="1"/>
  <c r="CS37" i="1"/>
  <c r="CT37" i="1"/>
  <c r="CU37" i="1"/>
  <c r="CV37" i="1"/>
  <c r="CW37" i="1"/>
  <c r="GL37" i="1"/>
  <c r="GO37" i="1"/>
  <c r="GP37" i="1"/>
  <c r="GV37" i="1"/>
  <c r="HC37" i="1"/>
  <c r="AC38" i="1"/>
  <c r="AE38" i="1"/>
  <c r="AD38" i="1" s="1"/>
  <c r="AB38" i="1" s="1"/>
  <c r="AF38" i="1"/>
  <c r="AG38" i="1"/>
  <c r="CU38" i="1" s="1"/>
  <c r="AH38" i="1"/>
  <c r="AI38" i="1"/>
  <c r="AJ38" i="1"/>
  <c r="CX38" i="1" s="1"/>
  <c r="CQ38" i="1"/>
  <c r="CR38" i="1"/>
  <c r="CS38" i="1"/>
  <c r="CT38" i="1"/>
  <c r="CV38" i="1"/>
  <c r="CW38" i="1"/>
  <c r="GL38" i="1"/>
  <c r="GO38" i="1"/>
  <c r="GP38" i="1"/>
  <c r="GV38" i="1"/>
  <c r="HC38" i="1"/>
  <c r="C39" i="1"/>
  <c r="D39" i="1"/>
  <c r="I39" i="1"/>
  <c r="K39" i="1"/>
  <c r="V39" i="1"/>
  <c r="AC39" i="1"/>
  <c r="AE39" i="1"/>
  <c r="AD39" i="1" s="1"/>
  <c r="AF39" i="1"/>
  <c r="AG39" i="1"/>
  <c r="CU39" i="1" s="1"/>
  <c r="T39" i="1" s="1"/>
  <c r="AH39" i="1"/>
  <c r="AI39" i="1"/>
  <c r="AJ39" i="1"/>
  <c r="CX39" i="1" s="1"/>
  <c r="W39" i="1" s="1"/>
  <c r="CQ39" i="1"/>
  <c r="CR39" i="1"/>
  <c r="CS39" i="1"/>
  <c r="CT39" i="1"/>
  <c r="CV39" i="1"/>
  <c r="CW39" i="1"/>
  <c r="GL39" i="1"/>
  <c r="GO39" i="1"/>
  <c r="GP39" i="1"/>
  <c r="GV39" i="1"/>
  <c r="HC39" i="1"/>
  <c r="GX39" i="1" s="1"/>
  <c r="I40" i="1"/>
  <c r="U40" i="1" s="1"/>
  <c r="R40" i="1"/>
  <c r="AC40" i="1"/>
  <c r="AE40" i="1"/>
  <c r="AD40" i="1" s="1"/>
  <c r="AB40" i="1" s="1"/>
  <c r="AF40" i="1"/>
  <c r="AG40" i="1"/>
  <c r="CU40" i="1" s="1"/>
  <c r="T40" i="1" s="1"/>
  <c r="AH40" i="1"/>
  <c r="AI40" i="1"/>
  <c r="AJ40" i="1"/>
  <c r="CX40" i="1" s="1"/>
  <c r="W40" i="1" s="1"/>
  <c r="CQ40" i="1"/>
  <c r="P40" i="1" s="1"/>
  <c r="CR40" i="1"/>
  <c r="Q40" i="1" s="1"/>
  <c r="CS40" i="1"/>
  <c r="CT40" i="1"/>
  <c r="S40" i="1" s="1"/>
  <c r="CV40" i="1"/>
  <c r="CW40" i="1"/>
  <c r="V40" i="1" s="1"/>
  <c r="GL40" i="1"/>
  <c r="GO40" i="1"/>
  <c r="GP40" i="1"/>
  <c r="GV40" i="1"/>
  <c r="HC40" i="1"/>
  <c r="GX40" i="1" s="1"/>
  <c r="C41" i="1"/>
  <c r="D41" i="1"/>
  <c r="I41" i="1"/>
  <c r="K41" i="1"/>
  <c r="W41" i="1"/>
  <c r="AC41" i="1"/>
  <c r="AE41" i="1"/>
  <c r="AD41" i="1" s="1"/>
  <c r="AF41" i="1"/>
  <c r="AG41" i="1"/>
  <c r="CU41" i="1" s="1"/>
  <c r="T41" i="1" s="1"/>
  <c r="AH41" i="1"/>
  <c r="AI41" i="1"/>
  <c r="AJ41" i="1"/>
  <c r="CQ41" i="1"/>
  <c r="CR41" i="1"/>
  <c r="CS41" i="1"/>
  <c r="CT41" i="1"/>
  <c r="CV41" i="1"/>
  <c r="CW41" i="1"/>
  <c r="CX41" i="1"/>
  <c r="GL41" i="1"/>
  <c r="GO41" i="1"/>
  <c r="GP41" i="1"/>
  <c r="GV41" i="1"/>
  <c r="HC41" i="1" s="1"/>
  <c r="GX41" i="1" s="1"/>
  <c r="I42" i="1"/>
  <c r="Q42" i="1"/>
  <c r="R42" i="1"/>
  <c r="W42" i="1"/>
  <c r="AC42" i="1"/>
  <c r="AB42" i="1" s="1"/>
  <c r="AD42" i="1"/>
  <c r="AE42" i="1"/>
  <c r="AF42" i="1"/>
  <c r="AG42" i="1"/>
  <c r="CU42" i="1" s="1"/>
  <c r="T42" i="1" s="1"/>
  <c r="AH42" i="1"/>
  <c r="AI42" i="1"/>
  <c r="AJ42" i="1"/>
  <c r="CQ42" i="1"/>
  <c r="P42" i="1" s="1"/>
  <c r="CR42" i="1"/>
  <c r="CS42" i="1"/>
  <c r="CT42" i="1"/>
  <c r="S42" i="1" s="1"/>
  <c r="CV42" i="1"/>
  <c r="U42" i="1" s="1"/>
  <c r="CW42" i="1"/>
  <c r="V42" i="1" s="1"/>
  <c r="CX42" i="1"/>
  <c r="GL42" i="1"/>
  <c r="GO42" i="1"/>
  <c r="GP42" i="1"/>
  <c r="GV42" i="1"/>
  <c r="HC42" i="1" s="1"/>
  <c r="GX42" i="1" s="1"/>
  <c r="C43" i="1"/>
  <c r="D43" i="1"/>
  <c r="I43" i="1"/>
  <c r="K43" i="1"/>
  <c r="T43" i="1"/>
  <c r="AC43" i="1"/>
  <c r="AE43" i="1"/>
  <c r="AD43" i="1" s="1"/>
  <c r="AF43" i="1"/>
  <c r="AG43" i="1"/>
  <c r="AH43" i="1"/>
  <c r="AI43" i="1"/>
  <c r="AJ43" i="1"/>
  <c r="CQ43" i="1"/>
  <c r="CR43" i="1"/>
  <c r="CS43" i="1"/>
  <c r="CT43" i="1"/>
  <c r="CU43" i="1"/>
  <c r="CV43" i="1"/>
  <c r="CW43" i="1"/>
  <c r="CX43" i="1"/>
  <c r="W43" i="1" s="1"/>
  <c r="GL43" i="1"/>
  <c r="GO43" i="1"/>
  <c r="GP43" i="1"/>
  <c r="GV43" i="1"/>
  <c r="GX43" i="1"/>
  <c r="HC43" i="1"/>
  <c r="I44" i="1"/>
  <c r="T44" i="1"/>
  <c r="AC44" i="1"/>
  <c r="AD44" i="1"/>
  <c r="AE44" i="1"/>
  <c r="AF44" i="1"/>
  <c r="AG44" i="1"/>
  <c r="AH44" i="1"/>
  <c r="CV44" i="1" s="1"/>
  <c r="U44" i="1" s="1"/>
  <c r="AI44" i="1"/>
  <c r="CW44" i="1" s="1"/>
  <c r="V44" i="1" s="1"/>
  <c r="AJ44" i="1"/>
  <c r="CQ44" i="1"/>
  <c r="P44" i="1" s="1"/>
  <c r="CR44" i="1"/>
  <c r="Q44" i="1" s="1"/>
  <c r="CS44" i="1"/>
  <c r="R44" i="1" s="1"/>
  <c r="CT44" i="1"/>
  <c r="S44" i="1" s="1"/>
  <c r="CZ44" i="1" s="1"/>
  <c r="Y44" i="1" s="1"/>
  <c r="CU44" i="1"/>
  <c r="CX44" i="1"/>
  <c r="W44" i="1" s="1"/>
  <c r="CY44" i="1"/>
  <c r="X44" i="1" s="1"/>
  <c r="GL44" i="1"/>
  <c r="GO44" i="1"/>
  <c r="GP44" i="1"/>
  <c r="GV44" i="1"/>
  <c r="GX44" i="1"/>
  <c r="HC44" i="1"/>
  <c r="C45" i="1"/>
  <c r="D45" i="1"/>
  <c r="I45" i="1"/>
  <c r="K45" i="1"/>
  <c r="AC45" i="1"/>
  <c r="AE45" i="1"/>
  <c r="AD45" i="1" s="1"/>
  <c r="AF45" i="1"/>
  <c r="AG45" i="1"/>
  <c r="AH45" i="1"/>
  <c r="AI45" i="1"/>
  <c r="AJ45" i="1"/>
  <c r="CQ45" i="1"/>
  <c r="CR45" i="1"/>
  <c r="CS45" i="1"/>
  <c r="CT45" i="1"/>
  <c r="CU45" i="1"/>
  <c r="T45" i="1" s="1"/>
  <c r="CV45" i="1"/>
  <c r="CW45" i="1"/>
  <c r="CX45" i="1"/>
  <c r="W45" i="1" s="1"/>
  <c r="GL45" i="1"/>
  <c r="GO45" i="1"/>
  <c r="GP45" i="1"/>
  <c r="GV45" i="1"/>
  <c r="HC45" i="1"/>
  <c r="GX45" i="1" s="1"/>
  <c r="I46" i="1"/>
  <c r="S46" i="1" s="1"/>
  <c r="Q46" i="1"/>
  <c r="AC46" i="1"/>
  <c r="AE46" i="1"/>
  <c r="AD46" i="1" s="1"/>
  <c r="AF46" i="1"/>
  <c r="AG46" i="1"/>
  <c r="AH46" i="1"/>
  <c r="AI46" i="1"/>
  <c r="CW46" i="1" s="1"/>
  <c r="V46" i="1" s="1"/>
  <c r="AJ46" i="1"/>
  <c r="CQ46" i="1"/>
  <c r="P46" i="1" s="1"/>
  <c r="CP46" i="1" s="1"/>
  <c r="O46" i="1" s="1"/>
  <c r="CR46" i="1"/>
  <c r="CS46" i="1"/>
  <c r="R46" i="1" s="1"/>
  <c r="CT46" i="1"/>
  <c r="CU46" i="1"/>
  <c r="T46" i="1" s="1"/>
  <c r="CV46" i="1"/>
  <c r="U46" i="1" s="1"/>
  <c r="CX46" i="1"/>
  <c r="W46" i="1" s="1"/>
  <c r="GL46" i="1"/>
  <c r="GO46" i="1"/>
  <c r="GP46" i="1"/>
  <c r="GV46" i="1"/>
  <c r="HC46" i="1"/>
  <c r="GX46" i="1" s="1"/>
  <c r="C47" i="1"/>
  <c r="D47" i="1"/>
  <c r="I47" i="1"/>
  <c r="K47" i="1"/>
  <c r="AC47" i="1"/>
  <c r="AE47" i="1"/>
  <c r="AD47" i="1" s="1"/>
  <c r="AF47" i="1"/>
  <c r="AG47" i="1"/>
  <c r="AH47" i="1"/>
  <c r="AI47" i="1"/>
  <c r="AJ47" i="1"/>
  <c r="CX47" i="1" s="1"/>
  <c r="W47" i="1" s="1"/>
  <c r="CQ47" i="1"/>
  <c r="CR47" i="1"/>
  <c r="CS47" i="1"/>
  <c r="CT47" i="1"/>
  <c r="CU47" i="1"/>
  <c r="T47" i="1" s="1"/>
  <c r="CV47" i="1"/>
  <c r="CW47" i="1"/>
  <c r="GL47" i="1"/>
  <c r="GO47" i="1"/>
  <c r="GP47" i="1"/>
  <c r="GV47" i="1"/>
  <c r="HC47" i="1" s="1"/>
  <c r="GX47" i="1" s="1"/>
  <c r="I48" i="1"/>
  <c r="V48" i="1"/>
  <c r="AC48" i="1"/>
  <c r="AE48" i="1"/>
  <c r="AD48" i="1" s="1"/>
  <c r="AF48" i="1"/>
  <c r="AG48" i="1"/>
  <c r="AH48" i="1"/>
  <c r="CV48" i="1" s="1"/>
  <c r="AI48" i="1"/>
  <c r="AJ48" i="1"/>
  <c r="CX48" i="1" s="1"/>
  <c r="W48" i="1" s="1"/>
  <c r="CQ48" i="1"/>
  <c r="CR48" i="1"/>
  <c r="Q48" i="1" s="1"/>
  <c r="CS48" i="1"/>
  <c r="R48" i="1" s="1"/>
  <c r="CT48" i="1"/>
  <c r="CU48" i="1"/>
  <c r="T48" i="1" s="1"/>
  <c r="CW48" i="1"/>
  <c r="GL48" i="1"/>
  <c r="GO48" i="1"/>
  <c r="GP48" i="1"/>
  <c r="GV48" i="1"/>
  <c r="HC48" i="1" s="1"/>
  <c r="GX48" i="1" s="1"/>
  <c r="C49" i="1"/>
  <c r="D49" i="1"/>
  <c r="I49" i="1"/>
  <c r="K49" i="1"/>
  <c r="AC49" i="1"/>
  <c r="AE49" i="1"/>
  <c r="AD49" i="1" s="1"/>
  <c r="AF49" i="1"/>
  <c r="AG49" i="1"/>
  <c r="CU49" i="1" s="1"/>
  <c r="T49" i="1" s="1"/>
  <c r="AH49" i="1"/>
  <c r="AI49" i="1"/>
  <c r="AJ49" i="1"/>
  <c r="CQ49" i="1"/>
  <c r="CR49" i="1"/>
  <c r="CS49" i="1"/>
  <c r="CT49" i="1"/>
  <c r="CV49" i="1"/>
  <c r="CW49" i="1"/>
  <c r="CX49" i="1"/>
  <c r="W49" i="1" s="1"/>
  <c r="GL49" i="1"/>
  <c r="GO49" i="1"/>
  <c r="GP49" i="1"/>
  <c r="GV49" i="1"/>
  <c r="HC49" i="1" s="1"/>
  <c r="GX49" i="1" s="1"/>
  <c r="I50" i="1"/>
  <c r="P50" i="1"/>
  <c r="S50" i="1"/>
  <c r="V50" i="1"/>
  <c r="AC50" i="1"/>
  <c r="AE50" i="1"/>
  <c r="AD50" i="1" s="1"/>
  <c r="AF50" i="1"/>
  <c r="AG50" i="1"/>
  <c r="CU50" i="1" s="1"/>
  <c r="T50" i="1" s="1"/>
  <c r="AH50" i="1"/>
  <c r="CV50" i="1" s="1"/>
  <c r="U50" i="1" s="1"/>
  <c r="AI50" i="1"/>
  <c r="AJ50" i="1"/>
  <c r="CQ50" i="1"/>
  <c r="CR50" i="1"/>
  <c r="Q50" i="1" s="1"/>
  <c r="CP50" i="1" s="1"/>
  <c r="O50" i="1" s="1"/>
  <c r="CS50" i="1"/>
  <c r="R50" i="1" s="1"/>
  <c r="CT50" i="1"/>
  <c r="CW50" i="1"/>
  <c r="CX50" i="1"/>
  <c r="W50" i="1" s="1"/>
  <c r="GL50" i="1"/>
  <c r="GO50" i="1"/>
  <c r="GP50" i="1"/>
  <c r="GV50" i="1"/>
  <c r="HC50" i="1" s="1"/>
  <c r="GX50" i="1" s="1"/>
  <c r="I51" i="1"/>
  <c r="P51" i="1"/>
  <c r="V51" i="1"/>
  <c r="AC51" i="1"/>
  <c r="AB51" i="1" s="1"/>
  <c r="AE51" i="1"/>
  <c r="AD51" i="1" s="1"/>
  <c r="AF51" i="1"/>
  <c r="AG51" i="1"/>
  <c r="AH51" i="1"/>
  <c r="CV51" i="1" s="1"/>
  <c r="U51" i="1" s="1"/>
  <c r="AI51" i="1"/>
  <c r="AJ51" i="1"/>
  <c r="CQ51" i="1"/>
  <c r="CR51" i="1"/>
  <c r="Q51" i="1" s="1"/>
  <c r="CP51" i="1" s="1"/>
  <c r="O51" i="1" s="1"/>
  <c r="CS51" i="1"/>
  <c r="R51" i="1" s="1"/>
  <c r="CT51" i="1"/>
  <c r="S51" i="1" s="1"/>
  <c r="CU51" i="1"/>
  <c r="T51" i="1" s="1"/>
  <c r="CW51" i="1"/>
  <c r="CX51" i="1"/>
  <c r="W51" i="1" s="1"/>
  <c r="GL51" i="1"/>
  <c r="GO51" i="1"/>
  <c r="GP51" i="1"/>
  <c r="GV51" i="1"/>
  <c r="HC51" i="1" s="1"/>
  <c r="GX51" i="1" s="1"/>
  <c r="C52" i="1"/>
  <c r="D52" i="1"/>
  <c r="I52" i="1"/>
  <c r="K52" i="1"/>
  <c r="AC52" i="1"/>
  <c r="AD52" i="1"/>
  <c r="AE52" i="1"/>
  <c r="AF52" i="1"/>
  <c r="AG52" i="1"/>
  <c r="AH52" i="1"/>
  <c r="AI52" i="1"/>
  <c r="AJ52" i="1"/>
  <c r="CX52" i="1" s="1"/>
  <c r="W52" i="1" s="1"/>
  <c r="CQ52" i="1"/>
  <c r="CR52" i="1"/>
  <c r="CS52" i="1"/>
  <c r="CT52" i="1"/>
  <c r="CU52" i="1"/>
  <c r="T52" i="1" s="1"/>
  <c r="CV52" i="1"/>
  <c r="CW52" i="1"/>
  <c r="GL52" i="1"/>
  <c r="GO52" i="1"/>
  <c r="GP52" i="1"/>
  <c r="GV52" i="1"/>
  <c r="HC52" i="1"/>
  <c r="GX52" i="1" s="1"/>
  <c r="AC53" i="1"/>
  <c r="AE53" i="1"/>
  <c r="AD53" i="1" s="1"/>
  <c r="AB53" i="1" s="1"/>
  <c r="AF53" i="1"/>
  <c r="AG53" i="1"/>
  <c r="AH53" i="1"/>
  <c r="AI53" i="1"/>
  <c r="CW53" i="1" s="1"/>
  <c r="AJ53" i="1"/>
  <c r="CX53" i="1" s="1"/>
  <c r="CQ53" i="1"/>
  <c r="CR53" i="1"/>
  <c r="CS53" i="1"/>
  <c r="CT53" i="1"/>
  <c r="CU53" i="1"/>
  <c r="CV53" i="1"/>
  <c r="GL53" i="1"/>
  <c r="GO53" i="1"/>
  <c r="GP53" i="1"/>
  <c r="GV53" i="1"/>
  <c r="HC53" i="1"/>
  <c r="C54" i="1"/>
  <c r="D54" i="1"/>
  <c r="I54" i="1"/>
  <c r="K54" i="1"/>
  <c r="T54" i="1"/>
  <c r="AC54" i="1"/>
  <c r="AD54" i="1"/>
  <c r="AE54" i="1"/>
  <c r="AF54" i="1"/>
  <c r="AG54" i="1"/>
  <c r="AH54" i="1"/>
  <c r="AI54" i="1"/>
  <c r="AJ54" i="1"/>
  <c r="CX54" i="1" s="1"/>
  <c r="W54" i="1" s="1"/>
  <c r="CQ54" i="1"/>
  <c r="CR54" i="1"/>
  <c r="CS54" i="1"/>
  <c r="CT54" i="1"/>
  <c r="CU54" i="1"/>
  <c r="CV54" i="1"/>
  <c r="CW54" i="1"/>
  <c r="GL54" i="1"/>
  <c r="GO54" i="1"/>
  <c r="GP54" i="1"/>
  <c r="GV54" i="1"/>
  <c r="HC54" i="1"/>
  <c r="GX54" i="1" s="1"/>
  <c r="C55" i="1"/>
  <c r="D55" i="1"/>
  <c r="I55" i="1"/>
  <c r="K55" i="1"/>
  <c r="AC55" i="1"/>
  <c r="AE55" i="1"/>
  <c r="AD55" i="1" s="1"/>
  <c r="AF55" i="1"/>
  <c r="AG55" i="1"/>
  <c r="CU55" i="1" s="1"/>
  <c r="T55" i="1" s="1"/>
  <c r="AH55" i="1"/>
  <c r="AI55" i="1"/>
  <c r="AJ55" i="1"/>
  <c r="CX55" i="1" s="1"/>
  <c r="W55" i="1" s="1"/>
  <c r="CQ55" i="1"/>
  <c r="CR55" i="1"/>
  <c r="CS55" i="1"/>
  <c r="CT55" i="1"/>
  <c r="CV55" i="1"/>
  <c r="CW55" i="1"/>
  <c r="GL55" i="1"/>
  <c r="GO55" i="1"/>
  <c r="GP55" i="1"/>
  <c r="GV55" i="1"/>
  <c r="HC55" i="1"/>
  <c r="GX55" i="1" s="1"/>
  <c r="AC56" i="1"/>
  <c r="AE56" i="1"/>
  <c r="AD56" i="1" s="1"/>
  <c r="AB56" i="1" s="1"/>
  <c r="AF56" i="1"/>
  <c r="AG56" i="1"/>
  <c r="CU56" i="1" s="1"/>
  <c r="AH56" i="1"/>
  <c r="AI56" i="1"/>
  <c r="AJ56" i="1"/>
  <c r="CX56" i="1" s="1"/>
  <c r="CQ56" i="1"/>
  <c r="CR56" i="1"/>
  <c r="CS56" i="1"/>
  <c r="CT56" i="1"/>
  <c r="CV56" i="1"/>
  <c r="CW56" i="1"/>
  <c r="GL56" i="1"/>
  <c r="GO56" i="1"/>
  <c r="GP56" i="1"/>
  <c r="GV56" i="1"/>
  <c r="HC56" i="1"/>
  <c r="C57" i="1"/>
  <c r="D57" i="1"/>
  <c r="I57" i="1"/>
  <c r="K57" i="1"/>
  <c r="AC57" i="1"/>
  <c r="AE57" i="1"/>
  <c r="AD57" i="1" s="1"/>
  <c r="AF57" i="1"/>
  <c r="AG57" i="1"/>
  <c r="CU57" i="1" s="1"/>
  <c r="T57" i="1" s="1"/>
  <c r="AH57" i="1"/>
  <c r="AI57" i="1"/>
  <c r="AJ57" i="1"/>
  <c r="CX57" i="1" s="1"/>
  <c r="W57" i="1" s="1"/>
  <c r="CQ57" i="1"/>
  <c r="CR57" i="1"/>
  <c r="CS57" i="1"/>
  <c r="CT57" i="1"/>
  <c r="CV57" i="1"/>
  <c r="CW57" i="1"/>
  <c r="GL57" i="1"/>
  <c r="GO57" i="1"/>
  <c r="GP57" i="1"/>
  <c r="GV57" i="1"/>
  <c r="GX57" i="1"/>
  <c r="HC57" i="1"/>
  <c r="I58" i="1"/>
  <c r="I59" i="1" s="1"/>
  <c r="K58" i="1"/>
  <c r="O58" i="1"/>
  <c r="P58" i="1"/>
  <c r="Q58" i="1"/>
  <c r="R58" i="1"/>
  <c r="S58" i="1"/>
  <c r="T58" i="1"/>
  <c r="U58" i="1"/>
  <c r="V58" i="1"/>
  <c r="W58" i="1"/>
  <c r="X58" i="1"/>
  <c r="Y58" i="1"/>
  <c r="AB58" i="1"/>
  <c r="AC58" i="1"/>
  <c r="AD58" i="1"/>
  <c r="AE58" i="1"/>
  <c r="AF58" i="1"/>
  <c r="AG58" i="1"/>
  <c r="AH58" i="1"/>
  <c r="AI58" i="1"/>
  <c r="AJ58" i="1"/>
  <c r="CP58" i="1"/>
  <c r="GL58" i="1"/>
  <c r="GM58" i="1"/>
  <c r="HD58" i="1" s="1"/>
  <c r="GN58" i="1"/>
  <c r="GO58" i="1"/>
  <c r="GP58" i="1"/>
  <c r="GV58" i="1"/>
  <c r="GX58" i="1"/>
  <c r="K59" i="1"/>
  <c r="O59" i="1"/>
  <c r="P59" i="1"/>
  <c r="Q59" i="1"/>
  <c r="R59" i="1"/>
  <c r="S59" i="1"/>
  <c r="T59" i="1"/>
  <c r="U59" i="1"/>
  <c r="V59" i="1"/>
  <c r="W59" i="1"/>
  <c r="X59" i="1"/>
  <c r="Y59" i="1"/>
  <c r="AB59" i="1"/>
  <c r="CP59" i="1" s="1"/>
  <c r="GM59" i="1" s="1"/>
  <c r="AC59" i="1"/>
  <c r="AD59" i="1"/>
  <c r="AE59" i="1"/>
  <c r="AF59" i="1"/>
  <c r="AG59" i="1"/>
  <c r="AH59" i="1"/>
  <c r="AI59" i="1"/>
  <c r="AJ59" i="1"/>
  <c r="GL59" i="1"/>
  <c r="GO59" i="1"/>
  <c r="GP59" i="1"/>
  <c r="GV59" i="1"/>
  <c r="GX59" i="1"/>
  <c r="B61" i="1"/>
  <c r="B22" i="1" s="1"/>
  <c r="C61" i="1"/>
  <c r="C22" i="1" s="1"/>
  <c r="D61" i="1"/>
  <c r="D22" i="1" s="1"/>
  <c r="F61" i="1"/>
  <c r="F22" i="1" s="1"/>
  <c r="G61" i="1"/>
  <c r="G22" i="1" s="1"/>
  <c r="BX61" i="1"/>
  <c r="BX22" i="1" s="1"/>
  <c r="BY61" i="1"/>
  <c r="BY22" i="1" s="1"/>
  <c r="CK61" i="1"/>
  <c r="CK22" i="1" s="1"/>
  <c r="CL61" i="1"/>
  <c r="CL22" i="1" s="1"/>
  <c r="B98" i="1"/>
  <c r="B18" i="1" s="1"/>
  <c r="C98" i="1"/>
  <c r="C18" i="1" s="1"/>
  <c r="D98" i="1"/>
  <c r="D18" i="1" s="1"/>
  <c r="F98" i="1"/>
  <c r="F18" i="1" s="1"/>
  <c r="G98" i="1"/>
  <c r="G18" i="1" s="1"/>
  <c r="F12" i="6"/>
  <c r="G12" i="6"/>
  <c r="AB27" i="1" l="1"/>
  <c r="AB31" i="1"/>
  <c r="AB47" i="1"/>
  <c r="AB37" i="1"/>
  <c r="AW278" i="7"/>
  <c r="AN386" i="7"/>
  <c r="J404" i="7"/>
  <c r="G273" i="7"/>
  <c r="J118" i="7"/>
  <c r="J170" i="7"/>
  <c r="J236" i="7"/>
  <c r="J238" i="7"/>
  <c r="J254" i="7"/>
  <c r="G292" i="7"/>
  <c r="AW73" i="7"/>
  <c r="G251" i="7"/>
  <c r="G253" i="7"/>
  <c r="J363" i="7"/>
  <c r="G85" i="7"/>
  <c r="L134" i="7"/>
  <c r="AW144" i="7" s="1"/>
  <c r="G114" i="7"/>
  <c r="AN299" i="7"/>
  <c r="J334" i="7"/>
  <c r="G220" i="7"/>
  <c r="G222" i="7"/>
  <c r="L381" i="7"/>
  <c r="AW390" i="7" s="1"/>
  <c r="AN339" i="7"/>
  <c r="L474" i="7"/>
  <c r="G167" i="7"/>
  <c r="J171" i="7"/>
  <c r="G186" i="7"/>
  <c r="G71" i="7"/>
  <c r="J151" i="7"/>
  <c r="J403" i="7"/>
  <c r="L402" i="7"/>
  <c r="AW410" i="7" s="1"/>
  <c r="L56" i="7"/>
  <c r="AO63" i="7" s="1"/>
  <c r="L130" i="7"/>
  <c r="AO144" i="7" s="1"/>
  <c r="AN238" i="7"/>
  <c r="G312" i="7"/>
  <c r="AW338" i="7"/>
  <c r="G376" i="7"/>
  <c r="G401" i="7"/>
  <c r="J256" i="7"/>
  <c r="AW87" i="7"/>
  <c r="L115" i="7"/>
  <c r="AW124" i="7" s="1"/>
  <c r="L200" i="7"/>
  <c r="AO211" i="7" s="1"/>
  <c r="L255" i="7"/>
  <c r="AW264" i="7" s="1"/>
  <c r="G330" i="7"/>
  <c r="J350" i="7"/>
  <c r="L449" i="7"/>
  <c r="L440" i="7" s="1"/>
  <c r="L438" i="7" s="1"/>
  <c r="AT229" i="7"/>
  <c r="L217" i="7"/>
  <c r="AO229" i="7" s="1"/>
  <c r="L237" i="7"/>
  <c r="AR242" i="7"/>
  <c r="L239" i="7" s="1"/>
  <c r="AR356" i="7"/>
  <c r="L353" i="7" s="1"/>
  <c r="G99" i="7"/>
  <c r="AW101" i="7"/>
  <c r="J137" i="7"/>
  <c r="G165" i="7"/>
  <c r="L169" i="7"/>
  <c r="AW177" i="7" s="1"/>
  <c r="G203" i="7"/>
  <c r="G205" i="7"/>
  <c r="G328" i="7"/>
  <c r="L480" i="7"/>
  <c r="L471" i="7" s="1"/>
  <c r="L508" i="7"/>
  <c r="G275" i="7"/>
  <c r="J299" i="7"/>
  <c r="L309" i="7"/>
  <c r="AO319" i="7" s="1"/>
  <c r="G332" i="7"/>
  <c r="L361" i="7"/>
  <c r="AO368" i="7" s="1"/>
  <c r="J382" i="7"/>
  <c r="J405" i="7"/>
  <c r="L326" i="7"/>
  <c r="AT343" i="7" s="1"/>
  <c r="L374" i="7"/>
  <c r="L373" i="7" s="1"/>
  <c r="AO390" i="7" s="1"/>
  <c r="G399" i="7"/>
  <c r="J296" i="7"/>
  <c r="L271" i="7"/>
  <c r="L270" i="7" s="1"/>
  <c r="AO283" i="7" s="1"/>
  <c r="G188" i="7"/>
  <c r="J257" i="7"/>
  <c r="AT319" i="7"/>
  <c r="AN352" i="7"/>
  <c r="L443" i="7"/>
  <c r="G294" i="7"/>
  <c r="L348" i="7"/>
  <c r="AO356" i="7" s="1"/>
  <c r="G378" i="7"/>
  <c r="AN414" i="7"/>
  <c r="L458" i="7"/>
  <c r="L183" i="7"/>
  <c r="AO194" i="7" s="1"/>
  <c r="AT194" i="7"/>
  <c r="AR303" i="7"/>
  <c r="L226" i="7"/>
  <c r="L289" i="7"/>
  <c r="AO303" i="7" s="1"/>
  <c r="AT303" i="7"/>
  <c r="AT410" i="7"/>
  <c r="L396" i="7"/>
  <c r="AO410" i="7" s="1"/>
  <c r="AR319" i="7"/>
  <c r="L96" i="7"/>
  <c r="AT105" i="7"/>
  <c r="AR144" i="7"/>
  <c r="L82" i="7"/>
  <c r="AO91" i="7" s="1"/>
  <c r="AT91" i="7"/>
  <c r="AR124" i="7"/>
  <c r="L111" i="7"/>
  <c r="AO124" i="7" s="1"/>
  <c r="AT124" i="7"/>
  <c r="L162" i="7"/>
  <c r="AT177" i="7"/>
  <c r="L174" i="7" s="1"/>
  <c r="AR211" i="7"/>
  <c r="AR368" i="7"/>
  <c r="L365" i="7" s="1"/>
  <c r="AR283" i="7"/>
  <c r="AR194" i="7"/>
  <c r="L68" i="7"/>
  <c r="AT77" i="7"/>
  <c r="AR91" i="7"/>
  <c r="AT283" i="7"/>
  <c r="AR390" i="7"/>
  <c r="L504" i="7"/>
  <c r="L433" i="7"/>
  <c r="AT63" i="7"/>
  <c r="L60" i="7" s="1"/>
  <c r="AT144" i="7"/>
  <c r="AW225" i="7"/>
  <c r="AN412" i="7"/>
  <c r="L224" i="7"/>
  <c r="AR343" i="7"/>
  <c r="AR77" i="7"/>
  <c r="AR105" i="7"/>
  <c r="K412" i="7"/>
  <c r="I412" i="7" s="1"/>
  <c r="L149" i="7"/>
  <c r="L152" i="7" s="1"/>
  <c r="AR156" i="7"/>
  <c r="L153" i="7" s="1"/>
  <c r="K414" i="7"/>
  <c r="I414" i="7" s="1"/>
  <c r="AT211" i="7"/>
  <c r="AN260" i="7"/>
  <c r="AR264" i="7"/>
  <c r="L261" i="7" s="1"/>
  <c r="AR410" i="7"/>
  <c r="L407" i="7" s="1"/>
  <c r="L59" i="7"/>
  <c r="L248" i="7"/>
  <c r="AB55" i="1"/>
  <c r="AB39" i="1"/>
  <c r="AB33" i="1"/>
  <c r="AB57" i="1"/>
  <c r="AB29" i="1"/>
  <c r="AB54" i="1"/>
  <c r="AB35" i="1"/>
  <c r="BZ61" i="1"/>
  <c r="BZ22" i="1" s="1"/>
  <c r="AB41" i="1"/>
  <c r="CD61" i="1"/>
  <c r="AU61" i="1" s="1"/>
  <c r="AB52" i="1"/>
  <c r="CC61" i="1"/>
  <c r="CC22" i="1" s="1"/>
  <c r="AB34" i="1"/>
  <c r="CY51" i="1"/>
  <c r="X51" i="1" s="1"/>
  <c r="GM51" i="1" s="1"/>
  <c r="GN51" i="1" s="1"/>
  <c r="CZ51" i="1"/>
  <c r="Y51" i="1" s="1"/>
  <c r="W56" i="1"/>
  <c r="HD59" i="1"/>
  <c r="GN59" i="1"/>
  <c r="CM61" i="1"/>
  <c r="T56" i="1"/>
  <c r="CP44" i="1"/>
  <c r="O44" i="1" s="1"/>
  <c r="GM44" i="1" s="1"/>
  <c r="GN44" i="1" s="1"/>
  <c r="AB44" i="1"/>
  <c r="AP61" i="1"/>
  <c r="AB48" i="1"/>
  <c r="CY46" i="1"/>
  <c r="X46" i="1" s="1"/>
  <c r="GM46" i="1" s="1"/>
  <c r="GN46" i="1" s="1"/>
  <c r="CZ46" i="1"/>
  <c r="Y46" i="1" s="1"/>
  <c r="AB43" i="1"/>
  <c r="CY40" i="1"/>
  <c r="X40" i="1" s="1"/>
  <c r="CZ40" i="1"/>
  <c r="Y40" i="1" s="1"/>
  <c r="W37" i="1"/>
  <c r="AB36" i="1"/>
  <c r="CP42" i="1"/>
  <c r="O42" i="1" s="1"/>
  <c r="Q38" i="1"/>
  <c r="CX44" i="3"/>
  <c r="CW46" i="3"/>
  <c r="CU44" i="3"/>
  <c r="CX48" i="3"/>
  <c r="CV44" i="3"/>
  <c r="U37" i="1" s="1"/>
  <c r="G215" i="7" s="1"/>
  <c r="CX46" i="3"/>
  <c r="I38" i="1"/>
  <c r="GX26" i="1"/>
  <c r="Q26" i="1"/>
  <c r="CY50" i="1"/>
  <c r="X50" i="1" s="1"/>
  <c r="GM50" i="1" s="1"/>
  <c r="GN50" i="1" s="1"/>
  <c r="CZ50" i="1"/>
  <c r="Y50" i="1" s="1"/>
  <c r="AO61" i="1"/>
  <c r="GX25" i="1"/>
  <c r="CX4" i="3"/>
  <c r="CU3" i="3"/>
  <c r="CX5" i="3"/>
  <c r="CX6" i="3"/>
  <c r="CX3" i="3"/>
  <c r="I26" i="1"/>
  <c r="BC61" i="1"/>
  <c r="CX98" i="3"/>
  <c r="CX101" i="3"/>
  <c r="CX97" i="3"/>
  <c r="CU96" i="3"/>
  <c r="CV96" i="3"/>
  <c r="U57" i="1" s="1"/>
  <c r="G394" i="7" s="1"/>
  <c r="CW84" i="3"/>
  <c r="V52" i="1" s="1"/>
  <c r="G349" i="7" s="1"/>
  <c r="CU83" i="3"/>
  <c r="CX84" i="3"/>
  <c r="CV83" i="3"/>
  <c r="U52" i="1" s="1"/>
  <c r="G346" i="7" s="1"/>
  <c r="CX83" i="3"/>
  <c r="CX85" i="3"/>
  <c r="I53" i="1"/>
  <c r="AB50" i="1"/>
  <c r="AB49" i="1"/>
  <c r="P48" i="1"/>
  <c r="CP48" i="1" s="1"/>
  <c r="O48" i="1" s="1"/>
  <c r="S48" i="1"/>
  <c r="CP40" i="1"/>
  <c r="O40" i="1" s="1"/>
  <c r="GM40" i="1" s="1"/>
  <c r="GN40" i="1" s="1"/>
  <c r="W38" i="1"/>
  <c r="GX37" i="1"/>
  <c r="T37" i="1"/>
  <c r="CY30" i="1"/>
  <c r="X30" i="1" s="1"/>
  <c r="GM30" i="1" s="1"/>
  <c r="GN30" i="1" s="1"/>
  <c r="CZ30" i="1"/>
  <c r="Y30" i="1" s="1"/>
  <c r="CY42" i="1"/>
  <c r="X42" i="1" s="1"/>
  <c r="CZ42" i="1"/>
  <c r="Y42" i="1" s="1"/>
  <c r="T38" i="1"/>
  <c r="BB61" i="1"/>
  <c r="CU88" i="3"/>
  <c r="CW92" i="3"/>
  <c r="CX95" i="3"/>
  <c r="CV88" i="3"/>
  <c r="U55" i="1" s="1"/>
  <c r="G371" i="7" s="1"/>
  <c r="CX92" i="3"/>
  <c r="CX88" i="3"/>
  <c r="CW91" i="3"/>
  <c r="CX91" i="3"/>
  <c r="CX94" i="3"/>
  <c r="CW90" i="3"/>
  <c r="V55" i="1" s="1"/>
  <c r="G374" i="7" s="1"/>
  <c r="CX93" i="3"/>
  <c r="CW87" i="3"/>
  <c r="V54" i="1" s="1"/>
  <c r="G362" i="7" s="1"/>
  <c r="CU86" i="3"/>
  <c r="CX87" i="3"/>
  <c r="CV86" i="3"/>
  <c r="U54" i="1" s="1"/>
  <c r="G359" i="7" s="1"/>
  <c r="CX86" i="3"/>
  <c r="AB45" i="1"/>
  <c r="I56" i="1"/>
  <c r="U48" i="1"/>
  <c r="AB46" i="1"/>
  <c r="V38" i="1"/>
  <c r="AB32" i="1"/>
  <c r="CY28" i="1"/>
  <c r="X28" i="1" s="1"/>
  <c r="CZ28" i="1"/>
  <c r="Y28" i="1" s="1"/>
  <c r="U26" i="1"/>
  <c r="CU71" i="3"/>
  <c r="CX74" i="3"/>
  <c r="CX72" i="3"/>
  <c r="CW73" i="3"/>
  <c r="V47" i="1" s="1"/>
  <c r="G310" i="7" s="1"/>
  <c r="CW31" i="3"/>
  <c r="CU29" i="3"/>
  <c r="CW33" i="3"/>
  <c r="CV29" i="3"/>
  <c r="U34" i="1" s="1"/>
  <c r="G160" i="7" s="1"/>
  <c r="CX33" i="3"/>
  <c r="CX31" i="3"/>
  <c r="CX34" i="3"/>
  <c r="AB26" i="1"/>
  <c r="T25" i="1"/>
  <c r="CW99" i="3"/>
  <c r="V57" i="1" s="1"/>
  <c r="G397" i="7" s="1"/>
  <c r="CX77" i="3"/>
  <c r="CW56" i="3"/>
  <c r="CX57" i="3"/>
  <c r="CW55" i="3"/>
  <c r="CX55" i="3"/>
  <c r="CX58" i="3"/>
  <c r="CX59" i="3"/>
  <c r="CU52" i="3"/>
  <c r="CX53" i="3"/>
  <c r="CX18" i="3"/>
  <c r="CX16" i="3"/>
  <c r="CX19" i="3"/>
  <c r="CU15" i="3"/>
  <c r="CW17" i="3"/>
  <c r="V31" i="1" s="1"/>
  <c r="G112" i="7" s="1"/>
  <c r="CX17" i="3"/>
  <c r="CX20" i="3"/>
  <c r="CU11" i="3"/>
  <c r="CX14" i="3"/>
  <c r="CX12" i="3"/>
  <c r="Q28" i="1"/>
  <c r="P28" i="1"/>
  <c r="CU7" i="3"/>
  <c r="CV7" i="3"/>
  <c r="U27" i="1" s="1"/>
  <c r="G80" i="7" s="1"/>
  <c r="CX7" i="3"/>
  <c r="CX10" i="3"/>
  <c r="CX100" i="3"/>
  <c r="CX40" i="3"/>
  <c r="CW42" i="3"/>
  <c r="V36" i="1" s="1"/>
  <c r="G201" i="7" s="1"/>
  <c r="CU40" i="3"/>
  <c r="CV40" i="3"/>
  <c r="U36" i="1" s="1"/>
  <c r="G198" i="7" s="1"/>
  <c r="CX42" i="3"/>
  <c r="CX89" i="3"/>
  <c r="CX65" i="3"/>
  <c r="CW67" i="3"/>
  <c r="CU65" i="3"/>
  <c r="CX69" i="3"/>
  <c r="CX70" i="3"/>
  <c r="CV65" i="3"/>
  <c r="U45" i="1" s="1"/>
  <c r="G287" i="7" s="1"/>
  <c r="CX67" i="3"/>
  <c r="CU27" i="3"/>
  <c r="CV27" i="3"/>
  <c r="U33" i="1" s="1"/>
  <c r="G147" i="7" s="1"/>
  <c r="CX27" i="3"/>
  <c r="W26" i="1"/>
  <c r="AB25" i="1"/>
  <c r="CX102" i="3"/>
  <c r="CX90" i="3"/>
  <c r="CW79" i="3"/>
  <c r="CX50" i="3"/>
  <c r="CX49" i="3"/>
  <c r="CU49" i="3"/>
  <c r="CV49" i="3"/>
  <c r="U39" i="1" s="1"/>
  <c r="G233" i="7" s="1"/>
  <c r="CX51" i="3"/>
  <c r="W28" i="1"/>
  <c r="T26" i="1"/>
  <c r="CX96" i="3"/>
  <c r="CV75" i="3"/>
  <c r="U49" i="1" s="1"/>
  <c r="G323" i="7" s="1"/>
  <c r="CX81" i="3"/>
  <c r="CX76" i="3"/>
  <c r="CX78" i="3"/>
  <c r="CX80" i="3"/>
  <c r="CX82" i="3"/>
  <c r="CU75" i="3"/>
  <c r="CW77" i="3"/>
  <c r="CX36" i="3"/>
  <c r="CW38" i="3"/>
  <c r="CU36" i="3"/>
  <c r="CV36" i="3"/>
  <c r="U35" i="1" s="1"/>
  <c r="G181" i="7" s="1"/>
  <c r="CX38" i="3"/>
  <c r="W25" i="1"/>
  <c r="CU60" i="3"/>
  <c r="CW63" i="3"/>
  <c r="CX63" i="3"/>
  <c r="CX60" i="3"/>
  <c r="CU21" i="3"/>
  <c r="CX24" i="3"/>
  <c r="CX22" i="3"/>
  <c r="CX25" i="3"/>
  <c r="CW23" i="3"/>
  <c r="V32" i="1" s="1"/>
  <c r="G131" i="7" s="1"/>
  <c r="CX26" i="3"/>
  <c r="T28" i="1"/>
  <c r="R26" i="1"/>
  <c r="AB24" i="1"/>
  <c r="CW68" i="3"/>
  <c r="CX68" i="3"/>
  <c r="CX13" i="3"/>
  <c r="CX8" i="3"/>
  <c r="CX75" i="3"/>
  <c r="CV60" i="3"/>
  <c r="U43" i="1" s="1"/>
  <c r="G268" i="7" s="1"/>
  <c r="CW9" i="3"/>
  <c r="V27" i="1" s="1"/>
  <c r="G83" i="7" s="1"/>
  <c r="CX9" i="3"/>
  <c r="CV52" i="3"/>
  <c r="U41" i="1" s="1"/>
  <c r="G246" i="7" s="1"/>
  <c r="CX52" i="3"/>
  <c r="CX66" i="3"/>
  <c r="CW32" i="3"/>
  <c r="CW28" i="3"/>
  <c r="V33" i="1" s="1"/>
  <c r="G150" i="7" s="1"/>
  <c r="CV1" i="3"/>
  <c r="U24" i="1" s="1"/>
  <c r="G54" i="7" s="1"/>
  <c r="CX1" i="3"/>
  <c r="CU1" i="3"/>
  <c r="CX2" i="3"/>
  <c r="CW78" i="3"/>
  <c r="CX73" i="3"/>
  <c r="CX64" i="3"/>
  <c r="CW47" i="3"/>
  <c r="CW43" i="3"/>
  <c r="CW39" i="3"/>
  <c r="CX35" i="3"/>
  <c r="CX29" i="3"/>
  <c r="CW2" i="3"/>
  <c r="V24" i="1" s="1"/>
  <c r="G57" i="7" s="1"/>
  <c r="CX30" i="3"/>
  <c r="CV21" i="3"/>
  <c r="U32" i="1" s="1"/>
  <c r="G128" i="7" s="1"/>
  <c r="CV3" i="3"/>
  <c r="U25" i="1" s="1"/>
  <c r="G66" i="7" s="1"/>
  <c r="CX99" i="3"/>
  <c r="CX79" i="3"/>
  <c r="CV71" i="3"/>
  <c r="U47" i="1" s="1"/>
  <c r="G307" i="7" s="1"/>
  <c r="CX71" i="3"/>
  <c r="CX56" i="3"/>
  <c r="CX45" i="3"/>
  <c r="CX41" i="3"/>
  <c r="CX37" i="3"/>
  <c r="CX23" i="3"/>
  <c r="CW5" i="3"/>
  <c r="V25" i="1" s="1"/>
  <c r="G69" i="7" s="1"/>
  <c r="CW62" i="3"/>
  <c r="V43" i="1" s="1"/>
  <c r="G271" i="7" s="1"/>
  <c r="CX62" i="3"/>
  <c r="CX61" i="3"/>
  <c r="CW54" i="3"/>
  <c r="CX54" i="3"/>
  <c r="CV15" i="3"/>
  <c r="U31" i="1" s="1"/>
  <c r="G109" i="7" s="1"/>
  <c r="CW13" i="3"/>
  <c r="V29" i="1" s="1"/>
  <c r="G97" i="7" s="1"/>
  <c r="CV11" i="3"/>
  <c r="U29" i="1" s="1"/>
  <c r="G94" i="7" s="1"/>
  <c r="CX21" i="3"/>
  <c r="CX11" i="3"/>
  <c r="CX47" i="3"/>
  <c r="CX43" i="3"/>
  <c r="CX39" i="3"/>
  <c r="CX32" i="3"/>
  <c r="CX28" i="3"/>
  <c r="CX15" i="3"/>
  <c r="AQ61" i="1" l="1"/>
  <c r="F71" i="1" s="1"/>
  <c r="AT61" i="1"/>
  <c r="F79" i="1" s="1"/>
  <c r="F16" i="2" s="1"/>
  <c r="L191" i="7"/>
  <c r="L300" i="7"/>
  <c r="L173" i="7"/>
  <c r="L102" i="7"/>
  <c r="L88" i="7"/>
  <c r="L190" i="7"/>
  <c r="L431" i="7"/>
  <c r="L429" i="7" s="1"/>
  <c r="L364" i="7"/>
  <c r="L207" i="7"/>
  <c r="L314" i="7"/>
  <c r="L406" i="7"/>
  <c r="L502" i="7"/>
  <c r="L500" i="7" s="1"/>
  <c r="L140" i="7"/>
  <c r="L325" i="7"/>
  <c r="L74" i="7"/>
  <c r="L86" i="7"/>
  <c r="AT390" i="7"/>
  <c r="L387" i="7" s="1"/>
  <c r="L351" i="7"/>
  <c r="L340" i="7"/>
  <c r="L316" i="7"/>
  <c r="L277" i="7"/>
  <c r="AO105" i="7"/>
  <c r="L100" i="7"/>
  <c r="L422" i="7"/>
  <c r="L434" i="7"/>
  <c r="L469" i="7"/>
  <c r="L463" i="7"/>
  <c r="L512" i="7" s="1"/>
  <c r="L208" i="7"/>
  <c r="L385" i="7"/>
  <c r="L493" i="7"/>
  <c r="L121" i="7"/>
  <c r="AO264" i="7"/>
  <c r="L259" i="7"/>
  <c r="AO156" i="7"/>
  <c r="L427" i="7"/>
  <c r="L72" i="7"/>
  <c r="AO77" i="7"/>
  <c r="L120" i="7"/>
  <c r="L141" i="7"/>
  <c r="L298" i="7"/>
  <c r="L280" i="7"/>
  <c r="AO177" i="7"/>
  <c r="CD22" i="1"/>
  <c r="CI61" i="1"/>
  <c r="AZ61" i="1" s="1"/>
  <c r="CG61" i="1"/>
  <c r="CG22" i="1" s="1"/>
  <c r="DG47" i="3"/>
  <c r="DJ47" i="3" s="1"/>
  <c r="DH47" i="3"/>
  <c r="DI47" i="3"/>
  <c r="DF47" i="3"/>
  <c r="DG68" i="3"/>
  <c r="DH68" i="3"/>
  <c r="DI68" i="3"/>
  <c r="DF68" i="3"/>
  <c r="DF31" i="3"/>
  <c r="DG31" i="3"/>
  <c r="DH31" i="3"/>
  <c r="DI31" i="3"/>
  <c r="DH44" i="3"/>
  <c r="DI44" i="3"/>
  <c r="DF44" i="3"/>
  <c r="DG44" i="3"/>
  <c r="Q37" i="1" s="1"/>
  <c r="DF11" i="3"/>
  <c r="DG11" i="3"/>
  <c r="DH11" i="3"/>
  <c r="DI11" i="3"/>
  <c r="DG62" i="3"/>
  <c r="DH62" i="3"/>
  <c r="DF62" i="3"/>
  <c r="DI62" i="3"/>
  <c r="DF71" i="3"/>
  <c r="DG71" i="3"/>
  <c r="DH71" i="3"/>
  <c r="DI71" i="3"/>
  <c r="DH29" i="3"/>
  <c r="DI29" i="3"/>
  <c r="DF29" i="3"/>
  <c r="DG29" i="3"/>
  <c r="DF2" i="3"/>
  <c r="DH2" i="3"/>
  <c r="DI2" i="3"/>
  <c r="DG2" i="3"/>
  <c r="DF24" i="3"/>
  <c r="DJ24" i="3" s="1"/>
  <c r="DG24" i="3"/>
  <c r="DH24" i="3"/>
  <c r="DI24" i="3"/>
  <c r="DG78" i="3"/>
  <c r="DF78" i="3"/>
  <c r="DH78" i="3"/>
  <c r="DI78" i="3"/>
  <c r="DH40" i="3"/>
  <c r="DI40" i="3"/>
  <c r="DF40" i="3"/>
  <c r="DG40" i="3"/>
  <c r="DI12" i="3"/>
  <c r="DJ12" i="3" s="1"/>
  <c r="DF12" i="3"/>
  <c r="DG12" i="3"/>
  <c r="DH12" i="3"/>
  <c r="DG16" i="3"/>
  <c r="DH16" i="3"/>
  <c r="DI16" i="3"/>
  <c r="DJ16" i="3" s="1"/>
  <c r="DF16" i="3"/>
  <c r="DF57" i="3"/>
  <c r="DJ57" i="3" s="1"/>
  <c r="DG57" i="3"/>
  <c r="DH57" i="3"/>
  <c r="DI57" i="3"/>
  <c r="DI33" i="3"/>
  <c r="DF33" i="3"/>
  <c r="DG33" i="3"/>
  <c r="DJ33" i="3" s="1"/>
  <c r="DH33" i="3"/>
  <c r="U56" i="1"/>
  <c r="R56" i="1"/>
  <c r="S53" i="1"/>
  <c r="R53" i="1"/>
  <c r="DI5" i="3"/>
  <c r="DF5" i="3"/>
  <c r="DG5" i="3"/>
  <c r="DJ5" i="3" s="1"/>
  <c r="DH5" i="3"/>
  <c r="CM22" i="1"/>
  <c r="BD61" i="1"/>
  <c r="P56" i="1"/>
  <c r="DI51" i="3"/>
  <c r="DF51" i="3"/>
  <c r="DJ51" i="3" s="1"/>
  <c r="DG51" i="3"/>
  <c r="DH51" i="3"/>
  <c r="DG95" i="3"/>
  <c r="DH95" i="3"/>
  <c r="DI95" i="3"/>
  <c r="DF95" i="3"/>
  <c r="DJ95" i="3" s="1"/>
  <c r="DF21" i="3"/>
  <c r="DG21" i="3"/>
  <c r="DH21" i="3"/>
  <c r="R32" i="1" s="1"/>
  <c r="DI21" i="3"/>
  <c r="DG35" i="3"/>
  <c r="DH35" i="3"/>
  <c r="DI35" i="3"/>
  <c r="DF35" i="3"/>
  <c r="DJ35" i="3" s="1"/>
  <c r="DG9" i="3"/>
  <c r="DH9" i="3"/>
  <c r="DI9" i="3"/>
  <c r="DF9" i="3"/>
  <c r="DG76" i="3"/>
  <c r="DF76" i="3"/>
  <c r="DH76" i="3"/>
  <c r="DI76" i="3"/>
  <c r="DJ76" i="3" s="1"/>
  <c r="DF27" i="3"/>
  <c r="DG27" i="3"/>
  <c r="DH27" i="3"/>
  <c r="DI27" i="3"/>
  <c r="V45" i="1"/>
  <c r="G290" i="7" s="1"/>
  <c r="DF100" i="3"/>
  <c r="DJ100" i="3" s="1"/>
  <c r="DG100" i="3"/>
  <c r="DH100" i="3"/>
  <c r="DI100" i="3"/>
  <c r="DF14" i="3"/>
  <c r="DJ14" i="3" s="1"/>
  <c r="DG14" i="3"/>
  <c r="DH14" i="3"/>
  <c r="DI14" i="3"/>
  <c r="DG18" i="3"/>
  <c r="DH18" i="3"/>
  <c r="DI18" i="3"/>
  <c r="DF18" i="3"/>
  <c r="DJ18" i="3" s="1"/>
  <c r="DF94" i="3"/>
  <c r="DJ94" i="3" s="1"/>
  <c r="DG94" i="3"/>
  <c r="DH94" i="3"/>
  <c r="DI94" i="3"/>
  <c r="DI85" i="3"/>
  <c r="DF85" i="3"/>
  <c r="DJ85" i="3" s="1"/>
  <c r="DG85" i="3"/>
  <c r="DH85" i="3"/>
  <c r="DF97" i="3"/>
  <c r="DG97" i="3"/>
  <c r="DH97" i="3"/>
  <c r="DI97" i="3"/>
  <c r="DJ97" i="3" s="1"/>
  <c r="P38" i="1"/>
  <c r="R38" i="1"/>
  <c r="U38" i="1"/>
  <c r="GM42" i="1"/>
  <c r="GN42" i="1" s="1"/>
  <c r="AT22" i="1"/>
  <c r="AT98" i="1"/>
  <c r="GX56" i="1"/>
  <c r="AU22" i="1"/>
  <c r="AU98" i="1"/>
  <c r="F80" i="1"/>
  <c r="DG52" i="3"/>
  <c r="DH52" i="3"/>
  <c r="DF52" i="3"/>
  <c r="P41" i="1" s="1"/>
  <c r="DI52" i="3"/>
  <c r="DG69" i="3"/>
  <c r="DH69" i="3"/>
  <c r="DF69" i="3"/>
  <c r="DJ69" i="3" s="1"/>
  <c r="DI69" i="3"/>
  <c r="DF6" i="3"/>
  <c r="DJ6" i="3" s="1"/>
  <c r="DG6" i="3"/>
  <c r="DI6" i="3"/>
  <c r="DH6" i="3"/>
  <c r="DI79" i="3"/>
  <c r="DG79" i="3"/>
  <c r="DH79" i="3"/>
  <c r="DF79" i="3"/>
  <c r="DI1" i="3"/>
  <c r="DF1" i="3"/>
  <c r="P24" i="1" s="1"/>
  <c r="DG1" i="3"/>
  <c r="Q24" i="1" s="1"/>
  <c r="DH1" i="3"/>
  <c r="R24" i="1" s="1"/>
  <c r="DF60" i="3"/>
  <c r="DG60" i="3"/>
  <c r="DH60" i="3"/>
  <c r="DI60" i="3"/>
  <c r="V35" i="1"/>
  <c r="G184" i="7" s="1"/>
  <c r="DG81" i="3"/>
  <c r="DH81" i="3"/>
  <c r="DI81" i="3"/>
  <c r="DF81" i="3"/>
  <c r="DJ81" i="3" s="1"/>
  <c r="DH49" i="3"/>
  <c r="DI49" i="3"/>
  <c r="DF49" i="3"/>
  <c r="DG49" i="3"/>
  <c r="DH65" i="3"/>
  <c r="DI65" i="3"/>
  <c r="DF65" i="3"/>
  <c r="DG65" i="3"/>
  <c r="DF10" i="3"/>
  <c r="DJ10" i="3" s="1"/>
  <c r="DG10" i="3"/>
  <c r="DH10" i="3"/>
  <c r="DI10" i="3"/>
  <c r="DF53" i="3"/>
  <c r="DG53" i="3"/>
  <c r="DH53" i="3"/>
  <c r="DI53" i="3"/>
  <c r="DJ53" i="3" s="1"/>
  <c r="DI77" i="3"/>
  <c r="DH77" i="3"/>
  <c r="DF77" i="3"/>
  <c r="DG77" i="3"/>
  <c r="DJ77" i="3" s="1"/>
  <c r="DF86" i="3"/>
  <c r="DG86" i="3"/>
  <c r="Q54" i="1" s="1"/>
  <c r="DH86" i="3"/>
  <c r="DI86" i="3"/>
  <c r="DF91" i="3"/>
  <c r="DG91" i="3"/>
  <c r="DH91" i="3"/>
  <c r="DI91" i="3"/>
  <c r="BB22" i="1"/>
  <c r="BB98" i="1"/>
  <c r="F74" i="1"/>
  <c r="DF83" i="3"/>
  <c r="DG83" i="3"/>
  <c r="DH83" i="3"/>
  <c r="DI83" i="3"/>
  <c r="DF101" i="3"/>
  <c r="DJ101" i="3" s="1"/>
  <c r="DG101" i="3"/>
  <c r="DH101" i="3"/>
  <c r="DI101" i="3"/>
  <c r="DG4" i="3"/>
  <c r="DH4" i="3"/>
  <c r="DI4" i="3"/>
  <c r="DJ4" i="3" s="1"/>
  <c r="DF4" i="3"/>
  <c r="DF46" i="3"/>
  <c r="DG46" i="3"/>
  <c r="DH46" i="3"/>
  <c r="DI46" i="3"/>
  <c r="V53" i="1"/>
  <c r="DH56" i="3"/>
  <c r="DI56" i="3"/>
  <c r="DG56" i="3"/>
  <c r="DJ56" i="3" s="1"/>
  <c r="DF56" i="3"/>
  <c r="DI22" i="3"/>
  <c r="DJ22" i="3" s="1"/>
  <c r="DF22" i="3"/>
  <c r="DG22" i="3"/>
  <c r="DH22" i="3"/>
  <c r="DG74" i="3"/>
  <c r="DH74" i="3"/>
  <c r="DF74" i="3"/>
  <c r="DJ74" i="3" s="1"/>
  <c r="DI74" i="3"/>
  <c r="DG28" i="3"/>
  <c r="DH28" i="3"/>
  <c r="DI28" i="3"/>
  <c r="DF28" i="3"/>
  <c r="DG99" i="3"/>
  <c r="DH99" i="3"/>
  <c r="DI99" i="3"/>
  <c r="DF99" i="3"/>
  <c r="DF63" i="3"/>
  <c r="DI63" i="3"/>
  <c r="DG63" i="3"/>
  <c r="DH63" i="3"/>
  <c r="DH36" i="3"/>
  <c r="DI36" i="3"/>
  <c r="DF36" i="3"/>
  <c r="DG36" i="3"/>
  <c r="DF50" i="3"/>
  <c r="DJ50" i="3" s="1"/>
  <c r="DG50" i="3"/>
  <c r="DH50" i="3"/>
  <c r="DI50" i="3"/>
  <c r="DH89" i="3"/>
  <c r="DI89" i="3"/>
  <c r="DJ89" i="3" s="1"/>
  <c r="DF89" i="3"/>
  <c r="DG89" i="3"/>
  <c r="DF7" i="3"/>
  <c r="P27" i="1" s="1"/>
  <c r="DG7" i="3"/>
  <c r="DH7" i="3"/>
  <c r="DI7" i="3"/>
  <c r="DF20" i="3"/>
  <c r="DJ20" i="3" s="1"/>
  <c r="DG20" i="3"/>
  <c r="DI20" i="3"/>
  <c r="DH20" i="3"/>
  <c r="DF98" i="3"/>
  <c r="DG98" i="3"/>
  <c r="DJ98" i="3" s="1"/>
  <c r="DH98" i="3"/>
  <c r="DI98" i="3"/>
  <c r="AP22" i="1"/>
  <c r="F70" i="1"/>
  <c r="G16" i="2" s="1"/>
  <c r="AP98" i="1"/>
  <c r="T53" i="1"/>
  <c r="V56" i="1"/>
  <c r="Q53" i="1"/>
  <c r="DH61" i="3"/>
  <c r="DI61" i="3"/>
  <c r="DJ61" i="3" s="1"/>
  <c r="DF61" i="3"/>
  <c r="DG61" i="3"/>
  <c r="DF80" i="3"/>
  <c r="DJ80" i="3" s="1"/>
  <c r="DG80" i="3"/>
  <c r="DH80" i="3"/>
  <c r="DI80" i="3"/>
  <c r="DG32" i="3"/>
  <c r="DH32" i="3"/>
  <c r="DI32" i="3"/>
  <c r="DF32" i="3"/>
  <c r="DH37" i="3"/>
  <c r="DI37" i="3"/>
  <c r="DJ37" i="3" s="1"/>
  <c r="DF37" i="3"/>
  <c r="DG37" i="3"/>
  <c r="DH75" i="3"/>
  <c r="R49" i="1" s="1"/>
  <c r="DF75" i="3"/>
  <c r="P49" i="1" s="1"/>
  <c r="DG75" i="3"/>
  <c r="DI75" i="3"/>
  <c r="DF26" i="3"/>
  <c r="DJ26" i="3" s="1"/>
  <c r="DI26" i="3"/>
  <c r="DH26" i="3"/>
  <c r="DG26" i="3"/>
  <c r="V49" i="1"/>
  <c r="G326" i="7" s="1"/>
  <c r="DH96" i="3"/>
  <c r="DI96" i="3"/>
  <c r="DF96" i="3"/>
  <c r="DG96" i="3"/>
  <c r="DF67" i="3"/>
  <c r="DG67" i="3"/>
  <c r="DJ67" i="3" s="1"/>
  <c r="DH67" i="3"/>
  <c r="DI67" i="3"/>
  <c r="DF42" i="3"/>
  <c r="DG42" i="3"/>
  <c r="DH42" i="3"/>
  <c r="DI42" i="3"/>
  <c r="DF17" i="3"/>
  <c r="DI17" i="3"/>
  <c r="DG17" i="3"/>
  <c r="DH17" i="3"/>
  <c r="DF59" i="3"/>
  <c r="DJ59" i="3" s="1"/>
  <c r="DI59" i="3"/>
  <c r="DG59" i="3"/>
  <c r="DH59" i="3"/>
  <c r="AG61" i="1"/>
  <c r="V34" i="1"/>
  <c r="G163" i="7" s="1"/>
  <c r="DF87" i="3"/>
  <c r="DG87" i="3"/>
  <c r="DH87" i="3"/>
  <c r="DI87" i="3"/>
  <c r="DF88" i="3"/>
  <c r="DG88" i="3"/>
  <c r="DH88" i="3"/>
  <c r="DI88" i="3"/>
  <c r="CY48" i="1"/>
  <c r="X48" i="1" s="1"/>
  <c r="CZ48" i="1"/>
  <c r="Y48" i="1" s="1"/>
  <c r="DF84" i="3"/>
  <c r="DG84" i="3"/>
  <c r="DH84" i="3"/>
  <c r="DI84" i="3"/>
  <c r="BC22" i="1"/>
  <c r="F77" i="1"/>
  <c r="BC98" i="1"/>
  <c r="AO22" i="1"/>
  <c r="AO98" i="1"/>
  <c r="F65" i="1"/>
  <c r="DG48" i="3"/>
  <c r="DH48" i="3"/>
  <c r="DI48" i="3"/>
  <c r="DF48" i="3"/>
  <c r="DJ48" i="3" s="1"/>
  <c r="S56" i="1"/>
  <c r="W53" i="1"/>
  <c r="GX53" i="1"/>
  <c r="DF38" i="3"/>
  <c r="DG38" i="3"/>
  <c r="DH38" i="3"/>
  <c r="DI38" i="3"/>
  <c r="DG19" i="3"/>
  <c r="DH19" i="3"/>
  <c r="DI19" i="3"/>
  <c r="DF19" i="3"/>
  <c r="DJ19" i="3" s="1"/>
  <c r="DH23" i="3"/>
  <c r="DI23" i="3"/>
  <c r="DG23" i="3"/>
  <c r="DJ23" i="3" s="1"/>
  <c r="DF23" i="3"/>
  <c r="DG39" i="3"/>
  <c r="DH39" i="3"/>
  <c r="DI39" i="3"/>
  <c r="DF39" i="3"/>
  <c r="DG54" i="3"/>
  <c r="DH54" i="3"/>
  <c r="DI54" i="3"/>
  <c r="DF54" i="3"/>
  <c r="DH41" i="3"/>
  <c r="DI41" i="3"/>
  <c r="DJ41" i="3" s="1"/>
  <c r="DF41" i="3"/>
  <c r="DG41" i="3"/>
  <c r="DG64" i="3"/>
  <c r="DH64" i="3"/>
  <c r="DI64" i="3"/>
  <c r="DF64" i="3"/>
  <c r="DJ64" i="3" s="1"/>
  <c r="DH8" i="3"/>
  <c r="DI8" i="3"/>
  <c r="DJ8" i="3" s="1"/>
  <c r="DF8" i="3"/>
  <c r="DG8" i="3"/>
  <c r="DF90" i="3"/>
  <c r="DG90" i="3"/>
  <c r="DH90" i="3"/>
  <c r="DI90" i="3"/>
  <c r="DI58" i="3"/>
  <c r="DF58" i="3"/>
  <c r="DJ58" i="3" s="1"/>
  <c r="DG58" i="3"/>
  <c r="DH58" i="3"/>
  <c r="DF92" i="3"/>
  <c r="DG92" i="3"/>
  <c r="DH92" i="3"/>
  <c r="DI92" i="3"/>
  <c r="GM48" i="1"/>
  <c r="GN48" i="1" s="1"/>
  <c r="P26" i="1"/>
  <c r="S26" i="1"/>
  <c r="V26" i="1"/>
  <c r="S38" i="1"/>
  <c r="AQ22" i="1"/>
  <c r="AQ98" i="1"/>
  <c r="Q56" i="1"/>
  <c r="DI93" i="3"/>
  <c r="DF93" i="3"/>
  <c r="DJ93" i="3" s="1"/>
  <c r="DG93" i="3"/>
  <c r="DH93" i="3"/>
  <c r="DG15" i="3"/>
  <c r="Q31" i="1" s="1"/>
  <c r="DH15" i="3"/>
  <c r="R31" i="1" s="1"/>
  <c r="DI15" i="3"/>
  <c r="DF15" i="3"/>
  <c r="DG43" i="3"/>
  <c r="DH43" i="3"/>
  <c r="DI43" i="3"/>
  <c r="DF43" i="3"/>
  <c r="V41" i="1"/>
  <c r="G249" i="7" s="1"/>
  <c r="DH45" i="3"/>
  <c r="DI45" i="3"/>
  <c r="DJ45" i="3" s="1"/>
  <c r="DF45" i="3"/>
  <c r="DG45" i="3"/>
  <c r="DH30" i="3"/>
  <c r="DI30" i="3"/>
  <c r="DJ30" i="3" s="1"/>
  <c r="DG30" i="3"/>
  <c r="DF30" i="3"/>
  <c r="DH73" i="3"/>
  <c r="DI73" i="3"/>
  <c r="DF73" i="3"/>
  <c r="DG73" i="3"/>
  <c r="DH66" i="3"/>
  <c r="DI66" i="3"/>
  <c r="DJ66" i="3" s="1"/>
  <c r="DF66" i="3"/>
  <c r="DG66" i="3"/>
  <c r="DH13" i="3"/>
  <c r="DI13" i="3"/>
  <c r="DF13" i="3"/>
  <c r="DG13" i="3"/>
  <c r="DI25" i="3"/>
  <c r="DF25" i="3"/>
  <c r="DJ25" i="3" s="1"/>
  <c r="DG25" i="3"/>
  <c r="DH25" i="3"/>
  <c r="AJ61" i="1"/>
  <c r="DF82" i="3"/>
  <c r="DJ82" i="3" s="1"/>
  <c r="DG82" i="3"/>
  <c r="DH82" i="3"/>
  <c r="DI82" i="3"/>
  <c r="DH102" i="3"/>
  <c r="DI102" i="3"/>
  <c r="DF102" i="3"/>
  <c r="DJ102" i="3" s="1"/>
  <c r="DG102" i="3"/>
  <c r="DF70" i="3"/>
  <c r="DJ70" i="3" s="1"/>
  <c r="DG70" i="3"/>
  <c r="DH70" i="3"/>
  <c r="DI70" i="3"/>
  <c r="CP28" i="1"/>
  <c r="O28" i="1" s="1"/>
  <c r="GM28" i="1" s="1"/>
  <c r="GN28" i="1" s="1"/>
  <c r="DI55" i="3"/>
  <c r="DF55" i="3"/>
  <c r="DG55" i="3"/>
  <c r="DJ55" i="3" s="1"/>
  <c r="DH55" i="3"/>
  <c r="DF34" i="3"/>
  <c r="DJ34" i="3" s="1"/>
  <c r="DI34" i="3"/>
  <c r="DG34" i="3"/>
  <c r="DH34" i="3"/>
  <c r="DF72" i="3"/>
  <c r="DG72" i="3"/>
  <c r="DH72" i="3"/>
  <c r="DI72" i="3"/>
  <c r="DJ72" i="3" s="1"/>
  <c r="DF3" i="3"/>
  <c r="DG3" i="3"/>
  <c r="Q25" i="1" s="1"/>
  <c r="DI3" i="3"/>
  <c r="DH3" i="3"/>
  <c r="R25" i="1" s="1"/>
  <c r="V37" i="1"/>
  <c r="G218" i="7" s="1"/>
  <c r="GX38" i="1"/>
  <c r="CJ61" i="1" s="1"/>
  <c r="U53" i="1"/>
  <c r="AH61" i="1" s="1"/>
  <c r="CI22" i="1"/>
  <c r="P53" i="1"/>
  <c r="CP53" i="1" s="1"/>
  <c r="O53" i="1" s="1"/>
  <c r="AX61" i="1" l="1"/>
  <c r="AX22" i="1" s="1"/>
  <c r="L505" i="7"/>
  <c r="L498" i="7"/>
  <c r="AO343" i="7"/>
  <c r="L337" i="7"/>
  <c r="L496" i="7"/>
  <c r="L494" i="7" s="1"/>
  <c r="L491" i="7" s="1"/>
  <c r="L425" i="7"/>
  <c r="L423" i="7" s="1"/>
  <c r="L420" i="7" s="1"/>
  <c r="AI61" i="1"/>
  <c r="AI22" i="1" s="1"/>
  <c r="AH22" i="1"/>
  <c r="U61" i="1"/>
  <c r="CJ22" i="1"/>
  <c r="BA61" i="1"/>
  <c r="R55" i="1"/>
  <c r="DJ65" i="3"/>
  <c r="S45" i="1"/>
  <c r="DJ92" i="3"/>
  <c r="DJ90" i="3"/>
  <c r="DJ38" i="3"/>
  <c r="Q55" i="1"/>
  <c r="Q57" i="1"/>
  <c r="AP18" i="1"/>
  <c r="F107" i="1"/>
  <c r="Q35" i="1"/>
  <c r="DJ28" i="3"/>
  <c r="DJ46" i="3"/>
  <c r="P54" i="1"/>
  <c r="R45" i="1"/>
  <c r="R41" i="1"/>
  <c r="Q33" i="1"/>
  <c r="Q32" i="1"/>
  <c r="R36" i="1"/>
  <c r="R34" i="1"/>
  <c r="DJ62" i="3"/>
  <c r="P37" i="1"/>
  <c r="BB18" i="1"/>
  <c r="F111" i="1"/>
  <c r="R33" i="1"/>
  <c r="CY38" i="1"/>
  <c r="X38" i="1" s="1"/>
  <c r="CZ38" i="1"/>
  <c r="Y38" i="1" s="1"/>
  <c r="DJ54" i="3"/>
  <c r="P55" i="1"/>
  <c r="P57" i="1"/>
  <c r="DJ75" i="3"/>
  <c r="S49" i="1"/>
  <c r="P35" i="1"/>
  <c r="Q39" i="1"/>
  <c r="DJ1" i="3"/>
  <c r="S24" i="1"/>
  <c r="CP24" i="1" s="1"/>
  <c r="O24" i="1" s="1"/>
  <c r="Q41" i="1"/>
  <c r="P33" i="1"/>
  <c r="DJ9" i="3"/>
  <c r="P32" i="1"/>
  <c r="DJ2" i="3"/>
  <c r="DJ71" i="3"/>
  <c r="S47" i="1"/>
  <c r="DJ11" i="3"/>
  <c r="S29" i="1"/>
  <c r="DJ44" i="3"/>
  <c r="S37" i="1"/>
  <c r="DJ84" i="3"/>
  <c r="DJ42" i="3"/>
  <c r="DJ96" i="3"/>
  <c r="S57" i="1"/>
  <c r="Q49" i="1"/>
  <c r="DJ36" i="3"/>
  <c r="S35" i="1"/>
  <c r="DJ83" i="3"/>
  <c r="S52" i="1"/>
  <c r="P39" i="1"/>
  <c r="DJ60" i="3"/>
  <c r="S43" i="1"/>
  <c r="CP56" i="1"/>
  <c r="O56" i="1" s="1"/>
  <c r="CZ53" i="1"/>
  <c r="Y53" i="1" s="1"/>
  <c r="CY53" i="1"/>
  <c r="X53" i="1" s="1"/>
  <c r="GM53" i="1" s="1"/>
  <c r="GN53" i="1" s="1"/>
  <c r="R47" i="1"/>
  <c r="R29" i="1"/>
  <c r="R37" i="1"/>
  <c r="DJ68" i="3"/>
  <c r="DJ40" i="3"/>
  <c r="S36" i="1"/>
  <c r="DJ3" i="3"/>
  <c r="S25" i="1"/>
  <c r="CY26" i="1"/>
  <c r="X26" i="1" s="1"/>
  <c r="CZ26" i="1"/>
  <c r="Y26" i="1" s="1"/>
  <c r="AO18" i="1"/>
  <c r="F102" i="1"/>
  <c r="R57" i="1"/>
  <c r="R35" i="1"/>
  <c r="R52" i="1"/>
  <c r="DJ91" i="3"/>
  <c r="DJ49" i="3"/>
  <c r="S39" i="1"/>
  <c r="R43" i="1"/>
  <c r="AU18" i="1"/>
  <c r="F117" i="1"/>
  <c r="BD22" i="1"/>
  <c r="BD98" i="1"/>
  <c r="F86" i="1"/>
  <c r="Q47" i="1"/>
  <c r="Q29" i="1"/>
  <c r="AG22" i="1"/>
  <c r="T61" i="1"/>
  <c r="DJ13" i="3"/>
  <c r="DJ73" i="3"/>
  <c r="DJ43" i="3"/>
  <c r="CP26" i="1"/>
  <c r="O26" i="1" s="1"/>
  <c r="GM26" i="1" s="1"/>
  <c r="GN26" i="1" s="1"/>
  <c r="DJ87" i="3"/>
  <c r="DJ32" i="3"/>
  <c r="DJ7" i="3"/>
  <c r="S27" i="1"/>
  <c r="DJ99" i="3"/>
  <c r="Q52" i="1"/>
  <c r="R39" i="1"/>
  <c r="Q43" i="1"/>
  <c r="DJ79" i="3"/>
  <c r="CP38" i="1"/>
  <c r="O38" i="1" s="1"/>
  <c r="GM38" i="1" s="1"/>
  <c r="GN38" i="1" s="1"/>
  <c r="DJ78" i="3"/>
  <c r="P47" i="1"/>
  <c r="P29" i="1"/>
  <c r="AJ22" i="1"/>
  <c r="W61" i="1"/>
  <c r="AZ22" i="1"/>
  <c r="AZ98" i="1"/>
  <c r="F72" i="1"/>
  <c r="P25" i="1"/>
  <c r="P31" i="1"/>
  <c r="DJ39" i="3"/>
  <c r="CZ56" i="1"/>
  <c r="Y56" i="1" s="1"/>
  <c r="CY56" i="1"/>
  <c r="X56" i="1" s="1"/>
  <c r="BC18" i="1"/>
  <c r="F114" i="1"/>
  <c r="DJ17" i="3"/>
  <c r="R27" i="1"/>
  <c r="DJ63" i="3"/>
  <c r="P52" i="1"/>
  <c r="DJ86" i="3"/>
  <c r="S54" i="1"/>
  <c r="Q45" i="1"/>
  <c r="P43" i="1"/>
  <c r="Q36" i="1"/>
  <c r="Q34" i="1"/>
  <c r="F68" i="1"/>
  <c r="DJ31" i="3"/>
  <c r="DJ29" i="3"/>
  <c r="S34" i="1"/>
  <c r="DJ15" i="3"/>
  <c r="S31" i="1"/>
  <c r="AQ18" i="1"/>
  <c r="F108" i="1"/>
  <c r="DJ88" i="3"/>
  <c r="S55" i="1"/>
  <c r="Q27" i="1"/>
  <c r="R54" i="1"/>
  <c r="P45" i="1"/>
  <c r="DJ52" i="3"/>
  <c r="S41" i="1"/>
  <c r="AT18" i="1"/>
  <c r="F116" i="1"/>
  <c r="DJ27" i="3"/>
  <c r="S33" i="1"/>
  <c r="DJ21" i="3"/>
  <c r="S32" i="1"/>
  <c r="P36" i="1"/>
  <c r="P34" i="1"/>
  <c r="CP45" i="1" l="1"/>
  <c r="O45" i="1" s="1"/>
  <c r="AX98" i="1"/>
  <c r="CP47" i="1"/>
  <c r="O47" i="1" s="1"/>
  <c r="CP41" i="1"/>
  <c r="O41" i="1" s="1"/>
  <c r="CP43" i="1"/>
  <c r="O43" i="1" s="1"/>
  <c r="CP27" i="1"/>
  <c r="O27" i="1" s="1"/>
  <c r="CP32" i="1"/>
  <c r="O32" i="1" s="1"/>
  <c r="AE61" i="1"/>
  <c r="AE22" i="1" s="1"/>
  <c r="V61" i="1"/>
  <c r="V98" i="1" s="1"/>
  <c r="CP36" i="1"/>
  <c r="O36" i="1" s="1"/>
  <c r="AD61" i="1"/>
  <c r="Q61" i="1" s="1"/>
  <c r="CP52" i="1"/>
  <c r="O52" i="1" s="1"/>
  <c r="CP29" i="1"/>
  <c r="O29" i="1" s="1"/>
  <c r="AC61" i="1"/>
  <c r="AC22" i="1" s="1"/>
  <c r="CY31" i="1"/>
  <c r="X31" i="1" s="1"/>
  <c r="AZ124" i="7" s="1"/>
  <c r="L122" i="7" s="1"/>
  <c r="CZ31" i="1"/>
  <c r="Y31" i="1" s="1"/>
  <c r="BA124" i="7" s="1"/>
  <c r="L123" i="7" s="1"/>
  <c r="CP31" i="1"/>
  <c r="O31" i="1" s="1"/>
  <c r="CY27" i="1"/>
  <c r="X27" i="1" s="1"/>
  <c r="AZ91" i="7" s="1"/>
  <c r="L89" i="7" s="1"/>
  <c r="CZ27" i="1"/>
  <c r="Y27" i="1" s="1"/>
  <c r="BA91" i="7" s="1"/>
  <c r="L90" i="7" s="1"/>
  <c r="CY35" i="1"/>
  <c r="X35" i="1" s="1"/>
  <c r="AZ194" i="7" s="1"/>
  <c r="L192" i="7" s="1"/>
  <c r="CZ35" i="1"/>
  <c r="Y35" i="1" s="1"/>
  <c r="BA194" i="7" s="1"/>
  <c r="L193" i="7" s="1"/>
  <c r="CY37" i="1"/>
  <c r="X37" i="1" s="1"/>
  <c r="AZ229" i="7" s="1"/>
  <c r="L227" i="7" s="1"/>
  <c r="CZ37" i="1"/>
  <c r="Y37" i="1" s="1"/>
  <c r="BA229" i="7" s="1"/>
  <c r="L228" i="7" s="1"/>
  <c r="CY49" i="1"/>
  <c r="X49" i="1" s="1"/>
  <c r="AZ343" i="7" s="1"/>
  <c r="L341" i="7" s="1"/>
  <c r="CZ49" i="1"/>
  <c r="Y49" i="1" s="1"/>
  <c r="BA343" i="7" s="1"/>
  <c r="L342" i="7" s="1"/>
  <c r="CP25" i="1"/>
  <c r="O25" i="1" s="1"/>
  <c r="CP49" i="1"/>
  <c r="O49" i="1" s="1"/>
  <c r="CY36" i="1"/>
  <c r="X36" i="1" s="1"/>
  <c r="AZ211" i="7" s="1"/>
  <c r="L209" i="7" s="1"/>
  <c r="CZ36" i="1"/>
  <c r="Y36" i="1" s="1"/>
  <c r="BA211" i="7" s="1"/>
  <c r="L210" i="7" s="1"/>
  <c r="GM56" i="1"/>
  <c r="GN56" i="1" s="1"/>
  <c r="CP33" i="1"/>
  <c r="O33" i="1" s="1"/>
  <c r="CP57" i="1"/>
  <c r="O57" i="1" s="1"/>
  <c r="CP37" i="1"/>
  <c r="O37" i="1" s="1"/>
  <c r="T22" i="1"/>
  <c r="F82" i="1"/>
  <c r="T98" i="1"/>
  <c r="CY29" i="1"/>
  <c r="X29" i="1" s="1"/>
  <c r="AZ105" i="7" s="1"/>
  <c r="L103" i="7" s="1"/>
  <c r="CZ29" i="1"/>
  <c r="Y29" i="1" s="1"/>
  <c r="BA105" i="7" s="1"/>
  <c r="L104" i="7" s="1"/>
  <c r="CP55" i="1"/>
  <c r="O55" i="1" s="1"/>
  <c r="BD18" i="1"/>
  <c r="F123" i="1"/>
  <c r="AZ18" i="1"/>
  <c r="F109" i="1"/>
  <c r="CZ43" i="1"/>
  <c r="Y43" i="1" s="1"/>
  <c r="BA283" i="7" s="1"/>
  <c r="L282" i="7" s="1"/>
  <c r="CY43" i="1"/>
  <c r="X43" i="1" s="1"/>
  <c r="AZ283" i="7" s="1"/>
  <c r="L281" i="7" s="1"/>
  <c r="CY57" i="1"/>
  <c r="X57" i="1" s="1"/>
  <c r="AZ410" i="7" s="1"/>
  <c r="L408" i="7" s="1"/>
  <c r="CZ57" i="1"/>
  <c r="Y57" i="1" s="1"/>
  <c r="BA410" i="7" s="1"/>
  <c r="L409" i="7" s="1"/>
  <c r="CY24" i="1"/>
  <c r="X24" i="1" s="1"/>
  <c r="AZ63" i="7" s="1"/>
  <c r="CZ24" i="1"/>
  <c r="Y24" i="1" s="1"/>
  <c r="BA63" i="7" s="1"/>
  <c r="AF61" i="1"/>
  <c r="CP54" i="1"/>
  <c r="O54" i="1" s="1"/>
  <c r="BA22" i="1"/>
  <c r="BA98" i="1"/>
  <c r="F81" i="1"/>
  <c r="H16" i="2" s="1"/>
  <c r="CY34" i="1"/>
  <c r="X34" i="1" s="1"/>
  <c r="AZ177" i="7" s="1"/>
  <c r="L175" i="7" s="1"/>
  <c r="CZ34" i="1"/>
  <c r="Y34" i="1" s="1"/>
  <c r="BA177" i="7" s="1"/>
  <c r="L176" i="7" s="1"/>
  <c r="CY39" i="1"/>
  <c r="X39" i="1" s="1"/>
  <c r="AZ242" i="7" s="1"/>
  <c r="L240" i="7" s="1"/>
  <c r="CZ39" i="1"/>
  <c r="Y39" i="1" s="1"/>
  <c r="BA242" i="7" s="1"/>
  <c r="L241" i="7" s="1"/>
  <c r="CY47" i="1"/>
  <c r="X47" i="1" s="1"/>
  <c r="AZ319" i="7" s="1"/>
  <c r="L317" i="7" s="1"/>
  <c r="CZ47" i="1"/>
  <c r="Y47" i="1" s="1"/>
  <c r="BA319" i="7" s="1"/>
  <c r="L318" i="7" s="1"/>
  <c r="CY25" i="1"/>
  <c r="X25" i="1" s="1"/>
  <c r="AZ77" i="7" s="1"/>
  <c r="L75" i="7" s="1"/>
  <c r="CZ25" i="1"/>
  <c r="Y25" i="1" s="1"/>
  <c r="BA77" i="7" s="1"/>
  <c r="L76" i="7" s="1"/>
  <c r="CY33" i="1"/>
  <c r="X33" i="1" s="1"/>
  <c r="AZ156" i="7" s="1"/>
  <c r="L154" i="7" s="1"/>
  <c r="CZ33" i="1"/>
  <c r="Y33" i="1" s="1"/>
  <c r="BA156" i="7" s="1"/>
  <c r="L155" i="7" s="1"/>
  <c r="CZ55" i="1"/>
  <c r="Y55" i="1" s="1"/>
  <c r="BA390" i="7" s="1"/>
  <c r="L389" i="7" s="1"/>
  <c r="CY55" i="1"/>
  <c r="X55" i="1" s="1"/>
  <c r="AZ390" i="7" s="1"/>
  <c r="L388" i="7" s="1"/>
  <c r="CY54" i="1"/>
  <c r="X54" i="1" s="1"/>
  <c r="AZ368" i="7" s="1"/>
  <c r="L366" i="7" s="1"/>
  <c r="CZ54" i="1"/>
  <c r="Y54" i="1" s="1"/>
  <c r="BA368" i="7" s="1"/>
  <c r="L367" i="7" s="1"/>
  <c r="W22" i="1"/>
  <c r="F85" i="1"/>
  <c r="W98" i="1"/>
  <c r="CP39" i="1"/>
  <c r="O39" i="1" s="1"/>
  <c r="U22" i="1"/>
  <c r="F83" i="1"/>
  <c r="G516" i="7" s="1"/>
  <c r="U98" i="1"/>
  <c r="CZ32" i="1"/>
  <c r="Y32" i="1" s="1"/>
  <c r="BA144" i="7" s="1"/>
  <c r="L143" i="7" s="1"/>
  <c r="CY32" i="1"/>
  <c r="X32" i="1" s="1"/>
  <c r="CP34" i="1"/>
  <c r="O34" i="1" s="1"/>
  <c r="CY41" i="1"/>
  <c r="X41" i="1" s="1"/>
  <c r="AZ264" i="7" s="1"/>
  <c r="L262" i="7" s="1"/>
  <c r="CZ41" i="1"/>
  <c r="Y41" i="1" s="1"/>
  <c r="BA264" i="7" s="1"/>
  <c r="L263" i="7" s="1"/>
  <c r="AX18" i="1"/>
  <c r="F105" i="1"/>
  <c r="CY52" i="1"/>
  <c r="X52" i="1" s="1"/>
  <c r="AZ356" i="7" s="1"/>
  <c r="L354" i="7" s="1"/>
  <c r="CZ52" i="1"/>
  <c r="Y52" i="1" s="1"/>
  <c r="BA356" i="7" s="1"/>
  <c r="L355" i="7" s="1"/>
  <c r="CP35" i="1"/>
  <c r="O35" i="1" s="1"/>
  <c r="CY45" i="1"/>
  <c r="X45" i="1" s="1"/>
  <c r="CZ45" i="1"/>
  <c r="Y45" i="1" s="1"/>
  <c r="BA303" i="7" s="1"/>
  <c r="L302" i="7" s="1"/>
  <c r="AN177" i="7" l="1"/>
  <c r="K177" i="7"/>
  <c r="I177" i="7" s="1"/>
  <c r="L61" i="7"/>
  <c r="F84" i="1"/>
  <c r="G517" i="7" s="1"/>
  <c r="GM45" i="1"/>
  <c r="GN45" i="1" s="1"/>
  <c r="AZ303" i="7"/>
  <c r="L301" i="7" s="1"/>
  <c r="GM27" i="1"/>
  <c r="GN27" i="1" s="1"/>
  <c r="V22" i="1"/>
  <c r="K91" i="7"/>
  <c r="I91" i="7" s="1"/>
  <c r="AN91" i="7"/>
  <c r="AN77" i="7"/>
  <c r="K77" i="7"/>
  <c r="I77" i="7" s="1"/>
  <c r="AN343" i="7"/>
  <c r="K343" i="7"/>
  <c r="I343" i="7" s="1"/>
  <c r="K356" i="7"/>
  <c r="I356" i="7" s="1"/>
  <c r="AN356" i="7"/>
  <c r="K368" i="7"/>
  <c r="I368" i="7" s="1"/>
  <c r="AN368" i="7"/>
  <c r="AN319" i="7"/>
  <c r="K319" i="7"/>
  <c r="I319" i="7" s="1"/>
  <c r="K124" i="7"/>
  <c r="I124" i="7" s="1"/>
  <c r="AN124" i="7"/>
  <c r="AN156" i="7"/>
  <c r="K156" i="7"/>
  <c r="I156" i="7" s="1"/>
  <c r="AN390" i="7"/>
  <c r="K390" i="7"/>
  <c r="I390" i="7" s="1"/>
  <c r="AN229" i="7"/>
  <c r="K229" i="7"/>
  <c r="I229" i="7" s="1"/>
  <c r="GM32" i="1"/>
  <c r="GN32" i="1" s="1"/>
  <c r="AZ144" i="7"/>
  <c r="L142" i="7" s="1"/>
  <c r="K105" i="7"/>
  <c r="I105" i="7" s="1"/>
  <c r="AN105" i="7"/>
  <c r="K242" i="7"/>
  <c r="I242" i="7" s="1"/>
  <c r="AN242" i="7"/>
  <c r="AN264" i="7"/>
  <c r="K264" i="7"/>
  <c r="I264" i="7" s="1"/>
  <c r="AN410" i="7"/>
  <c r="K410" i="7"/>
  <c r="I410" i="7" s="1"/>
  <c r="AN283" i="7"/>
  <c r="K283" i="7"/>
  <c r="I283" i="7" s="1"/>
  <c r="GM39" i="1"/>
  <c r="GN39" i="1" s="1"/>
  <c r="L62" i="7"/>
  <c r="L507" i="7"/>
  <c r="L436" i="7"/>
  <c r="AN211" i="7"/>
  <c r="K211" i="7"/>
  <c r="I211" i="7" s="1"/>
  <c r="K194" i="7"/>
  <c r="I194" i="7" s="1"/>
  <c r="AN194" i="7"/>
  <c r="GM52" i="1"/>
  <c r="GN52" i="1" s="1"/>
  <c r="GM47" i="1"/>
  <c r="GN47" i="1" s="1"/>
  <c r="GM43" i="1"/>
  <c r="GN43" i="1" s="1"/>
  <c r="AD22" i="1"/>
  <c r="GM36" i="1"/>
  <c r="GN36" i="1" s="1"/>
  <c r="R61" i="1"/>
  <c r="R22" i="1" s="1"/>
  <c r="GM29" i="1"/>
  <c r="GN29" i="1" s="1"/>
  <c r="P61" i="1"/>
  <c r="F64" i="1" s="1"/>
  <c r="CE61" i="1"/>
  <c r="CE22" i="1" s="1"/>
  <c r="GM31" i="1"/>
  <c r="GN31" i="1" s="1"/>
  <c r="CF61" i="1"/>
  <c r="AW61" i="1" s="1"/>
  <c r="CH61" i="1"/>
  <c r="CH22" i="1" s="1"/>
  <c r="GM35" i="1"/>
  <c r="GN35" i="1" s="1"/>
  <c r="GM41" i="1"/>
  <c r="GN41" i="1" s="1"/>
  <c r="AL61" i="1"/>
  <c r="GM33" i="1"/>
  <c r="GN33" i="1" s="1"/>
  <c r="W18" i="1"/>
  <c r="F122" i="1"/>
  <c r="AK61" i="1"/>
  <c r="P22" i="1"/>
  <c r="P98" i="1"/>
  <c r="AF22" i="1"/>
  <c r="S61" i="1"/>
  <c r="T18" i="1"/>
  <c r="F119" i="1"/>
  <c r="V18" i="1"/>
  <c r="F121" i="1"/>
  <c r="GM49" i="1"/>
  <c r="GN49" i="1" s="1"/>
  <c r="GM34" i="1"/>
  <c r="GN34" i="1" s="1"/>
  <c r="BA18" i="1"/>
  <c r="F118" i="1"/>
  <c r="GM55" i="1"/>
  <c r="GN55" i="1" s="1"/>
  <c r="GM25" i="1"/>
  <c r="GN25" i="1" s="1"/>
  <c r="AB61" i="1"/>
  <c r="U18" i="1"/>
  <c r="F120" i="1"/>
  <c r="GM37" i="1"/>
  <c r="GN37" i="1" s="1"/>
  <c r="GM24" i="1"/>
  <c r="R98" i="1"/>
  <c r="GM54" i="1"/>
  <c r="GN54" i="1" s="1"/>
  <c r="GM57" i="1"/>
  <c r="GN57" i="1" s="1"/>
  <c r="Q22" i="1"/>
  <c r="Q98" i="1"/>
  <c r="F73" i="1"/>
  <c r="AV61" i="1" l="1"/>
  <c r="L435" i="7"/>
  <c r="L418" i="7" s="1"/>
  <c r="L489" i="7" s="1"/>
  <c r="K144" i="7"/>
  <c r="I144" i="7" s="1"/>
  <c r="AN144" i="7"/>
  <c r="K303" i="7"/>
  <c r="I303" i="7" s="1"/>
  <c r="AN303" i="7"/>
  <c r="L506" i="7"/>
  <c r="AN63" i="7"/>
  <c r="K63" i="7"/>
  <c r="I63" i="7" s="1"/>
  <c r="CF22" i="1"/>
  <c r="F75" i="1"/>
  <c r="AY61" i="1"/>
  <c r="AY98" i="1" s="1"/>
  <c r="AK22" i="1"/>
  <c r="X61" i="1"/>
  <c r="GN24" i="1"/>
  <c r="CB61" i="1" s="1"/>
  <c r="CA61" i="1"/>
  <c r="AW22" i="1"/>
  <c r="F67" i="1"/>
  <c r="AW98" i="1"/>
  <c r="S22" i="1"/>
  <c r="F76" i="1"/>
  <c r="J16" i="2" s="1"/>
  <c r="S98" i="1"/>
  <c r="AB22" i="1"/>
  <c r="O61" i="1"/>
  <c r="Q18" i="1"/>
  <c r="F110" i="1"/>
  <c r="R18" i="1"/>
  <c r="F112" i="1"/>
  <c r="AV22" i="1"/>
  <c r="AV98" i="1"/>
  <c r="F66" i="1"/>
  <c r="P18" i="1"/>
  <c r="F101" i="1"/>
  <c r="AL22" i="1"/>
  <c r="Y61" i="1"/>
  <c r="AY22" i="1" l="1"/>
  <c r="F69" i="1"/>
  <c r="AW18" i="1"/>
  <c r="F104" i="1"/>
  <c r="AY18" i="1"/>
  <c r="F106" i="1"/>
  <c r="AV18" i="1"/>
  <c r="F103" i="1"/>
  <c r="CA22" i="1"/>
  <c r="AR61" i="1"/>
  <c r="CB22" i="1"/>
  <c r="AS61" i="1"/>
  <c r="O22" i="1"/>
  <c r="O98" i="1"/>
  <c r="F63" i="1"/>
  <c r="Y22" i="1"/>
  <c r="F88" i="1"/>
  <c r="Y98" i="1"/>
  <c r="S18" i="1"/>
  <c r="F113" i="1"/>
  <c r="X22" i="1"/>
  <c r="F87" i="1"/>
  <c r="X98" i="1"/>
  <c r="AR22" i="1" l="1"/>
  <c r="AR98" i="1"/>
  <c r="F89" i="1"/>
  <c r="F90" i="1" s="1"/>
  <c r="F91" i="1" s="1"/>
  <c r="F92" i="1" s="1"/>
  <c r="X18" i="1"/>
  <c r="F124" i="1"/>
  <c r="O18" i="1"/>
  <c r="F100" i="1"/>
  <c r="Y18" i="1"/>
  <c r="F125" i="1"/>
  <c r="AS22" i="1"/>
  <c r="AS98" i="1"/>
  <c r="F78" i="1"/>
  <c r="E16" i="2" s="1"/>
  <c r="I16" i="2" s="1"/>
  <c r="N16" i="2" s="1"/>
  <c r="F96" i="1" l="1"/>
  <c r="F93" i="1"/>
  <c r="F94" i="1" s="1"/>
  <c r="AR18" i="1"/>
  <c r="F126" i="1"/>
  <c r="AS18" i="1"/>
  <c r="F115" i="1"/>
  <c r="F127" i="1" l="1"/>
  <c r="F128" i="1"/>
  <c r="F129" i="1" s="1"/>
</calcChain>
</file>

<file path=xl/sharedStrings.xml><?xml version="1.0" encoding="utf-8"?>
<sst xmlns="http://schemas.openxmlformats.org/spreadsheetml/2006/main" count="4896" uniqueCount="595">
  <si>
    <t>Smeta.RU  (495) 974-1589</t>
  </si>
  <si>
    <t>_PS_</t>
  </si>
  <si>
    <t>Smeta.RU</t>
  </si>
  <si>
    <t/>
  </si>
  <si>
    <t>Новый объект_(Копия)</t>
  </si>
  <si>
    <t>Ремонт кровли ОПС Красные Четаи</t>
  </si>
  <si>
    <t>Сметные нормы списания</t>
  </si>
  <si>
    <t>Коды ценников</t>
  </si>
  <si>
    <t>ФСНБ-2022_И17</t>
  </si>
  <si>
    <t>Версия 1.17.0 для ФСНБ-2022 И17</t>
  </si>
  <si>
    <t>ФСНБ-2022 - Изменения И17</t>
  </si>
  <si>
    <t>Поправки для ФСНБ-2022 от 25.02.2026 г И17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</si>
  <si>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</si>
  <si>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</si>
  <si>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Чувашская Республика - Чувашия</t>
  </si>
  <si>
    <t>02-01-01</t>
  </si>
  <si>
    <t>Новая локальная смета</t>
  </si>
  <si>
    <t>1</t>
  </si>
  <si>
    <t>46-04-008-02</t>
  </si>
  <si>
    <t>Разборка покрытий кровель: из листовой стали</t>
  </si>
  <si>
    <t>100 м2</t>
  </si>
  <si>
    <t>ГЭСН-2022, 46-04-008-02, приказ Минстроя России от 18.05.2022 г. № 378/пр</t>
  </si>
  <si>
    <t>Общестроительные работы</t>
  </si>
  <si>
    <t>Работы по реконструкции зданий и сооружений</t>
  </si>
  <si>
    <t>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</si>
  <si>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ФЕР-46</t>
  </si>
  <si>
    <t>Пр/812-040.2-1</t>
  </si>
  <si>
    <t>Пр/774-040.2</t>
  </si>
  <si>
    <t>2</t>
  </si>
  <si>
    <t>58-01-001-01</t>
  </si>
  <si>
    <t>Разборка деревянных элементов конструкций крыш из брусков с прозорами</t>
  </si>
  <si>
    <t>ГЭСНр-2022, 58-01-001-01, приказ Минстроя России от 18.05.2022 г. № 378/пр</t>
  </si>
  <si>
    <t>Ремонтно-строительные работы</t>
  </si>
  <si>
    <t>Крыши, кровли</t>
  </si>
  <si>
    <t>рФЕР-58</t>
  </si>
  <si>
    <t>Пр/812-092.0-1</t>
  </si>
  <si>
    <t>Пр/774-092.0</t>
  </si>
  <si>
    <t>Крыши, кровля</t>
  </si>
  <si>
    <t>2,1</t>
  </si>
  <si>
    <t>999-9900</t>
  </si>
  <si>
    <t>Строительный мусор</t>
  </si>
  <si>
    <t>т</t>
  </si>
  <si>
    <t>3</t>
  </si>
  <si>
    <t>58-01-001-03</t>
  </si>
  <si>
    <t>Разборка деревянных элементов конструкций крыш со стойками и подкосами из брусьев и бревен</t>
  </si>
  <si>
    <t>ГЭСНр-2022, 58-01-001-03, приказ Минстроя России от 18.05.2022 г. № 378/пр</t>
  </si>
  <si>
    <t>3,1</t>
  </si>
  <si>
    <t>4</t>
  </si>
  <si>
    <t>58-01-001-04</t>
  </si>
  <si>
    <t>Разборка деревянных элементов конструкций крыш: мауэрлатов</t>
  </si>
  <si>
    <t>ГЭСНр-2022, 58-01-001-04, приказ Минстроя России от 18.05.2022 г. № 378/пр</t>
  </si>
  <si>
    <t>4,1</t>
  </si>
  <si>
    <t>5</t>
  </si>
  <si>
    <t>10-01-008-04</t>
  </si>
  <si>
    <t>Демонтаж фронтонов</t>
  </si>
  <si>
    <t>ГЭСН-2022 доп.11, 10-01-008-04, приказ Минстроя России от 09.08.2024 г. № 524/пр</t>
  </si>
  <si>
    <t>Поправка: 571/пр_2022_п.83_т.2_стр.2_стб.3
Наименование: Разборка и (или) демонтаж строительных конструкций, систем и сетей инженерно-технического обеспечения, в том числе их элементов: сборных деревянных конструкций</t>
  </si>
  <si>
    <t>*0</t>
  </si>
  <si>
    <t>*0,8</t>
  </si>
  <si>
    <t>Деревянные конструкции</t>
  </si>
  <si>
    <t>ФЕР-10</t>
  </si>
  <si>
    <t>Поправка: 571/пр_2022_п.83_т.2_стр.2_стб.3</t>
  </si>
  <si>
    <t>Пр/812-010.0-1</t>
  </si>
  <si>
    <t>Пр/774-010.0</t>
  </si>
  <si>
    <t>6</t>
  </si>
  <si>
    <t>10-01-008-05</t>
  </si>
  <si>
    <t>Демонтаж карнизов</t>
  </si>
  <si>
    <t>ГЭСН-2022 доп.11, 10-01-008-05, приказ Минстроя России от 09.08.2024 г. № 524/пр</t>
  </si>
  <si>
    <t>7</t>
  </si>
  <si>
    <t>46-04-008-01</t>
  </si>
  <si>
    <t>Разборка покрытий кровель: из рулонных материалов</t>
  </si>
  <si>
    <t>ГЭСН-2022, 46-04-008-01, приказ Минстроя России от 18.05.2022 г. № 378/пр</t>
  </si>
  <si>
    <t>8</t>
  </si>
  <si>
    <t>12-01-017-01</t>
  </si>
  <si>
    <t>Демонтаж выравнивающих стяжек: цементно-песчаных толщиной 15 мм (до 75 мм)</t>
  </si>
  <si>
    <t>ГЭСН-2022, 12-01-017-01, приказ Минстроя России от 18.05.2022 г. № 378/пр</t>
  </si>
  <si>
    <t>Поправка: 571/пр_2022_т.2_п.1_x000D_
Наименование: При демонтаже (разборке) сборных бетонных и железобетонных конструкций</t>
  </si>
  <si>
    <t>)*0</t>
  </si>
  <si>
    <t>)*0,8</t>
  </si>
  <si>
    <t>Кровли</t>
  </si>
  <si>
    <t>ФЕР-12</t>
  </si>
  <si>
    <t>Поправка: 571/пр_2022_т.2_п.1</t>
  </si>
  <si>
    <t>Пр/812-012.0-1</t>
  </si>
  <si>
    <t>Пр/774-012.0</t>
  </si>
  <si>
    <t>9</t>
  </si>
  <si>
    <t>12-01-017-02</t>
  </si>
  <si>
    <t>Демонтаж выравнивающих стяжек: на каждый 1 мм изменения толщины добавлять или исключать к норме 12-01-017-01</t>
  </si>
  <si>
    <t>ГЭСН-2022, 12-01-017-02, приказ Минстроя России от 18.05.2022 г. № 378/пр</t>
  </si>
  <si>
    <t>)*0,8*60</t>
  </si>
  <si>
    <t>10</t>
  </si>
  <si>
    <t>12-01-014-02</t>
  </si>
  <si>
    <t>Разборка утепление покрытий из керамзита</t>
  </si>
  <si>
    <t>м3</t>
  </si>
  <si>
    <t>ГЭСН-2022, 12-01-014-02, приказ Минстроя России от 18.05.2022 г. № 378/пр</t>
  </si>
  <si>
    <t>Поправка: 571/пр_2022_п.83_т.2_стр.1_стб.3_x000D_
Наименование: Разборка и (или) демонтаж строительных конструкций, систем и сетей инженерно-технического обеспечения, в том числе их элементов: сборных бетонных и железобетонных строительных конструкций</t>
  </si>
  <si>
    <t>Поправка: 571/пр_2022_п.83_т.2_стр.1_стб.3</t>
  </si>
  <si>
    <t>11</t>
  </si>
  <si>
    <t>Утепление покрытий: керамзитом</t>
  </si>
  <si>
    <t>)*1,25</t>
  </si>
  <si>
    <t>)*1,15</t>
  </si>
  <si>
    <t>)*0,9</t>
  </si>
  <si>
    <t>)*0,85</t>
  </si>
  <si>
    <t>Поправка: 421/пр_2020_п.58_пп.б</t>
  </si>
  <si>
    <t>11,1</t>
  </si>
  <si>
    <t>02.2.01.03-0003</t>
  </si>
  <si>
    <t>Гравий керамзитовый М 350, фракция 5-10 мм</t>
  </si>
  <si>
    <t>ФСБЦ-2022, 02.2.01.03-0003, приказ Минстроя России от 18.05.2022 г. № 378/пр</t>
  </si>
  <si>
    <t>12</t>
  </si>
  <si>
    <t>01-02-008-01 (прим.)</t>
  </si>
  <si>
    <t>Полив керамзита цементным молочком</t>
  </si>
  <si>
    <t>ГЭСН-2022, 01-02-008-01, приказ Минстроя России от 18.05.2022 г. № 378/пр</t>
  </si>
  <si>
    <t>Поправка: МР 507/пр п.6.7.1_x000D_
Наименование: При выполнении работ в существующих зданиях и сооружениях, аналогичных процессам при новом строительстве (кроме работ по нормам сборника № 46 «Работы при реконструкции зданий и сооружений»)</t>
  </si>
  <si>
    <t>Земляные работы</t>
  </si>
  <si>
    <t>Земляные работы, выполняемые: механизированным способом</t>
  </si>
  <si>
    <t>ФЕР-01</t>
  </si>
  <si>
    <t>Поправка: МР 507/пр п.6.7.1</t>
  </si>
  <si>
    <t>Пр/812-001.1-1</t>
  </si>
  <si>
    <t>Пр/774-001.1</t>
  </si>
  <si>
    <t>12,1</t>
  </si>
  <si>
    <t>03.1.02.03-0011</t>
  </si>
  <si>
    <t>Известь строительная негашеная комовая, сорт I</t>
  </si>
  <si>
    <t>ФСБЦ-2022, 03.1.02.03-0011, приказ Минстроя России от 18.05.2022 г. № 378/пр</t>
  </si>
  <si>
    <t>13</t>
  </si>
  <si>
    <t>Устройство выравнивающих стяжек: цементно-песчаных толщиной 15 мм (до 80 мм)</t>
  </si>
  <si>
    <t>13,1</t>
  </si>
  <si>
    <t>04.3.01.09-0056</t>
  </si>
  <si>
    <t>Раствор готовый кладочный, цементно-песчаный, М150</t>
  </si>
  <si>
    <t>ФСБЦ-2022, 04.3.01.09-0056, приказ Минстроя России от 18.05.2022 г. № 378/пр</t>
  </si>
  <si>
    <t>14</t>
  </si>
  <si>
    <t>Устройство выравнивающих стяжек: на каждый 1 мм изменения толщины добавлять или исключать к норме 12-01-017-01</t>
  </si>
  <si>
    <t>*65</t>
  </si>
  <si>
    <t>)*1,25*65</t>
  </si>
  <si>
    <t>)*1,15*65</t>
  </si>
  <si>
    <t>14,1</t>
  </si>
  <si>
    <t>15</t>
  </si>
  <si>
    <t>06-03-004-14</t>
  </si>
  <si>
    <t>Армирование подстилающих слоев и набетонок</t>
  </si>
  <si>
    <t>ГЭСН-2022 доп.6, 06-03-004-14, приказ Минстроя России от 11.05.2023 г. № 335/пр</t>
  </si>
  <si>
    <t>Бетонные и железобетонные монолитные конструкции и работы в строительстве</t>
  </si>
  <si>
    <t>ФЕР-06</t>
  </si>
  <si>
    <t>Пр/812-006.0-1</t>
  </si>
  <si>
    <t>Пр/774-006.0</t>
  </si>
  <si>
    <t>15,1</t>
  </si>
  <si>
    <t>08.1.02.17-0083</t>
  </si>
  <si>
    <t>Сетка стальная сварная из арматурной проволоки без покрытия, диаметр проволоки 3 мм, размер ячейки 100х100 мм</t>
  </si>
  <si>
    <t>м2</t>
  </si>
  <si>
    <t>ФСБЦ-2022, 08.1.02.17-0083, приказ Минстроя России от 18.05.2022 г. № 378/пр</t>
  </si>
  <si>
    <t>16</t>
  </si>
  <si>
    <t>12-01-016-02</t>
  </si>
  <si>
    <t>Огрунтовка оснований из бетона или раствора под водоизоляционный кровельный ковер: готовой эмульсией битумной</t>
  </si>
  <si>
    <t>ГЭСН-2022, 12-01-016-02, приказ Минстроя России от 18.05.2022 г. № 378/пр</t>
  </si>
  <si>
    <t>16,1</t>
  </si>
  <si>
    <t>01.2.03.05-0004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</si>
  <si>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</si>
  <si>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кг</t>
  </si>
  <si>
    <t>ФСБЦ-2022, 01.2.03.05-0004, приказ Минстроя России от 18.05.2022 г. № 378/пр</t>
  </si>
  <si>
    <t>17</t>
  </si>
  <si>
    <t>12-01-002-09</t>
  </si>
  <si>
    <t>Устройство кровель плоских из наплавляемых материалов: в два слоя</t>
  </si>
  <si>
    <t>ГЭСН-2022 доп.7, 12-01-002-09, приказ Минстроя России от 02.08.2023 г. № 551/пр</t>
  </si>
  <si>
    <t>17,1</t>
  </si>
  <si>
    <t>12.1.02.03-1022</t>
  </si>
  <si>
    <t>ФСБЦ-2022 доп.2, 12.1.02.03-1022, приказ Минстроя России от 26.08.2022 г. № 703/пр</t>
  </si>
  <si>
    <t>17,2</t>
  </si>
  <si>
    <t>12.1.02.03-0196</t>
  </si>
  <si>
    <t>Материал рулонный битумно-полимерный кровельный и гидроизоляционный, наплавляемый, основа полиэфирное волокно, гибкость не выше -15 °C, прочность не менее 400-600 Н, теплостойкость не менее 130 °C</t>
  </si>
  <si>
    <t>ФСБЦ-2022, 12.1.02.03-0196, приказ Минстроя России от 18.05.2022 г. № 378/пр</t>
  </si>
  <si>
    <t>18</t>
  </si>
  <si>
    <t>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</si>
  <si>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</si>
  <si>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</si>
  <si>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ГЭСНр-2022, 58-01-003-01, приказ Минстроя России от 18.05.2022 г. № 378/пр</t>
  </si>
  <si>
    <t>18,1</t>
  </si>
  <si>
    <t>19</t>
  </si>
  <si>
    <t>Разборка покрытий кровель: из рулонных материалов (парапеты и примыкания)</t>
  </si>
  <si>
    <t>20</t>
  </si>
  <si>
    <t>12-01-004-04</t>
  </si>
  <si>
    <t>Устройство примыканий кровель из наплавляемых материалов к стенам и парапетам высотой: до 600 мм без фартуков</t>
  </si>
  <si>
    <t>ГЭСН-2022 доп.10, 12-01-004-04, приказ Минстроя России от 13.05.2024 г. № 323/пр</t>
  </si>
  <si>
    <t>20,1</t>
  </si>
  <si>
    <t>21</t>
  </si>
  <si>
    <t>12-01-010-01</t>
  </si>
  <si>
    <t>Устройство мелких покрытий (брандмауэры, парапеты, свесы и т.п.) из листовой оцинкованной стали</t>
  </si>
  <si>
    <t>ГЭСН-2022, 12-01-010-01, приказ Минстроя России от 18.05.2022 г. № 378/пр</t>
  </si>
  <si>
    <t>22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</si>
  <si>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</si>
  <si>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</si>
  <si>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</si>
  <si>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</si>
  <si>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</si>
  <si>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</si>
  <si>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</si>
  <si>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23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</si>
  <si>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</si>
  <si>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</si>
  <si>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</si>
  <si>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</si>
  <si>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</si>
  <si>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</si>
  <si>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</si>
  <si>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</si>
  <si>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</si>
  <si>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</si>
  <si>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</si>
  <si>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</si>
  <si>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</si>
  <si>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</si>
  <si>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</si>
  <si>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</si>
  <si>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</si>
  <si>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</si>
  <si>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</si>
  <si>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</si>
  <si>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</si>
  <si>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</si>
  <si>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</si>
  <si>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</si>
  <si>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</si>
  <si>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</si>
  <si>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</si>
  <si>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</si>
  <si>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</si>
  <si>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</si>
  <si>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</si>
  <si>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</si>
  <si>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</si>
  <si>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</si>
  <si>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</si>
  <si>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</si>
  <si>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</si>
  <si>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</si>
  <si>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</si>
  <si>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</si>
  <si>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</si>
  <si>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</si>
  <si>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</si>
  <si>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</si>
  <si>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</si>
  <si>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</si>
  <si>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</si>
  <si>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</si>
  <si>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</si>
  <si>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</si>
  <si>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</si>
  <si>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</si>
  <si>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</si>
  <si>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</si>
  <si>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</si>
  <si>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</si>
  <si>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</si>
  <si>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</si>
  <si>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</si>
  <si>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</si>
  <si>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</si>
  <si>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</si>
  <si>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И</t>
  </si>
  <si>
    <t>Итого по смете</t>
  </si>
  <si>
    <t>Непредвиденные работы 2%</t>
  </si>
  <si>
    <t>Итого с непредвиденными работами</t>
  </si>
  <si>
    <t>НДС</t>
  </si>
  <si>
    <t>НДС 22%</t>
  </si>
  <si>
    <t>с 1.01.2026. п. 3 ст. 164 НК РФ в ред. Федерального закона от 28.11.2025 № 425-ФЗ</t>
  </si>
  <si>
    <t>В</t>
  </si>
  <si>
    <t>ВСЕГО</t>
  </si>
  <si>
    <t>д.б.</t>
  </si>
  <si>
    <t>р</t>
  </si>
  <si>
    <t>Итого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</si>
  <si>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</si>
  <si>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</si>
  <si>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</si>
  <si>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</si>
  <si>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</si>
  <si>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</si>
  <si>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</si>
  <si>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</si>
  <si>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</si>
  <si>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</si>
  <si>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</si>
  <si>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</si>
  <si>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</si>
  <si>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</si>
  <si>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</si>
  <si>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</si>
  <si>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</si>
  <si>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</si>
  <si>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</si>
  <si>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</si>
  <si>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</si>
  <si>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</si>
  <si>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</si>
  <si>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</si>
  <si>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</si>
  <si>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</si>
  <si>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</si>
  <si>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</si>
  <si>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</si>
  <si>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</si>
  <si>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</si>
  <si>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</si>
  <si>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</si>
  <si>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</si>
  <si>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</si>
  <si>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</si>
  <si>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</si>
  <si>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</si>
  <si>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</si>
  <si>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</si>
  <si>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</si>
  <si>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</si>
  <si>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</si>
  <si>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</si>
  <si>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</si>
  <si>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</si>
  <si>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</si>
  <si>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</si>
  <si>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</si>
  <si>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</si>
  <si>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</si>
  <si>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</si>
  <si>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</si>
  <si>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</si>
  <si>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</si>
  <si>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</si>
  <si>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</si>
  <si>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</si>
  <si>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</si>
  <si>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</si>
  <si>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</si>
  <si>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</si>
  <si>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</si>
  <si>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</si>
  <si>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</si>
  <si>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</si>
  <si>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</si>
  <si>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</si>
  <si>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Чувашская Республика, КТЦ к ФСНБ-2022, 1 квартал 2026 г</t>
  </si>
  <si>
    <t>Сборник индексов</t>
  </si>
  <si>
    <t>Чувашская Республика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</si>
  <si>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</si>
  <si>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</si>
  <si>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</si>
  <si>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Постановление Кабинета Министров Чувашской Республики</t>
  </si>
  <si>
    <t>Постановление Кабинета Министров Чувашской Республики от 22.04.2025 г. № 213</t>
  </si>
  <si>
    <t>_OBSM_</t>
  </si>
  <si>
    <t>1-100-20</t>
  </si>
  <si>
    <t>Средний разряд работы 2,0</t>
  </si>
  <si>
    <t>чел.-ч.</t>
  </si>
  <si>
    <t>91.06.03-055</t>
  </si>
  <si>
    <t>ФСЭМ-2022, 91.06.03-055, приказ Минстроя России от 18.05.2022 г. № 378/пр</t>
  </si>
  <si>
    <t>Лебедки электрические тяговым усилием 19,62 кН (2 т)</t>
  </si>
  <si>
    <t>маш.-ч</t>
  </si>
  <si>
    <t>1-100-22</t>
  </si>
  <si>
    <t>Средний разряд работы 2,2</t>
  </si>
  <si>
    <t>4-100-00</t>
  </si>
  <si>
    <t>Затраты труда машинистов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</si>
  <si>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</si>
  <si>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</si>
  <si>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</si>
  <si>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4-100-060</t>
  </si>
  <si>
    <t>1-100-24</t>
  </si>
  <si>
    <t>Средний разряд работы 2,4</t>
  </si>
  <si>
    <t>1-100-30</t>
  </si>
  <si>
    <t>Средний разряд работы 3,0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</si>
  <si>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</si>
  <si>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</si>
  <si>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</si>
  <si>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</si>
  <si>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</si>
  <si>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</si>
  <si>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</si>
  <si>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</si>
  <si>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01.7.15.06-0111</t>
  </si>
  <si>
    <t>ФСБЦ-2022, 01.7.15.06-0111, приказ Минстроя России от 18.05.2022 г. № 378/пр</t>
  </si>
  <si>
    <t>Гвозди строительные</t>
  </si>
  <si>
    <t>11.1.01.12-0007</t>
  </si>
  <si>
    <t>ФСБЦ-2022, 11.1.01.12-0007, приказ Минстроя России от 18.05.2022 г. № 378/пр</t>
  </si>
  <si>
    <t>Доска обшивочная хвойных пород (ель, сосна), сорт АВ, профиль штиль, толщина 13 мм, ширина до 96 мм</t>
  </si>
  <si>
    <t>1-100-31</t>
  </si>
  <si>
    <t>Затраты труда рабочих (Средний разряд - 3,1)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</si>
  <si>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</si>
  <si>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</si>
  <si>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</si>
  <si>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</si>
  <si>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91.07.07-011</t>
  </si>
  <si>
    <t>ФСЭМ-2022, 91.07.07-011, приказ Минстроя России от 18.05.2022 г. № 378/пр</t>
  </si>
  <si>
    <t>Растворонасосы, производительность 4 м3/ч</t>
  </si>
  <si>
    <t>01.7.03.01-0001</t>
  </si>
  <si>
    <t>ФСБЦ-2022, 01.7.03.01-0001, приказ Минстроя России от 18.05.2022 г. № 378/пр</t>
  </si>
  <si>
    <t>Вода</t>
  </si>
  <si>
    <t>12.1.02.06-0022</t>
  </si>
  <si>
    <t>ФСБЦ-2022, 12.1.02.06-0022, приказ Минстроя России от 18.05.2022 г. № 378/пр</t>
  </si>
  <si>
    <t>Рубероид кровельный РКП-350</t>
  </si>
  <si>
    <t>Затраты труда рабочих (Средний разряд - 2)</t>
  </si>
  <si>
    <t>1-100-10</t>
  </si>
  <si>
    <t>Затраты труда рабочих (Средний разряд - 1)</t>
  </si>
  <si>
    <t>1-100-33</t>
  </si>
  <si>
    <t>Затраты труда рабочих (Средний разряд - 3,3)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</si>
  <si>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</si>
  <si>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</si>
  <si>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</si>
  <si>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08.3.03.04-0012</t>
  </si>
  <si>
    <t>ФСБЦ-2022, 08.3.03.04-0012, приказ Минстроя России от 18.05.2022 г. № 378/пр</t>
  </si>
  <si>
    <t>Проволока светлая, диаметр 1,1 мм</t>
  </si>
  <si>
    <t>1-100-32</t>
  </si>
  <si>
    <t>Затраты труда рабочих (Средний разряд - 3,2)</t>
  </si>
  <si>
    <t>1-100-38</t>
  </si>
  <si>
    <t>Затраты труда рабочих (Средний разряд - 3,8)</t>
  </si>
  <si>
    <t>01.3.02.09-0022</t>
  </si>
  <si>
    <t>ФСБЦ-2022 доп.3, 01.3.02.09-0022, приказ Минстроя России от 26.10.2022 г. № 905/пр</t>
  </si>
  <si>
    <t>Пропан-бутан смесь техническая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</si>
  <si>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</si>
  <si>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</si>
  <si>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</si>
  <si>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1-100-36</t>
  </si>
  <si>
    <t>Затраты труда рабочих (Средний разряд - 3,6)</t>
  </si>
  <si>
    <t>04.3.01.09-0014</t>
  </si>
  <si>
    <t>ФСБЦ-2022, 04.3.01.09-0014, приказ Минстроя России от 18.05.2022 г. № 378/пр</t>
  </si>
  <si>
    <t>Раствор готовый кладочный, цементный, М100</t>
  </si>
  <si>
    <t>Затраты труда рабочих (Средний разряд - 3)</t>
  </si>
  <si>
    <t>01.7.15.06-0022</t>
  </si>
  <si>
    <t>ФСБЦ-2022, 01.7.15.06-0022, приказ Минстроя России от 18.05.2022 г. № 378/пр</t>
  </si>
  <si>
    <t>Гвозди стальные толевые, диаметр 2-3 мм, длина 20-40 мм</t>
  </si>
  <si>
    <t>08.3.03.05-0002</t>
  </si>
  <si>
    <t>ФСБЦ-2022, 08.3.03.05-0002, приказ Минстроя России от 18.05.2022 г. № 378/пр</t>
  </si>
  <si>
    <t>Проволока канатная оцинкованная, диаметр 3 мм</t>
  </si>
  <si>
    <t>08.3.05.05-0051</t>
  </si>
  <si>
    <t>ФСБЦ-2022, 08.3.05.05-0051, приказ Минстроя России от 18.05.2022 г. № 378/пр</t>
  </si>
  <si>
    <t>Сталь листовая оцинкованная, толщина 0,5 мм</t>
  </si>
  <si>
    <t>11.1.03.06</t>
  </si>
  <si>
    <t>Доска обрезная хвойных пород, естественной влажности, длина 2-6,5 м, ширина 100-250 мм, толщина 44-50 мм</t>
  </si>
  <si>
    <t>Доска обрезная хвойных пород, естественной влажности, длина 2-6,5 м, ширина 100-250 мм, толщина 20-22 мм</t>
  </si>
  <si>
    <t>04.3.01.09</t>
  </si>
  <si>
    <t>Раствор готовый кладочный тяжелый цементный</t>
  </si>
  <si>
    <t>02.2.01.03</t>
  </si>
  <si>
    <t>Гравий керамзитовый</t>
  </si>
  <si>
    <t>08.4.03.03</t>
  </si>
  <si>
    <t>Арматура</t>
  </si>
  <si>
    <t>01.2.03.07</t>
  </si>
  <si>
    <t>Эмульсия битумная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</si>
  <si>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</si>
  <si>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</si>
  <si>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</si>
  <si>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Материалы рулонные кровельные наплавляемые</t>
  </si>
  <si>
    <t>571/пр_2022_п.83_т.2_стр.2_стб.3</t>
  </si>
  <si>
    <t>Разборка и (или) демонтаж строительных конструкций, систем и сетей инженерно-технического обеспечения, в том числе их элементов: сборных деревянных конструкций</t>
  </si>
  <si>
    <t>Методика применения сметных норм 571/пр (О.П.)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</si>
  <si>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</si>
  <si>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</si>
  <si>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Материал рулонный битумно-полимерный кровельный и гидроизоляционный самоклеящийся ЭКС, основа полиэстер/полиэфир, с крупнозернистой посыпкой на верхней стороне полотна, гибкость не выше -25 °C, теплостойкость не менее 100 °C, разрывная сила в продольном/поперечном направлении 600/400 Н, толщина 4,2 мм, масса 1 м2 до 5,2 кг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</si>
  <si>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</si>
  <si>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</si>
  <si>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</si>
  <si>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</si>
  <si>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</si>
  <si>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</si>
  <si>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</si>
  <si>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</si>
  <si>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</si>
  <si>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</si>
  <si>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</si>
  <si>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</si>
  <si>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</si>
  <si>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</si>
  <si>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</si>
  <si>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</si>
  <si>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</si>
  <si>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</si>
  <si>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</si>
  <si>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</si>
  <si>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</si>
  <si>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</si>
  <si>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</si>
  <si>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</si>
  <si>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</si>
  <si>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</si>
  <si>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</si>
  <si>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</si>
  <si>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</si>
  <si>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</si>
  <si>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</si>
  <si>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март 2026 года</t>
  </si>
  <si>
    <t>ГЭСН 46-04-008-02</t>
  </si>
  <si>
    <t>ОТ (ЗТ)</t>
  </si>
  <si>
    <t>ЭМ</t>
  </si>
  <si>
    <t>ОТм(ЗТм)</t>
  </si>
  <si>
    <t>Итого прямые затраты</t>
  </si>
  <si>
    <t>ФОТ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</si>
  <si>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</si>
  <si>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</si>
  <si>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</si>
  <si>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</si>
  <si>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=</t>
  </si>
  <si>
    <t>ГЭСНр 58-01-001-01</t>
  </si>
  <si>
    <t>ОТм(ЗТм) Средний разряд машинистов 6</t>
  </si>
  <si>
    <t>2.1</t>
  </si>
  <si>
    <t>НР Крыши, кровля</t>
  </si>
  <si>
    <t>СП Крыши, кровля</t>
  </si>
  <si>
    <t>ГЭСНр 58-01-001-03</t>
  </si>
  <si>
    <t>3.1</t>
  </si>
  <si>
    <t>ГЭСНр 58-01-001-04</t>
  </si>
  <si>
    <t>4.1</t>
  </si>
  <si>
    <t>ГЭСН 10-01-008-04</t>
  </si>
  <si>
    <t>Разборка и (или) демонтаж строительных конструкций, систем и сетей инженерно-технического обеспечения, в том числе их элементов: сборных деревянных конструкций
ЭМ *0,8; М *0; ЗТ *0,8; ЗТм *0,8</t>
  </si>
  <si>
    <t>ОТм(ЗТм) Средний разряд машинистов 4</t>
  </si>
  <si>
    <t>М</t>
  </si>
  <si>
    <t>НР Деревянные конструкции</t>
  </si>
  <si>
    <t>СП Деревянные конструкции</t>
  </si>
  <si>
    <t>ГЭСН 10-01-008-05</t>
  </si>
  <si>
    <t>ГЭСН 46-04-008-01</t>
  </si>
  <si>
    <t>ГЭСН 12-01-017-01</t>
  </si>
  <si>
    <r>
      <t>Демонтаж выравнивающих стяжек: цементно-песчаных толщиной 15 мм (до 75 мм)</t>
    </r>
    <r>
      <rPr>
        <i/>
        <sz val="10"/>
        <rFont val="Arial"/>
        <family val="2"/>
        <charset val="204"/>
      </rPr>
      <t xml:space="preserve">
Поправки к: 
М )*0;   
ЭМ )*0,8;   
ЗТ )*0,8;   
ЗТм )*0,8</t>
    </r>
  </si>
  <si>
    <t>ОТм(ЗТм) Средний разряд машинистов 5</t>
  </si>
  <si>
    <t>НР Кровли</t>
  </si>
  <si>
    <t>СП Кровли</t>
  </si>
  <si>
    <t>ГЭСН 12-01-017-02</t>
  </si>
  <si>
    <r>
      <t>Демонтаж выравнивающих стяжек: на каждый 1 мм изменения толщины добавлять или исключать к норме 12-01-017-01</t>
    </r>
    <r>
      <rPr>
        <i/>
        <sz val="10"/>
        <rFont val="Arial"/>
        <family val="2"/>
        <charset val="204"/>
      </rPr>
      <t xml:space="preserve">
Поправки к: 
М )*0;   
ЭМ )*0,8*60;   
ЗТ )*0,8*60;   
ЗТм )*0,8*60</t>
    </r>
  </si>
  <si>
    <t>ГЭСН 12-01-014-02</t>
  </si>
  <si>
    <r>
      <t>Разборка утепление покрытий из керамзита</t>
    </r>
    <r>
      <rPr>
        <i/>
        <sz val="10"/>
        <rFont val="Arial"/>
        <family val="2"/>
        <charset val="204"/>
      </rPr>
      <t xml:space="preserve">
Поправки к: 
М )*0;   
ЭМ )*0,8;   
ЗТ )*0,8;   
ЗТм )*0,8</t>
    </r>
  </si>
  <si>
    <r>
      <t>Утепление покрытий: керамзитом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</si>
  <si>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11.1</t>
  </si>
  <si>
    <t>Пр/812-012.0-1;_x000D_
п.25</t>
  </si>
  <si>
    <t>Пр/774-012.0;_x000D_
п.16</t>
  </si>
  <si>
    <t>ГЭСН 01-02-008-01 (прим.)</t>
  </si>
  <si>
    <r>
      <t>Полив керамзита цементным молочком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</si>
  <si>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12.1</t>
  </si>
  <si>
    <t>Пр/812-001.1-1;_x000D_
п.25</t>
  </si>
  <si>
    <t>НР Земляные работы, выполняемые: механизированным способом</t>
  </si>
  <si>
    <t>Пр/774-001.1;_x000D_
п.16</t>
  </si>
  <si>
    <t>СП Земляные работы, выполняемые: механизированным способом</t>
  </si>
  <si>
    <r>
      <t>Устройство выравнивающих стяжек: цементно-песчаных толщиной 15 мм (до 80 мм)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</si>
  <si>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13.1</t>
  </si>
  <si>
    <r>
      <t>Устройство выравнивающих стяжек: на каждый 1 мм изменения толщины добавлять или исключать к норме 12-01-017-01</t>
    </r>
    <r>
      <rPr>
        <i/>
        <sz val="10"/>
        <rFont val="Arial"/>
        <family val="2"/>
        <charset val="204"/>
      </rPr>
      <t xml:space="preserve">
Поправки к: 
М *65;   
ЭМ )*1,25*65;   
ЗТ )*1,15*65;   
ЗТм )*1,25*65;   
НР )*0,9;   
СП )*0,85</t>
    </r>
  </si>
  <si>
    <t>14.1</t>
  </si>
  <si>
    <t xml:space="preserve">Коэф. к расходу *65_x000D_
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элементов;_x000D_
</t>
  </si>
  <si>
    <t>ГЭСН 06-03-004-14</t>
  </si>
  <si>
    <r>
      <t>Армирование подстилающих слоев и набетонок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</si>
  <si>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15.1</t>
  </si>
  <si>
    <t>Пр/812-006.0-1;_x000D_
п.25</t>
  </si>
  <si>
    <t>НР Бетонные и железобетонные монолитные конструкции и работы в строительстве</t>
  </si>
  <si>
    <t>Пр/774-006.0;_x000D_
п.16</t>
  </si>
  <si>
    <t>СП Бетонные и железобетонные монолитные конструкции и работы в строительстве</t>
  </si>
  <si>
    <t>ГЭСН 12-01-016-02</t>
  </si>
  <si>
    <r>
      <t>Огрунтовка оснований из бетона или раствора под водоизоляционный кровельный ковер: готовой эмульсией битумной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</si>
  <si>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16.1</t>
  </si>
  <si>
    <t>ГЭСН 12-01-002-09</t>
  </si>
  <si>
    <r>
      <t>Устройство кровель плоских из наплавляемых материалов: в два слоя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</si>
  <si>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17.1</t>
  </si>
  <si>
    <t>17.2</t>
  </si>
  <si>
    <t>ГЭСНр 58-01-003-01</t>
  </si>
  <si>
    <t>18.1</t>
  </si>
  <si>
    <t>ГЭСН 12-01-004-04</t>
  </si>
  <si>
    <t>20.1</t>
  </si>
  <si>
    <t>ГЭСН 12-01-010-01</t>
  </si>
  <si>
    <r>
      <t>Устройство мелких покрытий (брандмауэры, парапеты, свесы и т.п.) из листовой оцинкованной стали</t>
    </r>
    <r>
      <rPr>
        <i/>
        <sz val="10"/>
        <rFont val="Arial"/>
        <family val="2"/>
        <charset val="204"/>
      </rPr>
      <t xml:space="preserve">
Поправки к: 
ЭМ )*1,25;   
ЗТ )*1,15;   
ЗТм )*1,25;   
НР )*0,9;   
СП )*0,85</t>
    </r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</si>
  <si>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</si>
  <si>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</si>
  <si>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</si>
  <si>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</si>
  <si>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</si>
  <si>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</si>
  <si>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</si>
  <si>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</si>
  <si>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</si>
  <si>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</si>
  <si>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</si>
  <si>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</si>
  <si>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</si>
  <si>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</si>
  <si>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</si>
  <si>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</si>
  <si>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 xml:space="preserve">  оплата труда машинистов (ОТм)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</si>
  <si>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</si>
  <si>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</si>
  <si>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</si>
  <si>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</si>
  <si>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</si>
  <si>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</si>
  <si>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</si>
  <si>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</si>
  <si>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</si>
  <si>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</si>
  <si>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</si>
  <si>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</si>
  <si>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</si>
  <si>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</si>
  <si>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</si>
  <si>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</si>
  <si>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</si>
  <si>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</si>
  <si>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</si>
  <si>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</si>
  <si>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>429040, Чувашская Республика, Красночетайский район, с. Красные Четаи, пл. Победы, д. 5</t>
  </si>
  <si>
    <t>Ведомость объемов работ</t>
  </si>
  <si>
    <t>на выполнение работ по ремонту кровли отделения почтовой связи 429040, расположенного по адресу: Чувашская Республика, Красночетайский район, с. Красные Четаи, пл. Победы, д. 5 для нужд УФПС Чувашской Республики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</si>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</sst>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\ #,##0.00"/>
    <numFmt numFmtId="165" formatCode="#,##0.00#####;[Red]\-\ #,##0.00#####"/>
  </numFmts>
  <fonts count="26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14" fontId="16" fillId="0" borderId="0" xfId="0" applyNumberFormat="1" applyFo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9" fillId="0" borderId="0" xfId="0" quotePrefix="1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 wrapText="1"/>
    </xf>
    <xf numFmtId="164" fontId="19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5" fontId="19" fillId="0" borderId="0" xfId="0" applyNumberFormat="1" applyFont="1" applyAlignment="1">
      <alignment horizontal="right" vertical="top"/>
    </xf>
    <xf numFmtId="164" fontId="21" fillId="0" borderId="0" xfId="0" applyNumberFormat="1" applyFont="1" applyAlignment="1">
      <alignment horizontal="right" vertical="top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vertical="top"/>
    </xf>
    <xf numFmtId="164" fontId="19" fillId="0" borderId="1" xfId="0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right" vertical="top" wrapText="1"/>
    </xf>
    <xf numFmtId="164" fontId="0" fillId="0" borderId="0" xfId="0" applyNumberFormat="1"/>
    <xf numFmtId="164" fontId="19" fillId="0" borderId="0" xfId="0" applyNumberFormat="1" applyFont="1" applyAlignment="1">
      <alignment horizontal="right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2" fillId="0" borderId="0" xfId="0" quotePrefix="1" applyFont="1" applyAlignment="1">
      <alignment vertical="top" wrapText="1"/>
    </xf>
    <xf numFmtId="0" fontId="19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4" fontId="21" fillId="0" borderId="2" xfId="0" applyNumberFormat="1" applyFont="1" applyBorder="1" applyAlignment="1">
      <alignment horizontal="right" vertical="top"/>
    </xf>
    <xf numFmtId="0" fontId="21" fillId="0" borderId="2" xfId="0" applyFont="1" applyBorder="1" applyAlignment="1">
      <alignment horizontal="right" vertical="top"/>
    </xf>
    <xf numFmtId="0" fontId="24" fillId="0" borderId="0" xfId="0" applyFont="1"/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/>
    <xf numFmtId="0" fontId="11" fillId="0" borderId="2" xfId="0" applyFont="1" applyBorder="1"/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wrapText="1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6" fillId="0" borderId="1" xfId="0" applyFont="1" applyBorder="1"/>
    <xf numFmtId="164" fontId="2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wrapText="1"/>
    </xf>
    <xf numFmtId="0" fontId="23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164" fontId="21" fillId="0" borderId="0" xfId="0" applyNumberFormat="1" applyFont="1" applyAlignment="1">
      <alignment horizontal="left" vertical="top"/>
    </xf>
    <xf numFmtId="164" fontId="21" fillId="0" borderId="2" xfId="0" applyNumberFormat="1" applyFont="1" applyBorder="1" applyAlignment="1">
      <alignment horizontal="right" vertical="top"/>
    </xf>
    <xf numFmtId="0" fontId="21" fillId="0" borderId="2" xfId="0" applyFont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83;&#1100;&#1075;&#1072;%20&#1052;&#1072;&#1088;&#1082;&#1086;&#1074;&#1072;\0\&#1044;&#1080;&#1089;&#1082;%20D\&#1044;&#1086;&#1082;&#1091;&#1084;&#1077;&#1085;&#1090;&#1099;%20&#1052;&#1072;&#1088;&#1082;&#1086;&#1074;&#1072;%20&#1054;&#1083;&#1100;&#1075;&#1072;\&#1057;&#1086;&#1075;&#1083;&#1072;&#1089;&#1086;&#1074;&#1072;&#1085;&#1080;&#1077;%20&#1079;&#1072;&#1082;&#1091;&#1087;&#1086;&#1082;\2026%20&#1075;&#1086;&#1076;\&#1056;&#1077;&#1084;&#1086;&#1085;&#1090;%20&#1082;&#1088;&#1086;&#1074;&#1083;&#1080;%20&#1054;&#1055;&#1057;%20&#1050;&#1088;&#1072;&#1089;&#1085;&#1099;&#1077;%20&#1063;&#1077;&#1090;&#1072;&#1080;\&#1057;&#1084;&#1077;&#1090;&#1072;%20&#1085;&#1072;%20&#1088;&#1077;&#1084;&#1086;&#1085;&#1090;%20&#1082;&#1088;&#1086;&#1074;&#1083;&#1080;%20&#1054;&#1055;&#1057;%20&#1050;&#1088;&#1072;&#1089;&#1085;&#1099;&#1077;%20&#1063;&#1077;&#1090;&#1072;&#1080;&#1053;&#1045;%20&#1042;&#1045;&#1056;&#1053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"/>
      <sheetName val="Source"/>
      <sheetName val="SourceObSm"/>
      <sheetName val="SmtRes"/>
      <sheetName val="EtalonRes"/>
      <sheetName val="SrcPoprs"/>
      <sheetName val="SrcKA"/>
    </sheetNames>
    <sheetDataSet>
      <sheetData sheetId="0" refreshError="1"/>
      <sheetData sheetId="1" refreshError="1">
        <row r="1">
          <cell r="B1" t="str">
            <v>Smeta.RU  (495) 974-1589</v>
          </cell>
        </row>
        <row r="12">
          <cell r="CQ12" t="str">
    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    </cell>
          <cell r="CV12" t="str">
    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    </cell>
          <cell r="CZ12" t="str">
            <v>Чувашская Республика - Чувашия</v>
          </cell>
          <cell r="DA12" t="str">
            <v>Чувашская Республика - Чувашия</v>
          </cell>
        </row>
        <row r="20">
          <cell r="L20" t="str">
            <v>02-01-01</v>
          </cell>
          <cell r="CM20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31"/>
  <sheetViews>
    <sheetView tabSelected="1" view="pageBreakPreview" topLeftCell="A37" zoomScale="90" zoomScaleNormal="100" zoomScaleSheetLayoutView="90" workbookViewId="0">
      <selection activeCell="I55" sqref="I55"/>
    </sheetView>
  </sheetViews>
  <sheetFormatPr defaultRowHeight="12.75" x14ac:dyDescent="0.2"/>
  <cols>
    <col min="1" max="1" width="5.7109375" customWidth="1"/>
    <col min="2" max="2" width="22.7109375" customWidth="1"/>
    <col min="3" max="3" width="40.7109375" customWidth="1"/>
    <col min="4" max="4" width="13.4257812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ht="24" customHeight="1" x14ac:dyDescent="0.3">
      <c r="I1" s="78" t="s">
        <v>594</v>
      </c>
      <c r="J1" s="78"/>
      <c r="K1" s="78"/>
      <c r="L1" s="78"/>
    </row>
    <row r="2" spans="1:93" ht="17.45" customHeight="1" x14ac:dyDescent="0.25">
      <c r="J2" s="50"/>
    </row>
    <row r="3" spans="1:93" ht="19.149999999999999" customHeight="1" x14ac:dyDescent="0.25">
      <c r="J3" s="50"/>
    </row>
    <row r="4" spans="1:93" ht="17.45" customHeight="1" x14ac:dyDescent="0.25">
      <c r="J4" s="50"/>
    </row>
    <row r="5" spans="1:93" ht="18" customHeight="1" x14ac:dyDescent="0.25">
      <c r="J5" s="50"/>
    </row>
    <row r="6" spans="1:93" ht="18" x14ac:dyDescent="0.25">
      <c r="J6" s="50"/>
    </row>
    <row r="9" spans="1:93" x14ac:dyDescent="0.2">
      <c r="A9" s="14" t="str">
        <f>[1]Source!B1</f>
        <v>Smeta.RU  (495) 974-1589</v>
      </c>
    </row>
    <row r="10" spans="1:93" ht="12.75" customHeight="1" x14ac:dyDescent="0.2">
      <c r="A10" s="91" t="s">
        <v>449</v>
      </c>
      <c r="B10" s="91"/>
      <c r="C10" s="91"/>
      <c r="D10" s="91"/>
      <c r="E10" s="91"/>
      <c r="F10" s="90" t="s">
        <v>477</v>
      </c>
      <c r="G10" s="90"/>
      <c r="H10" s="90"/>
      <c r="I10" s="90"/>
      <c r="J10" s="90"/>
      <c r="K10" s="90"/>
      <c r="L10" s="90"/>
    </row>
    <row r="11" spans="1:93" ht="13.15" customHeight="1" x14ac:dyDescent="0.2">
      <c r="A11" s="51"/>
      <c r="B11" s="51"/>
      <c r="C11" s="51"/>
      <c r="D11" s="51"/>
      <c r="E11" s="51"/>
      <c r="F11" s="52"/>
      <c r="G11" s="52"/>
      <c r="H11" s="52"/>
      <c r="I11" s="52"/>
      <c r="J11" s="52"/>
      <c r="K11" s="52"/>
      <c r="L11" s="52"/>
    </row>
    <row r="12" spans="1:93" ht="25.5" x14ac:dyDescent="0.2">
      <c r="A12" s="91" t="s">
        <v>450</v>
      </c>
      <c r="B12" s="91"/>
      <c r="C12" s="91"/>
      <c r="D12" s="91"/>
      <c r="E12" s="91"/>
      <c r="F12" s="90" t="str">
        <f>IF([1]Source!CQ12 &lt;&gt; "", [1]Source!CQ12,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90"/>
      <c r="H12" s="90"/>
      <c r="I12" s="90"/>
      <c r="J12" s="90"/>
      <c r="K12" s="90"/>
      <c r="L12" s="90"/>
      <c r="CO12" s="53" t="str">
        <f>IF([1]Source!CQ12 &lt;&gt; "", [1]Source!CQ12,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3.15" customHeight="1" x14ac:dyDescent="0.2">
      <c r="A13" s="51"/>
      <c r="B13" s="51"/>
      <c r="C13" s="51"/>
      <c r="D13" s="51"/>
      <c r="E13" s="51"/>
      <c r="F13" s="52"/>
      <c r="G13" s="52"/>
      <c r="H13" s="52"/>
      <c r="I13" s="52"/>
      <c r="J13" s="52"/>
      <c r="K13" s="52"/>
      <c r="L13" s="52"/>
    </row>
    <row r="14" spans="1:93" ht="140.25" x14ac:dyDescent="0.2">
      <c r="A14" s="91" t="s">
        <v>451</v>
      </c>
      <c r="B14" s="91"/>
      <c r="C14" s="91"/>
      <c r="D14" s="91"/>
      <c r="E14" s="91"/>
      <c r="F14" s="90" t="str">
        <f>IF([1]Source!CV12 &lt;&gt; "", [1]Source!CV12,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90"/>
      <c r="H14" s="90"/>
      <c r="I14" s="90"/>
      <c r="J14" s="90"/>
      <c r="K14" s="90"/>
      <c r="L14" s="90"/>
      <c r="CO14" s="53" t="str">
        <f>IF([1]Source!CV12 &lt;&gt; "", [1]Source!CV12,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3.15" customHeight="1" x14ac:dyDescent="0.2">
      <c r="A15" s="51"/>
      <c r="B15" s="51"/>
      <c r="C15" s="51"/>
      <c r="D15" s="51"/>
      <c r="E15" s="51"/>
      <c r="F15" s="52"/>
      <c r="G15" s="52"/>
      <c r="H15" s="52"/>
      <c r="I15" s="52"/>
      <c r="J15" s="52"/>
      <c r="K15" s="52"/>
      <c r="L15" s="52"/>
    </row>
    <row r="16" spans="1:93" ht="76.5" customHeight="1" x14ac:dyDescent="0.2">
      <c r="A16" s="91" t="s">
        <v>452</v>
      </c>
      <c r="B16" s="91"/>
      <c r="C16" s="91"/>
      <c r="D16" s="91"/>
      <c r="E16" s="91"/>
      <c r="F16" s="90" t="s">
        <v>340</v>
      </c>
      <c r="G16" s="90"/>
      <c r="H16" s="90"/>
      <c r="I16" s="90"/>
      <c r="J16" s="90"/>
      <c r="K16" s="90"/>
      <c r="L16" s="90"/>
    </row>
    <row r="17" spans="1:12" ht="13.15" customHeight="1" x14ac:dyDescent="0.2">
      <c r="A17" s="51"/>
      <c r="B17" s="51"/>
      <c r="C17" s="51"/>
      <c r="D17" s="51"/>
      <c r="E17" s="51"/>
      <c r="F17" s="52"/>
      <c r="G17" s="52"/>
      <c r="H17" s="52"/>
      <c r="I17" s="52"/>
      <c r="J17" s="52"/>
      <c r="K17" s="52"/>
      <c r="L17" s="52"/>
    </row>
    <row r="18" spans="1:12" ht="38.25" customHeight="1" x14ac:dyDescent="0.2">
      <c r="A18" s="91" t="s">
        <v>453</v>
      </c>
      <c r="B18" s="91"/>
      <c r="C18" s="91"/>
      <c r="D18" s="91"/>
      <c r="E18" s="91"/>
      <c r="F18" s="90" t="s">
        <v>342</v>
      </c>
      <c r="G18" s="90"/>
      <c r="H18" s="90"/>
      <c r="I18" s="90"/>
      <c r="J18" s="90"/>
      <c r="K18" s="90"/>
      <c r="L18" s="90"/>
    </row>
    <row r="19" spans="1:12" ht="13.15" customHeight="1" x14ac:dyDescent="0.2">
      <c r="A19" s="54"/>
      <c r="B19" s="54"/>
      <c r="C19" s="54"/>
      <c r="D19" s="54"/>
      <c r="E19" s="54"/>
      <c r="F19" s="55"/>
      <c r="G19" s="55"/>
      <c r="H19" s="55"/>
      <c r="I19" s="55"/>
      <c r="J19" s="55"/>
      <c r="K19" s="55"/>
      <c r="L19" s="55"/>
    </row>
    <row r="20" spans="1:12" ht="13.15" customHeight="1" x14ac:dyDescent="0.2">
      <c r="A20" s="91" t="s">
        <v>454</v>
      </c>
      <c r="B20" s="91"/>
      <c r="C20" s="91"/>
      <c r="D20" s="91"/>
      <c r="E20" s="91"/>
      <c r="F20" s="90" t="s">
        <v>478</v>
      </c>
      <c r="G20" s="90"/>
      <c r="H20" s="90"/>
      <c r="I20" s="90"/>
      <c r="J20" s="90"/>
      <c r="K20" s="90"/>
      <c r="L20" s="90"/>
    </row>
    <row r="21" spans="1:12" ht="12.75" customHeight="1" x14ac:dyDescent="0.2">
      <c r="A21" s="54"/>
      <c r="B21" s="54"/>
      <c r="C21" s="54"/>
      <c r="D21" s="54"/>
      <c r="E21" s="54"/>
      <c r="F21" s="55"/>
      <c r="G21" s="55"/>
      <c r="H21" s="55"/>
      <c r="I21" s="55"/>
      <c r="J21" s="55"/>
      <c r="K21" s="55"/>
      <c r="L21" s="55"/>
    </row>
    <row r="22" spans="1:12" ht="12.75" customHeight="1" x14ac:dyDescent="0.2">
      <c r="A22" s="91" t="s">
        <v>455</v>
      </c>
      <c r="B22" s="91"/>
      <c r="C22" s="91"/>
      <c r="D22" s="91"/>
      <c r="E22" s="91"/>
      <c r="F22" s="90" t="str">
        <f>IF([1]Source!CZ12 &lt;&gt; "", [1]Source!CZ12, "")</f>
        <v>Чувашская Республика - Чувашия</v>
      </c>
      <c r="G22" s="90"/>
      <c r="H22" s="90"/>
      <c r="I22" s="90"/>
      <c r="J22" s="90"/>
      <c r="K22" s="90"/>
      <c r="L22" s="90"/>
    </row>
    <row r="23" spans="1:12" ht="12.75" customHeight="1" x14ac:dyDescent="0.2">
      <c r="A23" s="54"/>
      <c r="B23" s="54"/>
      <c r="C23" s="54"/>
      <c r="D23" s="54"/>
      <c r="E23" s="54"/>
      <c r="F23" s="55"/>
      <c r="G23" s="55"/>
      <c r="H23" s="55"/>
      <c r="I23" s="55"/>
      <c r="J23" s="55"/>
      <c r="K23" s="55"/>
      <c r="L23" s="52"/>
    </row>
    <row r="24" spans="1:12" ht="12.75" customHeight="1" x14ac:dyDescent="0.2">
      <c r="A24" s="91" t="s">
        <v>456</v>
      </c>
      <c r="B24" s="91"/>
      <c r="C24" s="91"/>
      <c r="D24" s="91"/>
      <c r="E24" s="91"/>
      <c r="F24" s="90" t="str">
        <f>IF([1]Source!DA12 &lt;&gt; "", [1]Source!DA12, "")</f>
        <v>Чувашская Республика - Чувашия</v>
      </c>
      <c r="G24" s="90"/>
      <c r="H24" s="90"/>
      <c r="I24" s="90"/>
      <c r="J24" s="90"/>
      <c r="K24" s="90"/>
      <c r="L24" s="90"/>
    </row>
    <row r="25" spans="1:12" ht="12.75" customHeight="1" x14ac:dyDescent="0.2">
      <c r="A25" s="56"/>
      <c r="B25" s="56"/>
      <c r="C25" s="56"/>
      <c r="D25" s="56"/>
      <c r="E25" s="56"/>
      <c r="F25" s="57"/>
      <c r="G25" s="57"/>
      <c r="H25" s="57"/>
      <c r="I25" s="57"/>
      <c r="J25" s="57"/>
      <c r="K25" s="57"/>
      <c r="L25" s="57"/>
    </row>
    <row r="26" spans="1:12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ht="15.75" customHeight="1" x14ac:dyDescent="0.25">
      <c r="A27" s="82" t="s">
        <v>591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1:12" ht="14.25" customHeight="1" x14ac:dyDescent="0.2">
      <c r="A28" s="79" t="s">
        <v>457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29" spans="1:12" ht="13.9" customHeight="1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ht="15.75" customHeight="1" x14ac:dyDescent="0.25">
      <c r="A30" s="82" t="s">
        <v>591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</row>
    <row r="31" spans="1:12" ht="14.25" customHeight="1" x14ac:dyDescent="0.2">
      <c r="A31" s="79" t="s">
        <v>458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2" ht="14.25" customHeight="1" x14ac:dyDescent="0.2">
      <c r="A32" s="58"/>
      <c r="B32" s="58"/>
      <c r="C32" s="58"/>
      <c r="D32" s="58"/>
      <c r="E32" s="58"/>
      <c r="F32" s="59"/>
      <c r="G32" s="59"/>
      <c r="H32" s="59"/>
      <c r="I32" s="59"/>
      <c r="J32" s="59"/>
      <c r="K32" s="59"/>
      <c r="L32" s="59"/>
    </row>
    <row r="33" spans="1:12" ht="15.75" customHeight="1" x14ac:dyDescent="0.25">
      <c r="A33" s="83" t="str">
        <f>CONCATENATE( "ЛОКАЛЬНАЯ СМЕТА № ", [1]Source!L20, " ",[1]Source!CM20)</f>
        <v xml:space="preserve">ЛОКАЛЬНАЯ СМЕТА № 02-01-01 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</row>
    <row r="34" spans="1:12" ht="13.9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0"/>
    </row>
    <row r="35" spans="1:12" ht="36" customHeight="1" x14ac:dyDescent="0.25">
      <c r="A35" s="84" t="s">
        <v>593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2" ht="14.25" customHeight="1" x14ac:dyDescent="0.2">
      <c r="A36" s="79" t="s">
        <v>459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</row>
    <row r="37" spans="1:12" ht="13.9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ht="13.9" customHeight="1" x14ac:dyDescent="0.2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1:12" ht="13.15" customHeight="1" x14ac:dyDescent="0.2">
      <c r="A39" s="62" t="s">
        <v>460</v>
      </c>
      <c r="B39" s="62"/>
      <c r="C39" s="63" t="s">
        <v>479</v>
      </c>
      <c r="D39" s="62" t="s">
        <v>461</v>
      </c>
      <c r="E39" s="62"/>
      <c r="F39" s="62"/>
      <c r="G39" s="62"/>
      <c r="H39" s="62"/>
      <c r="I39" s="62"/>
      <c r="J39" s="62"/>
      <c r="K39" s="62"/>
      <c r="L39" s="62"/>
    </row>
    <row r="40" spans="1:12" ht="13.15" customHeight="1" x14ac:dyDescent="0.2">
      <c r="A40" s="62"/>
      <c r="B40" s="62"/>
      <c r="C40" s="64"/>
      <c r="D40" s="62"/>
      <c r="E40" s="62"/>
      <c r="F40" s="62"/>
      <c r="G40" s="62"/>
      <c r="H40" s="62"/>
      <c r="I40" s="62"/>
      <c r="J40" s="62"/>
      <c r="K40" s="62"/>
      <c r="L40" s="62"/>
    </row>
    <row r="41" spans="1:12" ht="13.15" customHeight="1" x14ac:dyDescent="0.2">
      <c r="A41" s="62" t="s">
        <v>462</v>
      </c>
      <c r="B41" s="62"/>
      <c r="C41" s="80" t="s">
        <v>592</v>
      </c>
      <c r="D41" s="80"/>
      <c r="E41" s="80"/>
      <c r="F41" s="80"/>
      <c r="G41" s="80"/>
      <c r="H41" s="80"/>
      <c r="I41" s="80"/>
      <c r="J41" s="80"/>
      <c r="K41" s="80"/>
      <c r="L41" s="80"/>
    </row>
    <row r="42" spans="1:12" ht="12.75" customHeight="1" x14ac:dyDescent="0.2">
      <c r="A42" s="65"/>
      <c r="B42" s="66"/>
      <c r="C42" s="79" t="s">
        <v>463</v>
      </c>
      <c r="D42" s="79"/>
      <c r="E42" s="79"/>
      <c r="F42" s="79"/>
      <c r="G42" s="79"/>
      <c r="H42" s="79"/>
      <c r="I42" s="79"/>
      <c r="J42" s="79"/>
      <c r="K42" s="79"/>
      <c r="L42" s="79"/>
    </row>
    <row r="43" spans="1:12" ht="13.9" customHeight="1" x14ac:dyDescent="0.2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2" ht="13.9" customHeight="1" x14ac:dyDescent="0.2">
      <c r="A44" s="67" t="s">
        <v>480</v>
      </c>
      <c r="B44" s="58"/>
      <c r="C44" s="58"/>
      <c r="D44" s="15"/>
      <c r="E44" s="58"/>
      <c r="F44" s="58"/>
      <c r="G44" s="58"/>
      <c r="H44" s="58"/>
      <c r="I44" s="58"/>
      <c r="J44" s="58"/>
      <c r="K44" s="58"/>
      <c r="L44" s="58"/>
    </row>
    <row r="45" spans="1:12" ht="13.9" customHeight="1" x14ac:dyDescent="0.2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ht="13.15" customHeight="1" x14ac:dyDescent="0.2">
      <c r="A46" s="97" t="s">
        <v>464</v>
      </c>
      <c r="B46" s="97" t="s">
        <v>465</v>
      </c>
      <c r="C46" s="97" t="s">
        <v>466</v>
      </c>
      <c r="D46" s="97" t="s">
        <v>467</v>
      </c>
      <c r="E46" s="100" t="s">
        <v>468</v>
      </c>
      <c r="F46" s="101"/>
      <c r="G46" s="102"/>
      <c r="H46" s="100" t="s">
        <v>469</v>
      </c>
      <c r="I46" s="101"/>
      <c r="J46" s="101"/>
      <c r="K46" s="101"/>
      <c r="L46" s="102"/>
    </row>
    <row r="47" spans="1:12" ht="13.15" customHeight="1" x14ac:dyDescent="0.2">
      <c r="A47" s="98"/>
      <c r="B47" s="98"/>
      <c r="C47" s="98"/>
      <c r="D47" s="98"/>
      <c r="E47" s="103"/>
      <c r="F47" s="104"/>
      <c r="G47" s="105"/>
      <c r="H47" s="103"/>
      <c r="I47" s="104"/>
      <c r="J47" s="104"/>
      <c r="K47" s="104"/>
      <c r="L47" s="105"/>
    </row>
    <row r="48" spans="1:12" ht="13.15" customHeight="1" x14ac:dyDescent="0.2">
      <c r="A48" s="98"/>
      <c r="B48" s="98"/>
      <c r="C48" s="98"/>
      <c r="D48" s="98"/>
      <c r="E48" s="103"/>
      <c r="F48" s="104"/>
      <c r="G48" s="105"/>
      <c r="H48" s="103"/>
      <c r="I48" s="104"/>
      <c r="J48" s="104"/>
      <c r="K48" s="104"/>
      <c r="L48" s="105"/>
    </row>
    <row r="49" spans="1:83" ht="13.15" customHeight="1" x14ac:dyDescent="0.2">
      <c r="A49" s="98"/>
      <c r="B49" s="98"/>
      <c r="C49" s="98"/>
      <c r="D49" s="98"/>
      <c r="E49" s="106"/>
      <c r="F49" s="107"/>
      <c r="G49" s="108"/>
      <c r="H49" s="106"/>
      <c r="I49" s="107"/>
      <c r="J49" s="107"/>
      <c r="K49" s="107"/>
      <c r="L49" s="108"/>
    </row>
    <row r="50" spans="1:83" ht="52.9" customHeight="1" x14ac:dyDescent="0.2">
      <c r="A50" s="99"/>
      <c r="B50" s="99"/>
      <c r="C50" s="99"/>
      <c r="D50" s="99"/>
      <c r="E50" s="16" t="s">
        <v>470</v>
      </c>
      <c r="F50" s="16" t="s">
        <v>471</v>
      </c>
      <c r="G50" s="17" t="s">
        <v>472</v>
      </c>
      <c r="H50" s="16" t="s">
        <v>473</v>
      </c>
      <c r="I50" s="16" t="s">
        <v>474</v>
      </c>
      <c r="J50" s="16" t="s">
        <v>475</v>
      </c>
      <c r="K50" s="16" t="s">
        <v>471</v>
      </c>
      <c r="L50" s="16" t="s">
        <v>476</v>
      </c>
    </row>
    <row r="51" spans="1:83" ht="13.9" customHeight="1" x14ac:dyDescent="0.2">
      <c r="A51" s="18">
        <v>1</v>
      </c>
      <c r="B51" s="18">
        <v>2</v>
      </c>
      <c r="C51" s="18">
        <v>3</v>
      </c>
      <c r="D51" s="18">
        <v>4</v>
      </c>
      <c r="E51" s="18">
        <v>5</v>
      </c>
      <c r="F51" s="18">
        <v>6</v>
      </c>
      <c r="G51" s="18">
        <v>7</v>
      </c>
      <c r="H51" s="18">
        <v>8</v>
      </c>
      <c r="I51" s="18">
        <v>9</v>
      </c>
      <c r="J51" s="18">
        <v>10</v>
      </c>
      <c r="K51" s="19">
        <v>11</v>
      </c>
      <c r="L51" s="19">
        <v>12</v>
      </c>
    </row>
    <row r="52" spans="1:83" ht="28.5" x14ac:dyDescent="0.2">
      <c r="A52" s="20" t="s">
        <v>17</v>
      </c>
      <c r="B52" s="22" t="s">
        <v>481</v>
      </c>
      <c r="C52" s="22" t="str">
        <f>Source!G24</f>
        <v>Разборка покрытий кровель: из листовой стали</v>
      </c>
      <c r="D52" s="23" t="str">
        <f>Source!H24</f>
        <v>100 м2</v>
      </c>
      <c r="E52" s="24">
        <f>Source!K24</f>
        <v>5.2</v>
      </c>
      <c r="F52" s="24"/>
      <c r="G52" s="24">
        <f>Source!I24</f>
        <v>5.2</v>
      </c>
      <c r="H52" s="26"/>
      <c r="I52" s="25"/>
      <c r="J52" s="26"/>
      <c r="K52" s="25"/>
      <c r="L52" s="26"/>
    </row>
    <row r="53" spans="1:83" x14ac:dyDescent="0.2">
      <c r="C53" s="27" t="str">
        <f>"Объем: "&amp;Source!I24&amp;"=40*"&amp;"13/"&amp;"100"</f>
        <v>Объем: 5,2=40*13/100</v>
      </c>
    </row>
    <row r="54" spans="1:83" ht="15" x14ac:dyDescent="0.2">
      <c r="A54" s="21"/>
      <c r="B54" s="24">
        <v>1</v>
      </c>
      <c r="C54" s="21" t="s">
        <v>482</v>
      </c>
      <c r="D54" s="23" t="s">
        <v>346</v>
      </c>
      <c r="E54" s="28"/>
      <c r="F54" s="24"/>
      <c r="G54" s="24">
        <f>Source!U24</f>
        <v>44.616</v>
      </c>
      <c r="H54" s="24"/>
      <c r="I54" s="24"/>
      <c r="J54" s="24"/>
      <c r="K54" s="24"/>
      <c r="L54" s="29">
        <f>SUM(L55:L55)-SUMIF(CE55:CE55, 1, L55:L55)</f>
        <v>14697.85</v>
      </c>
    </row>
    <row r="55" spans="1:83" ht="14.25" x14ac:dyDescent="0.2">
      <c r="A55" s="22"/>
      <c r="B55" s="22" t="s">
        <v>344</v>
      </c>
      <c r="C55" s="22" t="s">
        <v>345</v>
      </c>
      <c r="D55" s="23" t="s">
        <v>346</v>
      </c>
      <c r="E55" s="24">
        <v>8.58</v>
      </c>
      <c r="F55" s="24"/>
      <c r="G55" s="24">
        <f>SmtRes!CX1</f>
        <v>44.616</v>
      </c>
      <c r="H55" s="26"/>
      <c r="I55" s="25"/>
      <c r="J55" s="26">
        <f>SmtRes!CZ1</f>
        <v>329.43</v>
      </c>
      <c r="K55" s="25"/>
      <c r="L55" s="26">
        <f>SmtRes!DI1</f>
        <v>14697.85</v>
      </c>
    </row>
    <row r="56" spans="1:83" ht="15" x14ac:dyDescent="0.2">
      <c r="A56" s="21"/>
      <c r="B56" s="24">
        <v>2</v>
      </c>
      <c r="C56" s="21" t="s">
        <v>483</v>
      </c>
      <c r="D56" s="23"/>
      <c r="E56" s="28"/>
      <c r="F56" s="24"/>
      <c r="G56" s="24"/>
      <c r="H56" s="24"/>
      <c r="I56" s="24"/>
      <c r="J56" s="24"/>
      <c r="K56" s="24"/>
      <c r="L56" s="29">
        <f>SUM(L57:L58)-SUMIF(CE57:CE58, 1, L57:L58)</f>
        <v>174.6</v>
      </c>
    </row>
    <row r="57" spans="1:83" ht="15" hidden="1" x14ac:dyDescent="0.2">
      <c r="A57" s="21"/>
      <c r="B57" s="24"/>
      <c r="C57" s="21" t="s">
        <v>484</v>
      </c>
      <c r="D57" s="23" t="s">
        <v>346</v>
      </c>
      <c r="E57" s="28"/>
      <c r="F57" s="24"/>
      <c r="G57" s="24">
        <f>Source!V24</f>
        <v>0</v>
      </c>
      <c r="H57" s="24"/>
      <c r="I57" s="24"/>
      <c r="J57" s="24"/>
      <c r="K57" s="24"/>
      <c r="L57" s="29">
        <f>SUMIF(CE58:CE58, 1, L58:L58)</f>
        <v>0</v>
      </c>
      <c r="CE57">
        <v>1</v>
      </c>
    </row>
    <row r="58" spans="1:83" ht="28.5" x14ac:dyDescent="0.2">
      <c r="A58" s="22"/>
      <c r="B58" s="22" t="s">
        <v>347</v>
      </c>
      <c r="C58" s="30" t="s">
        <v>349</v>
      </c>
      <c r="D58" s="31" t="s">
        <v>350</v>
      </c>
      <c r="E58" s="32">
        <v>1.88</v>
      </c>
      <c r="F58" s="32"/>
      <c r="G58" s="32">
        <f>SmtRes!CX2</f>
        <v>9.7759999999999998</v>
      </c>
      <c r="H58" s="33">
        <f>SmtRes!CZ2</f>
        <v>11.45</v>
      </c>
      <c r="I58" s="34">
        <f>SmtRes!AJ2</f>
        <v>1.56</v>
      </c>
      <c r="J58" s="33">
        <f>ROUND(H58*I58, 2)</f>
        <v>17.86</v>
      </c>
      <c r="K58" s="34"/>
      <c r="L58" s="33">
        <f>SmtRes!DG2</f>
        <v>174.6</v>
      </c>
    </row>
    <row r="59" spans="1:83" ht="15" x14ac:dyDescent="0.2">
      <c r="A59" s="22"/>
      <c r="B59" s="22"/>
      <c r="C59" s="37" t="s">
        <v>485</v>
      </c>
      <c r="D59" s="23"/>
      <c r="E59" s="24"/>
      <c r="F59" s="24"/>
      <c r="G59" s="24"/>
      <c r="H59" s="26"/>
      <c r="I59" s="25"/>
      <c r="J59" s="26"/>
      <c r="K59" s="25"/>
      <c r="L59" s="26">
        <f>L54+L56+L57</f>
        <v>14872.45</v>
      </c>
    </row>
    <row r="60" spans="1:83" ht="14.25" x14ac:dyDescent="0.2">
      <c r="A60" s="22"/>
      <c r="B60" s="22"/>
      <c r="C60" s="22" t="s">
        <v>486</v>
      </c>
      <c r="D60" s="23"/>
      <c r="E60" s="24"/>
      <c r="F60" s="24"/>
      <c r="G60" s="24"/>
      <c r="H60" s="26"/>
      <c r="I60" s="25"/>
      <c r="J60" s="26"/>
      <c r="K60" s="25"/>
      <c r="L60" s="26">
        <f>SUM(AR52:AR63)+SUM(AS52:AS63)+SUM(AT52:AT63)+SUM(AU52:AU63)+SUM(AV52:AV63)</f>
        <v>14697.85</v>
      </c>
    </row>
    <row r="61" spans="1:83" ht="71.25" x14ac:dyDescent="0.2">
      <c r="A61" s="22"/>
      <c r="B61" s="22" t="s">
        <v>26</v>
      </c>
      <c r="C61" s="22" t="s">
        <v>487</v>
      </c>
      <c r="D61" s="23" t="s">
        <v>488</v>
      </c>
      <c r="E61" s="24">
        <f>Source!BZ24</f>
        <v>91</v>
      </c>
      <c r="F61" s="24"/>
      <c r="G61" s="24">
        <f>Source!AT24</f>
        <v>91</v>
      </c>
      <c r="H61" s="26"/>
      <c r="I61" s="25"/>
      <c r="J61" s="26"/>
      <c r="K61" s="25"/>
      <c r="L61" s="26">
        <f>SUM(AZ52:AZ63)</f>
        <v>13375.04</v>
      </c>
    </row>
    <row r="62" spans="1:83" ht="71.25" x14ac:dyDescent="0.2">
      <c r="A62" s="30"/>
      <c r="B62" s="30" t="s">
        <v>27</v>
      </c>
      <c r="C62" s="30" t="s">
        <v>489</v>
      </c>
      <c r="D62" s="31" t="s">
        <v>488</v>
      </c>
      <c r="E62" s="32">
        <f>Source!CA24</f>
        <v>52</v>
      </c>
      <c r="F62" s="32"/>
      <c r="G62" s="32">
        <f>Source!AU24</f>
        <v>52</v>
      </c>
      <c r="H62" s="33"/>
      <c r="I62" s="34"/>
      <c r="J62" s="33"/>
      <c r="K62" s="34"/>
      <c r="L62" s="33">
        <f>SUM(BA52:BA63)</f>
        <v>7642.88</v>
      </c>
    </row>
    <row r="63" spans="1:83" ht="15" x14ac:dyDescent="0.2">
      <c r="C63" s="93" t="s">
        <v>490</v>
      </c>
      <c r="D63" s="93"/>
      <c r="E63" s="93"/>
      <c r="F63" s="93"/>
      <c r="G63" s="93"/>
      <c r="H63" s="93"/>
      <c r="I63" s="94">
        <f>IF(E52&lt;&gt;0,K63/E52, 0)</f>
        <v>6901.9942307692309</v>
      </c>
      <c r="J63" s="94"/>
      <c r="K63" s="94">
        <f>L54+L56+L61+L62+L57</f>
        <v>35890.370000000003</v>
      </c>
      <c r="L63" s="94"/>
      <c r="AD63">
        <f>ROUND((Source!AT24/100)*((ROUND(SUMIF(SmtRes!AQ1:'SmtRes'!AQ2,"=1",SmtRes!AD1:'SmtRes'!AD2)*Source!I24, 2)+ROUND(SUMIF(SmtRes!AQ1:'SmtRes'!AQ2,"=1",SmtRes!AC1:'SmtRes'!AC2)*Source!I24, 2))), 2)</f>
        <v>1558.87</v>
      </c>
      <c r="AE63">
        <f>ROUND((Source!AU24/100)*((ROUND(SUMIF(SmtRes!AQ1:'SmtRes'!AQ2,"=1",SmtRes!AD1:'SmtRes'!AD2)*Source!I24, 2)+ROUND(SUMIF(SmtRes!AQ1:'SmtRes'!AQ2,"=1",SmtRes!AC1:'SmtRes'!AC2)*Source!I24, 2))), 2)</f>
        <v>890.78</v>
      </c>
      <c r="AN63" s="35">
        <f>L54+L56+L61+L62+L57</f>
        <v>35890.370000000003</v>
      </c>
      <c r="AO63" s="35">
        <f>L56</f>
        <v>174.6</v>
      </c>
      <c r="AQ63" t="s">
        <v>491</v>
      </c>
      <c r="AR63" s="35">
        <f>L54</f>
        <v>14697.85</v>
      </c>
      <c r="AT63" s="35">
        <f>L57</f>
        <v>0</v>
      </c>
      <c r="AV63" t="s">
        <v>491</v>
      </c>
      <c r="AW63">
        <f>0</f>
        <v>0</v>
      </c>
      <c r="AZ63">
        <f>Source!X24</f>
        <v>13375.04</v>
      </c>
      <c r="BA63">
        <f>Source!Y24</f>
        <v>7642.88</v>
      </c>
      <c r="CD63">
        <v>1</v>
      </c>
    </row>
    <row r="64" spans="1:83" ht="42.75" x14ac:dyDescent="0.2">
      <c r="A64" s="20" t="s">
        <v>28</v>
      </c>
      <c r="B64" s="22" t="s">
        <v>492</v>
      </c>
      <c r="C64" s="22" t="str">
        <f>Source!G25</f>
        <v>Разборка деревянных элементов конструкций крыш из брусков с прозорами</v>
      </c>
      <c r="D64" s="23" t="str">
        <f>Source!H25</f>
        <v>100 м2</v>
      </c>
      <c r="E64" s="24">
        <f>Source!K25</f>
        <v>5.2</v>
      </c>
      <c r="F64" s="24"/>
      <c r="G64" s="24">
        <f>Source!I25</f>
        <v>5.2</v>
      </c>
      <c r="H64" s="26"/>
      <c r="I64" s="25"/>
      <c r="J64" s="26"/>
      <c r="K64" s="25"/>
      <c r="L64" s="26"/>
    </row>
    <row r="65" spans="1:83" x14ac:dyDescent="0.2">
      <c r="C65" s="27" t="str">
        <f>"Объем: "&amp;Source!I25&amp;"=520/"&amp;"100"</f>
        <v>Объем: 5,2=520/100</v>
      </c>
    </row>
    <row r="66" spans="1:83" ht="15" x14ac:dyDescent="0.2">
      <c r="A66" s="21"/>
      <c r="B66" s="24">
        <v>1</v>
      </c>
      <c r="C66" s="21" t="s">
        <v>482</v>
      </c>
      <c r="D66" s="23" t="s">
        <v>346</v>
      </c>
      <c r="E66" s="28"/>
      <c r="F66" s="24"/>
      <c r="G66" s="24">
        <f>Source!U25</f>
        <v>78.831999999999994</v>
      </c>
      <c r="H66" s="24"/>
      <c r="I66" s="24"/>
      <c r="J66" s="24"/>
      <c r="K66" s="24"/>
      <c r="L66" s="29">
        <f>SUM(L67:L67)-SUMIF(CE67:CE67, 1, L67:L67)</f>
        <v>26446.560000000001</v>
      </c>
    </row>
    <row r="67" spans="1:83" ht="14.25" x14ac:dyDescent="0.2">
      <c r="A67" s="22"/>
      <c r="B67" s="22" t="s">
        <v>351</v>
      </c>
      <c r="C67" s="22" t="s">
        <v>352</v>
      </c>
      <c r="D67" s="23" t="s">
        <v>346</v>
      </c>
      <c r="E67" s="24">
        <v>15.16</v>
      </c>
      <c r="F67" s="24"/>
      <c r="G67" s="24">
        <f>SmtRes!CX3</f>
        <v>78.831999999999994</v>
      </c>
      <c r="H67" s="26"/>
      <c r="I67" s="25"/>
      <c r="J67" s="26">
        <f>SmtRes!CZ3</f>
        <v>335.48</v>
      </c>
      <c r="K67" s="25"/>
      <c r="L67" s="26">
        <f>SmtRes!DI3</f>
        <v>26446.560000000001</v>
      </c>
    </row>
    <row r="68" spans="1:83" ht="15" x14ac:dyDescent="0.2">
      <c r="A68" s="21"/>
      <c r="B68" s="24">
        <v>2</v>
      </c>
      <c r="C68" s="21" t="s">
        <v>483</v>
      </c>
      <c r="D68" s="23"/>
      <c r="E68" s="28"/>
      <c r="F68" s="24"/>
      <c r="G68" s="24"/>
      <c r="H68" s="24"/>
      <c r="I68" s="24"/>
      <c r="J68" s="24"/>
      <c r="K68" s="24"/>
      <c r="L68" s="29">
        <f>SUM(L69:L71)-SUMIF(CE69:CE71, 1, L69:L71)</f>
        <v>2626.42</v>
      </c>
    </row>
    <row r="69" spans="1:83" ht="15" x14ac:dyDescent="0.2">
      <c r="A69" s="21"/>
      <c r="B69" s="24"/>
      <c r="C69" s="21" t="s">
        <v>484</v>
      </c>
      <c r="D69" s="23" t="s">
        <v>346</v>
      </c>
      <c r="E69" s="28"/>
      <c r="F69" s="24"/>
      <c r="G69" s="24">
        <f>Source!V25</f>
        <v>2.3919999999999999</v>
      </c>
      <c r="H69" s="24"/>
      <c r="I69" s="24"/>
      <c r="J69" s="24"/>
      <c r="K69" s="24"/>
      <c r="L69" s="29">
        <f>SUMIF(CE70:CE71, 1, L70:L71)</f>
        <v>1301.27</v>
      </c>
      <c r="CE69">
        <v>1</v>
      </c>
    </row>
    <row r="70" spans="1:83" ht="28.5" x14ac:dyDescent="0.2">
      <c r="A70" s="22"/>
      <c r="B70" s="22" t="s">
        <v>355</v>
      </c>
      <c r="C70" s="22" t="s">
        <v>357</v>
      </c>
      <c r="D70" s="23" t="s">
        <v>350</v>
      </c>
      <c r="E70" s="24">
        <v>0.46</v>
      </c>
      <c r="F70" s="24"/>
      <c r="G70" s="24">
        <f>SmtRes!CX5</f>
        <v>2.3919999999999999</v>
      </c>
      <c r="H70" s="26"/>
      <c r="I70" s="25"/>
      <c r="J70" s="26">
        <f>SmtRes!CZ5</f>
        <v>1098</v>
      </c>
      <c r="K70" s="25"/>
      <c r="L70" s="26">
        <f>SmtRes!DG5</f>
        <v>2626.42</v>
      </c>
    </row>
    <row r="71" spans="1:83" ht="28.5" x14ac:dyDescent="0.2">
      <c r="A71" s="22"/>
      <c r="B71" s="22" t="s">
        <v>358</v>
      </c>
      <c r="C71" s="30" t="s">
        <v>493</v>
      </c>
      <c r="D71" s="31" t="s">
        <v>346</v>
      </c>
      <c r="E71" s="32">
        <f>SmtRes!DO5*SmtRes!AT5</f>
        <v>0.46</v>
      </c>
      <c r="F71" s="32"/>
      <c r="G71" s="32">
        <f>ROUND(E71*G64, 7)</f>
        <v>2.3919999999999999</v>
      </c>
      <c r="H71" s="33"/>
      <c r="I71" s="34"/>
      <c r="J71" s="33">
        <f>ROUND(SmtRes!AG5/SmtRes!DO5, 2)</f>
        <v>544.01</v>
      </c>
      <c r="K71" s="34"/>
      <c r="L71" s="33">
        <f>SmtRes!DH5</f>
        <v>1301.27</v>
      </c>
      <c r="CE71">
        <v>1</v>
      </c>
    </row>
    <row r="72" spans="1:83" ht="15" x14ac:dyDescent="0.2">
      <c r="A72" s="22"/>
      <c r="B72" s="22"/>
      <c r="C72" s="37" t="s">
        <v>485</v>
      </c>
      <c r="D72" s="23"/>
      <c r="E72" s="24"/>
      <c r="F72" s="24"/>
      <c r="G72" s="24"/>
      <c r="H72" s="26"/>
      <c r="I72" s="25"/>
      <c r="J72" s="26"/>
      <c r="K72" s="25"/>
      <c r="L72" s="26">
        <f>L66+L68+L69</f>
        <v>30374.250000000004</v>
      </c>
    </row>
    <row r="73" spans="1:83" ht="14.25" x14ac:dyDescent="0.2">
      <c r="A73" s="20" t="s">
        <v>494</v>
      </c>
      <c r="B73" s="22" t="str">
        <f>Source!F26</f>
        <v>999-9900</v>
      </c>
      <c r="C73" s="22" t="str">
        <f>Source!G26</f>
        <v>Строительный мусор</v>
      </c>
      <c r="D73" s="23" t="str">
        <f>Source!H26</f>
        <v>т</v>
      </c>
      <c r="E73" s="24">
        <f>SmtRes!AT6</f>
        <v>1.4</v>
      </c>
      <c r="F73" s="24"/>
      <c r="G73" s="24">
        <f>Source!I26</f>
        <v>7.2799999999999994</v>
      </c>
      <c r="H73" s="26">
        <f>Source!AL26+Source!AO26+Source!AM26+Source!AN26</f>
        <v>0</v>
      </c>
      <c r="I73" s="25"/>
      <c r="J73" s="26"/>
      <c r="K73" s="25"/>
      <c r="L73" s="26">
        <f>Source!P26</f>
        <v>0</v>
      </c>
      <c r="AD73">
        <f>ROUND((Source!AT26/100)*((ROUND(ROUND(Source!AO26,2)*Source!I26, 2)+ROUND(ROUND(Source!AN26,2)*Source!I26, 2))), 2)</f>
        <v>0</v>
      </c>
      <c r="AE73">
        <f>ROUND((Source!AU26/100)*((ROUND(ROUND(Source!AO26,2)*Source!I26, 2)+ROUND(ROUND(Source!AN26,2)*Source!I26, 2))), 2)</f>
        <v>0</v>
      </c>
      <c r="AN73">
        <f>L73</f>
        <v>0</v>
      </c>
      <c r="AW73">
        <f>L73</f>
        <v>0</v>
      </c>
      <c r="AZ73">
        <f>Source!X26</f>
        <v>0</v>
      </c>
      <c r="BA73">
        <f>Source!Y26</f>
        <v>0</v>
      </c>
      <c r="CD73">
        <v>1</v>
      </c>
    </row>
    <row r="74" spans="1:83" ht="14.25" x14ac:dyDescent="0.2">
      <c r="A74" s="22"/>
      <c r="B74" s="22"/>
      <c r="C74" s="22" t="s">
        <v>486</v>
      </c>
      <c r="D74" s="23"/>
      <c r="E74" s="24"/>
      <c r="F74" s="24"/>
      <c r="G74" s="24"/>
      <c r="H74" s="26"/>
      <c r="I74" s="25"/>
      <c r="J74" s="26"/>
      <c r="K74" s="25"/>
      <c r="L74" s="26">
        <f>SUM(AR64:AR77)+SUM(AS64:AS77)+SUM(AT64:AT77)+SUM(AU64:AU77)+SUM(AV64:AV77)</f>
        <v>27747.83</v>
      </c>
    </row>
    <row r="75" spans="1:83" ht="14.25" x14ac:dyDescent="0.2">
      <c r="A75" s="22"/>
      <c r="B75" s="22" t="s">
        <v>35</v>
      </c>
      <c r="C75" s="22" t="s">
        <v>495</v>
      </c>
      <c r="D75" s="23" t="s">
        <v>488</v>
      </c>
      <c r="E75" s="24">
        <f>Source!BZ25</f>
        <v>90</v>
      </c>
      <c r="F75" s="24"/>
      <c r="G75" s="24">
        <f>Source!AT25</f>
        <v>90</v>
      </c>
      <c r="H75" s="26"/>
      <c r="I75" s="25"/>
      <c r="J75" s="26"/>
      <c r="K75" s="25"/>
      <c r="L75" s="26">
        <f>SUM(AZ64:AZ77)</f>
        <v>24973.05</v>
      </c>
    </row>
    <row r="76" spans="1:83" ht="14.25" x14ac:dyDescent="0.2">
      <c r="A76" s="30"/>
      <c r="B76" s="30" t="s">
        <v>36</v>
      </c>
      <c r="C76" s="30" t="s">
        <v>496</v>
      </c>
      <c r="D76" s="31" t="s">
        <v>488</v>
      </c>
      <c r="E76" s="32">
        <f>Source!CA25</f>
        <v>46</v>
      </c>
      <c r="F76" s="32"/>
      <c r="G76" s="32">
        <f>Source!AU25</f>
        <v>46</v>
      </c>
      <c r="H76" s="33"/>
      <c r="I76" s="34"/>
      <c r="J76" s="33"/>
      <c r="K76" s="34"/>
      <c r="L76" s="33">
        <f>SUM(BA64:BA77)</f>
        <v>12764</v>
      </c>
    </row>
    <row r="77" spans="1:83" ht="15" x14ac:dyDescent="0.2">
      <c r="C77" s="93" t="s">
        <v>490</v>
      </c>
      <c r="D77" s="93"/>
      <c r="E77" s="93"/>
      <c r="F77" s="93"/>
      <c r="G77" s="93"/>
      <c r="H77" s="93"/>
      <c r="I77" s="94">
        <f>IF(E64&lt;&gt;0,K77/E64, 0)</f>
        <v>13098.326923076924</v>
      </c>
      <c r="J77" s="94"/>
      <c r="K77" s="94">
        <f>L66+L68+L75+L76+L69+SUM(L73:L73)</f>
        <v>68111.3</v>
      </c>
      <c r="L77" s="94"/>
      <c r="AD77">
        <f>ROUND((Source!AT25/100)*((ROUND(SUMIF(SmtRes!AQ3:'SmtRes'!AQ6,"=1",SmtRes!AD3:'SmtRes'!AD6)*Source!I25, 2)+ROUND(SUMIF(SmtRes!AQ3:'SmtRes'!AQ6,"=1",SmtRes!AC3:'SmtRes'!AC6)*Source!I25, 2))), 2)</f>
        <v>4116.0200000000004</v>
      </c>
      <c r="AE77">
        <f>ROUND((Source!AU25/100)*((ROUND(SUMIF(SmtRes!AQ3:'SmtRes'!AQ6,"=1",SmtRes!AD3:'SmtRes'!AD6)*Source!I25, 2)+ROUND(SUMIF(SmtRes!AQ3:'SmtRes'!AQ6,"=1",SmtRes!AC3:'SmtRes'!AC6)*Source!I25, 2))), 2)</f>
        <v>2103.7399999999998</v>
      </c>
      <c r="AN77" s="35">
        <f>L66+L68+L75+L76+L69</f>
        <v>68111.3</v>
      </c>
      <c r="AO77" s="35">
        <f>L68</f>
        <v>2626.42</v>
      </c>
      <c r="AQ77" t="s">
        <v>491</v>
      </c>
      <c r="AR77" s="35">
        <f>L66</f>
        <v>26446.560000000001</v>
      </c>
      <c r="AT77" s="35">
        <f>L69</f>
        <v>1301.27</v>
      </c>
      <c r="AV77" t="s">
        <v>491</v>
      </c>
      <c r="AW77">
        <f>0</f>
        <v>0</v>
      </c>
      <c r="AZ77">
        <f>Source!X25</f>
        <v>24973.05</v>
      </c>
      <c r="BA77">
        <f>Source!Y25</f>
        <v>12764</v>
      </c>
      <c r="CD77">
        <v>1</v>
      </c>
    </row>
    <row r="78" spans="1:83" ht="42.75" x14ac:dyDescent="0.2">
      <c r="A78" s="20" t="s">
        <v>42</v>
      </c>
      <c r="B78" s="22" t="s">
        <v>497</v>
      </c>
      <c r="C78" s="22" t="str">
        <f>Source!G27</f>
        <v>Разборка деревянных элементов конструкций крыш со стойками и подкосами из брусьев и бревен</v>
      </c>
      <c r="D78" s="23" t="str">
        <f>Source!H27</f>
        <v>100 м2</v>
      </c>
      <c r="E78" s="24">
        <f>Source!K27</f>
        <v>5.2</v>
      </c>
      <c r="F78" s="24"/>
      <c r="G78" s="24">
        <f>Source!I27</f>
        <v>5.2</v>
      </c>
      <c r="H78" s="26"/>
      <c r="I78" s="25"/>
      <c r="J78" s="26"/>
      <c r="K78" s="25"/>
      <c r="L78" s="26"/>
    </row>
    <row r="79" spans="1:83" x14ac:dyDescent="0.2">
      <c r="C79" s="27" t="str">
        <f>"Объем: "&amp;Source!I27&amp;"=520/"&amp;"100"</f>
        <v>Объем: 5,2=520/100</v>
      </c>
    </row>
    <row r="80" spans="1:83" ht="15" x14ac:dyDescent="0.2">
      <c r="A80" s="21"/>
      <c r="B80" s="24">
        <v>1</v>
      </c>
      <c r="C80" s="21" t="s">
        <v>482</v>
      </c>
      <c r="D80" s="23" t="s">
        <v>346</v>
      </c>
      <c r="E80" s="28"/>
      <c r="F80" s="24"/>
      <c r="G80" s="24">
        <f>Source!U27</f>
        <v>140.816</v>
      </c>
      <c r="H80" s="24"/>
      <c r="I80" s="24"/>
      <c r="J80" s="24"/>
      <c r="K80" s="24"/>
      <c r="L80" s="29">
        <f>SUM(L81:L81)-SUMIF(CE81:CE81, 1, L81:L81)</f>
        <v>48091.48</v>
      </c>
    </row>
    <row r="81" spans="1:83" ht="14.25" x14ac:dyDescent="0.2">
      <c r="A81" s="22"/>
      <c r="B81" s="22" t="s">
        <v>359</v>
      </c>
      <c r="C81" s="22" t="s">
        <v>360</v>
      </c>
      <c r="D81" s="23" t="s">
        <v>346</v>
      </c>
      <c r="E81" s="24">
        <v>27.08</v>
      </c>
      <c r="F81" s="24"/>
      <c r="G81" s="24">
        <f>SmtRes!CX7</f>
        <v>140.816</v>
      </c>
      <c r="H81" s="26"/>
      <c r="I81" s="25"/>
      <c r="J81" s="26">
        <f>SmtRes!CZ7</f>
        <v>341.52</v>
      </c>
      <c r="K81" s="25"/>
      <c r="L81" s="26">
        <f>SmtRes!DI7</f>
        <v>48091.48</v>
      </c>
    </row>
    <row r="82" spans="1:83" ht="15" x14ac:dyDescent="0.2">
      <c r="A82" s="21"/>
      <c r="B82" s="24">
        <v>2</v>
      </c>
      <c r="C82" s="21" t="s">
        <v>483</v>
      </c>
      <c r="D82" s="23"/>
      <c r="E82" s="28"/>
      <c r="F82" s="24"/>
      <c r="G82" s="24"/>
      <c r="H82" s="24"/>
      <c r="I82" s="24"/>
      <c r="J82" s="24"/>
      <c r="K82" s="24"/>
      <c r="L82" s="29">
        <f>SUM(L83:L85)-SUMIF(CE83:CE85, 1, L83:L85)</f>
        <v>2398.0300000000007</v>
      </c>
    </row>
    <row r="83" spans="1:83" ht="15" x14ac:dyDescent="0.2">
      <c r="A83" s="21"/>
      <c r="B83" s="24"/>
      <c r="C83" s="21" t="s">
        <v>484</v>
      </c>
      <c r="D83" s="23" t="s">
        <v>346</v>
      </c>
      <c r="E83" s="28"/>
      <c r="F83" s="24"/>
      <c r="G83" s="24">
        <f>Source!V27</f>
        <v>2.1840000000000002</v>
      </c>
      <c r="H83" s="24"/>
      <c r="I83" s="24"/>
      <c r="J83" s="24"/>
      <c r="K83" s="24"/>
      <c r="L83" s="29">
        <f>SUMIF(CE84:CE85, 1, L84:L85)</f>
        <v>1188.1199999999999</v>
      </c>
      <c r="CE83">
        <v>1</v>
      </c>
    </row>
    <row r="84" spans="1:83" ht="28.5" x14ac:dyDescent="0.2">
      <c r="A84" s="22"/>
      <c r="B84" s="22" t="s">
        <v>355</v>
      </c>
      <c r="C84" s="22" t="s">
        <v>357</v>
      </c>
      <c r="D84" s="23" t="s">
        <v>350</v>
      </c>
      <c r="E84" s="24">
        <v>0.42</v>
      </c>
      <c r="F84" s="24"/>
      <c r="G84" s="24">
        <f>SmtRes!CX9</f>
        <v>2.1840000000000002</v>
      </c>
      <c r="H84" s="26"/>
      <c r="I84" s="25"/>
      <c r="J84" s="26">
        <f>SmtRes!CZ9</f>
        <v>1098</v>
      </c>
      <c r="K84" s="25"/>
      <c r="L84" s="26">
        <f>SmtRes!DG9</f>
        <v>2398.0300000000002</v>
      </c>
    </row>
    <row r="85" spans="1:83" ht="28.5" x14ac:dyDescent="0.2">
      <c r="A85" s="22"/>
      <c r="B85" s="22" t="s">
        <v>358</v>
      </c>
      <c r="C85" s="30" t="s">
        <v>493</v>
      </c>
      <c r="D85" s="31" t="s">
        <v>346</v>
      </c>
      <c r="E85" s="32">
        <f>SmtRes!DO9*SmtRes!AT9</f>
        <v>0.42</v>
      </c>
      <c r="F85" s="32"/>
      <c r="G85" s="32">
        <f>ROUND(E85*G78, 7)</f>
        <v>2.1840000000000002</v>
      </c>
      <c r="H85" s="33"/>
      <c r="I85" s="34"/>
      <c r="J85" s="33">
        <f>ROUND(SmtRes!AG9/SmtRes!DO9, 2)</f>
        <v>544.01</v>
      </c>
      <c r="K85" s="34"/>
      <c r="L85" s="33">
        <f>SmtRes!DH9</f>
        <v>1188.1199999999999</v>
      </c>
      <c r="CE85">
        <v>1</v>
      </c>
    </row>
    <row r="86" spans="1:83" ht="15" x14ac:dyDescent="0.2">
      <c r="A86" s="22"/>
      <c r="B86" s="22"/>
      <c r="C86" s="37" t="s">
        <v>485</v>
      </c>
      <c r="D86" s="23"/>
      <c r="E86" s="24"/>
      <c r="F86" s="24"/>
      <c r="G86" s="24"/>
      <c r="H86" s="26"/>
      <c r="I86" s="25"/>
      <c r="J86" s="26"/>
      <c r="K86" s="25"/>
      <c r="L86" s="26">
        <f>L80+L82+L83</f>
        <v>51677.630000000005</v>
      </c>
    </row>
    <row r="87" spans="1:83" ht="14.25" x14ac:dyDescent="0.2">
      <c r="A87" s="20" t="s">
        <v>498</v>
      </c>
      <c r="B87" s="22" t="str">
        <f>Source!F28</f>
        <v>999-9900</v>
      </c>
      <c r="C87" s="22" t="str">
        <f>Source!G28</f>
        <v>Строительный мусор</v>
      </c>
      <c r="D87" s="23" t="str">
        <f>Source!H28</f>
        <v>т</v>
      </c>
      <c r="E87" s="24">
        <f>SmtRes!AT10</f>
        <v>1.25</v>
      </c>
      <c r="F87" s="24"/>
      <c r="G87" s="24">
        <f>Source!I28</f>
        <v>6.5</v>
      </c>
      <c r="H87" s="26">
        <f>Source!AL28+Source!AO28+Source!AM28+Source!AN28</f>
        <v>0</v>
      </c>
      <c r="I87" s="25"/>
      <c r="J87" s="26"/>
      <c r="K87" s="25"/>
      <c r="L87" s="26">
        <f>Source!P28</f>
        <v>0</v>
      </c>
      <c r="AD87">
        <f>ROUND((Source!AT28/100)*((ROUND(ROUND(Source!AO28,2)*Source!I28, 2)+ROUND(ROUND(Source!AN28,2)*Source!I28, 2))), 2)</f>
        <v>0</v>
      </c>
      <c r="AE87">
        <f>ROUND((Source!AU28/100)*((ROUND(ROUND(Source!AO28,2)*Source!I28, 2)+ROUND(ROUND(Source!AN28,2)*Source!I28, 2))), 2)</f>
        <v>0</v>
      </c>
      <c r="AN87">
        <f>L87</f>
        <v>0</v>
      </c>
      <c r="AW87">
        <f>L87</f>
        <v>0</v>
      </c>
      <c r="AZ87">
        <f>Source!X28</f>
        <v>0</v>
      </c>
      <c r="BA87">
        <f>Source!Y28</f>
        <v>0</v>
      </c>
      <c r="CD87">
        <v>1</v>
      </c>
    </row>
    <row r="88" spans="1:83" ht="14.25" x14ac:dyDescent="0.2">
      <c r="A88" s="22"/>
      <c r="B88" s="22"/>
      <c r="C88" s="22" t="s">
        <v>486</v>
      </c>
      <c r="D88" s="23"/>
      <c r="E88" s="24"/>
      <c r="F88" s="24"/>
      <c r="G88" s="24"/>
      <c r="H88" s="26"/>
      <c r="I88" s="25"/>
      <c r="J88" s="26"/>
      <c r="K88" s="25"/>
      <c r="L88" s="26">
        <f>SUM(AR78:AR91)+SUM(AS78:AS91)+SUM(AT78:AT91)+SUM(AU78:AU91)+SUM(AV78:AV91)</f>
        <v>49279.600000000006</v>
      </c>
    </row>
    <row r="89" spans="1:83" ht="14.25" x14ac:dyDescent="0.2">
      <c r="A89" s="22"/>
      <c r="B89" s="22" t="s">
        <v>35</v>
      </c>
      <c r="C89" s="22" t="s">
        <v>495</v>
      </c>
      <c r="D89" s="23" t="s">
        <v>488</v>
      </c>
      <c r="E89" s="24">
        <f>Source!BZ27</f>
        <v>90</v>
      </c>
      <c r="F89" s="24"/>
      <c r="G89" s="24">
        <f>Source!AT27</f>
        <v>90</v>
      </c>
      <c r="H89" s="26"/>
      <c r="I89" s="25"/>
      <c r="J89" s="26"/>
      <c r="K89" s="25"/>
      <c r="L89" s="26">
        <f>SUM(AZ78:AZ91)</f>
        <v>44351.64</v>
      </c>
    </row>
    <row r="90" spans="1:83" ht="14.25" x14ac:dyDescent="0.2">
      <c r="A90" s="30"/>
      <c r="B90" s="30" t="s">
        <v>36</v>
      </c>
      <c r="C90" s="30" t="s">
        <v>496</v>
      </c>
      <c r="D90" s="31" t="s">
        <v>488</v>
      </c>
      <c r="E90" s="32">
        <f>Source!CA27</f>
        <v>46</v>
      </c>
      <c r="F90" s="32"/>
      <c r="G90" s="32">
        <f>Source!AU27</f>
        <v>46</v>
      </c>
      <c r="H90" s="33"/>
      <c r="I90" s="34"/>
      <c r="J90" s="33"/>
      <c r="K90" s="34"/>
      <c r="L90" s="33">
        <f>SUM(BA78:BA91)</f>
        <v>22668.62</v>
      </c>
    </row>
    <row r="91" spans="1:83" ht="15" x14ac:dyDescent="0.2">
      <c r="C91" s="93" t="s">
        <v>490</v>
      </c>
      <c r="D91" s="93"/>
      <c r="E91" s="93"/>
      <c r="F91" s="93"/>
      <c r="G91" s="93"/>
      <c r="H91" s="93"/>
      <c r="I91" s="94">
        <f>IF(E78&lt;&gt;0,K91/E78, 0)</f>
        <v>22826.517307692306</v>
      </c>
      <c r="J91" s="94"/>
      <c r="K91" s="94">
        <f>L80+L82+L89+L90+L83+SUM(L87:L87)</f>
        <v>118697.88999999998</v>
      </c>
      <c r="L91" s="94"/>
      <c r="AD91">
        <f>ROUND((Source!AT27/100)*((ROUND(SUMIF(SmtRes!AQ7:'SmtRes'!AQ10,"=1",SmtRes!AD7:'SmtRes'!AD10)*Source!I27, 2)+ROUND(SUMIF(SmtRes!AQ7:'SmtRes'!AQ10,"=1",SmtRes!AC7:'SmtRes'!AC10)*Source!I27, 2))), 2)</f>
        <v>4144.28</v>
      </c>
      <c r="AE91">
        <f>ROUND((Source!AU27/100)*((ROUND(SUMIF(SmtRes!AQ7:'SmtRes'!AQ10,"=1",SmtRes!AD7:'SmtRes'!AD10)*Source!I27, 2)+ROUND(SUMIF(SmtRes!AQ7:'SmtRes'!AQ10,"=1",SmtRes!AC7:'SmtRes'!AC10)*Source!I27, 2))), 2)</f>
        <v>2118.19</v>
      </c>
      <c r="AN91" s="35">
        <f>L80+L82+L89+L90+L83</f>
        <v>118697.88999999998</v>
      </c>
      <c r="AO91" s="35">
        <f>L82</f>
        <v>2398.0300000000007</v>
      </c>
      <c r="AQ91" t="s">
        <v>491</v>
      </c>
      <c r="AR91" s="35">
        <f>L80</f>
        <v>48091.48</v>
      </c>
      <c r="AT91" s="35">
        <f>L83</f>
        <v>1188.1199999999999</v>
      </c>
      <c r="AV91" t="s">
        <v>491</v>
      </c>
      <c r="AW91">
        <f>0</f>
        <v>0</v>
      </c>
      <c r="AZ91">
        <f>Source!X27</f>
        <v>44351.64</v>
      </c>
      <c r="BA91">
        <f>Source!Y27</f>
        <v>22668.62</v>
      </c>
      <c r="CD91">
        <v>1</v>
      </c>
    </row>
    <row r="92" spans="1:83" ht="28.5" x14ac:dyDescent="0.2">
      <c r="A92" s="20" t="s">
        <v>47</v>
      </c>
      <c r="B92" s="22" t="s">
        <v>499</v>
      </c>
      <c r="C92" s="22" t="str">
        <f>Source!G29</f>
        <v>Разборка деревянных элементов конструкций крыш: мауэрлатов</v>
      </c>
      <c r="D92" s="23" t="str">
        <f>Source!H29</f>
        <v>100 м2</v>
      </c>
      <c r="E92" s="24">
        <f>Source!K29</f>
        <v>5.2</v>
      </c>
      <c r="F92" s="24"/>
      <c r="G92" s="24">
        <f>Source!I29</f>
        <v>5.2</v>
      </c>
      <c r="H92" s="26"/>
      <c r="I92" s="25"/>
      <c r="J92" s="26"/>
      <c r="K92" s="25"/>
      <c r="L92" s="26"/>
    </row>
    <row r="93" spans="1:83" x14ac:dyDescent="0.2">
      <c r="C93" s="27" t="str">
        <f>"Объем: "&amp;Source!I29&amp;"=520/"&amp;"100"</f>
        <v>Объем: 5,2=520/100</v>
      </c>
    </row>
    <row r="94" spans="1:83" ht="15" x14ac:dyDescent="0.2">
      <c r="A94" s="21"/>
      <c r="B94" s="24">
        <v>1</v>
      </c>
      <c r="C94" s="21" t="s">
        <v>482</v>
      </c>
      <c r="D94" s="23" t="s">
        <v>346</v>
      </c>
      <c r="E94" s="28"/>
      <c r="F94" s="24"/>
      <c r="G94" s="24">
        <f>Source!U29</f>
        <v>34.996000000000002</v>
      </c>
      <c r="H94" s="24"/>
      <c r="I94" s="24"/>
      <c r="J94" s="24"/>
      <c r="K94" s="24"/>
      <c r="L94" s="29">
        <f>SUM(L95:L95)-SUMIF(CE95:CE95, 1, L95:L95)</f>
        <v>11740.46</v>
      </c>
    </row>
    <row r="95" spans="1:83" ht="14.25" x14ac:dyDescent="0.2">
      <c r="A95" s="22"/>
      <c r="B95" s="22" t="s">
        <v>351</v>
      </c>
      <c r="C95" s="22" t="s">
        <v>352</v>
      </c>
      <c r="D95" s="23" t="s">
        <v>346</v>
      </c>
      <c r="E95" s="24">
        <v>6.73</v>
      </c>
      <c r="F95" s="24"/>
      <c r="G95" s="24">
        <f>SmtRes!CX11</f>
        <v>34.996000000000002</v>
      </c>
      <c r="H95" s="26"/>
      <c r="I95" s="25"/>
      <c r="J95" s="26">
        <f>SmtRes!CZ11</f>
        <v>335.48</v>
      </c>
      <c r="K95" s="25"/>
      <c r="L95" s="26">
        <f>SmtRes!DI11</f>
        <v>11740.46</v>
      </c>
    </row>
    <row r="96" spans="1:83" ht="15" x14ac:dyDescent="0.2">
      <c r="A96" s="21"/>
      <c r="B96" s="24">
        <v>2</v>
      </c>
      <c r="C96" s="21" t="s">
        <v>483</v>
      </c>
      <c r="D96" s="23"/>
      <c r="E96" s="28"/>
      <c r="F96" s="24"/>
      <c r="G96" s="24"/>
      <c r="H96" s="24"/>
      <c r="I96" s="24"/>
      <c r="J96" s="24"/>
      <c r="K96" s="24"/>
      <c r="L96" s="29">
        <f>SUM(L97:L99)-SUMIF(CE97:CE99, 1, L97:L99)</f>
        <v>1541.5900000000001</v>
      </c>
    </row>
    <row r="97" spans="1:101" ht="15" x14ac:dyDescent="0.2">
      <c r="A97" s="21"/>
      <c r="B97" s="24"/>
      <c r="C97" s="21" t="s">
        <v>484</v>
      </c>
      <c r="D97" s="23" t="s">
        <v>346</v>
      </c>
      <c r="E97" s="28"/>
      <c r="F97" s="24"/>
      <c r="G97" s="24">
        <f>Source!V29</f>
        <v>1.4039999999999999</v>
      </c>
      <c r="H97" s="24"/>
      <c r="I97" s="24"/>
      <c r="J97" s="24"/>
      <c r="K97" s="24"/>
      <c r="L97" s="29">
        <f>SUMIF(CE98:CE99, 1, L98:L99)</f>
        <v>763.79</v>
      </c>
      <c r="CE97">
        <v>1</v>
      </c>
    </row>
    <row r="98" spans="1:101" ht="28.5" x14ac:dyDescent="0.2">
      <c r="A98" s="22"/>
      <c r="B98" s="22" t="s">
        <v>355</v>
      </c>
      <c r="C98" s="22" t="s">
        <v>357</v>
      </c>
      <c r="D98" s="23" t="s">
        <v>350</v>
      </c>
      <c r="E98" s="24">
        <v>0.27</v>
      </c>
      <c r="F98" s="24"/>
      <c r="G98" s="24">
        <f>SmtRes!CX13</f>
        <v>1.4039999999999999</v>
      </c>
      <c r="H98" s="26"/>
      <c r="I98" s="25"/>
      <c r="J98" s="26">
        <f>SmtRes!CZ13</f>
        <v>1098</v>
      </c>
      <c r="K98" s="25"/>
      <c r="L98" s="26">
        <f>SmtRes!DG13</f>
        <v>1541.59</v>
      </c>
    </row>
    <row r="99" spans="1:101" ht="28.5" x14ac:dyDescent="0.2">
      <c r="A99" s="22"/>
      <c r="B99" s="22" t="s">
        <v>358</v>
      </c>
      <c r="C99" s="30" t="s">
        <v>493</v>
      </c>
      <c r="D99" s="31" t="s">
        <v>346</v>
      </c>
      <c r="E99" s="32">
        <f>SmtRes!DO13*SmtRes!AT13</f>
        <v>0.27</v>
      </c>
      <c r="F99" s="32"/>
      <c r="G99" s="32">
        <f>ROUND(E99*G92, 7)</f>
        <v>1.4039999999999999</v>
      </c>
      <c r="H99" s="33"/>
      <c r="I99" s="34"/>
      <c r="J99" s="33">
        <f>ROUND(SmtRes!AG13/SmtRes!DO13, 2)</f>
        <v>544.01</v>
      </c>
      <c r="K99" s="34"/>
      <c r="L99" s="33">
        <f>SmtRes!DH13</f>
        <v>763.79</v>
      </c>
      <c r="CE99">
        <v>1</v>
      </c>
    </row>
    <row r="100" spans="1:101" ht="15" x14ac:dyDescent="0.2">
      <c r="A100" s="22"/>
      <c r="B100" s="22"/>
      <c r="C100" s="37" t="s">
        <v>485</v>
      </c>
      <c r="D100" s="23"/>
      <c r="E100" s="24"/>
      <c r="F100" s="24"/>
      <c r="G100" s="24"/>
      <c r="H100" s="26"/>
      <c r="I100" s="25"/>
      <c r="J100" s="26"/>
      <c r="K100" s="25"/>
      <c r="L100" s="26">
        <f>L94+L96+L97</f>
        <v>14045.84</v>
      </c>
    </row>
    <row r="101" spans="1:101" ht="14.25" x14ac:dyDescent="0.2">
      <c r="A101" s="20" t="s">
        <v>500</v>
      </c>
      <c r="B101" s="22" t="str">
        <f>Source!F30</f>
        <v>999-9900</v>
      </c>
      <c r="C101" s="22" t="str">
        <f>Source!G30</f>
        <v>Строительный мусор</v>
      </c>
      <c r="D101" s="23" t="str">
        <f>Source!H30</f>
        <v>т</v>
      </c>
      <c r="E101" s="24">
        <f>SmtRes!AT14</f>
        <v>0.81</v>
      </c>
      <c r="F101" s="24"/>
      <c r="G101" s="24">
        <f>Source!I30</f>
        <v>4.2119999999999997</v>
      </c>
      <c r="H101" s="26">
        <f>Source!AL30+Source!AO30+Source!AM30+Source!AN30</f>
        <v>0</v>
      </c>
      <c r="I101" s="25"/>
      <c r="J101" s="26"/>
      <c r="K101" s="25"/>
      <c r="L101" s="26">
        <f>Source!P30</f>
        <v>0</v>
      </c>
      <c r="AD101">
        <f>ROUND((Source!AT30/100)*((ROUND(ROUND(Source!AO30,2)*Source!I30, 2)+ROUND(ROUND(Source!AN30,2)*Source!I30, 2))), 2)</f>
        <v>0</v>
      </c>
      <c r="AE101">
        <f>ROUND((Source!AU30/100)*((ROUND(ROUND(Source!AO30,2)*Source!I30, 2)+ROUND(ROUND(Source!AN30,2)*Source!I30, 2))), 2)</f>
        <v>0</v>
      </c>
      <c r="AN101">
        <f>L101</f>
        <v>0</v>
      </c>
      <c r="AW101">
        <f>L101</f>
        <v>0</v>
      </c>
      <c r="AZ101">
        <f>Source!X30</f>
        <v>0</v>
      </c>
      <c r="BA101">
        <f>Source!Y30</f>
        <v>0</v>
      </c>
      <c r="CD101">
        <v>1</v>
      </c>
    </row>
    <row r="102" spans="1:101" ht="14.25" x14ac:dyDescent="0.2">
      <c r="A102" s="22"/>
      <c r="B102" s="22"/>
      <c r="C102" s="22" t="s">
        <v>486</v>
      </c>
      <c r="D102" s="23"/>
      <c r="E102" s="24"/>
      <c r="F102" s="24"/>
      <c r="G102" s="24"/>
      <c r="H102" s="26"/>
      <c r="I102" s="25"/>
      <c r="J102" s="26"/>
      <c r="K102" s="25"/>
      <c r="L102" s="26">
        <f>SUM(AR92:AR105)+SUM(AS92:AS105)+SUM(AT92:AT105)+SUM(AU92:AU105)+SUM(AV92:AV105)</f>
        <v>12504.25</v>
      </c>
    </row>
    <row r="103" spans="1:101" ht="14.25" x14ac:dyDescent="0.2">
      <c r="A103" s="22"/>
      <c r="B103" s="22" t="s">
        <v>35</v>
      </c>
      <c r="C103" s="22" t="s">
        <v>495</v>
      </c>
      <c r="D103" s="23" t="s">
        <v>488</v>
      </c>
      <c r="E103" s="24">
        <f>Source!BZ29</f>
        <v>90</v>
      </c>
      <c r="F103" s="24"/>
      <c r="G103" s="24">
        <f>Source!AT29</f>
        <v>90</v>
      </c>
      <c r="H103" s="26"/>
      <c r="I103" s="25"/>
      <c r="J103" s="26"/>
      <c r="K103" s="25"/>
      <c r="L103" s="26">
        <f>SUM(AZ92:AZ105)</f>
        <v>11253.83</v>
      </c>
    </row>
    <row r="104" spans="1:101" ht="14.25" x14ac:dyDescent="0.2">
      <c r="A104" s="30"/>
      <c r="B104" s="30" t="s">
        <v>36</v>
      </c>
      <c r="C104" s="30" t="s">
        <v>496</v>
      </c>
      <c r="D104" s="31" t="s">
        <v>488</v>
      </c>
      <c r="E104" s="32">
        <f>Source!CA29</f>
        <v>46</v>
      </c>
      <c r="F104" s="32"/>
      <c r="G104" s="32">
        <f>Source!AU29</f>
        <v>46</v>
      </c>
      <c r="H104" s="33"/>
      <c r="I104" s="34"/>
      <c r="J104" s="33"/>
      <c r="K104" s="34"/>
      <c r="L104" s="33">
        <f>SUM(BA92:BA105)</f>
        <v>5751.96</v>
      </c>
    </row>
    <row r="105" spans="1:101" ht="15" x14ac:dyDescent="0.2">
      <c r="C105" s="93" t="s">
        <v>490</v>
      </c>
      <c r="D105" s="93"/>
      <c r="E105" s="93"/>
      <c r="F105" s="93"/>
      <c r="G105" s="93"/>
      <c r="H105" s="93"/>
      <c r="I105" s="94">
        <f>IF(E92&lt;&gt;0,K105/E92, 0)</f>
        <v>5971.4673076923073</v>
      </c>
      <c r="J105" s="94"/>
      <c r="K105" s="94">
        <f>L94+L96+L103+L104+L97+SUM(L101:L101)</f>
        <v>31051.629999999997</v>
      </c>
      <c r="L105" s="94"/>
      <c r="AD105">
        <f>ROUND((Source!AT29/100)*((ROUND(SUMIF(SmtRes!AQ11:'SmtRes'!AQ14,"=1",SmtRes!AD11:'SmtRes'!AD14)*Source!I29, 2)+ROUND(SUMIF(SmtRes!AQ11:'SmtRes'!AQ14,"=1",SmtRes!AC11:'SmtRes'!AC14)*Source!I29, 2))), 2)</f>
        <v>4116.0200000000004</v>
      </c>
      <c r="AE105">
        <f>ROUND((Source!AU29/100)*((ROUND(SUMIF(SmtRes!AQ11:'SmtRes'!AQ14,"=1",SmtRes!AD11:'SmtRes'!AD14)*Source!I29, 2)+ROUND(SUMIF(SmtRes!AQ11:'SmtRes'!AQ14,"=1",SmtRes!AC11:'SmtRes'!AC14)*Source!I29, 2))), 2)</f>
        <v>2103.7399999999998</v>
      </c>
      <c r="AN105" s="35">
        <f>L94+L96+L103+L104+L97</f>
        <v>31051.629999999997</v>
      </c>
      <c r="AO105" s="35">
        <f>L96</f>
        <v>1541.5900000000001</v>
      </c>
      <c r="AQ105" t="s">
        <v>491</v>
      </c>
      <c r="AR105" s="35">
        <f>L94</f>
        <v>11740.46</v>
      </c>
      <c r="AT105" s="35">
        <f>L97</f>
        <v>763.79</v>
      </c>
      <c r="AV105" t="s">
        <v>491</v>
      </c>
      <c r="AW105">
        <f>0</f>
        <v>0</v>
      </c>
      <c r="AZ105">
        <f>Source!X29</f>
        <v>11253.83</v>
      </c>
      <c r="BA105">
        <f>Source!Y29</f>
        <v>5751.96</v>
      </c>
      <c r="CD105">
        <v>1</v>
      </c>
    </row>
    <row r="106" spans="1:101" ht="14.25" x14ac:dyDescent="0.2">
      <c r="A106" s="20" t="s">
        <v>52</v>
      </c>
      <c r="B106" s="22" t="s">
        <v>501</v>
      </c>
      <c r="C106" s="22" t="str">
        <f>Source!G31</f>
        <v>Демонтаж фронтонов</v>
      </c>
      <c r="D106" s="23" t="str">
        <f>Source!H31</f>
        <v>100 м2</v>
      </c>
      <c r="E106" s="24">
        <f>Source!K31</f>
        <v>0.3</v>
      </c>
      <c r="F106" s="24"/>
      <c r="G106" s="24">
        <f>Source!I31</f>
        <v>0.3</v>
      </c>
      <c r="H106" s="26"/>
      <c r="I106" s="25"/>
      <c r="J106" s="26"/>
      <c r="K106" s="25"/>
      <c r="L106" s="26"/>
    </row>
    <row r="107" spans="1:101" ht="25.5" x14ac:dyDescent="0.2">
      <c r="B107" s="39" t="s">
        <v>443</v>
      </c>
      <c r="C107" s="96" t="s">
        <v>502</v>
      </c>
      <c r="D107" s="96"/>
      <c r="E107" s="96"/>
      <c r="F107" s="96"/>
      <c r="G107" s="96"/>
      <c r="H107" s="96"/>
      <c r="I107" s="96"/>
      <c r="J107" s="96"/>
      <c r="K107" s="96"/>
      <c r="L107" s="96"/>
      <c r="CW107" s="40" t="s">
        <v>502</v>
      </c>
    </row>
    <row r="108" spans="1:101" x14ac:dyDescent="0.2">
      <c r="C108" s="27" t="str">
        <f>"Объем: "&amp;Source!I31&amp;"=30/"&amp;"100"</f>
        <v>Объем: 0,3=30/100</v>
      </c>
    </row>
    <row r="109" spans="1:101" ht="15" x14ac:dyDescent="0.2">
      <c r="A109" s="21"/>
      <c r="B109" s="24">
        <v>1</v>
      </c>
      <c r="C109" s="21" t="s">
        <v>482</v>
      </c>
      <c r="D109" s="23" t="s">
        <v>346</v>
      </c>
      <c r="E109" s="28"/>
      <c r="F109" s="24"/>
      <c r="G109" s="24">
        <f>Source!U31</f>
        <v>16.32</v>
      </c>
      <c r="H109" s="24"/>
      <c r="I109" s="24"/>
      <c r="J109" s="24"/>
      <c r="K109" s="24"/>
      <c r="L109" s="29">
        <f>SUM(L110:L110)-SUMIF(CE110:CE110, 1, L110:L110)</f>
        <v>5869.49</v>
      </c>
    </row>
    <row r="110" spans="1:101" ht="14.25" x14ac:dyDescent="0.2">
      <c r="A110" s="22"/>
      <c r="B110" s="22" t="s">
        <v>361</v>
      </c>
      <c r="C110" s="22" t="s">
        <v>362</v>
      </c>
      <c r="D110" s="23" t="s">
        <v>346</v>
      </c>
      <c r="E110" s="24">
        <v>68</v>
      </c>
      <c r="F110" s="24">
        <f>ROUND(0.8,7)</f>
        <v>0.8</v>
      </c>
      <c r="G110" s="24">
        <f>SmtRes!CX15</f>
        <v>16.32</v>
      </c>
      <c r="H110" s="26"/>
      <c r="I110" s="25"/>
      <c r="J110" s="26">
        <f>SmtRes!CZ15</f>
        <v>359.65</v>
      </c>
      <c r="K110" s="25"/>
      <c r="L110" s="26">
        <f>SmtRes!DI15</f>
        <v>5869.49</v>
      </c>
    </row>
    <row r="111" spans="1:101" ht="15" x14ac:dyDescent="0.2">
      <c r="A111" s="21"/>
      <c r="B111" s="24">
        <v>2</v>
      </c>
      <c r="C111" s="21" t="s">
        <v>483</v>
      </c>
      <c r="D111" s="23"/>
      <c r="E111" s="28"/>
      <c r="F111" s="24"/>
      <c r="G111" s="24"/>
      <c r="H111" s="24"/>
      <c r="I111" s="24"/>
      <c r="J111" s="24"/>
      <c r="K111" s="24"/>
      <c r="L111" s="29">
        <f>SUM(L112:L114)-SUMIF(CE112:CE114, 1, L112:L114)</f>
        <v>171.55</v>
      </c>
    </row>
    <row r="112" spans="1:101" ht="15" x14ac:dyDescent="0.2">
      <c r="A112" s="21"/>
      <c r="B112" s="24"/>
      <c r="C112" s="21" t="s">
        <v>484</v>
      </c>
      <c r="D112" s="23" t="s">
        <v>346</v>
      </c>
      <c r="E112" s="28"/>
      <c r="F112" s="24"/>
      <c r="G112" s="24">
        <f>Source!V31</f>
        <v>0.252</v>
      </c>
      <c r="H112" s="24"/>
      <c r="I112" s="24"/>
      <c r="J112" s="24"/>
      <c r="K112" s="24"/>
      <c r="L112" s="29">
        <f>SUMIF(CE113:CE114, 1, L113:L114)</f>
        <v>102.06</v>
      </c>
      <c r="CE112">
        <v>1</v>
      </c>
    </row>
    <row r="113" spans="1:101" ht="28.5" x14ac:dyDescent="0.2">
      <c r="A113" s="22"/>
      <c r="B113" s="22" t="s">
        <v>363</v>
      </c>
      <c r="C113" s="22" t="s">
        <v>365</v>
      </c>
      <c r="D113" s="23" t="s">
        <v>350</v>
      </c>
      <c r="E113" s="24">
        <v>1.05</v>
      </c>
      <c r="F113" s="24">
        <f>ROUND(0.8,7)</f>
        <v>0.8</v>
      </c>
      <c r="G113" s="24">
        <f>SmtRes!CX17</f>
        <v>0.252</v>
      </c>
      <c r="H113" s="26"/>
      <c r="I113" s="25"/>
      <c r="J113" s="26">
        <f>SmtRes!CZ17</f>
        <v>680.75</v>
      </c>
      <c r="K113" s="25"/>
      <c r="L113" s="26">
        <f>SmtRes!DG17</f>
        <v>171.55</v>
      </c>
    </row>
    <row r="114" spans="1:101" ht="28.5" x14ac:dyDescent="0.2">
      <c r="A114" s="22"/>
      <c r="B114" s="22" t="s">
        <v>366</v>
      </c>
      <c r="C114" s="22" t="s">
        <v>503</v>
      </c>
      <c r="D114" s="23" t="s">
        <v>346</v>
      </c>
      <c r="E114" s="24">
        <f>SmtRes!DO17*SmtRes!AT17</f>
        <v>1.05</v>
      </c>
      <c r="F114" s="24">
        <f>ROUND(0.8,7)</f>
        <v>0.8</v>
      </c>
      <c r="G114" s="24">
        <f>ROUND(E114*F114*G106, 7)</f>
        <v>0.252</v>
      </c>
      <c r="H114" s="26"/>
      <c r="I114" s="25"/>
      <c r="J114" s="26">
        <f>ROUND(SmtRes!AG17/SmtRes!DO17, 2)</f>
        <v>404.99</v>
      </c>
      <c r="K114" s="25"/>
      <c r="L114" s="26">
        <f>SmtRes!DH17</f>
        <v>102.06</v>
      </c>
      <c r="CE114">
        <v>1</v>
      </c>
    </row>
    <row r="115" spans="1:101" ht="15" hidden="1" x14ac:dyDescent="0.2">
      <c r="A115" s="21"/>
      <c r="B115" s="24">
        <v>4</v>
      </c>
      <c r="C115" s="21" t="s">
        <v>504</v>
      </c>
      <c r="D115" s="23"/>
      <c r="E115" s="28"/>
      <c r="F115" s="24"/>
      <c r="G115" s="24"/>
      <c r="H115" s="24"/>
      <c r="I115" s="24"/>
      <c r="J115" s="24"/>
      <c r="K115" s="24"/>
      <c r="L115" s="29">
        <f>SUM(L116:L118)-SUMIF(CE116:CE118, 1, L116:L118)</f>
        <v>0</v>
      </c>
    </row>
    <row r="116" spans="1:101" ht="14.25" x14ac:dyDescent="0.2">
      <c r="A116" s="22"/>
      <c r="B116" s="22" t="s">
        <v>367</v>
      </c>
      <c r="C116" s="22" t="s">
        <v>369</v>
      </c>
      <c r="D116" s="23" t="s">
        <v>370</v>
      </c>
      <c r="E116" s="24">
        <v>0.47599999999999998</v>
      </c>
      <c r="F116" s="24">
        <f>ROUND(0,7)</f>
        <v>0</v>
      </c>
      <c r="G116" s="24">
        <f>SmtRes!CX18</f>
        <v>0</v>
      </c>
      <c r="H116" s="26"/>
      <c r="I116" s="25"/>
      <c r="J116" s="26">
        <f>SmtRes!CZ18</f>
        <v>7.71</v>
      </c>
      <c r="K116" s="25"/>
      <c r="L116" s="26">
        <f>SmtRes!DF18</f>
        <v>0</v>
      </c>
    </row>
    <row r="117" spans="1:101" ht="14.25" x14ac:dyDescent="0.2">
      <c r="A117" s="22"/>
      <c r="B117" s="22" t="s">
        <v>371</v>
      </c>
      <c r="C117" s="22" t="s">
        <v>373</v>
      </c>
      <c r="D117" s="23" t="s">
        <v>41</v>
      </c>
      <c r="E117" s="24">
        <v>4.1000000000000003E-3</v>
      </c>
      <c r="F117" s="24">
        <f>ROUND(0,7)</f>
        <v>0</v>
      </c>
      <c r="G117" s="24">
        <f>SmtRes!CX19</f>
        <v>0</v>
      </c>
      <c r="H117" s="26"/>
      <c r="I117" s="25"/>
      <c r="J117" s="26">
        <f>SmtRes!CZ19</f>
        <v>76729.919999999998</v>
      </c>
      <c r="K117" s="25"/>
      <c r="L117" s="26">
        <f>SmtRes!DF19</f>
        <v>0</v>
      </c>
    </row>
    <row r="118" spans="1:101" ht="42.75" x14ac:dyDescent="0.2">
      <c r="A118" s="22"/>
      <c r="B118" s="22" t="s">
        <v>374</v>
      </c>
      <c r="C118" s="22" t="s">
        <v>376</v>
      </c>
      <c r="D118" s="23" t="s">
        <v>92</v>
      </c>
      <c r="E118" s="24">
        <v>1.58</v>
      </c>
      <c r="F118" s="24">
        <f>ROUND(0,7)</f>
        <v>0</v>
      </c>
      <c r="G118" s="24">
        <f>SmtRes!CX20</f>
        <v>0</v>
      </c>
      <c r="H118" s="26">
        <f>SmtRes!CZ20</f>
        <v>28414</v>
      </c>
      <c r="I118" s="25">
        <f>SmtRes!AI20</f>
        <v>1.42</v>
      </c>
      <c r="J118" s="26">
        <f>ROUND(H118*I118, 2)</f>
        <v>40347.879999999997</v>
      </c>
      <c r="K118" s="25"/>
      <c r="L118" s="26">
        <f>SmtRes!DF20</f>
        <v>0</v>
      </c>
    </row>
    <row r="119" spans="1:101" ht="57" x14ac:dyDescent="0.2">
      <c r="A119" s="22"/>
      <c r="B119" s="22" t="str">
        <f>EtalonRes!I21</f>
        <v>11.1.03.06</v>
      </c>
      <c r="C119" s="30" t="str">
        <f>EtalonRes!K21</f>
        <v>Доска обрезная хвойных пород, естественной влажности, длина 2-6,5 м, ширина 100-250 мм, толщина 44-50 мм</v>
      </c>
      <c r="D119" s="31" t="str">
        <f>EtalonRes!O21</f>
        <v>м3</v>
      </c>
      <c r="E119" s="32">
        <f>EtalonRes!X21</f>
        <v>1.36</v>
      </c>
      <c r="F119" s="32">
        <f>ROUND(0,7)</f>
        <v>0</v>
      </c>
      <c r="G119" s="32">
        <f>ROUND(EtalonRes!AG21*Source!I31, 7)</f>
        <v>0</v>
      </c>
      <c r="H119" s="33"/>
      <c r="I119" s="34"/>
      <c r="J119" s="33"/>
      <c r="K119" s="34"/>
      <c r="L119" s="33"/>
    </row>
    <row r="120" spans="1:101" ht="15" x14ac:dyDescent="0.2">
      <c r="A120" s="22"/>
      <c r="B120" s="22"/>
      <c r="C120" s="37" t="s">
        <v>485</v>
      </c>
      <c r="D120" s="23"/>
      <c r="E120" s="24"/>
      <c r="F120" s="24"/>
      <c r="G120" s="24"/>
      <c r="H120" s="26"/>
      <c r="I120" s="25"/>
      <c r="J120" s="26"/>
      <c r="K120" s="25"/>
      <c r="L120" s="26">
        <f>L109+L111+L112+L115</f>
        <v>6143.1</v>
      </c>
    </row>
    <row r="121" spans="1:101" ht="14.25" x14ac:dyDescent="0.2">
      <c r="A121" s="22"/>
      <c r="B121" s="22"/>
      <c r="C121" s="22" t="s">
        <v>486</v>
      </c>
      <c r="D121" s="23"/>
      <c r="E121" s="24"/>
      <c r="F121" s="24"/>
      <c r="G121" s="24"/>
      <c r="H121" s="26"/>
      <c r="I121" s="25"/>
      <c r="J121" s="26"/>
      <c r="K121" s="25"/>
      <c r="L121" s="26">
        <f>SUM(AR106:AR124)+SUM(AS106:AS124)+SUM(AT106:AT124)+SUM(AU106:AU124)+SUM(AV106:AV124)</f>
        <v>5971.55</v>
      </c>
    </row>
    <row r="122" spans="1:101" ht="14.25" x14ac:dyDescent="0.2">
      <c r="A122" s="22"/>
      <c r="B122" s="22" t="s">
        <v>62</v>
      </c>
      <c r="C122" s="22" t="s">
        <v>505</v>
      </c>
      <c r="D122" s="23" t="s">
        <v>488</v>
      </c>
      <c r="E122" s="24">
        <f>Source!BZ31</f>
        <v>108</v>
      </c>
      <c r="F122" s="24"/>
      <c r="G122" s="24">
        <f>Source!AT31</f>
        <v>108</v>
      </c>
      <c r="H122" s="26"/>
      <c r="I122" s="25"/>
      <c r="J122" s="26"/>
      <c r="K122" s="25"/>
      <c r="L122" s="26">
        <f>SUM(AZ106:AZ124)</f>
        <v>6449.27</v>
      </c>
    </row>
    <row r="123" spans="1:101" ht="14.25" x14ac:dyDescent="0.2">
      <c r="A123" s="30"/>
      <c r="B123" s="30" t="s">
        <v>63</v>
      </c>
      <c r="C123" s="30" t="s">
        <v>506</v>
      </c>
      <c r="D123" s="31" t="s">
        <v>488</v>
      </c>
      <c r="E123" s="32">
        <f>Source!CA31</f>
        <v>55</v>
      </c>
      <c r="F123" s="32"/>
      <c r="G123" s="32">
        <f>Source!AU31</f>
        <v>55</v>
      </c>
      <c r="H123" s="33"/>
      <c r="I123" s="34"/>
      <c r="J123" s="33"/>
      <c r="K123" s="34"/>
      <c r="L123" s="33">
        <f>SUM(BA106:BA124)</f>
        <v>3284.35</v>
      </c>
    </row>
    <row r="124" spans="1:101" ht="15" x14ac:dyDescent="0.2">
      <c r="C124" s="93" t="s">
        <v>490</v>
      </c>
      <c r="D124" s="93"/>
      <c r="E124" s="93"/>
      <c r="F124" s="93"/>
      <c r="G124" s="93"/>
      <c r="H124" s="93"/>
      <c r="I124" s="94">
        <f>IF(E106&lt;&gt;0,K124/E106, 0)</f>
        <v>52922.400000000009</v>
      </c>
      <c r="J124" s="94"/>
      <c r="K124" s="94">
        <f>L109+L111+L115+L122+L123+L112</f>
        <v>15876.720000000001</v>
      </c>
      <c r="L124" s="94"/>
      <c r="AD124">
        <f>ROUND((Source!AT31/100)*((ROUND(SUMIF(SmtRes!AQ15:'SmtRes'!AQ20,"=1",SmtRes!AD15:'SmtRes'!AD20)*Source!I31, 2)+ROUND(SUMIF(SmtRes!AQ15:'SmtRes'!AQ20,"=1",SmtRes!AC15:'SmtRes'!AC20)*Source!I31, 2))), 2)</f>
        <v>247.75</v>
      </c>
      <c r="AE124">
        <f>ROUND((Source!AU31/100)*((ROUND(SUMIF(SmtRes!AQ15:'SmtRes'!AQ20,"=1",SmtRes!AD15:'SmtRes'!AD20)*Source!I31, 2)+ROUND(SUMIF(SmtRes!AQ15:'SmtRes'!AQ20,"=1",SmtRes!AC15:'SmtRes'!AC20)*Source!I31, 2))), 2)</f>
        <v>126.17</v>
      </c>
      <c r="AN124" s="35">
        <f>L109+L111+L115+L122+L123+L112</f>
        <v>15876.720000000001</v>
      </c>
      <c r="AO124" s="35">
        <f>L111</f>
        <v>171.55</v>
      </c>
      <c r="AQ124" t="s">
        <v>491</v>
      </c>
      <c r="AR124" s="35">
        <f>L109</f>
        <v>5869.49</v>
      </c>
      <c r="AT124" s="35">
        <f>L112</f>
        <v>102.06</v>
      </c>
      <c r="AV124" t="s">
        <v>491</v>
      </c>
      <c r="AW124" s="35">
        <f>L115</f>
        <v>0</v>
      </c>
      <c r="AZ124">
        <f>Source!X31</f>
        <v>6449.27</v>
      </c>
      <c r="BA124">
        <f>Source!Y31</f>
        <v>3284.35</v>
      </c>
      <c r="CD124">
        <v>1</v>
      </c>
    </row>
    <row r="125" spans="1:101" ht="14.25" x14ac:dyDescent="0.2">
      <c r="A125" s="20" t="s">
        <v>64</v>
      </c>
      <c r="B125" s="22" t="s">
        <v>507</v>
      </c>
      <c r="C125" s="22" t="str">
        <f>Source!G32</f>
        <v>Демонтаж карнизов</v>
      </c>
      <c r="D125" s="23" t="str">
        <f>Source!H32</f>
        <v>100 м2</v>
      </c>
      <c r="E125" s="24">
        <f>Source!K32</f>
        <v>0.3</v>
      </c>
      <c r="F125" s="24"/>
      <c r="G125" s="24">
        <f>Source!I32</f>
        <v>0.3</v>
      </c>
      <c r="H125" s="26"/>
      <c r="I125" s="25"/>
      <c r="J125" s="26"/>
      <c r="K125" s="25"/>
      <c r="L125" s="26"/>
    </row>
    <row r="126" spans="1:101" ht="25.5" x14ac:dyDescent="0.2">
      <c r="B126" s="39" t="s">
        <v>443</v>
      </c>
      <c r="C126" s="96" t="s">
        <v>502</v>
      </c>
      <c r="D126" s="96"/>
      <c r="E126" s="96"/>
      <c r="F126" s="96"/>
      <c r="G126" s="96"/>
      <c r="H126" s="96"/>
      <c r="I126" s="96"/>
      <c r="J126" s="96"/>
      <c r="K126" s="96"/>
      <c r="L126" s="96"/>
      <c r="CW126" s="40" t="s">
        <v>502</v>
      </c>
    </row>
    <row r="127" spans="1:101" x14ac:dyDescent="0.2">
      <c r="C127" s="27" t="str">
        <f>"Объем: "&amp;Source!I32&amp;"=30/"&amp;"100"</f>
        <v>Объем: 0,3=30/100</v>
      </c>
    </row>
    <row r="128" spans="1:101" ht="15" x14ac:dyDescent="0.2">
      <c r="A128" s="21"/>
      <c r="B128" s="24">
        <v>1</v>
      </c>
      <c r="C128" s="21" t="s">
        <v>482</v>
      </c>
      <c r="D128" s="23" t="s">
        <v>346</v>
      </c>
      <c r="E128" s="28"/>
      <c r="F128" s="24"/>
      <c r="G128" s="24">
        <f>Source!U32</f>
        <v>34.32</v>
      </c>
      <c r="H128" s="24"/>
      <c r="I128" s="24"/>
      <c r="J128" s="24"/>
      <c r="K128" s="24"/>
      <c r="L128" s="29">
        <f>SUM(L129:L129)-SUMIF(CE129:CE129, 1, L129:L129)</f>
        <v>12343.19</v>
      </c>
    </row>
    <row r="129" spans="1:83" ht="14.25" x14ac:dyDescent="0.2">
      <c r="A129" s="22"/>
      <c r="B129" s="22" t="s">
        <v>361</v>
      </c>
      <c r="C129" s="22" t="s">
        <v>362</v>
      </c>
      <c r="D129" s="23" t="s">
        <v>346</v>
      </c>
      <c r="E129" s="24">
        <v>143</v>
      </c>
      <c r="F129" s="24">
        <f>ROUND(0.8,7)</f>
        <v>0.8</v>
      </c>
      <c r="G129" s="24">
        <f>SmtRes!CX21</f>
        <v>34.32</v>
      </c>
      <c r="H129" s="26"/>
      <c r="I129" s="25"/>
      <c r="J129" s="26">
        <f>SmtRes!CZ21</f>
        <v>359.65</v>
      </c>
      <c r="K129" s="25"/>
      <c r="L129" s="26">
        <f>SmtRes!DI21</f>
        <v>12343.19</v>
      </c>
    </row>
    <row r="130" spans="1:83" ht="15" x14ac:dyDescent="0.2">
      <c r="A130" s="21"/>
      <c r="B130" s="24">
        <v>2</v>
      </c>
      <c r="C130" s="21" t="s">
        <v>483</v>
      </c>
      <c r="D130" s="23"/>
      <c r="E130" s="28"/>
      <c r="F130" s="24"/>
      <c r="G130" s="24"/>
      <c r="H130" s="24"/>
      <c r="I130" s="24"/>
      <c r="J130" s="24"/>
      <c r="K130" s="24"/>
      <c r="L130" s="29">
        <f>SUM(L131:L133)-SUMIF(CE131:CE133, 1, L131:L133)</f>
        <v>147.04</v>
      </c>
    </row>
    <row r="131" spans="1:83" ht="15" x14ac:dyDescent="0.2">
      <c r="A131" s="21"/>
      <c r="B131" s="24"/>
      <c r="C131" s="21" t="s">
        <v>484</v>
      </c>
      <c r="D131" s="23" t="s">
        <v>346</v>
      </c>
      <c r="E131" s="28"/>
      <c r="F131" s="24"/>
      <c r="G131" s="24">
        <f>Source!V32</f>
        <v>0.216</v>
      </c>
      <c r="H131" s="24"/>
      <c r="I131" s="24"/>
      <c r="J131" s="24"/>
      <c r="K131" s="24"/>
      <c r="L131" s="29">
        <f>SUMIF(CE132:CE133, 1, L132:L133)</f>
        <v>87.48</v>
      </c>
      <c r="CE131">
        <v>1</v>
      </c>
    </row>
    <row r="132" spans="1:83" ht="28.5" x14ac:dyDescent="0.2">
      <c r="A132" s="22"/>
      <c r="B132" s="22" t="s">
        <v>363</v>
      </c>
      <c r="C132" s="22" t="s">
        <v>365</v>
      </c>
      <c r="D132" s="23" t="s">
        <v>350</v>
      </c>
      <c r="E132" s="24">
        <v>0.9</v>
      </c>
      <c r="F132" s="24">
        <f>ROUND(0.8,7)</f>
        <v>0.8</v>
      </c>
      <c r="G132" s="24">
        <f>SmtRes!CX23</f>
        <v>0.216</v>
      </c>
      <c r="H132" s="26"/>
      <c r="I132" s="25"/>
      <c r="J132" s="26">
        <f>SmtRes!CZ23</f>
        <v>680.75</v>
      </c>
      <c r="K132" s="25"/>
      <c r="L132" s="26">
        <f>SmtRes!DG23</f>
        <v>147.04</v>
      </c>
    </row>
    <row r="133" spans="1:83" ht="28.5" x14ac:dyDescent="0.2">
      <c r="A133" s="22"/>
      <c r="B133" s="22" t="s">
        <v>366</v>
      </c>
      <c r="C133" s="22" t="s">
        <v>503</v>
      </c>
      <c r="D133" s="23" t="s">
        <v>346</v>
      </c>
      <c r="E133" s="24">
        <f>SmtRes!DO23*SmtRes!AT23</f>
        <v>0.9</v>
      </c>
      <c r="F133" s="24">
        <f>ROUND(0.8,7)</f>
        <v>0.8</v>
      </c>
      <c r="G133" s="24">
        <f>ROUND(E133*F133*G125, 7)</f>
        <v>0.216</v>
      </c>
      <c r="H133" s="26"/>
      <c r="I133" s="25"/>
      <c r="J133" s="26">
        <f>ROUND(SmtRes!AG23/SmtRes!DO23, 2)</f>
        <v>404.99</v>
      </c>
      <c r="K133" s="25"/>
      <c r="L133" s="26">
        <f>SmtRes!DH23</f>
        <v>87.48</v>
      </c>
      <c r="CE133">
        <v>1</v>
      </c>
    </row>
    <row r="134" spans="1:83" ht="15" hidden="1" x14ac:dyDescent="0.2">
      <c r="A134" s="21"/>
      <c r="B134" s="24">
        <v>4</v>
      </c>
      <c r="C134" s="21" t="s">
        <v>504</v>
      </c>
      <c r="D134" s="23"/>
      <c r="E134" s="28"/>
      <c r="F134" s="24"/>
      <c r="G134" s="24"/>
      <c r="H134" s="24"/>
      <c r="I134" s="24"/>
      <c r="J134" s="24"/>
      <c r="K134" s="24"/>
      <c r="L134" s="29">
        <f>SUM(L135:L137)-SUMIF(CE135:CE137, 1, L135:L137)</f>
        <v>0</v>
      </c>
    </row>
    <row r="135" spans="1:83" ht="14.25" x14ac:dyDescent="0.2">
      <c r="A135" s="22"/>
      <c r="B135" s="22" t="s">
        <v>367</v>
      </c>
      <c r="C135" s="22" t="s">
        <v>369</v>
      </c>
      <c r="D135" s="23" t="s">
        <v>370</v>
      </c>
      <c r="E135" s="24">
        <v>1.0009999999999999</v>
      </c>
      <c r="F135" s="24">
        <f>ROUND(0,7)</f>
        <v>0</v>
      </c>
      <c r="G135" s="24">
        <f>SmtRes!CX24</f>
        <v>0</v>
      </c>
      <c r="H135" s="26"/>
      <c r="I135" s="25"/>
      <c r="J135" s="26">
        <f>SmtRes!CZ24</f>
        <v>7.71</v>
      </c>
      <c r="K135" s="25"/>
      <c r="L135" s="26">
        <f>SmtRes!DF24</f>
        <v>0</v>
      </c>
    </row>
    <row r="136" spans="1:83" ht="14.25" x14ac:dyDescent="0.2">
      <c r="A136" s="22"/>
      <c r="B136" s="22" t="s">
        <v>371</v>
      </c>
      <c r="C136" s="22" t="s">
        <v>373</v>
      </c>
      <c r="D136" s="23" t="s">
        <v>41</v>
      </c>
      <c r="E136" s="24">
        <v>3.5999999999999999E-3</v>
      </c>
      <c r="F136" s="24">
        <f>ROUND(0,7)</f>
        <v>0</v>
      </c>
      <c r="G136" s="24">
        <f>SmtRes!CX25</f>
        <v>0</v>
      </c>
      <c r="H136" s="26"/>
      <c r="I136" s="25"/>
      <c r="J136" s="26">
        <f>SmtRes!CZ25</f>
        <v>76729.919999999998</v>
      </c>
      <c r="K136" s="25"/>
      <c r="L136" s="26">
        <f>SmtRes!DF25</f>
        <v>0</v>
      </c>
    </row>
    <row r="137" spans="1:83" ht="42.75" x14ac:dyDescent="0.2">
      <c r="A137" s="22"/>
      <c r="B137" s="22" t="s">
        <v>374</v>
      </c>
      <c r="C137" s="22" t="s">
        <v>376</v>
      </c>
      <c r="D137" s="23" t="s">
        <v>92</v>
      </c>
      <c r="E137" s="24">
        <v>1.06</v>
      </c>
      <c r="F137" s="24">
        <f>ROUND(0,7)</f>
        <v>0</v>
      </c>
      <c r="G137" s="24">
        <f>SmtRes!CX26</f>
        <v>0</v>
      </c>
      <c r="H137" s="26">
        <f>SmtRes!CZ26</f>
        <v>28414</v>
      </c>
      <c r="I137" s="25">
        <f>SmtRes!AI26</f>
        <v>1.42</v>
      </c>
      <c r="J137" s="26">
        <f>ROUND(H137*I137, 2)</f>
        <v>40347.879999999997</v>
      </c>
      <c r="K137" s="25"/>
      <c r="L137" s="26">
        <f>SmtRes!DF26</f>
        <v>0</v>
      </c>
    </row>
    <row r="138" spans="1:83" ht="57" x14ac:dyDescent="0.2">
      <c r="A138" s="22"/>
      <c r="B138" s="22" t="str">
        <f>EtalonRes!I28</f>
        <v>11.1.03.06</v>
      </c>
      <c r="C138" s="22" t="str">
        <f>EtalonRes!K28</f>
        <v>Доска обрезная хвойных пород, естественной влажности, длина 2-6,5 м, ширина 100-250 мм, толщина 44-50 мм</v>
      </c>
      <c r="D138" s="23" t="str">
        <f>EtalonRes!O28</f>
        <v>м3</v>
      </c>
      <c r="E138" s="24">
        <f>EtalonRes!X28</f>
        <v>0.92</v>
      </c>
      <c r="F138" s="24">
        <f>ROUND(0,7)</f>
        <v>0</v>
      </c>
      <c r="G138" s="24">
        <f>ROUND(EtalonRes!AG28*Source!I32, 7)</f>
        <v>0</v>
      </c>
      <c r="H138" s="26"/>
      <c r="I138" s="25"/>
      <c r="J138" s="26"/>
      <c r="K138" s="25"/>
      <c r="L138" s="26"/>
    </row>
    <row r="139" spans="1:83" ht="57" x14ac:dyDescent="0.2">
      <c r="A139" s="22"/>
      <c r="B139" s="22" t="str">
        <f>EtalonRes!I29</f>
        <v>11.1.03.06</v>
      </c>
      <c r="C139" s="30" t="str">
        <f>EtalonRes!K29</f>
        <v>Доска обрезная хвойных пород, естественной влажности, длина 2-6,5 м, ширина 100-250 мм, толщина 20-22 мм</v>
      </c>
      <c r="D139" s="31" t="str">
        <f>EtalonRes!O29</f>
        <v>м3</v>
      </c>
      <c r="E139" s="32">
        <f>EtalonRes!X29</f>
        <v>0.57999999999999996</v>
      </c>
      <c r="F139" s="32">
        <f>ROUND(0,7)</f>
        <v>0</v>
      </c>
      <c r="G139" s="32">
        <f>ROUND(EtalonRes!AG29*Source!I32, 7)</f>
        <v>0</v>
      </c>
      <c r="H139" s="33"/>
      <c r="I139" s="34"/>
      <c r="J139" s="33"/>
      <c r="K139" s="34"/>
      <c r="L139" s="33"/>
    </row>
    <row r="140" spans="1:83" ht="15" x14ac:dyDescent="0.2">
      <c r="A140" s="22"/>
      <c r="B140" s="22"/>
      <c r="C140" s="37" t="s">
        <v>485</v>
      </c>
      <c r="D140" s="23"/>
      <c r="E140" s="24"/>
      <c r="F140" s="24"/>
      <c r="G140" s="24"/>
      <c r="H140" s="26"/>
      <c r="I140" s="25"/>
      <c r="J140" s="26"/>
      <c r="K140" s="25"/>
      <c r="L140" s="26">
        <f>L128+L130+L131+L134</f>
        <v>12577.710000000001</v>
      </c>
    </row>
    <row r="141" spans="1:83" ht="14.25" x14ac:dyDescent="0.2">
      <c r="A141" s="22"/>
      <c r="B141" s="22"/>
      <c r="C141" s="22" t="s">
        <v>486</v>
      </c>
      <c r="D141" s="23"/>
      <c r="E141" s="24"/>
      <c r="F141" s="24"/>
      <c r="G141" s="24"/>
      <c r="H141" s="26"/>
      <c r="I141" s="25"/>
      <c r="J141" s="26"/>
      <c r="K141" s="25"/>
      <c r="L141" s="26">
        <f>SUM(AR125:AR144)+SUM(AS125:AS144)+SUM(AT125:AT144)+SUM(AU125:AU144)+SUM(AV125:AV144)</f>
        <v>12430.67</v>
      </c>
    </row>
    <row r="142" spans="1:83" ht="14.25" x14ac:dyDescent="0.2">
      <c r="A142" s="22"/>
      <c r="B142" s="22" t="s">
        <v>62</v>
      </c>
      <c r="C142" s="22" t="s">
        <v>505</v>
      </c>
      <c r="D142" s="23" t="s">
        <v>488</v>
      </c>
      <c r="E142" s="24">
        <f>Source!BZ32</f>
        <v>108</v>
      </c>
      <c r="F142" s="24"/>
      <c r="G142" s="24">
        <f>Source!AT32</f>
        <v>108</v>
      </c>
      <c r="H142" s="26"/>
      <c r="I142" s="25"/>
      <c r="J142" s="26"/>
      <c r="K142" s="25"/>
      <c r="L142" s="26">
        <f>SUM(AZ125:AZ144)</f>
        <v>13425.12</v>
      </c>
    </row>
    <row r="143" spans="1:83" ht="14.25" x14ac:dyDescent="0.2">
      <c r="A143" s="30"/>
      <c r="B143" s="30" t="s">
        <v>63</v>
      </c>
      <c r="C143" s="30" t="s">
        <v>506</v>
      </c>
      <c r="D143" s="31" t="s">
        <v>488</v>
      </c>
      <c r="E143" s="32">
        <f>Source!CA32</f>
        <v>55</v>
      </c>
      <c r="F143" s="32"/>
      <c r="G143" s="32">
        <f>Source!AU32</f>
        <v>55</v>
      </c>
      <c r="H143" s="33"/>
      <c r="I143" s="34"/>
      <c r="J143" s="33"/>
      <c r="K143" s="34"/>
      <c r="L143" s="33">
        <f>SUM(BA125:BA144)</f>
        <v>6836.87</v>
      </c>
    </row>
    <row r="144" spans="1:83" ht="15" x14ac:dyDescent="0.2">
      <c r="C144" s="93" t="s">
        <v>490</v>
      </c>
      <c r="D144" s="93"/>
      <c r="E144" s="93"/>
      <c r="F144" s="93"/>
      <c r="G144" s="93"/>
      <c r="H144" s="93"/>
      <c r="I144" s="94">
        <f>IF(E125&lt;&gt;0,K144/E125, 0)</f>
        <v>109465.66666666669</v>
      </c>
      <c r="J144" s="94"/>
      <c r="K144" s="94">
        <f>L128+L130+L134+L142+L143+L131</f>
        <v>32839.700000000004</v>
      </c>
      <c r="L144" s="94"/>
      <c r="AD144">
        <f>ROUND((Source!AT32/100)*((ROUND(SUMIF(SmtRes!AQ21:'SmtRes'!AQ26,"=1",SmtRes!AD21:'SmtRes'!AD26)*Source!I32, 2)+ROUND(SUMIF(SmtRes!AQ21:'SmtRes'!AQ26,"=1",SmtRes!AC21:'SmtRes'!AC26)*Source!I32, 2))), 2)</f>
        <v>247.75</v>
      </c>
      <c r="AE144">
        <f>ROUND((Source!AU32/100)*((ROUND(SUMIF(SmtRes!AQ21:'SmtRes'!AQ26,"=1",SmtRes!AD21:'SmtRes'!AD26)*Source!I32, 2)+ROUND(SUMIF(SmtRes!AQ21:'SmtRes'!AQ26,"=1",SmtRes!AC21:'SmtRes'!AC26)*Source!I32, 2))), 2)</f>
        <v>126.17</v>
      </c>
      <c r="AN144" s="35">
        <f>L128+L130+L134+L142+L143+L131</f>
        <v>32839.700000000004</v>
      </c>
      <c r="AO144" s="35">
        <f>L130</f>
        <v>147.04</v>
      </c>
      <c r="AQ144" t="s">
        <v>491</v>
      </c>
      <c r="AR144" s="35">
        <f>L128</f>
        <v>12343.19</v>
      </c>
      <c r="AT144" s="35">
        <f>L131</f>
        <v>87.48</v>
      </c>
      <c r="AV144" t="s">
        <v>491</v>
      </c>
      <c r="AW144" s="35">
        <f>L134</f>
        <v>0</v>
      </c>
      <c r="AZ144">
        <f>Source!X32</f>
        <v>13425.12</v>
      </c>
      <c r="BA144">
        <f>Source!Y32</f>
        <v>6836.87</v>
      </c>
      <c r="CD144">
        <v>1</v>
      </c>
    </row>
    <row r="145" spans="1:83" ht="28.5" x14ac:dyDescent="0.2">
      <c r="A145" s="20" t="s">
        <v>68</v>
      </c>
      <c r="B145" s="22" t="s">
        <v>508</v>
      </c>
      <c r="C145" s="22" t="str">
        <f>Source!G33</f>
        <v>Разборка покрытий кровель: из рулонных материалов</v>
      </c>
      <c r="D145" s="23" t="str">
        <f>Source!H33</f>
        <v>100 м2</v>
      </c>
      <c r="E145" s="24">
        <f>Source!K33</f>
        <v>5.2</v>
      </c>
      <c r="F145" s="24"/>
      <c r="G145" s="24">
        <f>Source!I33</f>
        <v>5.2</v>
      </c>
      <c r="H145" s="26"/>
      <c r="I145" s="25"/>
      <c r="J145" s="26"/>
      <c r="K145" s="25"/>
      <c r="L145" s="26"/>
    </row>
    <row r="146" spans="1:83" x14ac:dyDescent="0.2">
      <c r="C146" s="27" t="str">
        <f>"Объем: "&amp;Source!I33&amp;"=520/"&amp;"100"</f>
        <v>Объем: 5,2=520/100</v>
      </c>
    </row>
    <row r="147" spans="1:83" ht="15" x14ac:dyDescent="0.2">
      <c r="A147" s="21"/>
      <c r="B147" s="24">
        <v>1</v>
      </c>
      <c r="C147" s="21" t="s">
        <v>482</v>
      </c>
      <c r="D147" s="23" t="s">
        <v>346</v>
      </c>
      <c r="E147" s="28"/>
      <c r="F147" s="24"/>
      <c r="G147" s="24">
        <f>Source!U33</f>
        <v>74.775999999999996</v>
      </c>
      <c r="H147" s="24"/>
      <c r="I147" s="24"/>
      <c r="J147" s="24"/>
      <c r="K147" s="24"/>
      <c r="L147" s="29">
        <f>SUM(L148:L148)-SUMIF(CE148:CE148, 1, L148:L148)</f>
        <v>24633.46</v>
      </c>
    </row>
    <row r="148" spans="1:83" ht="14.25" x14ac:dyDescent="0.2">
      <c r="A148" s="22"/>
      <c r="B148" s="22" t="s">
        <v>344</v>
      </c>
      <c r="C148" s="22" t="s">
        <v>345</v>
      </c>
      <c r="D148" s="23" t="s">
        <v>346</v>
      </c>
      <c r="E148" s="24">
        <v>14.38</v>
      </c>
      <c r="F148" s="24"/>
      <c r="G148" s="24">
        <f>SmtRes!CX27</f>
        <v>74.775999999999996</v>
      </c>
      <c r="H148" s="26"/>
      <c r="I148" s="25"/>
      <c r="J148" s="26">
        <f>SmtRes!CZ27</f>
        <v>329.43</v>
      </c>
      <c r="K148" s="25"/>
      <c r="L148" s="26">
        <f>SmtRes!DI27</f>
        <v>24633.46</v>
      </c>
    </row>
    <row r="149" spans="1:83" ht="15" x14ac:dyDescent="0.2">
      <c r="A149" s="21"/>
      <c r="B149" s="24">
        <v>2</v>
      </c>
      <c r="C149" s="21" t="s">
        <v>483</v>
      </c>
      <c r="D149" s="23"/>
      <c r="E149" s="28"/>
      <c r="F149" s="24"/>
      <c r="G149" s="24"/>
      <c r="H149" s="24"/>
      <c r="I149" s="24"/>
      <c r="J149" s="24"/>
      <c r="K149" s="24"/>
      <c r="L149" s="29">
        <f>SUM(L150:L151)-SUMIF(CE150:CE151, 1, L150:L151)</f>
        <v>577.66</v>
      </c>
    </row>
    <row r="150" spans="1:83" ht="15" hidden="1" x14ac:dyDescent="0.2">
      <c r="A150" s="21"/>
      <c r="B150" s="24"/>
      <c r="C150" s="21" t="s">
        <v>484</v>
      </c>
      <c r="D150" s="23" t="s">
        <v>346</v>
      </c>
      <c r="E150" s="28"/>
      <c r="F150" s="24"/>
      <c r="G150" s="24">
        <f>Source!V33</f>
        <v>0</v>
      </c>
      <c r="H150" s="24"/>
      <c r="I150" s="24"/>
      <c r="J150" s="24"/>
      <c r="K150" s="24"/>
      <c r="L150" s="29">
        <f>SUMIF(CE151:CE151, 1, L151:L151)</f>
        <v>0</v>
      </c>
      <c r="CE150">
        <v>1</v>
      </c>
    </row>
    <row r="151" spans="1:83" ht="28.5" x14ac:dyDescent="0.2">
      <c r="A151" s="22"/>
      <c r="B151" s="22" t="s">
        <v>347</v>
      </c>
      <c r="C151" s="30" t="s">
        <v>349</v>
      </c>
      <c r="D151" s="31" t="s">
        <v>350</v>
      </c>
      <c r="E151" s="32">
        <v>6.22</v>
      </c>
      <c r="F151" s="32"/>
      <c r="G151" s="32">
        <f>SmtRes!CX28</f>
        <v>32.344000000000001</v>
      </c>
      <c r="H151" s="33">
        <f>SmtRes!CZ28</f>
        <v>11.45</v>
      </c>
      <c r="I151" s="34">
        <f>SmtRes!AJ28</f>
        <v>1.56</v>
      </c>
      <c r="J151" s="33">
        <f>ROUND(H151*I151, 2)</f>
        <v>17.86</v>
      </c>
      <c r="K151" s="34"/>
      <c r="L151" s="33">
        <f>SmtRes!DG28</f>
        <v>577.66</v>
      </c>
    </row>
    <row r="152" spans="1:83" ht="15" x14ac:dyDescent="0.2">
      <c r="A152" s="22"/>
      <c r="B152" s="22"/>
      <c r="C152" s="37" t="s">
        <v>485</v>
      </c>
      <c r="D152" s="23"/>
      <c r="E152" s="24"/>
      <c r="F152" s="24"/>
      <c r="G152" s="24"/>
      <c r="H152" s="26"/>
      <c r="I152" s="25"/>
      <c r="J152" s="26"/>
      <c r="K152" s="25"/>
      <c r="L152" s="26">
        <f>L147+L149+L150</f>
        <v>25211.119999999999</v>
      </c>
    </row>
    <row r="153" spans="1:83" ht="14.25" x14ac:dyDescent="0.2">
      <c r="A153" s="22"/>
      <c r="B153" s="22"/>
      <c r="C153" s="22" t="s">
        <v>486</v>
      </c>
      <c r="D153" s="23"/>
      <c r="E153" s="24"/>
      <c r="F153" s="24"/>
      <c r="G153" s="24"/>
      <c r="H153" s="26"/>
      <c r="I153" s="25"/>
      <c r="J153" s="26"/>
      <c r="K153" s="25"/>
      <c r="L153" s="26">
        <f>SUM(AR145:AR156)+SUM(AS145:AS156)+SUM(AT145:AT156)+SUM(AU145:AU156)+SUM(AV145:AV156)</f>
        <v>24633.46</v>
      </c>
    </row>
    <row r="154" spans="1:83" ht="71.25" x14ac:dyDescent="0.2">
      <c r="A154" s="22"/>
      <c r="B154" s="22" t="s">
        <v>26</v>
      </c>
      <c r="C154" s="22" t="s">
        <v>487</v>
      </c>
      <c r="D154" s="23" t="s">
        <v>488</v>
      </c>
      <c r="E154" s="24">
        <f>Source!BZ33</f>
        <v>91</v>
      </c>
      <c r="F154" s="24"/>
      <c r="G154" s="24">
        <f>Source!AT33</f>
        <v>91</v>
      </c>
      <c r="H154" s="26"/>
      <c r="I154" s="25"/>
      <c r="J154" s="26"/>
      <c r="K154" s="25"/>
      <c r="L154" s="26">
        <f>SUM(AZ145:AZ156)</f>
        <v>22416.45</v>
      </c>
    </row>
    <row r="155" spans="1:83" ht="71.25" x14ac:dyDescent="0.2">
      <c r="A155" s="30"/>
      <c r="B155" s="30" t="s">
        <v>27</v>
      </c>
      <c r="C155" s="30" t="s">
        <v>489</v>
      </c>
      <c r="D155" s="31" t="s">
        <v>488</v>
      </c>
      <c r="E155" s="32">
        <f>Source!CA33</f>
        <v>52</v>
      </c>
      <c r="F155" s="32"/>
      <c r="G155" s="32">
        <f>Source!AU33</f>
        <v>52</v>
      </c>
      <c r="H155" s="33"/>
      <c r="I155" s="34"/>
      <c r="J155" s="33"/>
      <c r="K155" s="34"/>
      <c r="L155" s="33">
        <f>SUM(BA145:BA156)</f>
        <v>12809.4</v>
      </c>
    </row>
    <row r="156" spans="1:83" ht="15" x14ac:dyDescent="0.2">
      <c r="C156" s="93" t="s">
        <v>490</v>
      </c>
      <c r="D156" s="93"/>
      <c r="E156" s="93"/>
      <c r="F156" s="93"/>
      <c r="G156" s="93"/>
      <c r="H156" s="93"/>
      <c r="I156" s="94">
        <f>IF(E145&lt;&gt;0,K156/E145, 0)</f>
        <v>11622.494230769231</v>
      </c>
      <c r="J156" s="94"/>
      <c r="K156" s="94">
        <f>L147+L149+L154+L155+L150</f>
        <v>60436.97</v>
      </c>
      <c r="L156" s="94"/>
      <c r="AD156">
        <f>ROUND((Source!AT33/100)*((ROUND(SUMIF(SmtRes!AQ27:'SmtRes'!AQ28,"=1",SmtRes!AD27:'SmtRes'!AD28)*Source!I33, 2)+ROUND(SUMIF(SmtRes!AQ27:'SmtRes'!AQ28,"=1",SmtRes!AC27:'SmtRes'!AC28)*Source!I33, 2))), 2)</f>
        <v>1558.87</v>
      </c>
      <c r="AE156">
        <f>ROUND((Source!AU33/100)*((ROUND(SUMIF(SmtRes!AQ27:'SmtRes'!AQ28,"=1",SmtRes!AD27:'SmtRes'!AD28)*Source!I33, 2)+ROUND(SUMIF(SmtRes!AQ27:'SmtRes'!AQ28,"=1",SmtRes!AC27:'SmtRes'!AC28)*Source!I33, 2))), 2)</f>
        <v>890.78</v>
      </c>
      <c r="AN156" s="35">
        <f>L147+L149+L154+L155+L150</f>
        <v>60436.97</v>
      </c>
      <c r="AO156" s="35">
        <f>L149</f>
        <v>577.66</v>
      </c>
      <c r="AQ156" t="s">
        <v>491</v>
      </c>
      <c r="AR156" s="35">
        <f>L147</f>
        <v>24633.46</v>
      </c>
      <c r="AT156" s="35">
        <f>L150</f>
        <v>0</v>
      </c>
      <c r="AV156" t="s">
        <v>491</v>
      </c>
      <c r="AW156">
        <f>0</f>
        <v>0</v>
      </c>
      <c r="AZ156">
        <f>Source!X33</f>
        <v>22416.45</v>
      </c>
      <c r="BA156">
        <f>Source!Y33</f>
        <v>12809.4</v>
      </c>
      <c r="CD156">
        <v>1</v>
      </c>
    </row>
    <row r="157" spans="1:83" ht="106.5" x14ac:dyDescent="0.2">
      <c r="A157" s="20" t="s">
        <v>72</v>
      </c>
      <c r="B157" s="22" t="s">
        <v>509</v>
      </c>
      <c r="C157" s="22" t="s">
        <v>510</v>
      </c>
      <c r="D157" s="23" t="str">
        <f>Source!H34</f>
        <v>100 м2</v>
      </c>
      <c r="E157" s="24">
        <f>Source!K34</f>
        <v>5.2</v>
      </c>
      <c r="F157" s="24"/>
      <c r="G157" s="24">
        <f>Source!I34</f>
        <v>5.2</v>
      </c>
      <c r="H157" s="26"/>
      <c r="I157" s="25"/>
      <c r="J157" s="26"/>
      <c r="K157" s="25"/>
      <c r="L157" s="26"/>
    </row>
    <row r="158" spans="1:83" ht="51" x14ac:dyDescent="0.2">
      <c r="B158" s="39" t="str">
        <f>Source!EO34</f>
        <v>Поправка: 571/пр_2022_т.2_п.1</v>
      </c>
      <c r="C158" s="39" t="str">
        <f>Source!CN34</f>
        <v>Поправка: 571/пр_2022_т.2_п.1_x000D_
Наименование: При демонтаже (разборке) сборных бетонных и железобетонных конструкций</v>
      </c>
    </row>
    <row r="159" spans="1:83" x14ac:dyDescent="0.2">
      <c r="C159" s="27" t="str">
        <f>"Объем: "&amp;Source!I34&amp;"=520/"&amp;"100"</f>
        <v>Объем: 5,2=520/100</v>
      </c>
    </row>
    <row r="160" spans="1:83" ht="15" x14ac:dyDescent="0.2">
      <c r="A160" s="21"/>
      <c r="B160" s="24">
        <v>1</v>
      </c>
      <c r="C160" s="21" t="s">
        <v>482</v>
      </c>
      <c r="D160" s="23" t="s">
        <v>346</v>
      </c>
      <c r="E160" s="28"/>
      <c r="F160" s="24"/>
      <c r="G160" s="24">
        <f>Source!U34</f>
        <v>101.08799999999999</v>
      </c>
      <c r="H160" s="24"/>
      <c r="I160" s="24"/>
      <c r="J160" s="24"/>
      <c r="K160" s="24"/>
      <c r="L160" s="29">
        <f>SUM(L161:L161)-SUMIF(CE161:CE161, 1, L161:L161)</f>
        <v>36815.24</v>
      </c>
    </row>
    <row r="161" spans="1:83" ht="28.5" x14ac:dyDescent="0.2">
      <c r="A161" s="22"/>
      <c r="B161" s="22" t="s">
        <v>377</v>
      </c>
      <c r="C161" s="22" t="s">
        <v>378</v>
      </c>
      <c r="D161" s="23" t="s">
        <v>346</v>
      </c>
      <c r="E161" s="24">
        <v>24.3</v>
      </c>
      <c r="F161" s="24">
        <f>ROUND(0.8,7)</f>
        <v>0.8</v>
      </c>
      <c r="G161" s="24">
        <f>SmtRes!CX29</f>
        <v>101.08799999999999</v>
      </c>
      <c r="H161" s="26"/>
      <c r="I161" s="25"/>
      <c r="J161" s="26">
        <f>SmtRes!CZ29</f>
        <v>364.19</v>
      </c>
      <c r="K161" s="25"/>
      <c r="L161" s="26">
        <f>SmtRes!DI29</f>
        <v>36815.24</v>
      </c>
    </row>
    <row r="162" spans="1:83" ht="15" x14ac:dyDescent="0.2">
      <c r="A162" s="21"/>
      <c r="B162" s="24">
        <v>2</v>
      </c>
      <c r="C162" s="21" t="s">
        <v>483</v>
      </c>
      <c r="D162" s="23"/>
      <c r="E162" s="28"/>
      <c r="F162" s="24"/>
      <c r="G162" s="24"/>
      <c r="H162" s="24"/>
      <c r="I162" s="24"/>
      <c r="J162" s="24"/>
      <c r="K162" s="24"/>
      <c r="L162" s="29">
        <f>SUM(L163:L168)-SUMIF(CE163:CE168, 1, L163:L168)</f>
        <v>12167.580000000002</v>
      </c>
    </row>
    <row r="163" spans="1:83" ht="15" x14ac:dyDescent="0.2">
      <c r="A163" s="21"/>
      <c r="B163" s="24"/>
      <c r="C163" s="21" t="s">
        <v>484</v>
      </c>
      <c r="D163" s="23" t="s">
        <v>346</v>
      </c>
      <c r="E163" s="28"/>
      <c r="F163" s="24"/>
      <c r="G163" s="24">
        <f>Source!V34</f>
        <v>8.0703999999999994</v>
      </c>
      <c r="H163" s="24"/>
      <c r="I163" s="24"/>
      <c r="J163" s="24"/>
      <c r="K163" s="24"/>
      <c r="L163" s="29">
        <f>SUMIF(CE164:CE168, 1, L164:L168)</f>
        <v>3978.5</v>
      </c>
      <c r="CE163">
        <v>1</v>
      </c>
    </row>
    <row r="164" spans="1:83" ht="28.5" x14ac:dyDescent="0.2">
      <c r="A164" s="22"/>
      <c r="B164" s="22" t="s">
        <v>355</v>
      </c>
      <c r="C164" s="22" t="s">
        <v>357</v>
      </c>
      <c r="D164" s="23" t="s">
        <v>350</v>
      </c>
      <c r="E164" s="24">
        <v>0.68</v>
      </c>
      <c r="F164" s="24">
        <f>ROUND(0.8,7)</f>
        <v>0.8</v>
      </c>
      <c r="G164" s="24">
        <f>SmtRes!CX31</f>
        <v>2.8288000000000002</v>
      </c>
      <c r="H164" s="26"/>
      <c r="I164" s="25"/>
      <c r="J164" s="26">
        <f>SmtRes!CZ31</f>
        <v>1098</v>
      </c>
      <c r="K164" s="25"/>
      <c r="L164" s="26">
        <f>SmtRes!DG31</f>
        <v>3106.02</v>
      </c>
    </row>
    <row r="165" spans="1:83" ht="28.5" x14ac:dyDescent="0.2">
      <c r="A165" s="22"/>
      <c r="B165" s="22" t="s">
        <v>358</v>
      </c>
      <c r="C165" s="22" t="s">
        <v>493</v>
      </c>
      <c r="D165" s="23" t="s">
        <v>346</v>
      </c>
      <c r="E165" s="24">
        <f>SmtRes!DO31*SmtRes!AT31</f>
        <v>0.68</v>
      </c>
      <c r="F165" s="24">
        <f>ROUND(0.8,7)</f>
        <v>0.8</v>
      </c>
      <c r="G165" s="24">
        <f>ROUND(E165*F165*G157, 7)</f>
        <v>2.8288000000000002</v>
      </c>
      <c r="H165" s="26"/>
      <c r="I165" s="25"/>
      <c r="J165" s="26">
        <f>ROUND(SmtRes!AG31/SmtRes!DO31, 2)</f>
        <v>544.01</v>
      </c>
      <c r="K165" s="25"/>
      <c r="L165" s="26">
        <f>SmtRes!DH31</f>
        <v>1538.9</v>
      </c>
      <c r="CE165">
        <v>1</v>
      </c>
    </row>
    <row r="166" spans="1:83" ht="71.25" x14ac:dyDescent="0.2">
      <c r="A166" s="22"/>
      <c r="B166" s="22" t="s">
        <v>379</v>
      </c>
      <c r="C166" s="22" t="s">
        <v>381</v>
      </c>
      <c r="D166" s="23" t="s">
        <v>350</v>
      </c>
      <c r="E166" s="24">
        <v>1.26</v>
      </c>
      <c r="F166" s="24">
        <f>ROUND(0.8,7)</f>
        <v>0.8</v>
      </c>
      <c r="G166" s="24">
        <f>SmtRes!CX32</f>
        <v>5.2416</v>
      </c>
      <c r="H166" s="26"/>
      <c r="I166" s="25"/>
      <c r="J166" s="26">
        <f>SmtRes!CZ32</f>
        <v>1689.72</v>
      </c>
      <c r="K166" s="25"/>
      <c r="L166" s="26">
        <f>SmtRes!DG32</f>
        <v>8856.84</v>
      </c>
    </row>
    <row r="167" spans="1:83" ht="28.5" x14ac:dyDescent="0.2">
      <c r="A167" s="22"/>
      <c r="B167" s="22" t="s">
        <v>382</v>
      </c>
      <c r="C167" s="22" t="s">
        <v>511</v>
      </c>
      <c r="D167" s="23" t="s">
        <v>346</v>
      </c>
      <c r="E167" s="24">
        <f>SmtRes!DO32*SmtRes!AT32</f>
        <v>1.26</v>
      </c>
      <c r="F167" s="24">
        <f>ROUND(0.8,7)</f>
        <v>0.8</v>
      </c>
      <c r="G167" s="24">
        <f>ROUND(E167*F167*G157, 7)</f>
        <v>5.2416</v>
      </c>
      <c r="H167" s="26"/>
      <c r="I167" s="25"/>
      <c r="J167" s="26">
        <f>ROUND(SmtRes!AG32/SmtRes!DO32, 2)</f>
        <v>465.43</v>
      </c>
      <c r="K167" s="25"/>
      <c r="L167" s="26">
        <f>SmtRes!DH32</f>
        <v>2439.6</v>
      </c>
      <c r="CE167">
        <v>1</v>
      </c>
    </row>
    <row r="168" spans="1:83" ht="28.5" x14ac:dyDescent="0.2">
      <c r="A168" s="22"/>
      <c r="B168" s="22" t="s">
        <v>383</v>
      </c>
      <c r="C168" s="22" t="s">
        <v>385</v>
      </c>
      <c r="D168" s="23" t="s">
        <v>350</v>
      </c>
      <c r="E168" s="24">
        <v>2.29</v>
      </c>
      <c r="F168" s="24">
        <f>ROUND(0.8,7)</f>
        <v>0.8</v>
      </c>
      <c r="G168" s="24">
        <f>SmtRes!CX33</f>
        <v>9.5264000000000006</v>
      </c>
      <c r="H168" s="26">
        <f>SmtRes!CZ33</f>
        <v>13.69</v>
      </c>
      <c r="I168" s="25">
        <f>SmtRes!AJ33</f>
        <v>1.57</v>
      </c>
      <c r="J168" s="26">
        <f>ROUND(H168*I168, 2)</f>
        <v>21.49</v>
      </c>
      <c r="K168" s="25"/>
      <c r="L168" s="26">
        <f>SmtRes!DG33</f>
        <v>204.72</v>
      </c>
    </row>
    <row r="169" spans="1:83" ht="15" hidden="1" x14ac:dyDescent="0.2">
      <c r="A169" s="21"/>
      <c r="B169" s="24">
        <v>4</v>
      </c>
      <c r="C169" s="21" t="s">
        <v>504</v>
      </c>
      <c r="D169" s="23"/>
      <c r="E169" s="28"/>
      <c r="F169" s="24"/>
      <c r="G169" s="24"/>
      <c r="H169" s="24"/>
      <c r="I169" s="24"/>
      <c r="J169" s="24"/>
      <c r="K169" s="24"/>
      <c r="L169" s="29">
        <f>SUM(L170:L171)-SUMIF(CE170:CE171, 1, L170:L171)</f>
        <v>0</v>
      </c>
    </row>
    <row r="170" spans="1:83" ht="14.25" x14ac:dyDescent="0.2">
      <c r="A170" s="22"/>
      <c r="B170" s="22" t="s">
        <v>386</v>
      </c>
      <c r="C170" s="22" t="s">
        <v>388</v>
      </c>
      <c r="D170" s="23" t="s">
        <v>92</v>
      </c>
      <c r="E170" s="24">
        <v>3.85</v>
      </c>
      <c r="F170" s="24">
        <f>ROUND(0,7)</f>
        <v>0</v>
      </c>
      <c r="G170" s="24">
        <f>SmtRes!CX34</f>
        <v>0</v>
      </c>
      <c r="H170" s="26">
        <f>SmtRes!CZ34</f>
        <v>35.71</v>
      </c>
      <c r="I170" s="25">
        <f>SmtRes!AI34</f>
        <v>0.83</v>
      </c>
      <c r="J170" s="26">
        <f>ROUND(H170*I170, 2)</f>
        <v>29.64</v>
      </c>
      <c r="K170" s="25"/>
      <c r="L170" s="26">
        <f>SmtRes!DF34</f>
        <v>0</v>
      </c>
    </row>
    <row r="171" spans="1:83" ht="14.25" x14ac:dyDescent="0.2">
      <c r="A171" s="22"/>
      <c r="B171" s="22" t="s">
        <v>389</v>
      </c>
      <c r="C171" s="22" t="s">
        <v>391</v>
      </c>
      <c r="D171" s="23" t="s">
        <v>145</v>
      </c>
      <c r="E171" s="24">
        <v>4.4000000000000004</v>
      </c>
      <c r="F171" s="24">
        <f>ROUND(0,7)</f>
        <v>0</v>
      </c>
      <c r="G171" s="24">
        <f>SmtRes!CX35</f>
        <v>0</v>
      </c>
      <c r="H171" s="26">
        <f>SmtRes!CZ35</f>
        <v>26.93</v>
      </c>
      <c r="I171" s="25">
        <f>SmtRes!AI35</f>
        <v>1.43</v>
      </c>
      <c r="J171" s="26">
        <f>ROUND(H171*I171, 2)</f>
        <v>38.51</v>
      </c>
      <c r="K171" s="25"/>
      <c r="L171" s="26">
        <f>SmtRes!DF35</f>
        <v>0</v>
      </c>
    </row>
    <row r="172" spans="1:83" ht="28.5" x14ac:dyDescent="0.2">
      <c r="A172" s="22"/>
      <c r="B172" s="22" t="str">
        <f>EtalonRes!I38</f>
        <v>04.3.01.09</v>
      </c>
      <c r="C172" s="30" t="str">
        <f>EtalonRes!K38</f>
        <v>Раствор готовый кладочный тяжелый цементный</v>
      </c>
      <c r="D172" s="31" t="str">
        <f>EtalonRes!O38</f>
        <v>м3</v>
      </c>
      <c r="E172" s="32">
        <f>EtalonRes!X38</f>
        <v>1.53</v>
      </c>
      <c r="F172" s="32">
        <f>ROUND(0,7)</f>
        <v>0</v>
      </c>
      <c r="G172" s="32">
        <f>ROUND(EtalonRes!AG38*Source!I34, 7)</f>
        <v>0</v>
      </c>
      <c r="H172" s="33"/>
      <c r="I172" s="34"/>
      <c r="J172" s="33"/>
      <c r="K172" s="34"/>
      <c r="L172" s="33"/>
    </row>
    <row r="173" spans="1:83" ht="15" x14ac:dyDescent="0.2">
      <c r="A173" s="22"/>
      <c r="B173" s="22"/>
      <c r="C173" s="37" t="s">
        <v>485</v>
      </c>
      <c r="D173" s="23"/>
      <c r="E173" s="24"/>
      <c r="F173" s="24"/>
      <c r="G173" s="24"/>
      <c r="H173" s="26"/>
      <c r="I173" s="25"/>
      <c r="J173" s="26"/>
      <c r="K173" s="25"/>
      <c r="L173" s="26">
        <f>L160+L162+L163+L169</f>
        <v>52961.32</v>
      </c>
    </row>
    <row r="174" spans="1:83" ht="14.25" x14ac:dyDescent="0.2">
      <c r="A174" s="22"/>
      <c r="B174" s="22"/>
      <c r="C174" s="22" t="s">
        <v>486</v>
      </c>
      <c r="D174" s="23"/>
      <c r="E174" s="24"/>
      <c r="F174" s="24"/>
      <c r="G174" s="24"/>
      <c r="H174" s="26"/>
      <c r="I174" s="25"/>
      <c r="J174" s="26"/>
      <c r="K174" s="25"/>
      <c r="L174" s="26">
        <f>SUM(AR157:AR177)+SUM(AS157:AS177)+SUM(AT157:AT177)+SUM(AU157:AU177)+SUM(AV157:AV177)</f>
        <v>40793.74</v>
      </c>
    </row>
    <row r="175" spans="1:83" ht="14.25" x14ac:dyDescent="0.2">
      <c r="A175" s="22"/>
      <c r="B175" s="22" t="s">
        <v>82</v>
      </c>
      <c r="C175" s="22" t="s">
        <v>512</v>
      </c>
      <c r="D175" s="23" t="s">
        <v>488</v>
      </c>
      <c r="E175" s="24">
        <f>Source!BZ34</f>
        <v>109</v>
      </c>
      <c r="F175" s="24"/>
      <c r="G175" s="24">
        <f>Source!AT34</f>
        <v>109</v>
      </c>
      <c r="H175" s="26"/>
      <c r="I175" s="25"/>
      <c r="J175" s="26"/>
      <c r="K175" s="25"/>
      <c r="L175" s="26">
        <f>SUM(AZ157:AZ177)</f>
        <v>44465.18</v>
      </c>
    </row>
    <row r="176" spans="1:83" ht="14.25" x14ac:dyDescent="0.2">
      <c r="A176" s="30"/>
      <c r="B176" s="30" t="s">
        <v>83</v>
      </c>
      <c r="C176" s="30" t="s">
        <v>513</v>
      </c>
      <c r="D176" s="31" t="s">
        <v>488</v>
      </c>
      <c r="E176" s="32">
        <f>Source!CA34</f>
        <v>57</v>
      </c>
      <c r="F176" s="32"/>
      <c r="G176" s="32">
        <f>Source!AU34</f>
        <v>57</v>
      </c>
      <c r="H176" s="33"/>
      <c r="I176" s="34"/>
      <c r="J176" s="33"/>
      <c r="K176" s="34"/>
      <c r="L176" s="33">
        <f>SUM(BA157:BA177)</f>
        <v>23252.43</v>
      </c>
    </row>
    <row r="177" spans="1:83" ht="15" x14ac:dyDescent="0.2">
      <c r="C177" s="93" t="s">
        <v>490</v>
      </c>
      <c r="D177" s="93"/>
      <c r="E177" s="93"/>
      <c r="F177" s="93"/>
      <c r="G177" s="93"/>
      <c r="H177" s="93"/>
      <c r="I177" s="94">
        <f>IF(E157&lt;&gt;0,K177/E157, 0)</f>
        <v>23207.486538461537</v>
      </c>
      <c r="J177" s="94"/>
      <c r="K177" s="94">
        <f>L160+L162+L169+L175+L176+L163</f>
        <v>120678.93</v>
      </c>
      <c r="L177" s="94"/>
      <c r="AD177">
        <f>ROUND((Source!AT34/100)*((ROUND(SUMIF(SmtRes!AQ29:'SmtRes'!AQ35,"=1",SmtRes!AD29:'SmtRes'!AD35)*Source!I34, 2)+ROUND(SUMIF(SmtRes!AQ29:'SmtRes'!AQ35,"=1",SmtRes!AC29:'SmtRes'!AC35)*Source!I34, 2))), 2)</f>
        <v>7785.74</v>
      </c>
      <c r="AE177">
        <f>ROUND((Source!AU34/100)*((ROUND(SUMIF(SmtRes!AQ29:'SmtRes'!AQ35,"=1",SmtRes!AD29:'SmtRes'!AD35)*Source!I34, 2)+ROUND(SUMIF(SmtRes!AQ29:'SmtRes'!AQ35,"=1",SmtRes!AC29:'SmtRes'!AC35)*Source!I34, 2))), 2)</f>
        <v>4071.44</v>
      </c>
      <c r="AN177" s="35">
        <f>L160+L162+L169+L175+L176+L163</f>
        <v>120678.93</v>
      </c>
      <c r="AO177" s="35">
        <f>L162</f>
        <v>12167.580000000002</v>
      </c>
      <c r="AQ177" t="s">
        <v>491</v>
      </c>
      <c r="AR177" s="35">
        <f>L160</f>
        <v>36815.24</v>
      </c>
      <c r="AT177" s="35">
        <f>L163</f>
        <v>3978.5</v>
      </c>
      <c r="AV177" t="s">
        <v>491</v>
      </c>
      <c r="AW177" s="35">
        <f>L169</f>
        <v>0</v>
      </c>
      <c r="AZ177">
        <f>Source!X34</f>
        <v>44465.18</v>
      </c>
      <c r="BA177">
        <f>Source!Y34</f>
        <v>23252.43</v>
      </c>
      <c r="CD177">
        <v>1</v>
      </c>
    </row>
    <row r="178" spans="1:83" ht="120.75" x14ac:dyDescent="0.2">
      <c r="A178" s="20" t="s">
        <v>84</v>
      </c>
      <c r="B178" s="22" t="s">
        <v>514</v>
      </c>
      <c r="C178" s="22" t="s">
        <v>515</v>
      </c>
      <c r="D178" s="23" t="str">
        <f>Source!H35</f>
        <v>100 м2</v>
      </c>
      <c r="E178" s="24">
        <f>Source!K35</f>
        <v>5.2</v>
      </c>
      <c r="F178" s="24"/>
      <c r="G178" s="24">
        <f>Source!I35</f>
        <v>5.2</v>
      </c>
      <c r="H178" s="26"/>
      <c r="I178" s="25"/>
      <c r="J178" s="26"/>
      <c r="K178" s="25"/>
      <c r="L178" s="26"/>
    </row>
    <row r="179" spans="1:83" ht="51" x14ac:dyDescent="0.2">
      <c r="B179" s="39" t="str">
        <f>Source!EO35</f>
        <v>Поправка: 571/пр_2022_т.2_п.1</v>
      </c>
      <c r="C179" s="39" t="str">
        <f>Source!CN35</f>
        <v>Поправка: 571/пр_2022_т.2_п.1_x000D_
Наименование: При демонтаже (разборке) сборных бетонных и железобетонных конструкций</v>
      </c>
    </row>
    <row r="180" spans="1:83" x14ac:dyDescent="0.2">
      <c r="C180" s="27" t="str">
        <f>"Объем: "&amp;Source!I35&amp;"=520/"&amp;"100"</f>
        <v>Объем: 5,2=520/100</v>
      </c>
    </row>
    <row r="181" spans="1:83" ht="15" x14ac:dyDescent="0.2">
      <c r="A181" s="21"/>
      <c r="B181" s="24">
        <v>1</v>
      </c>
      <c r="C181" s="21" t="s">
        <v>482</v>
      </c>
      <c r="D181" s="23" t="s">
        <v>346</v>
      </c>
      <c r="E181" s="28"/>
      <c r="F181" s="24"/>
      <c r="G181" s="24">
        <f>Source!U35</f>
        <v>249.6</v>
      </c>
      <c r="H181" s="24"/>
      <c r="I181" s="24"/>
      <c r="J181" s="24"/>
      <c r="K181" s="24"/>
      <c r="L181" s="29">
        <f>SUM(L182:L182)-SUMIF(CE182:CE182, 1, L182:L182)</f>
        <v>90901.82</v>
      </c>
    </row>
    <row r="182" spans="1:83" ht="28.5" x14ac:dyDescent="0.2">
      <c r="A182" s="22"/>
      <c r="B182" s="22" t="s">
        <v>377</v>
      </c>
      <c r="C182" s="22" t="s">
        <v>378</v>
      </c>
      <c r="D182" s="23" t="s">
        <v>346</v>
      </c>
      <c r="E182" s="24">
        <v>1</v>
      </c>
      <c r="F182" s="24">
        <f>ROUND(0.8*60,7)</f>
        <v>48</v>
      </c>
      <c r="G182" s="24">
        <f>SmtRes!CX36</f>
        <v>249.6</v>
      </c>
      <c r="H182" s="26"/>
      <c r="I182" s="25"/>
      <c r="J182" s="26">
        <f>SmtRes!CZ36</f>
        <v>364.19</v>
      </c>
      <c r="K182" s="25"/>
      <c r="L182" s="26">
        <f>SmtRes!DI36</f>
        <v>90901.82</v>
      </c>
    </row>
    <row r="183" spans="1:83" ht="15" x14ac:dyDescent="0.2">
      <c r="A183" s="21"/>
      <c r="B183" s="24">
        <v>2</v>
      </c>
      <c r="C183" s="21" t="s">
        <v>483</v>
      </c>
      <c r="D183" s="23"/>
      <c r="E183" s="28"/>
      <c r="F183" s="24"/>
      <c r="G183" s="24"/>
      <c r="H183" s="24"/>
      <c r="I183" s="24"/>
      <c r="J183" s="24"/>
      <c r="K183" s="24"/>
      <c r="L183" s="29">
        <f>SUM(L184:L188)-SUMIF(CE184:CE188, 1, L184:L188)</f>
        <v>11175.69</v>
      </c>
    </row>
    <row r="184" spans="1:83" ht="15" x14ac:dyDescent="0.2">
      <c r="A184" s="21"/>
      <c r="B184" s="24"/>
      <c r="C184" s="21" t="s">
        <v>484</v>
      </c>
      <c r="D184" s="23" t="s">
        <v>346</v>
      </c>
      <c r="E184" s="28"/>
      <c r="F184" s="24"/>
      <c r="G184" s="24">
        <f>Source!V35</f>
        <v>7.4879999999999995</v>
      </c>
      <c r="H184" s="24"/>
      <c r="I184" s="24"/>
      <c r="J184" s="24"/>
      <c r="K184" s="24"/>
      <c r="L184" s="29">
        <f>SUMIF(CE185:CE188, 1, L185:L188)</f>
        <v>3681.2799999999997</v>
      </c>
      <c r="CE184">
        <v>1</v>
      </c>
    </row>
    <row r="185" spans="1:83" ht="28.5" x14ac:dyDescent="0.2">
      <c r="A185" s="22"/>
      <c r="B185" s="22" t="s">
        <v>355</v>
      </c>
      <c r="C185" s="22" t="s">
        <v>357</v>
      </c>
      <c r="D185" s="23" t="s">
        <v>350</v>
      </c>
      <c r="E185" s="24">
        <v>0.01</v>
      </c>
      <c r="F185" s="24">
        <f>ROUND(0.8*60,7)</f>
        <v>48</v>
      </c>
      <c r="G185" s="24">
        <f>SmtRes!CX38</f>
        <v>2.496</v>
      </c>
      <c r="H185" s="26"/>
      <c r="I185" s="25"/>
      <c r="J185" s="26">
        <f>SmtRes!CZ38</f>
        <v>1098</v>
      </c>
      <c r="K185" s="25"/>
      <c r="L185" s="26">
        <f>SmtRes!DG38</f>
        <v>2740.61</v>
      </c>
    </row>
    <row r="186" spans="1:83" ht="28.5" x14ac:dyDescent="0.2">
      <c r="A186" s="22"/>
      <c r="B186" s="22" t="s">
        <v>358</v>
      </c>
      <c r="C186" s="22" t="s">
        <v>493</v>
      </c>
      <c r="D186" s="23" t="s">
        <v>346</v>
      </c>
      <c r="E186" s="24">
        <f>SmtRes!DO38*SmtRes!AT38</f>
        <v>0.01</v>
      </c>
      <c r="F186" s="24">
        <f>ROUND(0.8*60,7)</f>
        <v>48</v>
      </c>
      <c r="G186" s="24">
        <f>ROUND(E186*F186*G178, 7)</f>
        <v>2.496</v>
      </c>
      <c r="H186" s="26"/>
      <c r="I186" s="25"/>
      <c r="J186" s="26">
        <f>ROUND(SmtRes!AG38/SmtRes!DO38, 2)</f>
        <v>544.01</v>
      </c>
      <c r="K186" s="25"/>
      <c r="L186" s="26">
        <f>SmtRes!DH38</f>
        <v>1357.85</v>
      </c>
      <c r="CE186">
        <v>1</v>
      </c>
    </row>
    <row r="187" spans="1:83" ht="71.25" x14ac:dyDescent="0.2">
      <c r="A187" s="22"/>
      <c r="B187" s="22" t="s">
        <v>379</v>
      </c>
      <c r="C187" s="22" t="s">
        <v>381</v>
      </c>
      <c r="D187" s="23" t="s">
        <v>350</v>
      </c>
      <c r="E187" s="24">
        <v>0.02</v>
      </c>
      <c r="F187" s="24">
        <f>ROUND(0.8*60,7)</f>
        <v>48</v>
      </c>
      <c r="G187" s="24">
        <f>SmtRes!CX39</f>
        <v>4.992</v>
      </c>
      <c r="H187" s="26"/>
      <c r="I187" s="25"/>
      <c r="J187" s="26">
        <f>SmtRes!CZ39</f>
        <v>1689.72</v>
      </c>
      <c r="K187" s="25"/>
      <c r="L187" s="26">
        <f>SmtRes!DG39</f>
        <v>8435.08</v>
      </c>
    </row>
    <row r="188" spans="1:83" ht="28.5" x14ac:dyDescent="0.2">
      <c r="A188" s="22"/>
      <c r="B188" s="22" t="s">
        <v>382</v>
      </c>
      <c r="C188" s="22" t="s">
        <v>511</v>
      </c>
      <c r="D188" s="23" t="s">
        <v>346</v>
      </c>
      <c r="E188" s="24">
        <f>SmtRes!DO39*SmtRes!AT39</f>
        <v>0.02</v>
      </c>
      <c r="F188" s="24">
        <f>ROUND(0.8*60,7)</f>
        <v>48</v>
      </c>
      <c r="G188" s="24">
        <f>ROUND(E188*F188*G178, 7)</f>
        <v>4.992</v>
      </c>
      <c r="H188" s="26"/>
      <c r="I188" s="25"/>
      <c r="J188" s="26">
        <f>ROUND(SmtRes!AG39/SmtRes!DO39, 2)</f>
        <v>465.43</v>
      </c>
      <c r="K188" s="25"/>
      <c r="L188" s="26">
        <f>SmtRes!DH39</f>
        <v>2323.4299999999998</v>
      </c>
      <c r="CE188">
        <v>1</v>
      </c>
    </row>
    <row r="189" spans="1:83" ht="28.5" x14ac:dyDescent="0.2">
      <c r="A189" s="22"/>
      <c r="B189" s="22" t="str">
        <f>EtalonRes!I44</f>
        <v>04.3.01.09</v>
      </c>
      <c r="C189" s="30" t="str">
        <f>EtalonRes!K44</f>
        <v>Раствор готовый кладочный тяжелый цементный</v>
      </c>
      <c r="D189" s="31" t="str">
        <f>EtalonRes!O44</f>
        <v>м3</v>
      </c>
      <c r="E189" s="32">
        <f>EtalonRes!X44</f>
        <v>0.10199999999999999</v>
      </c>
      <c r="F189" s="32">
        <f>ROUND(0,7)</f>
        <v>0</v>
      </c>
      <c r="G189" s="32">
        <f>ROUND(EtalonRes!AG44*Source!I35, 7)</f>
        <v>0</v>
      </c>
      <c r="H189" s="33"/>
      <c r="I189" s="34"/>
      <c r="J189" s="33"/>
      <c r="K189" s="34"/>
      <c r="L189" s="33"/>
    </row>
    <row r="190" spans="1:83" ht="15" x14ac:dyDescent="0.2">
      <c r="A190" s="22"/>
      <c r="B190" s="22"/>
      <c r="C190" s="37" t="s">
        <v>485</v>
      </c>
      <c r="D190" s="23"/>
      <c r="E190" s="24"/>
      <c r="F190" s="24"/>
      <c r="G190" s="24"/>
      <c r="H190" s="26"/>
      <c r="I190" s="25"/>
      <c r="J190" s="26"/>
      <c r="K190" s="25"/>
      <c r="L190" s="26">
        <f>L181+L183+L184</f>
        <v>105758.79000000001</v>
      </c>
    </row>
    <row r="191" spans="1:83" ht="14.25" x14ac:dyDescent="0.2">
      <c r="A191" s="22"/>
      <c r="B191" s="22"/>
      <c r="C191" s="22" t="s">
        <v>486</v>
      </c>
      <c r="D191" s="23"/>
      <c r="E191" s="24"/>
      <c r="F191" s="24"/>
      <c r="G191" s="24"/>
      <c r="H191" s="26"/>
      <c r="I191" s="25"/>
      <c r="J191" s="26"/>
      <c r="K191" s="25"/>
      <c r="L191" s="26">
        <f>SUM(AR178:AR194)+SUM(AS178:AS194)+SUM(AT178:AT194)+SUM(AU178:AU194)+SUM(AV178:AV194)</f>
        <v>94583.1</v>
      </c>
    </row>
    <row r="192" spans="1:83" ht="14.25" x14ac:dyDescent="0.2">
      <c r="A192" s="22"/>
      <c r="B192" s="22" t="s">
        <v>82</v>
      </c>
      <c r="C192" s="22" t="s">
        <v>512</v>
      </c>
      <c r="D192" s="23" t="s">
        <v>488</v>
      </c>
      <c r="E192" s="24">
        <f>Source!BZ35</f>
        <v>109</v>
      </c>
      <c r="F192" s="24"/>
      <c r="G192" s="24">
        <f>Source!AT35</f>
        <v>109</v>
      </c>
      <c r="H192" s="26"/>
      <c r="I192" s="25"/>
      <c r="J192" s="26"/>
      <c r="K192" s="25"/>
      <c r="L192" s="26">
        <f>SUM(AZ178:AZ194)</f>
        <v>103095.58</v>
      </c>
    </row>
    <row r="193" spans="1:83" ht="14.25" x14ac:dyDescent="0.2">
      <c r="A193" s="30"/>
      <c r="B193" s="30" t="s">
        <v>83</v>
      </c>
      <c r="C193" s="30" t="s">
        <v>513</v>
      </c>
      <c r="D193" s="31" t="s">
        <v>488</v>
      </c>
      <c r="E193" s="32">
        <f>Source!CA35</f>
        <v>57</v>
      </c>
      <c r="F193" s="32"/>
      <c r="G193" s="32">
        <f>Source!AU35</f>
        <v>57</v>
      </c>
      <c r="H193" s="33"/>
      <c r="I193" s="34"/>
      <c r="J193" s="33"/>
      <c r="K193" s="34"/>
      <c r="L193" s="33">
        <f>SUM(BA178:BA194)</f>
        <v>53912.37</v>
      </c>
    </row>
    <row r="194" spans="1:83" ht="15" x14ac:dyDescent="0.2">
      <c r="C194" s="93" t="s">
        <v>490</v>
      </c>
      <c r="D194" s="93"/>
      <c r="E194" s="93"/>
      <c r="F194" s="93"/>
      <c r="G194" s="93"/>
      <c r="H194" s="93"/>
      <c r="I194" s="94">
        <f>IF(E178&lt;&gt;0,K194/E178, 0)</f>
        <v>50532.065384615395</v>
      </c>
      <c r="J194" s="94"/>
      <c r="K194" s="94">
        <f>L181+L183+L192+L193+L184</f>
        <v>262766.74000000005</v>
      </c>
      <c r="L194" s="94"/>
      <c r="AD194">
        <f>ROUND((Source!AT35/100)*((ROUND(SUMIF(SmtRes!AQ36:'SmtRes'!AQ39,"=1",SmtRes!AD36:'SmtRes'!AD39)*Source!I35, 2)+ROUND(SUMIF(SmtRes!AQ36:'SmtRes'!AQ39,"=1",SmtRes!AC36:'SmtRes'!AC39)*Source!I35, 2))), 2)</f>
        <v>7785.74</v>
      </c>
      <c r="AE194">
        <f>ROUND((Source!AU35/100)*((ROUND(SUMIF(SmtRes!AQ36:'SmtRes'!AQ39,"=1",SmtRes!AD36:'SmtRes'!AD39)*Source!I35, 2)+ROUND(SUMIF(SmtRes!AQ36:'SmtRes'!AQ39,"=1",SmtRes!AC36:'SmtRes'!AC39)*Source!I35, 2))), 2)</f>
        <v>4071.44</v>
      </c>
      <c r="AN194" s="35">
        <f>L181+L183+L192+L193+L184</f>
        <v>262766.74000000005</v>
      </c>
      <c r="AO194" s="35">
        <f>L183</f>
        <v>11175.69</v>
      </c>
      <c r="AQ194" t="s">
        <v>491</v>
      </c>
      <c r="AR194" s="35">
        <f>L181</f>
        <v>90901.82</v>
      </c>
      <c r="AT194" s="35">
        <f>L184</f>
        <v>3681.2799999999997</v>
      </c>
      <c r="AV194" t="s">
        <v>491</v>
      </c>
      <c r="AW194">
        <f>0</f>
        <v>0</v>
      </c>
      <c r="AZ194">
        <f>Source!X35</f>
        <v>103095.58</v>
      </c>
      <c r="BA194">
        <f>Source!Y35</f>
        <v>53912.37</v>
      </c>
      <c r="CD194">
        <v>1</v>
      </c>
    </row>
    <row r="195" spans="1:83" ht="92.25" x14ac:dyDescent="0.2">
      <c r="A195" s="20" t="s">
        <v>89</v>
      </c>
      <c r="B195" s="22" t="s">
        <v>516</v>
      </c>
      <c r="C195" s="22" t="s">
        <v>517</v>
      </c>
      <c r="D195" s="23" t="str">
        <f>Source!H36</f>
        <v>м3</v>
      </c>
      <c r="E195" s="24">
        <f>Source!K36</f>
        <v>104</v>
      </c>
      <c r="F195" s="24"/>
      <c r="G195" s="24">
        <f>Source!I36</f>
        <v>104</v>
      </c>
      <c r="H195" s="26"/>
      <c r="I195" s="25"/>
      <c r="J195" s="26"/>
      <c r="K195" s="25"/>
      <c r="L195" s="26"/>
    </row>
    <row r="196" spans="1:83" ht="102" x14ac:dyDescent="0.2">
      <c r="B196" s="39" t="str">
        <f>Source!EO36</f>
        <v>Поправка: 571/пр_2022_п.83_т.2_стр.1_стб.3</v>
      </c>
      <c r="C196" s="39" t="str">
        <f>Source!CN36</f>
        <v>Поправка: 571/пр_2022_п.83_т.2_стр.1_стб.3_x000D_
Наименование: Разборка и (или) демонтаж строительных конструкций, систем и сетей инженерно-технического обеспечения, в том числе их элементов: сборных бетонных и железобетонных строительных конструкций</v>
      </c>
    </row>
    <row r="197" spans="1:83" x14ac:dyDescent="0.2">
      <c r="C197" s="27" t="str">
        <f>"Объем: "&amp;Source!I36&amp;"=520*"&amp;"0,2"</f>
        <v>Объем: 104=520*0,2</v>
      </c>
    </row>
    <row r="198" spans="1:83" ht="15" x14ac:dyDescent="0.2">
      <c r="A198" s="21"/>
      <c r="B198" s="24">
        <v>1</v>
      </c>
      <c r="C198" s="21" t="s">
        <v>482</v>
      </c>
      <c r="D198" s="23" t="s">
        <v>346</v>
      </c>
      <c r="E198" s="28"/>
      <c r="F198" s="24"/>
      <c r="G198" s="24">
        <f>Source!U36</f>
        <v>225.47200000000001</v>
      </c>
      <c r="H198" s="24"/>
      <c r="I198" s="24"/>
      <c r="J198" s="24"/>
      <c r="K198" s="24"/>
      <c r="L198" s="29">
        <f>SUM(L199:L199)-SUMIF(CE199:CE199, 1, L199:L199)</f>
        <v>74277.240000000005</v>
      </c>
    </row>
    <row r="199" spans="1:83" ht="28.5" x14ac:dyDescent="0.2">
      <c r="A199" s="22"/>
      <c r="B199" s="22" t="s">
        <v>344</v>
      </c>
      <c r="C199" s="22" t="s">
        <v>392</v>
      </c>
      <c r="D199" s="23" t="s">
        <v>346</v>
      </c>
      <c r="E199" s="24">
        <v>2.71</v>
      </c>
      <c r="F199" s="24">
        <f>ROUND(0.8,7)</f>
        <v>0.8</v>
      </c>
      <c r="G199" s="24">
        <f>SmtRes!CX40</f>
        <v>225.47200000000001</v>
      </c>
      <c r="H199" s="26"/>
      <c r="I199" s="25"/>
      <c r="J199" s="26">
        <f>SmtRes!CZ40</f>
        <v>329.43</v>
      </c>
      <c r="K199" s="25"/>
      <c r="L199" s="26">
        <f>SmtRes!DI40</f>
        <v>74277.240000000005</v>
      </c>
    </row>
    <row r="200" spans="1:83" ht="15" x14ac:dyDescent="0.2">
      <c r="A200" s="21"/>
      <c r="B200" s="24">
        <v>2</v>
      </c>
      <c r="C200" s="21" t="s">
        <v>483</v>
      </c>
      <c r="D200" s="23"/>
      <c r="E200" s="28"/>
      <c r="F200" s="24"/>
      <c r="G200" s="24"/>
      <c r="H200" s="24"/>
      <c r="I200" s="24"/>
      <c r="J200" s="24"/>
      <c r="K200" s="24"/>
      <c r="L200" s="29">
        <f>SUM(L201:L205)-SUMIF(CE201:CE205, 1, L201:L205)</f>
        <v>41891.06</v>
      </c>
    </row>
    <row r="201" spans="1:83" ht="15" x14ac:dyDescent="0.2">
      <c r="A201" s="21"/>
      <c r="B201" s="24"/>
      <c r="C201" s="21" t="s">
        <v>484</v>
      </c>
      <c r="D201" s="23" t="s">
        <v>346</v>
      </c>
      <c r="E201" s="28"/>
      <c r="F201" s="24"/>
      <c r="G201" s="24">
        <f>Source!V36</f>
        <v>28.287999999999997</v>
      </c>
      <c r="H201" s="24"/>
      <c r="I201" s="24"/>
      <c r="J201" s="24"/>
      <c r="K201" s="24"/>
      <c r="L201" s="29">
        <f>SUMIF(CE202:CE205, 1, L202:L205)</f>
        <v>13950.63</v>
      </c>
      <c r="CE201">
        <v>1</v>
      </c>
    </row>
    <row r="202" spans="1:83" ht="28.5" x14ac:dyDescent="0.2">
      <c r="A202" s="22"/>
      <c r="B202" s="22" t="s">
        <v>355</v>
      </c>
      <c r="C202" s="22" t="s">
        <v>357</v>
      </c>
      <c r="D202" s="23" t="s">
        <v>350</v>
      </c>
      <c r="E202" s="24">
        <v>0.12</v>
      </c>
      <c r="F202" s="24">
        <f>ROUND(0.8,7)</f>
        <v>0.8</v>
      </c>
      <c r="G202" s="24">
        <f>SmtRes!CX42</f>
        <v>9.984</v>
      </c>
      <c r="H202" s="26"/>
      <c r="I202" s="25"/>
      <c r="J202" s="26">
        <f>SmtRes!CZ42</f>
        <v>1098</v>
      </c>
      <c r="K202" s="25"/>
      <c r="L202" s="26">
        <f>SmtRes!DG42</f>
        <v>10962.43</v>
      </c>
    </row>
    <row r="203" spans="1:83" ht="28.5" x14ac:dyDescent="0.2">
      <c r="A203" s="22"/>
      <c r="B203" s="22" t="s">
        <v>358</v>
      </c>
      <c r="C203" s="22" t="s">
        <v>493</v>
      </c>
      <c r="D203" s="23" t="s">
        <v>346</v>
      </c>
      <c r="E203" s="24">
        <f>SmtRes!DO42*SmtRes!AT42</f>
        <v>0.12</v>
      </c>
      <c r="F203" s="24">
        <f>ROUND(0.8,7)</f>
        <v>0.8</v>
      </c>
      <c r="G203" s="24">
        <f>ROUND(E203*F203*G195, 7)</f>
        <v>9.984</v>
      </c>
      <c r="H203" s="26"/>
      <c r="I203" s="25"/>
      <c r="J203" s="26">
        <f>ROUND(SmtRes!AG42/SmtRes!DO42, 2)</f>
        <v>544.01</v>
      </c>
      <c r="K203" s="25"/>
      <c r="L203" s="26">
        <f>SmtRes!DH42</f>
        <v>5431.4</v>
      </c>
      <c r="CE203">
        <v>1</v>
      </c>
    </row>
    <row r="204" spans="1:83" ht="71.25" x14ac:dyDescent="0.2">
      <c r="A204" s="22"/>
      <c r="B204" s="22" t="s">
        <v>379</v>
      </c>
      <c r="C204" s="22" t="s">
        <v>381</v>
      </c>
      <c r="D204" s="23" t="s">
        <v>350</v>
      </c>
      <c r="E204" s="24">
        <v>0.22</v>
      </c>
      <c r="F204" s="24">
        <f>ROUND(0.8,7)</f>
        <v>0.8</v>
      </c>
      <c r="G204" s="24">
        <f>SmtRes!CX43</f>
        <v>18.303999999999998</v>
      </c>
      <c r="H204" s="26"/>
      <c r="I204" s="25"/>
      <c r="J204" s="26">
        <f>SmtRes!CZ43</f>
        <v>1689.72</v>
      </c>
      <c r="K204" s="25"/>
      <c r="L204" s="26">
        <f>SmtRes!DG43</f>
        <v>30928.63</v>
      </c>
    </row>
    <row r="205" spans="1:83" ht="28.5" x14ac:dyDescent="0.2">
      <c r="A205" s="22"/>
      <c r="B205" s="22" t="s">
        <v>382</v>
      </c>
      <c r="C205" s="22" t="s">
        <v>511</v>
      </c>
      <c r="D205" s="23" t="s">
        <v>346</v>
      </c>
      <c r="E205" s="24">
        <f>SmtRes!DO43*SmtRes!AT43</f>
        <v>0.22</v>
      </c>
      <c r="F205" s="24">
        <f>ROUND(0.8,7)</f>
        <v>0.8</v>
      </c>
      <c r="G205" s="24">
        <f>ROUND(E205*F205*G195, 7)</f>
        <v>18.303999999999998</v>
      </c>
      <c r="H205" s="26"/>
      <c r="I205" s="25"/>
      <c r="J205" s="26">
        <f>ROUND(SmtRes!AG43/SmtRes!DO43, 2)</f>
        <v>465.43</v>
      </c>
      <c r="K205" s="25"/>
      <c r="L205" s="26">
        <f>SmtRes!DH43</f>
        <v>8519.23</v>
      </c>
      <c r="CE205">
        <v>1</v>
      </c>
    </row>
    <row r="206" spans="1:83" ht="14.25" x14ac:dyDescent="0.2">
      <c r="A206" s="22"/>
      <c r="B206" s="22" t="str">
        <f>EtalonRes!I49</f>
        <v>02.2.01.03</v>
      </c>
      <c r="C206" s="30" t="str">
        <f>EtalonRes!K49</f>
        <v>Гравий керамзитовый</v>
      </c>
      <c r="D206" s="31" t="str">
        <f>EtalonRes!O49</f>
        <v>м3</v>
      </c>
      <c r="E206" s="32">
        <f>EtalonRes!X49</f>
        <v>1.03</v>
      </c>
      <c r="F206" s="32">
        <f>ROUND(0,7)</f>
        <v>0</v>
      </c>
      <c r="G206" s="32">
        <f>ROUND(EtalonRes!AG49*Source!I36, 7)</f>
        <v>0</v>
      </c>
      <c r="H206" s="33"/>
      <c r="I206" s="34"/>
      <c r="J206" s="33"/>
      <c r="K206" s="34"/>
      <c r="L206" s="33"/>
    </row>
    <row r="207" spans="1:83" ht="15" x14ac:dyDescent="0.2">
      <c r="A207" s="22"/>
      <c r="B207" s="22"/>
      <c r="C207" s="37" t="s">
        <v>485</v>
      </c>
      <c r="D207" s="23"/>
      <c r="E207" s="24"/>
      <c r="F207" s="24"/>
      <c r="G207" s="24"/>
      <c r="H207" s="26"/>
      <c r="I207" s="25"/>
      <c r="J207" s="26"/>
      <c r="K207" s="25"/>
      <c r="L207" s="26">
        <f>L198+L200+L201</f>
        <v>130118.93000000001</v>
      </c>
    </row>
    <row r="208" spans="1:83" ht="14.25" x14ac:dyDescent="0.2">
      <c r="A208" s="22"/>
      <c r="B208" s="22"/>
      <c r="C208" s="22" t="s">
        <v>486</v>
      </c>
      <c r="D208" s="23"/>
      <c r="E208" s="24"/>
      <c r="F208" s="24"/>
      <c r="G208" s="24"/>
      <c r="H208" s="26"/>
      <c r="I208" s="25"/>
      <c r="J208" s="26"/>
      <c r="K208" s="25"/>
      <c r="L208" s="26">
        <f>SUM(AR195:AR211)+SUM(AS195:AS211)+SUM(AT195:AT211)+SUM(AU195:AU211)+SUM(AV195:AV211)</f>
        <v>88227.87000000001</v>
      </c>
    </row>
    <row r="209" spans="1:83" ht="14.25" x14ac:dyDescent="0.2">
      <c r="A209" s="22"/>
      <c r="B209" s="22" t="s">
        <v>82</v>
      </c>
      <c r="C209" s="22" t="s">
        <v>512</v>
      </c>
      <c r="D209" s="23" t="s">
        <v>488</v>
      </c>
      <c r="E209" s="24">
        <f>Source!BZ36</f>
        <v>109</v>
      </c>
      <c r="F209" s="24"/>
      <c r="G209" s="24">
        <f>Source!AT36</f>
        <v>109</v>
      </c>
      <c r="H209" s="26"/>
      <c r="I209" s="25"/>
      <c r="J209" s="26"/>
      <c r="K209" s="25"/>
      <c r="L209" s="26">
        <f>SUM(AZ195:AZ211)</f>
        <v>96168.38</v>
      </c>
    </row>
    <row r="210" spans="1:83" ht="14.25" x14ac:dyDescent="0.2">
      <c r="A210" s="30"/>
      <c r="B210" s="30" t="s">
        <v>83</v>
      </c>
      <c r="C210" s="30" t="s">
        <v>513</v>
      </c>
      <c r="D210" s="31" t="s">
        <v>488</v>
      </c>
      <c r="E210" s="32">
        <f>Source!CA36</f>
        <v>57</v>
      </c>
      <c r="F210" s="32"/>
      <c r="G210" s="32">
        <f>Source!AU36</f>
        <v>57</v>
      </c>
      <c r="H210" s="33"/>
      <c r="I210" s="34"/>
      <c r="J210" s="33"/>
      <c r="K210" s="34"/>
      <c r="L210" s="33">
        <f>SUM(BA195:BA211)</f>
        <v>50289.89</v>
      </c>
    </row>
    <row r="211" spans="1:83" ht="15" x14ac:dyDescent="0.2">
      <c r="C211" s="93" t="s">
        <v>490</v>
      </c>
      <c r="D211" s="93"/>
      <c r="E211" s="93"/>
      <c r="F211" s="93"/>
      <c r="G211" s="93"/>
      <c r="H211" s="93"/>
      <c r="I211" s="94">
        <f>IF(E195&lt;&gt;0,K211/E195, 0)</f>
        <v>2659.396153846154</v>
      </c>
      <c r="J211" s="94"/>
      <c r="K211" s="94">
        <f>L198+L200+L209+L210+L201</f>
        <v>276577.2</v>
      </c>
      <c r="L211" s="94"/>
      <c r="AD211">
        <f>ROUND((Source!AT36/100)*((ROUND(SUMIF(SmtRes!AQ40:'SmtRes'!AQ43,"=1",SmtRes!AD40:'SmtRes'!AD43)*Source!I36, 2)+ROUND(SUMIF(SmtRes!AQ40:'SmtRes'!AQ43,"=1",SmtRes!AC40:'SmtRes'!AC43)*Source!I36, 2))), 2)</f>
        <v>151774.29999999999</v>
      </c>
      <c r="AE211">
        <f>ROUND((Source!AU36/100)*((ROUND(SUMIF(SmtRes!AQ40:'SmtRes'!AQ43,"=1",SmtRes!AD40:'SmtRes'!AD43)*Source!I36, 2)+ROUND(SUMIF(SmtRes!AQ40:'SmtRes'!AQ43,"=1",SmtRes!AC40:'SmtRes'!AC43)*Source!I36, 2))), 2)</f>
        <v>79368.210000000006</v>
      </c>
      <c r="AN211" s="35">
        <f>L198+L200+L209+L210+L201</f>
        <v>276577.2</v>
      </c>
      <c r="AO211" s="35">
        <f>L200</f>
        <v>41891.06</v>
      </c>
      <c r="AQ211" t="s">
        <v>491</v>
      </c>
      <c r="AR211" s="35">
        <f>L198</f>
        <v>74277.240000000005</v>
      </c>
      <c r="AT211" s="35">
        <f>L201</f>
        <v>13950.63</v>
      </c>
      <c r="AV211" t="s">
        <v>491</v>
      </c>
      <c r="AW211">
        <f>0</f>
        <v>0</v>
      </c>
      <c r="AZ211">
        <f>Source!X36</f>
        <v>96168.38</v>
      </c>
      <c r="BA211">
        <f>Source!Y36</f>
        <v>50289.89</v>
      </c>
      <c r="CD211">
        <v>1</v>
      </c>
    </row>
    <row r="212" spans="1:83" ht="90.75" x14ac:dyDescent="0.2">
      <c r="A212" s="20" t="s">
        <v>96</v>
      </c>
      <c r="B212" s="22" t="s">
        <v>516</v>
      </c>
      <c r="C212" s="22" t="s">
        <v>518</v>
      </c>
      <c r="D212" s="23" t="str">
        <f>Source!H37</f>
        <v>м3</v>
      </c>
      <c r="E212" s="24">
        <f>Source!K37</f>
        <v>130</v>
      </c>
      <c r="F212" s="24"/>
      <c r="G212" s="24">
        <f>Source!I37</f>
        <v>130</v>
      </c>
      <c r="H212" s="26"/>
      <c r="I212" s="25"/>
      <c r="J212" s="26"/>
      <c r="K212" s="25"/>
      <c r="L212" s="26"/>
    </row>
    <row r="213" spans="1:83" ht="165.75" x14ac:dyDescent="0.2">
      <c r="B213" s="39" t="str">
        <f>Source!EO37</f>
        <v>Поправка: 421/пр_2020_п.58_пп.б</v>
      </c>
      <c r="C213" s="39" t="str">
        <f>Source!CN37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214" spans="1:83" x14ac:dyDescent="0.2">
      <c r="C214" s="27" t="str">
        <f>"Объем: "&amp;Source!I37&amp;"=520*"&amp;"0,25"</f>
        <v>Объем: 130=520*0,25</v>
      </c>
    </row>
    <row r="215" spans="1:83" ht="15" x14ac:dyDescent="0.2">
      <c r="A215" s="21"/>
      <c r="B215" s="24">
        <v>1</v>
      </c>
      <c r="C215" s="21" t="s">
        <v>482</v>
      </c>
      <c r="D215" s="23" t="s">
        <v>346</v>
      </c>
      <c r="E215" s="28"/>
      <c r="F215" s="24"/>
      <c r="G215" s="24">
        <f>Source!U37</f>
        <v>405.14499999999998</v>
      </c>
      <c r="H215" s="24"/>
      <c r="I215" s="24"/>
      <c r="J215" s="24"/>
      <c r="K215" s="24"/>
      <c r="L215" s="29">
        <f>SUM(L216:L216)-SUMIF(CE216:CE216, 1, L216:L216)</f>
        <v>133466.92000000001</v>
      </c>
    </row>
    <row r="216" spans="1:83" ht="28.5" x14ac:dyDescent="0.2">
      <c r="A216" s="22"/>
      <c r="B216" s="22" t="s">
        <v>344</v>
      </c>
      <c r="C216" s="22" t="s">
        <v>392</v>
      </c>
      <c r="D216" s="23" t="s">
        <v>346</v>
      </c>
      <c r="E216" s="24">
        <v>2.71</v>
      </c>
      <c r="F216" s="24">
        <f>ROUND(1.15,7)</f>
        <v>1.1499999999999999</v>
      </c>
      <c r="G216" s="24">
        <f>SmtRes!CX44</f>
        <v>405.14499999999998</v>
      </c>
      <c r="H216" s="26"/>
      <c r="I216" s="25"/>
      <c r="J216" s="26">
        <f>SmtRes!CZ44</f>
        <v>329.43</v>
      </c>
      <c r="K216" s="25"/>
      <c r="L216" s="26">
        <f>SmtRes!DI44</f>
        <v>133466.92000000001</v>
      </c>
    </row>
    <row r="217" spans="1:83" ht="15" x14ac:dyDescent="0.2">
      <c r="A217" s="21"/>
      <c r="B217" s="24">
        <v>2</v>
      </c>
      <c r="C217" s="21" t="s">
        <v>483</v>
      </c>
      <c r="D217" s="23"/>
      <c r="E217" s="28"/>
      <c r="F217" s="24"/>
      <c r="G217" s="24"/>
      <c r="H217" s="24"/>
      <c r="I217" s="24"/>
      <c r="J217" s="24"/>
      <c r="K217" s="24"/>
      <c r="L217" s="29">
        <f>SUM(L218:L222)-SUMIF(CE218:CE222, 1, L218:L222)</f>
        <v>81818.490000000005</v>
      </c>
    </row>
    <row r="218" spans="1:83" ht="15" x14ac:dyDescent="0.2">
      <c r="A218" s="21"/>
      <c r="B218" s="24"/>
      <c r="C218" s="21" t="s">
        <v>484</v>
      </c>
      <c r="D218" s="23" t="s">
        <v>346</v>
      </c>
      <c r="E218" s="28"/>
      <c r="F218" s="24"/>
      <c r="G218" s="24">
        <f>Source!V37</f>
        <v>55.25</v>
      </c>
      <c r="H218" s="24"/>
      <c r="I218" s="24"/>
      <c r="J218" s="24"/>
      <c r="K218" s="24"/>
      <c r="L218" s="29">
        <f>SUMIF(CE219:CE222, 1, L219:L222)</f>
        <v>27247.32</v>
      </c>
      <c r="CE218">
        <v>1</v>
      </c>
    </row>
    <row r="219" spans="1:83" ht="28.5" x14ac:dyDescent="0.2">
      <c r="A219" s="22"/>
      <c r="B219" s="22" t="s">
        <v>355</v>
      </c>
      <c r="C219" s="22" t="s">
        <v>357</v>
      </c>
      <c r="D219" s="23" t="s">
        <v>350</v>
      </c>
      <c r="E219" s="24">
        <v>0.12</v>
      </c>
      <c r="F219" s="24">
        <f>ROUND(1.25,7)</f>
        <v>1.25</v>
      </c>
      <c r="G219" s="24">
        <f>SmtRes!CX46</f>
        <v>19.5</v>
      </c>
      <c r="H219" s="26"/>
      <c r="I219" s="25"/>
      <c r="J219" s="26">
        <f>SmtRes!CZ46</f>
        <v>1098</v>
      </c>
      <c r="K219" s="25"/>
      <c r="L219" s="26">
        <f>SmtRes!DG46</f>
        <v>21411</v>
      </c>
    </row>
    <row r="220" spans="1:83" ht="28.5" x14ac:dyDescent="0.2">
      <c r="A220" s="22"/>
      <c r="B220" s="22" t="s">
        <v>358</v>
      </c>
      <c r="C220" s="22" t="s">
        <v>493</v>
      </c>
      <c r="D220" s="23" t="s">
        <v>346</v>
      </c>
      <c r="E220" s="24">
        <f>SmtRes!DO46*SmtRes!AT46</f>
        <v>0.12</v>
      </c>
      <c r="F220" s="24">
        <f>ROUND(1.25,7)</f>
        <v>1.25</v>
      </c>
      <c r="G220" s="24">
        <f>ROUND(E220*F220*G212, 7)</f>
        <v>19.5</v>
      </c>
      <c r="H220" s="26"/>
      <c r="I220" s="25"/>
      <c r="J220" s="26">
        <f>ROUND(SmtRes!AG46/SmtRes!DO46, 2)</f>
        <v>544.01</v>
      </c>
      <c r="K220" s="25"/>
      <c r="L220" s="26">
        <f>SmtRes!DH46</f>
        <v>10608.2</v>
      </c>
      <c r="CE220">
        <v>1</v>
      </c>
    </row>
    <row r="221" spans="1:83" ht="71.25" x14ac:dyDescent="0.2">
      <c r="A221" s="22"/>
      <c r="B221" s="22" t="s">
        <v>379</v>
      </c>
      <c r="C221" s="22" t="s">
        <v>381</v>
      </c>
      <c r="D221" s="23" t="s">
        <v>350</v>
      </c>
      <c r="E221" s="24">
        <v>0.22</v>
      </c>
      <c r="F221" s="24">
        <f>ROUND(1.25,7)</f>
        <v>1.25</v>
      </c>
      <c r="G221" s="24">
        <f>SmtRes!CX47</f>
        <v>35.75</v>
      </c>
      <c r="H221" s="26"/>
      <c r="I221" s="25"/>
      <c r="J221" s="26">
        <f>SmtRes!CZ47</f>
        <v>1689.72</v>
      </c>
      <c r="K221" s="25"/>
      <c r="L221" s="26">
        <f>SmtRes!DG47</f>
        <v>60407.49</v>
      </c>
    </row>
    <row r="222" spans="1:83" ht="28.5" x14ac:dyDescent="0.2">
      <c r="A222" s="22"/>
      <c r="B222" s="22" t="s">
        <v>382</v>
      </c>
      <c r="C222" s="22" t="s">
        <v>511</v>
      </c>
      <c r="D222" s="23" t="s">
        <v>346</v>
      </c>
      <c r="E222" s="24">
        <f>SmtRes!DO47*SmtRes!AT47</f>
        <v>0.22</v>
      </c>
      <c r="F222" s="24">
        <f>ROUND(1.25,7)</f>
        <v>1.25</v>
      </c>
      <c r="G222" s="24">
        <f>ROUND(E222*F222*G212, 7)</f>
        <v>35.75</v>
      </c>
      <c r="H222" s="26"/>
      <c r="I222" s="25"/>
      <c r="J222" s="26">
        <f>ROUND(SmtRes!AG47/SmtRes!DO47, 2)</f>
        <v>465.43</v>
      </c>
      <c r="K222" s="25"/>
      <c r="L222" s="26">
        <f>SmtRes!DH47</f>
        <v>16639.12</v>
      </c>
      <c r="CE222">
        <v>1</v>
      </c>
    </row>
    <row r="223" spans="1:83" ht="14.25" x14ac:dyDescent="0.2">
      <c r="A223" s="22"/>
      <c r="B223" s="22" t="str">
        <f>EtalonRes!I54</f>
        <v>02.2.01.03</v>
      </c>
      <c r="C223" s="30" t="str">
        <f>EtalonRes!K54</f>
        <v>Гравий керамзитовый</v>
      </c>
      <c r="D223" s="31" t="str">
        <f>EtalonRes!O54</f>
        <v>м3</v>
      </c>
      <c r="E223" s="32">
        <f>EtalonRes!X54</f>
        <v>1.03</v>
      </c>
      <c r="F223" s="32"/>
      <c r="G223" s="32">
        <f>ROUND(EtalonRes!AG54*Source!I37, 7)</f>
        <v>133.9</v>
      </c>
      <c r="H223" s="33"/>
      <c r="I223" s="34"/>
      <c r="J223" s="33"/>
      <c r="K223" s="34"/>
      <c r="L223" s="33"/>
    </row>
    <row r="224" spans="1:83" ht="15" x14ac:dyDescent="0.2">
      <c r="A224" s="22"/>
      <c r="B224" s="22"/>
      <c r="C224" s="37" t="s">
        <v>485</v>
      </c>
      <c r="D224" s="23"/>
      <c r="E224" s="24"/>
      <c r="F224" s="24"/>
      <c r="G224" s="24"/>
      <c r="H224" s="26"/>
      <c r="I224" s="25"/>
      <c r="J224" s="26"/>
      <c r="K224" s="25"/>
      <c r="L224" s="26">
        <f>L215+L217+L218</f>
        <v>242532.73000000004</v>
      </c>
    </row>
    <row r="225" spans="1:82" ht="28.5" x14ac:dyDescent="0.2">
      <c r="A225" s="20" t="s">
        <v>519</v>
      </c>
      <c r="B225" s="22" t="str">
        <f>Source!F38</f>
        <v>02.2.01.03-0003</v>
      </c>
      <c r="C225" s="22" t="str">
        <f>Source!G38</f>
        <v>Гравий керамзитовый М 350, фракция 5-10 мм</v>
      </c>
      <c r="D225" s="23" t="str">
        <f>Source!H38</f>
        <v>м3</v>
      </c>
      <c r="E225" s="24">
        <f>SmtRes!AT48</f>
        <v>1.03</v>
      </c>
      <c r="F225" s="24"/>
      <c r="G225" s="24">
        <f>Source!I38</f>
        <v>133.9</v>
      </c>
      <c r="H225" s="26">
        <f>Source!AL38+Source!AO38+Source!AM38+Source!AN38</f>
        <v>1557.24</v>
      </c>
      <c r="I225" s="25">
        <f>IF(Source!BC38&lt;&gt; 0, Source!BC38, 1)</f>
        <v>1.62</v>
      </c>
      <c r="J225" s="26">
        <f>ROUND(H225*I225, 2)</f>
        <v>2522.73</v>
      </c>
      <c r="K225" s="25"/>
      <c r="L225" s="26">
        <f>Source!P38</f>
        <v>337793.55</v>
      </c>
      <c r="AD225">
        <f>ROUND((Source!AT38/100)*((ROUND(ROUND(Source!AO38,2)*Source!I38, 2)+ROUND(ROUND(Source!AN38,2)*Source!I38, 2))), 2)</f>
        <v>0</v>
      </c>
      <c r="AE225">
        <f>ROUND((Source!AU38/100)*((ROUND(ROUND(Source!AO38,2)*Source!I38, 2)+ROUND(ROUND(Source!AN38,2)*Source!I38, 2))), 2)</f>
        <v>0</v>
      </c>
      <c r="AN225">
        <f>L225</f>
        <v>337793.55</v>
      </c>
      <c r="AW225">
        <f>L225</f>
        <v>337793.55</v>
      </c>
      <c r="AZ225">
        <f>Source!X38</f>
        <v>0</v>
      </c>
      <c r="BA225">
        <f>Source!Y38</f>
        <v>0</v>
      </c>
      <c r="CD225">
        <v>1</v>
      </c>
    </row>
    <row r="226" spans="1:82" ht="14.25" x14ac:dyDescent="0.2">
      <c r="A226" s="22"/>
      <c r="B226" s="22"/>
      <c r="C226" s="22" t="s">
        <v>486</v>
      </c>
      <c r="D226" s="23"/>
      <c r="E226" s="24"/>
      <c r="F226" s="24"/>
      <c r="G226" s="24"/>
      <c r="H226" s="26"/>
      <c r="I226" s="25"/>
      <c r="J226" s="26"/>
      <c r="K226" s="25"/>
      <c r="L226" s="26">
        <f>SUM(AR212:AR229)+SUM(AS212:AS229)+SUM(AT212:AT229)+SUM(AU212:AU229)+SUM(AV212:AV229)</f>
        <v>160714.24000000002</v>
      </c>
    </row>
    <row r="227" spans="1:82" ht="28.5" x14ac:dyDescent="0.2">
      <c r="A227" s="22"/>
      <c r="B227" s="22" t="s">
        <v>520</v>
      </c>
      <c r="C227" s="22" t="s">
        <v>512</v>
      </c>
      <c r="D227" s="23" t="s">
        <v>488</v>
      </c>
      <c r="E227" s="24">
        <f>Source!BZ37</f>
        <v>109</v>
      </c>
      <c r="F227" s="24">
        <f>ROUND(0.9,7)</f>
        <v>0.9</v>
      </c>
      <c r="G227" s="24">
        <f>Source!AT37</f>
        <v>98.1</v>
      </c>
      <c r="H227" s="26"/>
      <c r="I227" s="25"/>
      <c r="J227" s="26"/>
      <c r="K227" s="25"/>
      <c r="L227" s="26">
        <f>SUM(AZ212:AZ229)</f>
        <v>157660.67000000001</v>
      </c>
    </row>
    <row r="228" spans="1:82" ht="28.5" x14ac:dyDescent="0.2">
      <c r="A228" s="30"/>
      <c r="B228" s="30" t="s">
        <v>521</v>
      </c>
      <c r="C228" s="30" t="s">
        <v>513</v>
      </c>
      <c r="D228" s="31" t="s">
        <v>488</v>
      </c>
      <c r="E228" s="32">
        <f>Source!CA37</f>
        <v>57</v>
      </c>
      <c r="F228" s="32">
        <f>ROUND(0.85,7)</f>
        <v>0.85</v>
      </c>
      <c r="G228" s="32">
        <f>Source!AU37</f>
        <v>48.45</v>
      </c>
      <c r="H228" s="33"/>
      <c r="I228" s="34"/>
      <c r="J228" s="33"/>
      <c r="K228" s="34"/>
      <c r="L228" s="33">
        <f>SUM(BA212:BA229)</f>
        <v>77866.05</v>
      </c>
    </row>
    <row r="229" spans="1:82" ht="15" x14ac:dyDescent="0.2">
      <c r="C229" s="93" t="s">
        <v>490</v>
      </c>
      <c r="D229" s="93"/>
      <c r="E229" s="93"/>
      <c r="F229" s="93"/>
      <c r="G229" s="93"/>
      <c r="H229" s="93"/>
      <c r="I229" s="94">
        <f>IF(E212&lt;&gt;0,K229/E212, 0)</f>
        <v>6275.792307692308</v>
      </c>
      <c r="J229" s="94"/>
      <c r="K229" s="94">
        <f>L215+L217+L227+L228+L218+SUM(L225:L225)</f>
        <v>815853</v>
      </c>
      <c r="L229" s="94"/>
      <c r="AD229">
        <f>ROUND((Source!AT37/100)*((ROUND(SUMIF(SmtRes!AQ44:'SmtRes'!AQ48,"=1",SmtRes!AD44:'SmtRes'!AD48)*Source!I37, 2)+ROUND(SUMIF(SmtRes!AQ44:'SmtRes'!AQ48,"=1",SmtRes!AC44:'SmtRes'!AC48)*Source!I37, 2))), 2)</f>
        <v>170746.09</v>
      </c>
      <c r="AE229">
        <f>ROUND((Source!AU37/100)*((ROUND(SUMIF(SmtRes!AQ44:'SmtRes'!AQ48,"=1",SmtRes!AD44:'SmtRes'!AD48)*Source!I37, 2)+ROUND(SUMIF(SmtRes!AQ44:'SmtRes'!AQ48,"=1",SmtRes!AC44:'SmtRes'!AC48)*Source!I37, 2))), 2)</f>
        <v>84328.73</v>
      </c>
      <c r="AN229" s="35">
        <f>L215+L217+L227+L228+L218</f>
        <v>478059.45000000007</v>
      </c>
      <c r="AO229" s="35">
        <f>L217</f>
        <v>81818.490000000005</v>
      </c>
      <c r="AQ229" t="s">
        <v>491</v>
      </c>
      <c r="AR229" s="35">
        <f>L215</f>
        <v>133466.92000000001</v>
      </c>
      <c r="AT229" s="35">
        <f>L218</f>
        <v>27247.32</v>
      </c>
      <c r="AV229" t="s">
        <v>491</v>
      </c>
      <c r="AW229">
        <f>0</f>
        <v>0</v>
      </c>
      <c r="AZ229">
        <f>Source!X37</f>
        <v>157660.67000000001</v>
      </c>
      <c r="BA229">
        <f>Source!Y37</f>
        <v>77866.05</v>
      </c>
      <c r="CD229">
        <v>1</v>
      </c>
    </row>
    <row r="230" spans="1:82" ht="90.75" x14ac:dyDescent="0.2">
      <c r="A230" s="20" t="s">
        <v>107</v>
      </c>
      <c r="B230" s="22" t="s">
        <v>522</v>
      </c>
      <c r="C230" s="22" t="s">
        <v>523</v>
      </c>
      <c r="D230" s="23" t="str">
        <f>Source!H39</f>
        <v>100 м2</v>
      </c>
      <c r="E230" s="24">
        <f>Source!K39</f>
        <v>5.2</v>
      </c>
      <c r="F230" s="24"/>
      <c r="G230" s="24">
        <f>Source!I39</f>
        <v>5.2</v>
      </c>
      <c r="H230" s="26"/>
      <c r="I230" s="25"/>
      <c r="J230" s="26"/>
      <c r="K230" s="25"/>
      <c r="L230" s="26"/>
    </row>
    <row r="231" spans="1:82" ht="89.25" x14ac:dyDescent="0.2">
      <c r="B231" s="39" t="str">
        <f>Source!EO39</f>
        <v>Поправка: МР 507/пр п.6.7.1</v>
      </c>
      <c r="C231" s="39" t="str">
        <f>Source!CN39</f>
        <v>Поправка: МР 507/пр п.6.7.1_x000D_
Наименование: При выполнении работ в существующих зданиях и сооружениях, аналогичных процессам при новом строительстве (кроме работ по нормам сборника № 46 «Работы при реконструкции зданий и сооружений»)</v>
      </c>
    </row>
    <row r="232" spans="1:82" x14ac:dyDescent="0.2">
      <c r="C232" s="27" t="str">
        <f>"Объем: "&amp;Source!I39&amp;"=520/"&amp;"100"</f>
        <v>Объем: 5,2=520/100</v>
      </c>
    </row>
    <row r="233" spans="1:82" ht="15" x14ac:dyDescent="0.2">
      <c r="A233" s="21"/>
      <c r="B233" s="24">
        <v>1</v>
      </c>
      <c r="C233" s="21" t="s">
        <v>482</v>
      </c>
      <c r="D233" s="23" t="s">
        <v>346</v>
      </c>
      <c r="E233" s="28"/>
      <c r="F233" s="24"/>
      <c r="G233" s="24">
        <f>Source!U39</f>
        <v>36.478000000000002</v>
      </c>
      <c r="H233" s="24"/>
      <c r="I233" s="24"/>
      <c r="J233" s="24"/>
      <c r="K233" s="24"/>
      <c r="L233" s="29">
        <f>SUM(L234:L234)-SUMIF(CE234:CE234, 1, L234:L234)</f>
        <v>11024.75</v>
      </c>
    </row>
    <row r="234" spans="1:82" ht="28.5" x14ac:dyDescent="0.2">
      <c r="A234" s="22"/>
      <c r="B234" s="22" t="s">
        <v>393</v>
      </c>
      <c r="C234" s="22" t="s">
        <v>394</v>
      </c>
      <c r="D234" s="23" t="s">
        <v>346</v>
      </c>
      <c r="E234" s="24">
        <v>6.1</v>
      </c>
      <c r="F234" s="24">
        <f>ROUND(1.15,7)</f>
        <v>1.1499999999999999</v>
      </c>
      <c r="G234" s="24">
        <f>SmtRes!CX49</f>
        <v>36.478000000000002</v>
      </c>
      <c r="H234" s="26"/>
      <c r="I234" s="25"/>
      <c r="J234" s="26">
        <f>SmtRes!CZ49</f>
        <v>302.23</v>
      </c>
      <c r="K234" s="25"/>
      <c r="L234" s="26">
        <f>SmtRes!DI49</f>
        <v>11024.75</v>
      </c>
    </row>
    <row r="235" spans="1:82" ht="15" x14ac:dyDescent="0.2">
      <c r="A235" s="21"/>
      <c r="B235" s="24">
        <v>4</v>
      </c>
      <c r="C235" s="21" t="s">
        <v>504</v>
      </c>
      <c r="D235" s="23"/>
      <c r="E235" s="28"/>
      <c r="F235" s="24"/>
      <c r="G235" s="24"/>
      <c r="H235" s="24"/>
      <c r="I235" s="24"/>
      <c r="J235" s="24"/>
      <c r="K235" s="24"/>
      <c r="L235" s="29">
        <f>SUM(L236:L236)-SUMIF(CE236:CE236, 1, L236:L236)</f>
        <v>308.26</v>
      </c>
    </row>
    <row r="236" spans="1:82" ht="14.25" x14ac:dyDescent="0.2">
      <c r="A236" s="22"/>
      <c r="B236" s="22" t="s">
        <v>386</v>
      </c>
      <c r="C236" s="30" t="s">
        <v>388</v>
      </c>
      <c r="D236" s="31" t="s">
        <v>92</v>
      </c>
      <c r="E236" s="32">
        <v>2</v>
      </c>
      <c r="F236" s="32"/>
      <c r="G236" s="32">
        <f>SmtRes!CX50</f>
        <v>10.4</v>
      </c>
      <c r="H236" s="33">
        <f>SmtRes!CZ50</f>
        <v>35.71</v>
      </c>
      <c r="I236" s="34">
        <f>SmtRes!AI50</f>
        <v>0.83</v>
      </c>
      <c r="J236" s="33">
        <f>ROUND(H236*I236, 2)</f>
        <v>29.64</v>
      </c>
      <c r="K236" s="34"/>
      <c r="L236" s="33">
        <f>SmtRes!DF50</f>
        <v>308.26</v>
      </c>
    </row>
    <row r="237" spans="1:82" ht="15" x14ac:dyDescent="0.2">
      <c r="A237" s="22"/>
      <c r="B237" s="22"/>
      <c r="C237" s="37" t="s">
        <v>485</v>
      </c>
      <c r="D237" s="23"/>
      <c r="E237" s="24"/>
      <c r="F237" s="24"/>
      <c r="G237" s="24"/>
      <c r="H237" s="26"/>
      <c r="I237" s="25"/>
      <c r="J237" s="26"/>
      <c r="K237" s="25"/>
      <c r="L237" s="26">
        <f>L233+L235</f>
        <v>11333.01</v>
      </c>
    </row>
    <row r="238" spans="1:82" ht="28.5" x14ac:dyDescent="0.2">
      <c r="A238" s="20" t="s">
        <v>524</v>
      </c>
      <c r="B238" s="22" t="str">
        <f>Source!F40</f>
        <v>03.1.02.03-0011</v>
      </c>
      <c r="C238" s="22" t="str">
        <f>Source!G40</f>
        <v>Известь строительная негашеная комовая, сорт I</v>
      </c>
      <c r="D238" s="23" t="str">
        <f>Source!H40</f>
        <v>т</v>
      </c>
      <c r="E238" s="24">
        <f>SmtRes!AT51</f>
        <v>0.35</v>
      </c>
      <c r="F238" s="24"/>
      <c r="G238" s="24">
        <f>Source!I40</f>
        <v>1.8199999999999998</v>
      </c>
      <c r="H238" s="26">
        <f>Source!AL40+Source!AO40+Source!AM40+Source!AN40</f>
        <v>5275.05</v>
      </c>
      <c r="I238" s="25">
        <f>IF(Source!BC40&lt;&gt; 0, Source!BC40, 1)</f>
        <v>1.52</v>
      </c>
      <c r="J238" s="26">
        <f>ROUND(H238*I238, 2)</f>
        <v>8018.08</v>
      </c>
      <c r="K238" s="25"/>
      <c r="L238" s="26">
        <f>Source!P40</f>
        <v>14592.91</v>
      </c>
      <c r="AD238">
        <f>ROUND((Source!AT40/100)*((ROUND(ROUND(Source!AO40,2)*Source!I40, 2)+ROUND(ROUND(Source!AN40,2)*Source!I40, 2))), 2)</f>
        <v>0</v>
      </c>
      <c r="AE238">
        <f>ROUND((Source!AU40/100)*((ROUND(ROUND(Source!AO40,2)*Source!I40, 2)+ROUND(ROUND(Source!AN40,2)*Source!I40, 2))), 2)</f>
        <v>0</v>
      </c>
      <c r="AN238">
        <f>L238</f>
        <v>14592.91</v>
      </c>
      <c r="AW238">
        <f>L238</f>
        <v>14592.91</v>
      </c>
      <c r="AZ238">
        <f>Source!X40</f>
        <v>0</v>
      </c>
      <c r="BA238">
        <f>Source!Y40</f>
        <v>0</v>
      </c>
      <c r="CD238">
        <v>1</v>
      </c>
    </row>
    <row r="239" spans="1:82" ht="14.25" x14ac:dyDescent="0.2">
      <c r="A239" s="22"/>
      <c r="B239" s="22"/>
      <c r="C239" s="22" t="s">
        <v>486</v>
      </c>
      <c r="D239" s="23"/>
      <c r="E239" s="24"/>
      <c r="F239" s="24"/>
      <c r="G239" s="24"/>
      <c r="H239" s="26"/>
      <c r="I239" s="25"/>
      <c r="J239" s="26"/>
      <c r="K239" s="25"/>
      <c r="L239" s="26">
        <f>SUM(AR230:AR242)+SUM(AS230:AS242)+SUM(AT230:AT242)+SUM(AU230:AU242)+SUM(AV230:AV242)</f>
        <v>11024.75</v>
      </c>
    </row>
    <row r="240" spans="1:82" ht="28.5" x14ac:dyDescent="0.2">
      <c r="A240" s="22"/>
      <c r="B240" s="22" t="s">
        <v>525</v>
      </c>
      <c r="C240" s="22" t="s">
        <v>526</v>
      </c>
      <c r="D240" s="23" t="s">
        <v>488</v>
      </c>
      <c r="E240" s="24">
        <f>Source!BZ39</f>
        <v>92</v>
      </c>
      <c r="F240" s="24">
        <f>ROUND(0.9,7)</f>
        <v>0.9</v>
      </c>
      <c r="G240" s="24">
        <f>Source!AT39</f>
        <v>82.8</v>
      </c>
      <c r="H240" s="26"/>
      <c r="I240" s="25"/>
      <c r="J240" s="26"/>
      <c r="K240" s="25"/>
      <c r="L240" s="26">
        <f>SUM(AZ230:AZ242)</f>
        <v>9128.49</v>
      </c>
    </row>
    <row r="241" spans="1:83" ht="28.5" x14ac:dyDescent="0.2">
      <c r="A241" s="30"/>
      <c r="B241" s="30" t="s">
        <v>527</v>
      </c>
      <c r="C241" s="30" t="s">
        <v>528</v>
      </c>
      <c r="D241" s="31" t="s">
        <v>488</v>
      </c>
      <c r="E241" s="32">
        <f>Source!CA39</f>
        <v>46</v>
      </c>
      <c r="F241" s="32">
        <f>ROUND(0.85,7)</f>
        <v>0.85</v>
      </c>
      <c r="G241" s="32">
        <f>Source!AU39</f>
        <v>39.1</v>
      </c>
      <c r="H241" s="33"/>
      <c r="I241" s="34"/>
      <c r="J241" s="33"/>
      <c r="K241" s="34"/>
      <c r="L241" s="33">
        <f>SUM(BA230:BA242)</f>
        <v>4310.68</v>
      </c>
    </row>
    <row r="242" spans="1:83" ht="15" x14ac:dyDescent="0.2">
      <c r="C242" s="93" t="s">
        <v>490</v>
      </c>
      <c r="D242" s="93"/>
      <c r="E242" s="93"/>
      <c r="F242" s="93"/>
      <c r="G242" s="93"/>
      <c r="H242" s="93"/>
      <c r="I242" s="94">
        <f>IF(E230&lt;&gt;0,K242/E230, 0)</f>
        <v>7570.2096153846142</v>
      </c>
      <c r="J242" s="94"/>
      <c r="K242" s="94">
        <f>L233+L235+L240+L241+SUM(L238:L238)</f>
        <v>39365.089999999997</v>
      </c>
      <c r="L242" s="94"/>
      <c r="AD242">
        <f>ROUND((Source!AT39/100)*((ROUND(SUMIF(SmtRes!AQ49:'SmtRes'!AQ51,"=1",SmtRes!AD49:'SmtRes'!AD51)*Source!I39, 2)+ROUND(SUMIF(SmtRes!AQ49:'SmtRes'!AQ51,"=1",SmtRes!AC49:'SmtRes'!AC51)*Source!I39, 2))), 2)</f>
        <v>1301.28</v>
      </c>
      <c r="AE242">
        <f>ROUND((Source!AU39/100)*((ROUND(SUMIF(SmtRes!AQ49:'SmtRes'!AQ51,"=1",SmtRes!AD49:'SmtRes'!AD51)*Source!I39, 2)+ROUND(SUMIF(SmtRes!AQ49:'SmtRes'!AQ51,"=1",SmtRes!AC49:'SmtRes'!AC51)*Source!I39, 2))), 2)</f>
        <v>614.5</v>
      </c>
      <c r="AN242" s="35">
        <f>L233+L235+L240+L241</f>
        <v>24772.18</v>
      </c>
      <c r="AO242">
        <f>0</f>
        <v>0</v>
      </c>
      <c r="AQ242" t="s">
        <v>491</v>
      </c>
      <c r="AR242" s="35">
        <f>L233</f>
        <v>11024.75</v>
      </c>
      <c r="AT242">
        <f>0</f>
        <v>0</v>
      </c>
      <c r="AV242" t="s">
        <v>491</v>
      </c>
      <c r="AW242" s="35">
        <f>L235</f>
        <v>308.26</v>
      </c>
      <c r="AZ242">
        <f>Source!X39</f>
        <v>9128.49</v>
      </c>
      <c r="BA242">
        <f>Source!Y39</f>
        <v>4310.68</v>
      </c>
      <c r="CD242">
        <v>1</v>
      </c>
    </row>
    <row r="243" spans="1:83" ht="119.25" x14ac:dyDescent="0.2">
      <c r="A243" s="20" t="s">
        <v>122</v>
      </c>
      <c r="B243" s="22" t="s">
        <v>509</v>
      </c>
      <c r="C243" s="22" t="s">
        <v>529</v>
      </c>
      <c r="D243" s="23" t="str">
        <f>Source!H41</f>
        <v>100 м2</v>
      </c>
      <c r="E243" s="24">
        <f>Source!K41</f>
        <v>5.2</v>
      </c>
      <c r="F243" s="24"/>
      <c r="G243" s="24">
        <f>Source!I41</f>
        <v>5.2</v>
      </c>
      <c r="H243" s="26"/>
      <c r="I243" s="25"/>
      <c r="J243" s="26"/>
      <c r="K243" s="25"/>
      <c r="L243" s="26"/>
    </row>
    <row r="244" spans="1:83" ht="165.75" x14ac:dyDescent="0.2">
      <c r="B244" s="39" t="str">
        <f>Source!EO41</f>
        <v>Поправка: 421/пр_2020_п.58_пп.б</v>
      </c>
      <c r="C244" s="39" t="str">
        <f>Source!CN41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245" spans="1:83" x14ac:dyDescent="0.2">
      <c r="C245" s="27" t="str">
        <f>"Объем: "&amp;Source!I41&amp;"=520/"&amp;"100"</f>
        <v>Объем: 5,2=520/100</v>
      </c>
    </row>
    <row r="246" spans="1:83" ht="15" x14ac:dyDescent="0.2">
      <c r="A246" s="21"/>
      <c r="B246" s="24">
        <v>1</v>
      </c>
      <c r="C246" s="21" t="s">
        <v>482</v>
      </c>
      <c r="D246" s="23" t="s">
        <v>346</v>
      </c>
      <c r="E246" s="28"/>
      <c r="F246" s="24"/>
      <c r="G246" s="24">
        <f>Source!U41</f>
        <v>145.31399999999999</v>
      </c>
      <c r="H246" s="24"/>
      <c r="I246" s="24"/>
      <c r="J246" s="24"/>
      <c r="K246" s="24"/>
      <c r="L246" s="29">
        <f>SUM(L247:L247)-SUMIF(CE247:CE247, 1, L247:L247)</f>
        <v>52921.91</v>
      </c>
    </row>
    <row r="247" spans="1:83" ht="28.5" x14ac:dyDescent="0.2">
      <c r="A247" s="22"/>
      <c r="B247" s="22" t="s">
        <v>377</v>
      </c>
      <c r="C247" s="22" t="s">
        <v>378</v>
      </c>
      <c r="D247" s="23" t="s">
        <v>346</v>
      </c>
      <c r="E247" s="24">
        <v>24.3</v>
      </c>
      <c r="F247" s="24">
        <f>ROUND(1.15,7)</f>
        <v>1.1499999999999999</v>
      </c>
      <c r="G247" s="24">
        <f>SmtRes!CX52</f>
        <v>145.31399999999999</v>
      </c>
      <c r="H247" s="26"/>
      <c r="I247" s="25"/>
      <c r="J247" s="26">
        <f>SmtRes!CZ52</f>
        <v>364.19</v>
      </c>
      <c r="K247" s="25"/>
      <c r="L247" s="26">
        <f>SmtRes!DI52</f>
        <v>52921.91</v>
      </c>
    </row>
    <row r="248" spans="1:83" ht="15" x14ac:dyDescent="0.2">
      <c r="A248" s="21"/>
      <c r="B248" s="24">
        <v>2</v>
      </c>
      <c r="C248" s="21" t="s">
        <v>483</v>
      </c>
      <c r="D248" s="23"/>
      <c r="E248" s="28"/>
      <c r="F248" s="24"/>
      <c r="G248" s="24"/>
      <c r="H248" s="24"/>
      <c r="I248" s="24"/>
      <c r="J248" s="24"/>
      <c r="K248" s="24"/>
      <c r="L248" s="29">
        <f>SUM(L249:L254)-SUMIF(CE249:CE254, 1, L249:L254)</f>
        <v>19011.849999999999</v>
      </c>
    </row>
    <row r="249" spans="1:83" ht="15" x14ac:dyDescent="0.2">
      <c r="A249" s="21"/>
      <c r="B249" s="24"/>
      <c r="C249" s="21" t="s">
        <v>484</v>
      </c>
      <c r="D249" s="23" t="s">
        <v>346</v>
      </c>
      <c r="E249" s="28"/>
      <c r="F249" s="24"/>
      <c r="G249" s="24">
        <f>Source!V41</f>
        <v>12.61</v>
      </c>
      <c r="H249" s="24"/>
      <c r="I249" s="24"/>
      <c r="J249" s="24"/>
      <c r="K249" s="24"/>
      <c r="L249" s="29">
        <f>SUMIF(CE250:CE254, 1, L250:L254)</f>
        <v>6216.3899999999994</v>
      </c>
      <c r="CE249">
        <v>1</v>
      </c>
    </row>
    <row r="250" spans="1:83" ht="28.5" x14ac:dyDescent="0.2">
      <c r="A250" s="22"/>
      <c r="B250" s="22" t="s">
        <v>355</v>
      </c>
      <c r="C250" s="22" t="s">
        <v>357</v>
      </c>
      <c r="D250" s="23" t="s">
        <v>350</v>
      </c>
      <c r="E250" s="24">
        <v>0.68</v>
      </c>
      <c r="F250" s="24">
        <f>ROUND(1.25,7)</f>
        <v>1.25</v>
      </c>
      <c r="G250" s="24">
        <f>SmtRes!CX54</f>
        <v>4.42</v>
      </c>
      <c r="H250" s="26"/>
      <c r="I250" s="25"/>
      <c r="J250" s="26">
        <f>SmtRes!CZ54</f>
        <v>1098</v>
      </c>
      <c r="K250" s="25"/>
      <c r="L250" s="26">
        <f>SmtRes!DG54</f>
        <v>4853.16</v>
      </c>
    </row>
    <row r="251" spans="1:83" ht="28.5" x14ac:dyDescent="0.2">
      <c r="A251" s="22"/>
      <c r="B251" s="22" t="s">
        <v>358</v>
      </c>
      <c r="C251" s="22" t="s">
        <v>493</v>
      </c>
      <c r="D251" s="23" t="s">
        <v>346</v>
      </c>
      <c r="E251" s="24">
        <f>SmtRes!DO54*SmtRes!AT54</f>
        <v>0.68</v>
      </c>
      <c r="F251" s="24">
        <f>ROUND(1.25,7)</f>
        <v>1.25</v>
      </c>
      <c r="G251" s="24">
        <f>ROUND(E251*F251*G243, 7)</f>
        <v>4.42</v>
      </c>
      <c r="H251" s="26"/>
      <c r="I251" s="25"/>
      <c r="J251" s="26">
        <f>ROUND(SmtRes!AG54/SmtRes!DO54, 2)</f>
        <v>544.01</v>
      </c>
      <c r="K251" s="25"/>
      <c r="L251" s="26">
        <f>SmtRes!DH54</f>
        <v>2404.52</v>
      </c>
      <c r="CE251">
        <v>1</v>
      </c>
    </row>
    <row r="252" spans="1:83" ht="71.25" x14ac:dyDescent="0.2">
      <c r="A252" s="22"/>
      <c r="B252" s="22" t="s">
        <v>379</v>
      </c>
      <c r="C252" s="22" t="s">
        <v>381</v>
      </c>
      <c r="D252" s="23" t="s">
        <v>350</v>
      </c>
      <c r="E252" s="24">
        <v>1.26</v>
      </c>
      <c r="F252" s="24">
        <f>ROUND(1.25,7)</f>
        <v>1.25</v>
      </c>
      <c r="G252" s="24">
        <f>SmtRes!CX55</f>
        <v>8.19</v>
      </c>
      <c r="H252" s="26"/>
      <c r="I252" s="25"/>
      <c r="J252" s="26">
        <f>SmtRes!CZ55</f>
        <v>1689.72</v>
      </c>
      <c r="K252" s="25"/>
      <c r="L252" s="26">
        <f>SmtRes!DG55</f>
        <v>13838.81</v>
      </c>
    </row>
    <row r="253" spans="1:83" ht="28.5" x14ac:dyDescent="0.2">
      <c r="A253" s="22"/>
      <c r="B253" s="22" t="s">
        <v>382</v>
      </c>
      <c r="C253" s="22" t="s">
        <v>511</v>
      </c>
      <c r="D253" s="23" t="s">
        <v>346</v>
      </c>
      <c r="E253" s="24">
        <f>SmtRes!DO55*SmtRes!AT55</f>
        <v>1.26</v>
      </c>
      <c r="F253" s="24">
        <f>ROUND(1.25,7)</f>
        <v>1.25</v>
      </c>
      <c r="G253" s="24">
        <f>ROUND(E253*F253*G243, 7)</f>
        <v>8.19</v>
      </c>
      <c r="H253" s="26"/>
      <c r="I253" s="25"/>
      <c r="J253" s="26">
        <f>ROUND(SmtRes!AG55/SmtRes!DO55, 2)</f>
        <v>465.43</v>
      </c>
      <c r="K253" s="25"/>
      <c r="L253" s="26">
        <f>SmtRes!DH55</f>
        <v>3811.87</v>
      </c>
      <c r="CE253">
        <v>1</v>
      </c>
    </row>
    <row r="254" spans="1:83" ht="28.5" x14ac:dyDescent="0.2">
      <c r="A254" s="22"/>
      <c r="B254" s="22" t="s">
        <v>383</v>
      </c>
      <c r="C254" s="22" t="s">
        <v>385</v>
      </c>
      <c r="D254" s="23" t="s">
        <v>350</v>
      </c>
      <c r="E254" s="24">
        <v>2.29</v>
      </c>
      <c r="F254" s="24">
        <f>ROUND(1.25,7)</f>
        <v>1.25</v>
      </c>
      <c r="G254" s="24">
        <f>SmtRes!CX56</f>
        <v>14.885</v>
      </c>
      <c r="H254" s="26">
        <f>SmtRes!CZ56</f>
        <v>13.69</v>
      </c>
      <c r="I254" s="25">
        <f>SmtRes!AJ56</f>
        <v>1.57</v>
      </c>
      <c r="J254" s="26">
        <f>ROUND(H254*I254, 2)</f>
        <v>21.49</v>
      </c>
      <c r="K254" s="25"/>
      <c r="L254" s="26">
        <f>SmtRes!DG56</f>
        <v>319.88</v>
      </c>
    </row>
    <row r="255" spans="1:83" ht="15" x14ac:dyDescent="0.2">
      <c r="A255" s="21"/>
      <c r="B255" s="24">
        <v>4</v>
      </c>
      <c r="C255" s="21" t="s">
        <v>504</v>
      </c>
      <c r="D255" s="23"/>
      <c r="E255" s="28"/>
      <c r="F255" s="24"/>
      <c r="G255" s="24"/>
      <c r="H255" s="24"/>
      <c r="I255" s="24"/>
      <c r="J255" s="24"/>
      <c r="K255" s="24"/>
      <c r="L255" s="29">
        <f>SUM(L256:L257)-SUMIF(CE256:CE257, 1, L256:L257)</f>
        <v>1474.5</v>
      </c>
    </row>
    <row r="256" spans="1:83" ht="14.25" x14ac:dyDescent="0.2">
      <c r="A256" s="22"/>
      <c r="B256" s="22" t="s">
        <v>386</v>
      </c>
      <c r="C256" s="22" t="s">
        <v>388</v>
      </c>
      <c r="D256" s="23" t="s">
        <v>92</v>
      </c>
      <c r="E256" s="24">
        <v>3.85</v>
      </c>
      <c r="F256" s="24"/>
      <c r="G256" s="24">
        <f>SmtRes!CX57</f>
        <v>20.02</v>
      </c>
      <c r="H256" s="26">
        <f>SmtRes!CZ57</f>
        <v>35.71</v>
      </c>
      <c r="I256" s="25">
        <f>SmtRes!AI57</f>
        <v>0.83</v>
      </c>
      <c r="J256" s="26">
        <f>ROUND(H256*I256, 2)</f>
        <v>29.64</v>
      </c>
      <c r="K256" s="25"/>
      <c r="L256" s="26">
        <f>SmtRes!DF57</f>
        <v>593.39</v>
      </c>
    </row>
    <row r="257" spans="1:83" ht="14.25" x14ac:dyDescent="0.2">
      <c r="A257" s="22"/>
      <c r="B257" s="22" t="s">
        <v>389</v>
      </c>
      <c r="C257" s="22" t="s">
        <v>391</v>
      </c>
      <c r="D257" s="23" t="s">
        <v>145</v>
      </c>
      <c r="E257" s="24">
        <v>4.4000000000000004</v>
      </c>
      <c r="F257" s="24"/>
      <c r="G257" s="24">
        <f>SmtRes!CX59</f>
        <v>22.88</v>
      </c>
      <c r="H257" s="26">
        <f>SmtRes!CZ59</f>
        <v>26.93</v>
      </c>
      <c r="I257" s="25">
        <f>SmtRes!AI59</f>
        <v>1.43</v>
      </c>
      <c r="J257" s="26">
        <f>ROUND(H257*I257, 2)</f>
        <v>38.51</v>
      </c>
      <c r="K257" s="25"/>
      <c r="L257" s="26">
        <f>SmtRes!DF59</f>
        <v>881.11</v>
      </c>
    </row>
    <row r="258" spans="1:83" ht="28.5" x14ac:dyDescent="0.2">
      <c r="A258" s="22"/>
      <c r="B258" s="22" t="str">
        <f>EtalonRes!I63</f>
        <v>04.3.01.09</v>
      </c>
      <c r="C258" s="30" t="str">
        <f>EtalonRes!K63</f>
        <v>Раствор готовый кладочный тяжелый цементный</v>
      </c>
      <c r="D258" s="31" t="str">
        <f>EtalonRes!O63</f>
        <v>м3</v>
      </c>
      <c r="E258" s="32">
        <f>EtalonRes!X63</f>
        <v>1.53</v>
      </c>
      <c r="F258" s="32"/>
      <c r="G258" s="32">
        <f>ROUND(EtalonRes!AG63*Source!I41, 7)</f>
        <v>7.9560000000000004</v>
      </c>
      <c r="H258" s="33"/>
      <c r="I258" s="34"/>
      <c r="J258" s="33"/>
      <c r="K258" s="34"/>
      <c r="L258" s="33"/>
    </row>
    <row r="259" spans="1:83" ht="15" x14ac:dyDescent="0.2">
      <c r="A259" s="22"/>
      <c r="B259" s="22"/>
      <c r="C259" s="37" t="s">
        <v>485</v>
      </c>
      <c r="D259" s="23"/>
      <c r="E259" s="24"/>
      <c r="F259" s="24"/>
      <c r="G259" s="24"/>
      <c r="H259" s="26"/>
      <c r="I259" s="25"/>
      <c r="J259" s="26"/>
      <c r="K259" s="25"/>
      <c r="L259" s="26">
        <f>L246+L248+L249+L255</f>
        <v>79624.650000000009</v>
      </c>
    </row>
    <row r="260" spans="1:83" ht="28.5" x14ac:dyDescent="0.2">
      <c r="A260" s="20" t="s">
        <v>530</v>
      </c>
      <c r="B260" s="22" t="str">
        <f>Source!F42</f>
        <v>04.3.01.09-0056</v>
      </c>
      <c r="C260" s="22" t="str">
        <f>Source!G42</f>
        <v>Раствор готовый кладочный, цементно-песчаный, М150</v>
      </c>
      <c r="D260" s="23" t="str">
        <f>Source!H42</f>
        <v>м3</v>
      </c>
      <c r="E260" s="24">
        <f>SmtRes!AT58</f>
        <v>1.53</v>
      </c>
      <c r="F260" s="24"/>
      <c r="G260" s="24">
        <f>Source!I42</f>
        <v>7.9560000000000004</v>
      </c>
      <c r="H260" s="26"/>
      <c r="I260" s="25"/>
      <c r="J260" s="26">
        <f>Source!AK42</f>
        <v>5572.57</v>
      </c>
      <c r="K260" s="25"/>
      <c r="L260" s="26">
        <f>Source!P42</f>
        <v>44335.37</v>
      </c>
      <c r="AD260">
        <f>ROUND((Source!AT42/100)*((ROUND(ROUND(Source!AO42,2)*Source!I42, 2)+ROUND(ROUND(Source!AN42,2)*Source!I42, 2))), 2)</f>
        <v>0</v>
      </c>
      <c r="AE260">
        <f>ROUND((Source!AU42/100)*((ROUND(ROUND(Source!AO42,2)*Source!I42, 2)+ROUND(ROUND(Source!AN42,2)*Source!I42, 2))), 2)</f>
        <v>0</v>
      </c>
      <c r="AN260">
        <f>L260</f>
        <v>44335.37</v>
      </c>
      <c r="AW260">
        <f>L260</f>
        <v>44335.37</v>
      </c>
      <c r="AZ260">
        <f>Source!X42</f>
        <v>0</v>
      </c>
      <c r="BA260">
        <f>Source!Y42</f>
        <v>0</v>
      </c>
      <c r="CD260">
        <v>1</v>
      </c>
    </row>
    <row r="261" spans="1:83" ht="14.25" x14ac:dyDescent="0.2">
      <c r="A261" s="22"/>
      <c r="B261" s="22"/>
      <c r="C261" s="22" t="s">
        <v>486</v>
      </c>
      <c r="D261" s="23"/>
      <c r="E261" s="24"/>
      <c r="F261" s="24"/>
      <c r="G261" s="24"/>
      <c r="H261" s="26"/>
      <c r="I261" s="25"/>
      <c r="J261" s="26"/>
      <c r="K261" s="25"/>
      <c r="L261" s="26">
        <f>SUM(AR243:AR264)+SUM(AS243:AS264)+SUM(AT243:AT264)+SUM(AU243:AU264)+SUM(AV243:AV264)</f>
        <v>59138.3</v>
      </c>
    </row>
    <row r="262" spans="1:83" ht="28.5" x14ac:dyDescent="0.2">
      <c r="A262" s="22"/>
      <c r="B262" s="22" t="s">
        <v>520</v>
      </c>
      <c r="C262" s="22" t="s">
        <v>512</v>
      </c>
      <c r="D262" s="23" t="s">
        <v>488</v>
      </c>
      <c r="E262" s="24">
        <f>Source!BZ41</f>
        <v>109</v>
      </c>
      <c r="F262" s="24">
        <f>ROUND(0.9,7)</f>
        <v>0.9</v>
      </c>
      <c r="G262" s="24">
        <f>Source!AT41</f>
        <v>98.1</v>
      </c>
      <c r="H262" s="26"/>
      <c r="I262" s="25"/>
      <c r="J262" s="26"/>
      <c r="K262" s="25"/>
      <c r="L262" s="26">
        <f>SUM(AZ243:AZ264)</f>
        <v>58014.67</v>
      </c>
    </row>
    <row r="263" spans="1:83" ht="28.5" x14ac:dyDescent="0.2">
      <c r="A263" s="30"/>
      <c r="B263" s="30" t="s">
        <v>521</v>
      </c>
      <c r="C263" s="30" t="s">
        <v>513</v>
      </c>
      <c r="D263" s="31" t="s">
        <v>488</v>
      </c>
      <c r="E263" s="32">
        <f>Source!CA41</f>
        <v>57</v>
      </c>
      <c r="F263" s="32">
        <f>ROUND(0.85,7)</f>
        <v>0.85</v>
      </c>
      <c r="G263" s="32">
        <f>Source!AU41</f>
        <v>48.45</v>
      </c>
      <c r="H263" s="33"/>
      <c r="I263" s="34"/>
      <c r="J263" s="33"/>
      <c r="K263" s="34"/>
      <c r="L263" s="33">
        <f>SUM(BA243:BA264)</f>
        <v>28652.51</v>
      </c>
    </row>
    <row r="264" spans="1:83" ht="15" x14ac:dyDescent="0.2">
      <c r="C264" s="93" t="s">
        <v>490</v>
      </c>
      <c r="D264" s="93"/>
      <c r="E264" s="93"/>
      <c r="F264" s="93"/>
      <c r="G264" s="93"/>
      <c r="H264" s="93"/>
      <c r="I264" s="94">
        <f>IF(E243&lt;&gt;0,K264/E243, 0)</f>
        <v>40505.230769230773</v>
      </c>
      <c r="J264" s="94"/>
      <c r="K264" s="94">
        <f>L246+L248+L255+L262+L263+L249+SUM(L260:L260)</f>
        <v>210627.20000000001</v>
      </c>
      <c r="L264" s="94"/>
      <c r="AD264">
        <f>ROUND((Source!AT41/100)*((ROUND(SUMIF(SmtRes!AQ52:'SmtRes'!AQ59,"=1",SmtRes!AD52:'SmtRes'!AD59)*Source!I41, 2)+ROUND(SUMIF(SmtRes!AQ52:'SmtRes'!AQ59,"=1",SmtRes!AC52:'SmtRes'!AC59)*Source!I41, 2))), 2)</f>
        <v>7007.17</v>
      </c>
      <c r="AE264">
        <f>ROUND((Source!AU41/100)*((ROUND(SUMIF(SmtRes!AQ52:'SmtRes'!AQ59,"=1",SmtRes!AD52:'SmtRes'!AD59)*Source!I41, 2)+ROUND(SUMIF(SmtRes!AQ52:'SmtRes'!AQ59,"=1",SmtRes!AC52:'SmtRes'!AC59)*Source!I41, 2))), 2)</f>
        <v>3460.73</v>
      </c>
      <c r="AN264" s="35">
        <f>L246+L248+L255+L262+L263+L249</f>
        <v>166291.83000000002</v>
      </c>
      <c r="AO264" s="35">
        <f>L248</f>
        <v>19011.849999999999</v>
      </c>
      <c r="AQ264" t="s">
        <v>491</v>
      </c>
      <c r="AR264" s="35">
        <f>L246</f>
        <v>52921.91</v>
      </c>
      <c r="AT264" s="35">
        <f>L249</f>
        <v>6216.3899999999994</v>
      </c>
      <c r="AV264" t="s">
        <v>491</v>
      </c>
      <c r="AW264" s="35">
        <f>L255</f>
        <v>1474.5</v>
      </c>
      <c r="AZ264">
        <f>Source!X41</f>
        <v>58014.67</v>
      </c>
      <c r="BA264">
        <f>Source!Y41</f>
        <v>28652.51</v>
      </c>
      <c r="CD264">
        <v>1</v>
      </c>
    </row>
    <row r="265" spans="1:83" ht="146.25" x14ac:dyDescent="0.2">
      <c r="A265" s="20" t="s">
        <v>128</v>
      </c>
      <c r="B265" s="22" t="s">
        <v>514</v>
      </c>
      <c r="C265" s="22" t="s">
        <v>531</v>
      </c>
      <c r="D265" s="23" t="str">
        <f>Source!H43</f>
        <v>100 м2</v>
      </c>
      <c r="E265" s="24">
        <f>Source!K43</f>
        <v>5.2</v>
      </c>
      <c r="F265" s="24"/>
      <c r="G265" s="24">
        <f>Source!I43</f>
        <v>5.2</v>
      </c>
      <c r="H265" s="26"/>
      <c r="I265" s="25"/>
      <c r="J265" s="26"/>
      <c r="K265" s="25"/>
      <c r="L265" s="26"/>
    </row>
    <row r="266" spans="1:83" ht="165.75" x14ac:dyDescent="0.2">
      <c r="B266" s="39" t="str">
        <f>Source!EO43</f>
        <v>Поправка: 421/пр_2020_п.58_пп.б</v>
      </c>
      <c r="C266" s="39" t="str">
        <f>Source!CN43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267" spans="1:83" x14ac:dyDescent="0.2">
      <c r="C267" s="27" t="str">
        <f>"Объем: "&amp;Source!I43&amp;"=520/"&amp;"100"</f>
        <v>Объем: 5,2=520/100</v>
      </c>
    </row>
    <row r="268" spans="1:83" ht="15" x14ac:dyDescent="0.2">
      <c r="A268" s="21"/>
      <c r="B268" s="24">
        <v>1</v>
      </c>
      <c r="C268" s="21" t="s">
        <v>482</v>
      </c>
      <c r="D268" s="23" t="s">
        <v>346</v>
      </c>
      <c r="E268" s="28"/>
      <c r="F268" s="24"/>
      <c r="G268" s="24">
        <f>Source!U43</f>
        <v>388.7</v>
      </c>
      <c r="H268" s="24"/>
      <c r="I268" s="24"/>
      <c r="J268" s="24"/>
      <c r="K268" s="24"/>
      <c r="L268" s="29">
        <f>SUM(L269:L269)-SUMIF(CE269:CE269, 1, L269:L269)</f>
        <v>141560.65</v>
      </c>
    </row>
    <row r="269" spans="1:83" ht="28.5" x14ac:dyDescent="0.2">
      <c r="A269" s="22"/>
      <c r="B269" s="22" t="s">
        <v>377</v>
      </c>
      <c r="C269" s="22" t="s">
        <v>378</v>
      </c>
      <c r="D269" s="23" t="s">
        <v>346</v>
      </c>
      <c r="E269" s="24">
        <v>1</v>
      </c>
      <c r="F269" s="24">
        <f>ROUND(1.15*65,7)</f>
        <v>74.75</v>
      </c>
      <c r="G269" s="24">
        <f>SmtRes!CX60</f>
        <v>388.7</v>
      </c>
      <c r="H269" s="26"/>
      <c r="I269" s="25"/>
      <c r="J269" s="26">
        <f>SmtRes!CZ60</f>
        <v>364.19</v>
      </c>
      <c r="K269" s="25"/>
      <c r="L269" s="26">
        <f>SmtRes!DI60</f>
        <v>141560.65</v>
      </c>
    </row>
    <row r="270" spans="1:83" ht="15" x14ac:dyDescent="0.2">
      <c r="A270" s="21"/>
      <c r="B270" s="24">
        <v>2</v>
      </c>
      <c r="C270" s="21" t="s">
        <v>483</v>
      </c>
      <c r="D270" s="23"/>
      <c r="E270" s="28"/>
      <c r="F270" s="24"/>
      <c r="G270" s="24"/>
      <c r="H270" s="24"/>
      <c r="I270" s="24"/>
      <c r="J270" s="24"/>
      <c r="K270" s="24"/>
      <c r="L270" s="29">
        <f>SUM(L271:L275)-SUMIF(CE271:CE275, 1, L271:L275)</f>
        <v>18917.18</v>
      </c>
    </row>
    <row r="271" spans="1:83" ht="15" x14ac:dyDescent="0.2">
      <c r="A271" s="21"/>
      <c r="B271" s="24"/>
      <c r="C271" s="21" t="s">
        <v>484</v>
      </c>
      <c r="D271" s="23" t="s">
        <v>346</v>
      </c>
      <c r="E271" s="28"/>
      <c r="F271" s="24"/>
      <c r="G271" s="24">
        <f>Source!V43</f>
        <v>12.674999999999999</v>
      </c>
      <c r="H271" s="24"/>
      <c r="I271" s="24"/>
      <c r="J271" s="24"/>
      <c r="K271" s="24"/>
      <c r="L271" s="29">
        <f>SUMIF(CE272:CE275, 1, L272:L275)</f>
        <v>6231.32</v>
      </c>
      <c r="CE271">
        <v>1</v>
      </c>
    </row>
    <row r="272" spans="1:83" ht="28.5" x14ac:dyDescent="0.2">
      <c r="A272" s="22"/>
      <c r="B272" s="22" t="s">
        <v>355</v>
      </c>
      <c r="C272" s="22" t="s">
        <v>357</v>
      </c>
      <c r="D272" s="23" t="s">
        <v>350</v>
      </c>
      <c r="E272" s="24">
        <v>0.01</v>
      </c>
      <c r="F272" s="24">
        <f>ROUND(1.25*65,7)</f>
        <v>81.25</v>
      </c>
      <c r="G272" s="24">
        <f>SmtRes!CX62</f>
        <v>4.2249999999999996</v>
      </c>
      <c r="H272" s="26"/>
      <c r="I272" s="25"/>
      <c r="J272" s="26">
        <f>SmtRes!CZ62</f>
        <v>1098</v>
      </c>
      <c r="K272" s="25"/>
      <c r="L272" s="26">
        <f>SmtRes!DG62</f>
        <v>4639.05</v>
      </c>
    </row>
    <row r="273" spans="1:101" ht="28.5" x14ac:dyDescent="0.2">
      <c r="A273" s="22"/>
      <c r="B273" s="22" t="s">
        <v>358</v>
      </c>
      <c r="C273" s="22" t="s">
        <v>493</v>
      </c>
      <c r="D273" s="23" t="s">
        <v>346</v>
      </c>
      <c r="E273" s="24">
        <f>SmtRes!DO62*SmtRes!AT62</f>
        <v>0.01</v>
      </c>
      <c r="F273" s="24">
        <f>ROUND(1.25*65,7)</f>
        <v>81.25</v>
      </c>
      <c r="G273" s="24">
        <f>ROUND(E273*F273*G265, 7)</f>
        <v>4.2249999999999996</v>
      </c>
      <c r="H273" s="26"/>
      <c r="I273" s="25"/>
      <c r="J273" s="26">
        <f>ROUND(SmtRes!AG62/SmtRes!DO62, 2)</f>
        <v>544.01</v>
      </c>
      <c r="K273" s="25"/>
      <c r="L273" s="26">
        <f>SmtRes!DH62</f>
        <v>2298.44</v>
      </c>
      <c r="CE273">
        <v>1</v>
      </c>
    </row>
    <row r="274" spans="1:101" ht="71.25" x14ac:dyDescent="0.2">
      <c r="A274" s="22"/>
      <c r="B274" s="22" t="s">
        <v>379</v>
      </c>
      <c r="C274" s="22" t="s">
        <v>381</v>
      </c>
      <c r="D274" s="23" t="s">
        <v>350</v>
      </c>
      <c r="E274" s="24">
        <v>0.02</v>
      </c>
      <c r="F274" s="24">
        <f>ROUND(1.25*65,7)</f>
        <v>81.25</v>
      </c>
      <c r="G274" s="24">
        <f>SmtRes!CX63</f>
        <v>8.4499999999999993</v>
      </c>
      <c r="H274" s="26"/>
      <c r="I274" s="25"/>
      <c r="J274" s="26">
        <f>SmtRes!CZ63</f>
        <v>1689.72</v>
      </c>
      <c r="K274" s="25"/>
      <c r="L274" s="26">
        <f>SmtRes!DG63</f>
        <v>14278.13</v>
      </c>
    </row>
    <row r="275" spans="1:101" ht="28.5" x14ac:dyDescent="0.2">
      <c r="A275" s="22"/>
      <c r="B275" s="22" t="s">
        <v>382</v>
      </c>
      <c r="C275" s="22" t="s">
        <v>511</v>
      </c>
      <c r="D275" s="23" t="s">
        <v>346</v>
      </c>
      <c r="E275" s="24">
        <f>SmtRes!DO63*SmtRes!AT63</f>
        <v>0.02</v>
      </c>
      <c r="F275" s="24">
        <f>ROUND(1.25*65,7)</f>
        <v>81.25</v>
      </c>
      <c r="G275" s="24">
        <f>ROUND(E275*F275*G265, 7)</f>
        <v>8.4499999999999993</v>
      </c>
      <c r="H275" s="26"/>
      <c r="I275" s="25"/>
      <c r="J275" s="26">
        <f>ROUND(SmtRes!AG63/SmtRes!DO63, 2)</f>
        <v>465.43</v>
      </c>
      <c r="K275" s="25"/>
      <c r="L275" s="26">
        <f>SmtRes!DH63</f>
        <v>3932.88</v>
      </c>
      <c r="CE275">
        <v>1</v>
      </c>
    </row>
    <row r="276" spans="1:101" ht="28.5" x14ac:dyDescent="0.2">
      <c r="A276" s="22"/>
      <c r="B276" s="22" t="str">
        <f>EtalonRes!I69</f>
        <v>04.3.01.09</v>
      </c>
      <c r="C276" s="30" t="str">
        <f>EtalonRes!K69</f>
        <v>Раствор готовый кладочный тяжелый цементный</v>
      </c>
      <c r="D276" s="31" t="str">
        <f>EtalonRes!O69</f>
        <v>м3</v>
      </c>
      <c r="E276" s="32">
        <f>EtalonRes!X69</f>
        <v>0.10199999999999999</v>
      </c>
      <c r="F276" s="32">
        <f>ROUND(65,7)</f>
        <v>65</v>
      </c>
      <c r="G276" s="32">
        <f>ROUND(EtalonRes!AG69*Source!I43, 7)</f>
        <v>34.475999999999999</v>
      </c>
      <c r="H276" s="33"/>
      <c r="I276" s="34"/>
      <c r="J276" s="33"/>
      <c r="K276" s="34"/>
      <c r="L276" s="33"/>
    </row>
    <row r="277" spans="1:101" ht="15" x14ac:dyDescent="0.2">
      <c r="A277" s="22"/>
      <c r="B277" s="22"/>
      <c r="C277" s="37" t="s">
        <v>485</v>
      </c>
      <c r="D277" s="23"/>
      <c r="E277" s="24"/>
      <c r="F277" s="24"/>
      <c r="G277" s="24"/>
      <c r="H277" s="26"/>
      <c r="I277" s="25"/>
      <c r="J277" s="26"/>
      <c r="K277" s="25"/>
      <c r="L277" s="26">
        <f>L268+L270+L271</f>
        <v>166709.15</v>
      </c>
    </row>
    <row r="278" spans="1:101" ht="28.5" x14ac:dyDescent="0.2">
      <c r="A278" s="20" t="s">
        <v>532</v>
      </c>
      <c r="B278" s="22" t="str">
        <f>Source!F44</f>
        <v>04.3.01.09-0056</v>
      </c>
      <c r="C278" s="22" t="str">
        <f>Source!G44</f>
        <v>Раствор готовый кладочный, цементно-песчаный, М150</v>
      </c>
      <c r="D278" s="23" t="str">
        <f>Source!H44</f>
        <v>м3</v>
      </c>
      <c r="E278" s="24">
        <f>SmtRes!AT64</f>
        <v>0.10199999999999999</v>
      </c>
      <c r="F278" s="24">
        <f>ROUND(65,7)</f>
        <v>65</v>
      </c>
      <c r="G278" s="24">
        <f>Source!I44</f>
        <v>34.475999999999999</v>
      </c>
      <c r="H278" s="26"/>
      <c r="I278" s="25"/>
      <c r="J278" s="26">
        <f>Source!AK44</f>
        <v>5572.57</v>
      </c>
      <c r="K278" s="25"/>
      <c r="L278" s="26">
        <f>Source!P44</f>
        <v>192119.92</v>
      </c>
      <c r="AD278">
        <f>ROUND((Source!AT44/100)*((ROUND(ROUND(Source!AO44,2)*Source!I44, 2)+ROUND(ROUND(Source!AN44,2)*Source!I44, 2))), 2)</f>
        <v>0</v>
      </c>
      <c r="AE278">
        <f>ROUND((Source!AU44/100)*((ROUND(ROUND(Source!AO44,2)*Source!I44, 2)+ROUND(ROUND(Source!AN44,2)*Source!I44, 2))), 2)</f>
        <v>0</v>
      </c>
      <c r="AN278">
        <f>L278</f>
        <v>192119.92</v>
      </c>
      <c r="AW278">
        <f>L278</f>
        <v>192119.92</v>
      </c>
      <c r="AZ278">
        <f>Source!X44</f>
        <v>0</v>
      </c>
      <c r="BA278">
        <f>Source!Y44</f>
        <v>0</v>
      </c>
      <c r="CD278">
        <v>1</v>
      </c>
    </row>
    <row r="279" spans="1:101" ht="63.75" x14ac:dyDescent="0.2">
      <c r="B279" s="39" t="str">
        <f>Source!EO44</f>
        <v>Поправка: 421/пр_2020_п.58_пп.б</v>
      </c>
      <c r="C279" s="96" t="s">
        <v>533</v>
      </c>
      <c r="D279" s="96"/>
      <c r="E279" s="96"/>
      <c r="F279" s="96"/>
      <c r="G279" s="96"/>
      <c r="H279" s="96"/>
      <c r="I279" s="96"/>
      <c r="J279" s="96"/>
      <c r="K279" s="96"/>
      <c r="L279" s="96"/>
      <c r="CW279" s="40" t="s">
        <v>533</v>
      </c>
    </row>
    <row r="280" spans="1:101" ht="14.25" x14ac:dyDescent="0.2">
      <c r="A280" s="22"/>
      <c r="B280" s="22"/>
      <c r="C280" s="22" t="s">
        <v>486</v>
      </c>
      <c r="D280" s="23"/>
      <c r="E280" s="24"/>
      <c r="F280" s="24"/>
      <c r="G280" s="24"/>
      <c r="H280" s="26"/>
      <c r="I280" s="25"/>
      <c r="J280" s="26"/>
      <c r="K280" s="25"/>
      <c r="L280" s="26">
        <f>SUM(AR265:AR283)+SUM(AS265:AS283)+SUM(AT265:AT283)+SUM(AU265:AU283)+SUM(AV265:AV283)</f>
        <v>147791.97</v>
      </c>
    </row>
    <row r="281" spans="1:101" ht="28.5" x14ac:dyDescent="0.2">
      <c r="A281" s="22"/>
      <c r="B281" s="22" t="s">
        <v>520</v>
      </c>
      <c r="C281" s="22" t="s">
        <v>512</v>
      </c>
      <c r="D281" s="23" t="s">
        <v>488</v>
      </c>
      <c r="E281" s="24">
        <f>Source!BZ43</f>
        <v>109</v>
      </c>
      <c r="F281" s="24">
        <f>ROUND(0.9,7)</f>
        <v>0.9</v>
      </c>
      <c r="G281" s="24">
        <f>Source!AT43</f>
        <v>98.1</v>
      </c>
      <c r="H281" s="26"/>
      <c r="I281" s="25"/>
      <c r="J281" s="26"/>
      <c r="K281" s="25"/>
      <c r="L281" s="26">
        <f>SUM(AZ265:AZ283)</f>
        <v>144983.92000000001</v>
      </c>
    </row>
    <row r="282" spans="1:101" ht="28.5" x14ac:dyDescent="0.2">
      <c r="A282" s="30"/>
      <c r="B282" s="30" t="s">
        <v>521</v>
      </c>
      <c r="C282" s="30" t="s">
        <v>513</v>
      </c>
      <c r="D282" s="31" t="s">
        <v>488</v>
      </c>
      <c r="E282" s="32">
        <f>Source!CA43</f>
        <v>57</v>
      </c>
      <c r="F282" s="32">
        <f>ROUND(0.85,7)</f>
        <v>0.85</v>
      </c>
      <c r="G282" s="32">
        <f>Source!AU43</f>
        <v>48.45</v>
      </c>
      <c r="H282" s="33"/>
      <c r="I282" s="34"/>
      <c r="J282" s="33"/>
      <c r="K282" s="34"/>
      <c r="L282" s="33">
        <f>SUM(BA265:BA283)</f>
        <v>71605.210000000006</v>
      </c>
    </row>
    <row r="283" spans="1:101" ht="15" x14ac:dyDescent="0.2">
      <c r="C283" s="93" t="s">
        <v>490</v>
      </c>
      <c r="D283" s="93"/>
      <c r="E283" s="93"/>
      <c r="F283" s="93"/>
      <c r="G283" s="93"/>
      <c r="H283" s="93"/>
      <c r="I283" s="94">
        <f>IF(E265&lt;&gt;0,K283/E265, 0)</f>
        <v>110657.34615384617</v>
      </c>
      <c r="J283" s="94"/>
      <c r="K283" s="94">
        <f>L268+L270+L281+L282+L271+SUM(L278:L279)</f>
        <v>575418.20000000007</v>
      </c>
      <c r="L283" s="94"/>
      <c r="AD283">
        <f>ROUND((Source!AT43/100)*((ROUND(SUMIF(SmtRes!AQ60:'SmtRes'!AQ64,"=1",SmtRes!AD60:'SmtRes'!AD64)*Source!I43, 2)+ROUND(SUMIF(SmtRes!AQ60:'SmtRes'!AQ64,"=1",SmtRes!AC60:'SmtRes'!AC64)*Source!I43, 2))), 2)</f>
        <v>7007.17</v>
      </c>
      <c r="AE283">
        <f>ROUND((Source!AU43/100)*((ROUND(SUMIF(SmtRes!AQ60:'SmtRes'!AQ64,"=1",SmtRes!AD60:'SmtRes'!AD64)*Source!I43, 2)+ROUND(SUMIF(SmtRes!AQ60:'SmtRes'!AQ64,"=1",SmtRes!AC60:'SmtRes'!AC64)*Source!I43, 2))), 2)</f>
        <v>3460.73</v>
      </c>
      <c r="AN283" s="35">
        <f>L268+L270+L281+L282+L271</f>
        <v>383298.28</v>
      </c>
      <c r="AO283" s="35">
        <f>L270</f>
        <v>18917.18</v>
      </c>
      <c r="AQ283" t="s">
        <v>491</v>
      </c>
      <c r="AR283" s="35">
        <f>L268</f>
        <v>141560.65</v>
      </c>
      <c r="AT283" s="35">
        <f>L271</f>
        <v>6231.32</v>
      </c>
      <c r="AV283" t="s">
        <v>491</v>
      </c>
      <c r="AW283">
        <f>0</f>
        <v>0</v>
      </c>
      <c r="AZ283">
        <f>Source!X43</f>
        <v>144983.92000000001</v>
      </c>
      <c r="BA283">
        <f>Source!Y43</f>
        <v>71605.210000000006</v>
      </c>
      <c r="CD283">
        <v>1</v>
      </c>
    </row>
    <row r="284" spans="1:101" ht="105" x14ac:dyDescent="0.2">
      <c r="A284" s="20" t="s">
        <v>134</v>
      </c>
      <c r="B284" s="22" t="s">
        <v>534</v>
      </c>
      <c r="C284" s="22" t="s">
        <v>535</v>
      </c>
      <c r="D284" s="23" t="str">
        <f>Source!H45</f>
        <v>т</v>
      </c>
      <c r="E284" s="24">
        <f>Source!K45</f>
        <v>0.72799999999999998</v>
      </c>
      <c r="F284" s="24"/>
      <c r="G284" s="24">
        <f>Source!I45</f>
        <v>0.72799999999999998</v>
      </c>
      <c r="H284" s="26"/>
      <c r="I284" s="25"/>
      <c r="J284" s="26"/>
      <c r="K284" s="25"/>
      <c r="L284" s="26"/>
    </row>
    <row r="285" spans="1:101" ht="165.75" x14ac:dyDescent="0.2">
      <c r="B285" s="39" t="str">
        <f>Source!EO45</f>
        <v>Поправка: 421/пр_2020_п.58_пп.б</v>
      </c>
      <c r="C285" s="39" t="str">
        <f>Source!CN45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286" spans="1:101" x14ac:dyDescent="0.2">
      <c r="C286" s="27" t="str">
        <f>"Объем: "&amp;Source!I45&amp;"=1,4*"&amp;"520/"&amp;"1000"</f>
        <v>Объем: 0,728=1,4*520/1000</v>
      </c>
    </row>
    <row r="287" spans="1:101" ht="15" x14ac:dyDescent="0.2">
      <c r="A287" s="21"/>
      <c r="B287" s="24">
        <v>1</v>
      </c>
      <c r="C287" s="21" t="s">
        <v>482</v>
      </c>
      <c r="D287" s="23" t="s">
        <v>346</v>
      </c>
      <c r="E287" s="28"/>
      <c r="F287" s="24"/>
      <c r="G287" s="24">
        <f>Source!U45</f>
        <v>9.7115200000000002</v>
      </c>
      <c r="H287" s="24"/>
      <c r="I287" s="24"/>
      <c r="J287" s="24"/>
      <c r="K287" s="24"/>
      <c r="L287" s="29">
        <f>SUM(L288:L288)-SUMIF(CE288:CE288, 1, L288:L288)</f>
        <v>3624.82</v>
      </c>
    </row>
    <row r="288" spans="1:101" ht="28.5" x14ac:dyDescent="0.2">
      <c r="A288" s="22"/>
      <c r="B288" s="22" t="s">
        <v>395</v>
      </c>
      <c r="C288" s="22" t="s">
        <v>396</v>
      </c>
      <c r="D288" s="23" t="s">
        <v>346</v>
      </c>
      <c r="E288" s="24">
        <v>11.6</v>
      </c>
      <c r="F288" s="24">
        <f>ROUND(1.15,7)</f>
        <v>1.1499999999999999</v>
      </c>
      <c r="G288" s="24">
        <f>SmtRes!CX65</f>
        <v>9.7115200000000002</v>
      </c>
      <c r="H288" s="26"/>
      <c r="I288" s="25"/>
      <c r="J288" s="26">
        <f>SmtRes!CZ65</f>
        <v>373.25</v>
      </c>
      <c r="K288" s="25"/>
      <c r="L288" s="26">
        <f>SmtRes!DI65</f>
        <v>3624.82</v>
      </c>
    </row>
    <row r="289" spans="1:83" ht="15" x14ac:dyDescent="0.2">
      <c r="A289" s="21"/>
      <c r="B289" s="24">
        <v>2</v>
      </c>
      <c r="C289" s="21" t="s">
        <v>483</v>
      </c>
      <c r="D289" s="23"/>
      <c r="E289" s="28"/>
      <c r="F289" s="24"/>
      <c r="G289" s="24"/>
      <c r="H289" s="24"/>
      <c r="I289" s="24"/>
      <c r="J289" s="24"/>
      <c r="K289" s="24"/>
      <c r="L289" s="29">
        <f>SUM(L290:L294)-SUMIF(CE290:CE294, 1, L290:L294)</f>
        <v>358.67</v>
      </c>
    </row>
    <row r="290" spans="1:83" ht="15" x14ac:dyDescent="0.2">
      <c r="A290" s="21"/>
      <c r="B290" s="24"/>
      <c r="C290" s="21" t="s">
        <v>484</v>
      </c>
      <c r="D290" s="23" t="s">
        <v>346</v>
      </c>
      <c r="E290" s="28"/>
      <c r="F290" s="24"/>
      <c r="G290" s="24">
        <f>Source!V45</f>
        <v>0.31850000000000001</v>
      </c>
      <c r="H290" s="24"/>
      <c r="I290" s="24"/>
      <c r="J290" s="24"/>
      <c r="K290" s="24"/>
      <c r="L290" s="29">
        <f>SUMIF(CE291:CE294, 1, L291:L294)</f>
        <v>147.97</v>
      </c>
      <c r="CE290">
        <v>1</v>
      </c>
    </row>
    <row r="291" spans="1:83" ht="28.5" x14ac:dyDescent="0.2">
      <c r="A291" s="22"/>
      <c r="B291" s="22" t="s">
        <v>397</v>
      </c>
      <c r="C291" s="22" t="s">
        <v>399</v>
      </c>
      <c r="D291" s="23" t="s">
        <v>350</v>
      </c>
      <c r="E291" s="24">
        <v>0.15</v>
      </c>
      <c r="F291" s="24">
        <f>ROUND(1.25,7)</f>
        <v>1.25</v>
      </c>
      <c r="G291" s="24">
        <f>SmtRes!CX67</f>
        <v>0.13650000000000001</v>
      </c>
      <c r="H291" s="26"/>
      <c r="I291" s="25"/>
      <c r="J291" s="26">
        <f>SmtRes!CZ67</f>
        <v>1719.93</v>
      </c>
      <c r="K291" s="25"/>
      <c r="L291" s="26">
        <f>SmtRes!DG67</f>
        <v>234.77</v>
      </c>
    </row>
    <row r="292" spans="1:83" ht="28.5" x14ac:dyDescent="0.2">
      <c r="A292" s="22"/>
      <c r="B292" s="22" t="s">
        <v>358</v>
      </c>
      <c r="C292" s="22" t="s">
        <v>493</v>
      </c>
      <c r="D292" s="23" t="s">
        <v>346</v>
      </c>
      <c r="E292" s="24">
        <f>SmtRes!DO67*SmtRes!AT67</f>
        <v>0.15</v>
      </c>
      <c r="F292" s="24">
        <f>ROUND(1.25,7)</f>
        <v>1.25</v>
      </c>
      <c r="G292" s="24">
        <f>ROUND(E292*F292*G284, 7)</f>
        <v>0.13650000000000001</v>
      </c>
      <c r="H292" s="26"/>
      <c r="I292" s="25"/>
      <c r="J292" s="26">
        <f>ROUND(SmtRes!AG67/SmtRes!DO67, 2)</f>
        <v>544.01</v>
      </c>
      <c r="K292" s="25"/>
      <c r="L292" s="26">
        <f>SmtRes!DH67</f>
        <v>74.260000000000005</v>
      </c>
      <c r="CE292">
        <v>1</v>
      </c>
    </row>
    <row r="293" spans="1:83" ht="28.5" x14ac:dyDescent="0.2">
      <c r="A293" s="22"/>
      <c r="B293" s="22" t="s">
        <v>363</v>
      </c>
      <c r="C293" s="22" t="s">
        <v>365</v>
      </c>
      <c r="D293" s="23" t="s">
        <v>350</v>
      </c>
      <c r="E293" s="24">
        <v>0.2</v>
      </c>
      <c r="F293" s="24">
        <f>ROUND(1.25,7)</f>
        <v>1.25</v>
      </c>
      <c r="G293" s="24">
        <f>SmtRes!CX68</f>
        <v>0.182</v>
      </c>
      <c r="H293" s="26"/>
      <c r="I293" s="25"/>
      <c r="J293" s="26">
        <f>SmtRes!CZ68</f>
        <v>680.75</v>
      </c>
      <c r="K293" s="25"/>
      <c r="L293" s="26">
        <f>SmtRes!DG68</f>
        <v>123.9</v>
      </c>
    </row>
    <row r="294" spans="1:83" ht="28.5" x14ac:dyDescent="0.2">
      <c r="A294" s="22"/>
      <c r="B294" s="22" t="s">
        <v>366</v>
      </c>
      <c r="C294" s="22" t="s">
        <v>503</v>
      </c>
      <c r="D294" s="23" t="s">
        <v>346</v>
      </c>
      <c r="E294" s="24">
        <f>SmtRes!DO68*SmtRes!AT68</f>
        <v>0.2</v>
      </c>
      <c r="F294" s="24">
        <f>ROUND(1.25,7)</f>
        <v>1.25</v>
      </c>
      <c r="G294" s="24">
        <f>ROUND(E294*F294*G284, 7)</f>
        <v>0.182</v>
      </c>
      <c r="H294" s="26"/>
      <c r="I294" s="25"/>
      <c r="J294" s="26">
        <f>ROUND(SmtRes!AG68/SmtRes!DO68, 2)</f>
        <v>404.99</v>
      </c>
      <c r="K294" s="25"/>
      <c r="L294" s="26">
        <f>SmtRes!DH68</f>
        <v>73.709999999999994</v>
      </c>
      <c r="CE294">
        <v>1</v>
      </c>
    </row>
    <row r="295" spans="1:83" ht="15" x14ac:dyDescent="0.2">
      <c r="A295" s="21"/>
      <c r="B295" s="24">
        <v>4</v>
      </c>
      <c r="C295" s="21" t="s">
        <v>504</v>
      </c>
      <c r="D295" s="23"/>
      <c r="E295" s="28"/>
      <c r="F295" s="24"/>
      <c r="G295" s="24"/>
      <c r="H295" s="24"/>
      <c r="I295" s="24"/>
      <c r="J295" s="24"/>
      <c r="K295" s="24"/>
      <c r="L295" s="29">
        <f>SUM(L296:L296)-SUMIF(CE296:CE296, 1, L296:L296)</f>
        <v>1773.57</v>
      </c>
    </row>
    <row r="296" spans="1:83" ht="14.25" x14ac:dyDescent="0.2">
      <c r="A296" s="22"/>
      <c r="B296" s="22" t="s">
        <v>400</v>
      </c>
      <c r="C296" s="22" t="s">
        <v>402</v>
      </c>
      <c r="D296" s="23" t="s">
        <v>41</v>
      </c>
      <c r="E296" s="24">
        <v>2.8000000000000001E-2</v>
      </c>
      <c r="F296" s="24"/>
      <c r="G296" s="24">
        <f>SmtRes!CX70</f>
        <v>2.0383999999999999E-2</v>
      </c>
      <c r="H296" s="26">
        <f>SmtRes!CZ70</f>
        <v>88783.86</v>
      </c>
      <c r="I296" s="25">
        <f>SmtRes!AI70</f>
        <v>0.98</v>
      </c>
      <c r="J296" s="26">
        <f>ROUND(H296*I296, 2)</f>
        <v>87008.18</v>
      </c>
      <c r="K296" s="25"/>
      <c r="L296" s="26">
        <f>SmtRes!DF70</f>
        <v>1773.57</v>
      </c>
    </row>
    <row r="297" spans="1:83" ht="14.25" x14ac:dyDescent="0.2">
      <c r="A297" s="22"/>
      <c r="B297" s="22" t="str">
        <f>EtalonRes!I75</f>
        <v>08.4.03.03</v>
      </c>
      <c r="C297" s="30" t="str">
        <f>EtalonRes!K75</f>
        <v>Арматура</v>
      </c>
      <c r="D297" s="31" t="str">
        <f>EtalonRes!O75</f>
        <v>т</v>
      </c>
      <c r="E297" s="32">
        <f>EtalonRes!X75</f>
        <v>1</v>
      </c>
      <c r="F297" s="32"/>
      <c r="G297" s="32">
        <f>ROUND(EtalonRes!AG75*Source!I45, 7)</f>
        <v>0.72799999999999998</v>
      </c>
      <c r="H297" s="33"/>
      <c r="I297" s="34"/>
      <c r="J297" s="33"/>
      <c r="K297" s="34"/>
      <c r="L297" s="33"/>
    </row>
    <row r="298" spans="1:83" ht="15" x14ac:dyDescent="0.2">
      <c r="A298" s="22"/>
      <c r="B298" s="22"/>
      <c r="C298" s="37" t="s">
        <v>485</v>
      </c>
      <c r="D298" s="23"/>
      <c r="E298" s="24"/>
      <c r="F298" s="24"/>
      <c r="G298" s="24"/>
      <c r="H298" s="26"/>
      <c r="I298" s="25"/>
      <c r="J298" s="26"/>
      <c r="K298" s="25"/>
      <c r="L298" s="26">
        <f>L287+L289+L290+L295</f>
        <v>5905.03</v>
      </c>
    </row>
    <row r="299" spans="1:83" ht="57" x14ac:dyDescent="0.2">
      <c r="A299" s="20" t="s">
        <v>536</v>
      </c>
      <c r="B299" s="22" t="str">
        <f>Source!F46</f>
        <v>08.1.02.17-0083</v>
      </c>
      <c r="C299" s="22" t="str">
        <f>Source!G46</f>
        <v>Сетка стальная сварная из арматурной проволоки без покрытия, диаметр проволоки 3 мм, размер ячейки 100х100 мм</v>
      </c>
      <c r="D299" s="23" t="str">
        <f>Source!H46</f>
        <v>м2</v>
      </c>
      <c r="E299" s="24">
        <f>SmtRes!AT69</f>
        <v>714.2857143</v>
      </c>
      <c r="F299" s="24"/>
      <c r="G299" s="24">
        <f>Source!I46</f>
        <v>520</v>
      </c>
      <c r="H299" s="26">
        <f>Source!AL46+Source!AO46+Source!AM46+Source!AN46</f>
        <v>66.680000000000007</v>
      </c>
      <c r="I299" s="25">
        <f>IF(Source!BC46&lt;&gt; 0, Source!BC46, 1)</f>
        <v>1.05</v>
      </c>
      <c r="J299" s="26">
        <f>ROUND(H299*I299, 2)</f>
        <v>70.010000000000005</v>
      </c>
      <c r="K299" s="25"/>
      <c r="L299" s="26">
        <f>Source!P46</f>
        <v>36405.199999999997</v>
      </c>
      <c r="AD299">
        <f>ROUND((Source!AT46/100)*((ROUND(ROUND(Source!AO46,2)*Source!I46, 2)+ROUND(ROUND(Source!AN46,2)*Source!I46, 2))), 2)</f>
        <v>0</v>
      </c>
      <c r="AE299">
        <f>ROUND((Source!AU46/100)*((ROUND(ROUND(Source!AO46,2)*Source!I46, 2)+ROUND(ROUND(Source!AN46,2)*Source!I46, 2))), 2)</f>
        <v>0</v>
      </c>
      <c r="AN299">
        <f>L299</f>
        <v>36405.199999999997</v>
      </c>
      <c r="AW299">
        <f>L299</f>
        <v>36405.199999999997</v>
      </c>
      <c r="AZ299">
        <f>Source!X46</f>
        <v>0</v>
      </c>
      <c r="BA299">
        <f>Source!Y46</f>
        <v>0</v>
      </c>
      <c r="CD299">
        <v>1</v>
      </c>
    </row>
    <row r="300" spans="1:83" ht="14.25" x14ac:dyDescent="0.2">
      <c r="A300" s="22"/>
      <c r="B300" s="22"/>
      <c r="C300" s="22" t="s">
        <v>486</v>
      </c>
      <c r="D300" s="23"/>
      <c r="E300" s="24"/>
      <c r="F300" s="24"/>
      <c r="G300" s="24"/>
      <c r="H300" s="26"/>
      <c r="I300" s="25"/>
      <c r="J300" s="26"/>
      <c r="K300" s="25"/>
      <c r="L300" s="26">
        <f>SUM(AR284:AR303)+SUM(AS284:AS303)+SUM(AT284:AT303)+SUM(AU284:AU303)+SUM(AV284:AV303)</f>
        <v>3772.79</v>
      </c>
    </row>
    <row r="301" spans="1:83" ht="42.75" x14ac:dyDescent="0.2">
      <c r="A301" s="22"/>
      <c r="B301" s="22" t="s">
        <v>537</v>
      </c>
      <c r="C301" s="22" t="s">
        <v>538</v>
      </c>
      <c r="D301" s="23" t="s">
        <v>488</v>
      </c>
      <c r="E301" s="24">
        <f>Source!BZ45</f>
        <v>102</v>
      </c>
      <c r="F301" s="24">
        <f>ROUND(0.9,7)</f>
        <v>0.9</v>
      </c>
      <c r="G301" s="24">
        <f>Source!AT45</f>
        <v>91.8</v>
      </c>
      <c r="H301" s="26"/>
      <c r="I301" s="25"/>
      <c r="J301" s="26"/>
      <c r="K301" s="25"/>
      <c r="L301" s="26">
        <f>SUM(AZ284:AZ303)</f>
        <v>3463.42</v>
      </c>
    </row>
    <row r="302" spans="1:83" ht="42.75" x14ac:dyDescent="0.2">
      <c r="A302" s="30"/>
      <c r="B302" s="30" t="s">
        <v>539</v>
      </c>
      <c r="C302" s="30" t="s">
        <v>540</v>
      </c>
      <c r="D302" s="31" t="s">
        <v>488</v>
      </c>
      <c r="E302" s="32">
        <f>Source!CA45</f>
        <v>58</v>
      </c>
      <c r="F302" s="32">
        <f>ROUND(0.85,7)</f>
        <v>0.85</v>
      </c>
      <c r="G302" s="32">
        <f>Source!AU45</f>
        <v>49.3</v>
      </c>
      <c r="H302" s="33"/>
      <c r="I302" s="34"/>
      <c r="J302" s="33"/>
      <c r="K302" s="34"/>
      <c r="L302" s="33">
        <f>SUM(BA284:BA303)</f>
        <v>1859.99</v>
      </c>
    </row>
    <row r="303" spans="1:83" ht="15" x14ac:dyDescent="0.2">
      <c r="C303" s="93" t="s">
        <v>490</v>
      </c>
      <c r="D303" s="93"/>
      <c r="E303" s="93"/>
      <c r="F303" s="93"/>
      <c r="G303" s="93"/>
      <c r="H303" s="93"/>
      <c r="I303" s="94">
        <f>IF(E284&lt;&gt;0,K303/E284, 0)</f>
        <v>65430.824175824178</v>
      </c>
      <c r="J303" s="94"/>
      <c r="K303" s="94">
        <f>L287+L289+L295+L301+L302+L290+SUM(L299:L299)</f>
        <v>47633.64</v>
      </c>
      <c r="L303" s="94"/>
      <c r="AD303">
        <f>ROUND((Source!AT45/100)*((ROUND(SUMIF(SmtRes!AQ65:'SmtRes'!AQ70,"=1",SmtRes!AD65:'SmtRes'!AD70)*Source!I45, 2)+ROUND(SUMIF(SmtRes!AQ65:'SmtRes'!AQ70,"=1",SmtRes!AC65:'SmtRes'!AC70)*Source!I45, 2))), 2)</f>
        <v>883.67</v>
      </c>
      <c r="AE303">
        <f>ROUND((Source!AU45/100)*((ROUND(SUMIF(SmtRes!AQ65:'SmtRes'!AQ70,"=1",SmtRes!AD65:'SmtRes'!AD70)*Source!I45, 2)+ROUND(SUMIF(SmtRes!AQ65:'SmtRes'!AQ70,"=1",SmtRes!AC65:'SmtRes'!AC70)*Source!I45, 2))), 2)</f>
        <v>474.56</v>
      </c>
      <c r="AN303" s="35">
        <f>L287+L289+L295+L301+L302+L290</f>
        <v>11228.439999999999</v>
      </c>
      <c r="AO303" s="35">
        <f>L289</f>
        <v>358.67</v>
      </c>
      <c r="AQ303" t="s">
        <v>491</v>
      </c>
      <c r="AR303" s="35">
        <f>L287</f>
        <v>3624.82</v>
      </c>
      <c r="AT303" s="35">
        <f>L290</f>
        <v>147.97</v>
      </c>
      <c r="AV303" t="s">
        <v>491</v>
      </c>
      <c r="AW303" s="35">
        <f>L295</f>
        <v>1773.57</v>
      </c>
      <c r="AZ303">
        <f>Source!X45</f>
        <v>3463.42</v>
      </c>
      <c r="BA303">
        <f>Source!Y45</f>
        <v>1859.99</v>
      </c>
      <c r="CD303">
        <v>1</v>
      </c>
    </row>
    <row r="304" spans="1:83" ht="133.5" x14ac:dyDescent="0.2">
      <c r="A304" s="20" t="s">
        <v>147</v>
      </c>
      <c r="B304" s="22" t="s">
        <v>541</v>
      </c>
      <c r="C304" s="22" t="s">
        <v>542</v>
      </c>
      <c r="D304" s="23" t="str">
        <f>Source!H47</f>
        <v>100 м2</v>
      </c>
      <c r="E304" s="24">
        <f>Source!K47</f>
        <v>5.2</v>
      </c>
      <c r="F304" s="24"/>
      <c r="G304" s="24">
        <f>Source!I47</f>
        <v>5.2</v>
      </c>
      <c r="H304" s="26"/>
      <c r="I304" s="25"/>
      <c r="J304" s="26"/>
      <c r="K304" s="25"/>
      <c r="L304" s="26"/>
    </row>
    <row r="305" spans="1:83" ht="165.75" x14ac:dyDescent="0.2">
      <c r="B305" s="39" t="str">
        <f>Source!EO47</f>
        <v>Поправка: 421/пр_2020_п.58_пп.б</v>
      </c>
      <c r="C305" s="39" t="str">
        <f>Source!CN47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306" spans="1:83" x14ac:dyDescent="0.2">
      <c r="C306" s="27" t="str">
        <f>"Объем: "&amp;Source!I47&amp;"=520/"&amp;"100"</f>
        <v>Объем: 5,2=520/100</v>
      </c>
    </row>
    <row r="307" spans="1:83" ht="15" x14ac:dyDescent="0.2">
      <c r="A307" s="21"/>
      <c r="B307" s="24">
        <v>1</v>
      </c>
      <c r="C307" s="21" t="s">
        <v>482</v>
      </c>
      <c r="D307" s="23" t="s">
        <v>346</v>
      </c>
      <c r="E307" s="28"/>
      <c r="F307" s="24"/>
      <c r="G307" s="24">
        <f>Source!U47</f>
        <v>16.744</v>
      </c>
      <c r="H307" s="24"/>
      <c r="I307" s="24"/>
      <c r="J307" s="24"/>
      <c r="K307" s="24"/>
      <c r="L307" s="29">
        <f>SUM(L308:L308)-SUMIF(CE308:CE308, 1, L308:L308)</f>
        <v>6173.85</v>
      </c>
    </row>
    <row r="308" spans="1:83" ht="28.5" x14ac:dyDescent="0.2">
      <c r="A308" s="22"/>
      <c r="B308" s="22" t="s">
        <v>403</v>
      </c>
      <c r="C308" s="22" t="s">
        <v>404</v>
      </c>
      <c r="D308" s="23" t="s">
        <v>346</v>
      </c>
      <c r="E308" s="24">
        <v>2.8</v>
      </c>
      <c r="F308" s="24">
        <f>ROUND(1.15,7)</f>
        <v>1.1499999999999999</v>
      </c>
      <c r="G308" s="24">
        <f>SmtRes!CX71</f>
        <v>16.744</v>
      </c>
      <c r="H308" s="26"/>
      <c r="I308" s="25"/>
      <c r="J308" s="26">
        <f>SmtRes!CZ71</f>
        <v>368.72</v>
      </c>
      <c r="K308" s="25"/>
      <c r="L308" s="26">
        <f>SmtRes!DI71</f>
        <v>6173.85</v>
      </c>
    </row>
    <row r="309" spans="1:83" ht="15" x14ac:dyDescent="0.2">
      <c r="A309" s="21"/>
      <c r="B309" s="24">
        <v>2</v>
      </c>
      <c r="C309" s="21" t="s">
        <v>483</v>
      </c>
      <c r="D309" s="23"/>
      <c r="E309" s="28"/>
      <c r="F309" s="24"/>
      <c r="G309" s="24"/>
      <c r="H309" s="24"/>
      <c r="I309" s="24"/>
      <c r="J309" s="24"/>
      <c r="K309" s="24"/>
      <c r="L309" s="29">
        <f>SUM(L310:L312)-SUMIF(CE310:CE312, 1, L310:L312)</f>
        <v>177.00000000000003</v>
      </c>
    </row>
    <row r="310" spans="1:83" ht="15" x14ac:dyDescent="0.2">
      <c r="A310" s="21"/>
      <c r="B310" s="24"/>
      <c r="C310" s="21" t="s">
        <v>484</v>
      </c>
      <c r="D310" s="23" t="s">
        <v>346</v>
      </c>
      <c r="E310" s="28"/>
      <c r="F310" s="24"/>
      <c r="G310" s="24">
        <f>Source!V47</f>
        <v>0.26</v>
      </c>
      <c r="H310" s="24"/>
      <c r="I310" s="24"/>
      <c r="J310" s="24"/>
      <c r="K310" s="24"/>
      <c r="L310" s="29">
        <f>SUMIF(CE311:CE312, 1, L311:L312)</f>
        <v>105.3</v>
      </c>
      <c r="CE310">
        <v>1</v>
      </c>
    </row>
    <row r="311" spans="1:83" ht="28.5" x14ac:dyDescent="0.2">
      <c r="A311" s="22"/>
      <c r="B311" s="22" t="s">
        <v>363</v>
      </c>
      <c r="C311" s="22" t="s">
        <v>365</v>
      </c>
      <c r="D311" s="23" t="s">
        <v>350</v>
      </c>
      <c r="E311" s="24">
        <v>0.04</v>
      </c>
      <c r="F311" s="24">
        <f>ROUND(1.25,7)</f>
        <v>1.25</v>
      </c>
      <c r="G311" s="24">
        <f>SmtRes!CX73</f>
        <v>0.26</v>
      </c>
      <c r="H311" s="26"/>
      <c r="I311" s="25"/>
      <c r="J311" s="26">
        <f>SmtRes!CZ73</f>
        <v>680.75</v>
      </c>
      <c r="K311" s="25"/>
      <c r="L311" s="26">
        <f>SmtRes!DG73</f>
        <v>177</v>
      </c>
    </row>
    <row r="312" spans="1:83" ht="28.5" x14ac:dyDescent="0.2">
      <c r="A312" s="22"/>
      <c r="B312" s="22" t="s">
        <v>366</v>
      </c>
      <c r="C312" s="22" t="s">
        <v>503</v>
      </c>
      <c r="D312" s="23" t="s">
        <v>346</v>
      </c>
      <c r="E312" s="24">
        <f>SmtRes!DO73*SmtRes!AT73</f>
        <v>0.04</v>
      </c>
      <c r="F312" s="24">
        <f>ROUND(1.25,7)</f>
        <v>1.25</v>
      </c>
      <c r="G312" s="24">
        <f>ROUND(E312*F312*G304, 7)</f>
        <v>0.26</v>
      </c>
      <c r="H312" s="26"/>
      <c r="I312" s="25"/>
      <c r="J312" s="26">
        <f>ROUND(SmtRes!AG73/SmtRes!DO73, 2)</f>
        <v>404.99</v>
      </c>
      <c r="K312" s="25"/>
      <c r="L312" s="26">
        <f>SmtRes!DH73</f>
        <v>105.3</v>
      </c>
      <c r="CE312">
        <v>1</v>
      </c>
    </row>
    <row r="313" spans="1:83" ht="14.25" x14ac:dyDescent="0.2">
      <c r="A313" s="22"/>
      <c r="B313" s="22" t="str">
        <f>EtalonRes!I79</f>
        <v>01.2.03.07</v>
      </c>
      <c r="C313" s="30" t="str">
        <f>EtalonRes!K79</f>
        <v>Эмульсия битумная</v>
      </c>
      <c r="D313" s="31" t="str">
        <f>EtalonRes!O79</f>
        <v>т</v>
      </c>
      <c r="E313" s="32">
        <f>EtalonRes!X79</f>
        <v>4.4999999999999998E-2</v>
      </c>
      <c r="F313" s="32"/>
      <c r="G313" s="32">
        <f>ROUND(EtalonRes!AG79*Source!I47, 7)</f>
        <v>0.23400000000000001</v>
      </c>
      <c r="H313" s="33"/>
      <c r="I313" s="34"/>
      <c r="J313" s="33"/>
      <c r="K313" s="34"/>
      <c r="L313" s="33"/>
    </row>
    <row r="314" spans="1:83" ht="15" x14ac:dyDescent="0.2">
      <c r="A314" s="22"/>
      <c r="B314" s="22"/>
      <c r="C314" s="37" t="s">
        <v>485</v>
      </c>
      <c r="D314" s="23"/>
      <c r="E314" s="24"/>
      <c r="F314" s="24"/>
      <c r="G314" s="24"/>
      <c r="H314" s="26"/>
      <c r="I314" s="25"/>
      <c r="J314" s="26"/>
      <c r="K314" s="25"/>
      <c r="L314" s="26">
        <f>L307+L309+L310</f>
        <v>6456.1500000000005</v>
      </c>
    </row>
    <row r="315" spans="1:83" ht="71.25" x14ac:dyDescent="0.2">
      <c r="A315" s="20" t="s">
        <v>543</v>
      </c>
      <c r="B315" s="22" t="str">
        <f>Source!F48</f>
        <v>01.2.03.05-0004</v>
      </c>
      <c r="C315" s="22" t="str">
        <f>Source!G48</f>
        <v>Праймер битумный для подготовки (огрунтовки) изолируемых поверхностей перед укладкой наплавляемых битумных и битумно-полимерных материалов</v>
      </c>
      <c r="D315" s="23" t="str">
        <f>Source!H48</f>
        <v>кг</v>
      </c>
      <c r="E315" s="24">
        <f>SmtRes!AT74</f>
        <v>45</v>
      </c>
      <c r="F315" s="24"/>
      <c r="G315" s="24">
        <f>Source!I48</f>
        <v>234</v>
      </c>
      <c r="H315" s="26">
        <f>Source!AL48+Source!AO48+Source!AM48+Source!AN48</f>
        <v>29.92</v>
      </c>
      <c r="I315" s="25"/>
      <c r="J315" s="26"/>
      <c r="K315" s="25"/>
      <c r="L315" s="26">
        <f>Source!P48</f>
        <v>7001.28</v>
      </c>
      <c r="AD315">
        <f>ROUND((Source!AT48/100)*((ROUND(ROUND(Source!AO48,2)*Source!I48, 2)+ROUND(ROUND(Source!AN48,2)*Source!I48, 2))), 2)</f>
        <v>0</v>
      </c>
      <c r="AE315">
        <f>ROUND((Source!AU48/100)*((ROUND(ROUND(Source!AO48,2)*Source!I48, 2)+ROUND(ROUND(Source!AN48,2)*Source!I48, 2))), 2)</f>
        <v>0</v>
      </c>
      <c r="AN315">
        <f>L315</f>
        <v>7001.28</v>
      </c>
      <c r="AW315">
        <f>L315</f>
        <v>7001.28</v>
      </c>
      <c r="AZ315">
        <f>Source!X48</f>
        <v>0</v>
      </c>
      <c r="BA315">
        <f>Source!Y48</f>
        <v>0</v>
      </c>
      <c r="CD315">
        <v>1</v>
      </c>
    </row>
    <row r="316" spans="1:83" ht="14.25" x14ac:dyDescent="0.2">
      <c r="A316" s="22"/>
      <c r="B316" s="22"/>
      <c r="C316" s="22" t="s">
        <v>486</v>
      </c>
      <c r="D316" s="23"/>
      <c r="E316" s="24"/>
      <c r="F316" s="24"/>
      <c r="G316" s="24"/>
      <c r="H316" s="26"/>
      <c r="I316" s="25"/>
      <c r="J316" s="26"/>
      <c r="K316" s="25"/>
      <c r="L316" s="26">
        <f>SUM(AR304:AR319)+SUM(AS304:AS319)+SUM(AT304:AT319)+SUM(AU304:AU319)+SUM(AV304:AV319)</f>
        <v>6279.1500000000005</v>
      </c>
    </row>
    <row r="317" spans="1:83" ht="28.5" x14ac:dyDescent="0.2">
      <c r="A317" s="22"/>
      <c r="B317" s="22" t="s">
        <v>520</v>
      </c>
      <c r="C317" s="22" t="s">
        <v>512</v>
      </c>
      <c r="D317" s="23" t="s">
        <v>488</v>
      </c>
      <c r="E317" s="24">
        <f>Source!BZ47</f>
        <v>109</v>
      </c>
      <c r="F317" s="24">
        <f>ROUND(0.9,7)</f>
        <v>0.9</v>
      </c>
      <c r="G317" s="24">
        <f>Source!AT47</f>
        <v>98.1</v>
      </c>
      <c r="H317" s="26"/>
      <c r="I317" s="25"/>
      <c r="J317" s="26"/>
      <c r="K317" s="25"/>
      <c r="L317" s="26">
        <f>SUM(AZ304:AZ319)</f>
        <v>6159.85</v>
      </c>
    </row>
    <row r="318" spans="1:83" ht="28.5" x14ac:dyDescent="0.2">
      <c r="A318" s="30"/>
      <c r="B318" s="30" t="s">
        <v>521</v>
      </c>
      <c r="C318" s="30" t="s">
        <v>513</v>
      </c>
      <c r="D318" s="31" t="s">
        <v>488</v>
      </c>
      <c r="E318" s="32">
        <f>Source!CA47</f>
        <v>57</v>
      </c>
      <c r="F318" s="32">
        <f>ROUND(0.85,7)</f>
        <v>0.85</v>
      </c>
      <c r="G318" s="32">
        <f>Source!AU47</f>
        <v>48.45</v>
      </c>
      <c r="H318" s="33"/>
      <c r="I318" s="34"/>
      <c r="J318" s="33"/>
      <c r="K318" s="34"/>
      <c r="L318" s="33">
        <f>SUM(BA304:BA319)</f>
        <v>3042.25</v>
      </c>
    </row>
    <row r="319" spans="1:83" ht="15" x14ac:dyDescent="0.2">
      <c r="C319" s="93" t="s">
        <v>490</v>
      </c>
      <c r="D319" s="93"/>
      <c r="E319" s="93"/>
      <c r="F319" s="93"/>
      <c r="G319" s="93"/>
      <c r="H319" s="93"/>
      <c r="I319" s="94">
        <f>IF(E304&lt;&gt;0,K319/E304, 0)</f>
        <v>4357.6019230769225</v>
      </c>
      <c r="J319" s="94"/>
      <c r="K319" s="94">
        <f>L307+L309+L317+L318+L310+SUM(L315:L315)</f>
        <v>22659.53</v>
      </c>
      <c r="L319" s="94"/>
      <c r="AD319">
        <f>ROUND((Source!AT47/100)*((ROUND(SUMIF(SmtRes!AQ71:'SmtRes'!AQ74,"=1",SmtRes!AD71:'SmtRes'!AD74)*Source!I47, 2)+ROUND(SUMIF(SmtRes!AQ71:'SmtRes'!AQ74,"=1",SmtRes!AC71:'SmtRes'!AC74)*Source!I47, 2))), 2)</f>
        <v>3946.85</v>
      </c>
      <c r="AE319">
        <f>ROUND((Source!AU47/100)*((ROUND(SUMIF(SmtRes!AQ71:'SmtRes'!AQ74,"=1",SmtRes!AD71:'SmtRes'!AD74)*Source!I47, 2)+ROUND(SUMIF(SmtRes!AQ71:'SmtRes'!AQ74,"=1",SmtRes!AC71:'SmtRes'!AC74)*Source!I47, 2))), 2)</f>
        <v>1949.28</v>
      </c>
      <c r="AN319" s="35">
        <f>L307+L309+L317+L318+L310</f>
        <v>15658.25</v>
      </c>
      <c r="AO319" s="35">
        <f>L309</f>
        <v>177.00000000000003</v>
      </c>
      <c r="AQ319" t="s">
        <v>491</v>
      </c>
      <c r="AR319" s="35">
        <f>L307</f>
        <v>6173.85</v>
      </c>
      <c r="AT319" s="35">
        <f>L310</f>
        <v>105.3</v>
      </c>
      <c r="AV319" t="s">
        <v>491</v>
      </c>
      <c r="AW319">
        <f>0</f>
        <v>0</v>
      </c>
      <c r="AZ319">
        <f>Source!X47</f>
        <v>6159.85</v>
      </c>
      <c r="BA319">
        <f>Source!Y47</f>
        <v>3042.25</v>
      </c>
      <c r="CD319">
        <v>1</v>
      </c>
    </row>
    <row r="320" spans="1:83" ht="105" x14ac:dyDescent="0.2">
      <c r="A320" s="20" t="s">
        <v>156</v>
      </c>
      <c r="B320" s="22" t="s">
        <v>544</v>
      </c>
      <c r="C320" s="22" t="s">
        <v>545</v>
      </c>
      <c r="D320" s="23" t="str">
        <f>Source!H49</f>
        <v>100 м2</v>
      </c>
      <c r="E320" s="24">
        <f>Source!K49</f>
        <v>5.2</v>
      </c>
      <c r="F320" s="24"/>
      <c r="G320" s="24">
        <f>Source!I49</f>
        <v>5.2</v>
      </c>
      <c r="H320" s="26"/>
      <c r="I320" s="25"/>
      <c r="J320" s="26"/>
      <c r="K320" s="25"/>
      <c r="L320" s="26"/>
    </row>
    <row r="321" spans="1:83" ht="165.75" x14ac:dyDescent="0.2">
      <c r="B321" s="39" t="str">
        <f>Source!EO49</f>
        <v>Поправка: 421/пр_2020_п.58_пп.б</v>
      </c>
      <c r="C321" s="39" t="str">
        <f>Source!CN49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322" spans="1:83" x14ac:dyDescent="0.2">
      <c r="C322" s="27" t="str">
        <f>"Объем: "&amp;Source!I49&amp;"=520/"&amp;"100"</f>
        <v>Объем: 5,2=520/100</v>
      </c>
    </row>
    <row r="323" spans="1:83" ht="15" x14ac:dyDescent="0.2">
      <c r="A323" s="21"/>
      <c r="B323" s="24">
        <v>1</v>
      </c>
      <c r="C323" s="21" t="s">
        <v>482</v>
      </c>
      <c r="D323" s="23" t="s">
        <v>346</v>
      </c>
      <c r="E323" s="28"/>
      <c r="F323" s="24"/>
      <c r="G323" s="24">
        <f>Source!U49</f>
        <v>85.872799999999998</v>
      </c>
      <c r="H323" s="24"/>
      <c r="I323" s="24"/>
      <c r="J323" s="24"/>
      <c r="K323" s="24"/>
      <c r="L323" s="29">
        <f>SUM(L324:L324)-SUMIF(CE324:CE324, 1, L324:L324)</f>
        <v>33998.76</v>
      </c>
    </row>
    <row r="324" spans="1:83" ht="28.5" x14ac:dyDescent="0.2">
      <c r="A324" s="22"/>
      <c r="B324" s="22" t="s">
        <v>405</v>
      </c>
      <c r="C324" s="22" t="s">
        <v>406</v>
      </c>
      <c r="D324" s="23" t="s">
        <v>346</v>
      </c>
      <c r="E324" s="24">
        <v>14.36</v>
      </c>
      <c r="F324" s="24">
        <f>ROUND(1.15,7)</f>
        <v>1.1499999999999999</v>
      </c>
      <c r="G324" s="24">
        <f>SmtRes!CX75</f>
        <v>85.872799999999998</v>
      </c>
      <c r="H324" s="26"/>
      <c r="I324" s="25"/>
      <c r="J324" s="26">
        <f>SmtRes!CZ75</f>
        <v>395.92</v>
      </c>
      <c r="K324" s="25"/>
      <c r="L324" s="26">
        <f>SmtRes!DI75</f>
        <v>33998.76</v>
      </c>
    </row>
    <row r="325" spans="1:83" ht="15" x14ac:dyDescent="0.2">
      <c r="A325" s="21"/>
      <c r="B325" s="24">
        <v>2</v>
      </c>
      <c r="C325" s="21" t="s">
        <v>483</v>
      </c>
      <c r="D325" s="23"/>
      <c r="E325" s="28"/>
      <c r="F325" s="24"/>
      <c r="G325" s="24"/>
      <c r="H325" s="24"/>
      <c r="I325" s="24"/>
      <c r="J325" s="24"/>
      <c r="K325" s="24"/>
      <c r="L325" s="29">
        <f>SUM(L326:L332)-SUMIF(CE326:CE332, 1, L326:L332)</f>
        <v>2027.7699999999998</v>
      </c>
    </row>
    <row r="326" spans="1:83" ht="15" x14ac:dyDescent="0.2">
      <c r="A326" s="21"/>
      <c r="B326" s="24"/>
      <c r="C326" s="21" t="s">
        <v>484</v>
      </c>
      <c r="D326" s="23" t="s">
        <v>346</v>
      </c>
      <c r="E326" s="28"/>
      <c r="F326" s="24"/>
      <c r="G326" s="24">
        <f>Source!V49</f>
        <v>1.885</v>
      </c>
      <c r="H326" s="24"/>
      <c r="I326" s="24"/>
      <c r="J326" s="24"/>
      <c r="K326" s="24"/>
      <c r="L326" s="29">
        <f>SUMIF(CE327:CE332, 1, L327:L332)</f>
        <v>944.13</v>
      </c>
      <c r="CE326">
        <v>1</v>
      </c>
    </row>
    <row r="327" spans="1:83" ht="28.5" x14ac:dyDescent="0.2">
      <c r="A327" s="22"/>
      <c r="B327" s="22" t="s">
        <v>355</v>
      </c>
      <c r="C327" s="22" t="s">
        <v>357</v>
      </c>
      <c r="D327" s="23" t="s">
        <v>350</v>
      </c>
      <c r="E327" s="24">
        <v>0.15</v>
      </c>
      <c r="F327" s="24">
        <f t="shared" ref="F327:F332" si="0">ROUND(1.25,7)</f>
        <v>1.25</v>
      </c>
      <c r="G327" s="24">
        <f>SmtRes!CX77</f>
        <v>0.97499999999999998</v>
      </c>
      <c r="H327" s="26"/>
      <c r="I327" s="25"/>
      <c r="J327" s="26">
        <f>SmtRes!CZ77</f>
        <v>1098</v>
      </c>
      <c r="K327" s="25"/>
      <c r="L327" s="26">
        <f>SmtRes!DG77</f>
        <v>1070.55</v>
      </c>
    </row>
    <row r="328" spans="1:83" ht="28.5" x14ac:dyDescent="0.2">
      <c r="A328" s="22"/>
      <c r="B328" s="22" t="s">
        <v>358</v>
      </c>
      <c r="C328" s="22" t="s">
        <v>493</v>
      </c>
      <c r="D328" s="23" t="s">
        <v>346</v>
      </c>
      <c r="E328" s="24">
        <f>SmtRes!DO77*SmtRes!AT77</f>
        <v>0.15</v>
      </c>
      <c r="F328" s="24">
        <f t="shared" si="0"/>
        <v>1.25</v>
      </c>
      <c r="G328" s="24">
        <f>ROUND(E328*F328*G320, 7)</f>
        <v>0.97499999999999998</v>
      </c>
      <c r="H328" s="26"/>
      <c r="I328" s="25"/>
      <c r="J328" s="26">
        <f>ROUND(SmtRes!AG77/SmtRes!DO77, 2)</f>
        <v>544.01</v>
      </c>
      <c r="K328" s="25"/>
      <c r="L328" s="26">
        <f>SmtRes!DH77</f>
        <v>530.41</v>
      </c>
      <c r="CE328">
        <v>1</v>
      </c>
    </row>
    <row r="329" spans="1:83" ht="28.5" x14ac:dyDescent="0.2">
      <c r="A329" s="22"/>
      <c r="B329" s="22" t="s">
        <v>397</v>
      </c>
      <c r="C329" s="22" t="s">
        <v>399</v>
      </c>
      <c r="D329" s="23" t="s">
        <v>350</v>
      </c>
      <c r="E329" s="24">
        <v>0.05</v>
      </c>
      <c r="F329" s="24">
        <f t="shared" si="0"/>
        <v>1.25</v>
      </c>
      <c r="G329" s="24">
        <f>SmtRes!CX78</f>
        <v>0.32500000000000001</v>
      </c>
      <c r="H329" s="26"/>
      <c r="I329" s="25"/>
      <c r="J329" s="26">
        <f>SmtRes!CZ78</f>
        <v>1719.93</v>
      </c>
      <c r="K329" s="25"/>
      <c r="L329" s="26">
        <f>SmtRes!DG78</f>
        <v>558.98</v>
      </c>
    </row>
    <row r="330" spans="1:83" ht="28.5" x14ac:dyDescent="0.2">
      <c r="A330" s="22"/>
      <c r="B330" s="22" t="s">
        <v>358</v>
      </c>
      <c r="C330" s="22" t="s">
        <v>493</v>
      </c>
      <c r="D330" s="23" t="s">
        <v>346</v>
      </c>
      <c r="E330" s="24">
        <f>SmtRes!DO78*SmtRes!AT78</f>
        <v>0.05</v>
      </c>
      <c r="F330" s="24">
        <f t="shared" si="0"/>
        <v>1.25</v>
      </c>
      <c r="G330" s="24">
        <f>ROUND(E330*F330*G320, 7)</f>
        <v>0.32500000000000001</v>
      </c>
      <c r="H330" s="26"/>
      <c r="I330" s="25"/>
      <c r="J330" s="26">
        <f>ROUND(SmtRes!AG78/SmtRes!DO78, 2)</f>
        <v>544.01</v>
      </c>
      <c r="K330" s="25"/>
      <c r="L330" s="26">
        <f>SmtRes!DH78</f>
        <v>176.8</v>
      </c>
      <c r="CE330">
        <v>1</v>
      </c>
    </row>
    <row r="331" spans="1:83" ht="28.5" x14ac:dyDescent="0.2">
      <c r="A331" s="22"/>
      <c r="B331" s="22" t="s">
        <v>363</v>
      </c>
      <c r="C331" s="22" t="s">
        <v>365</v>
      </c>
      <c r="D331" s="23" t="s">
        <v>350</v>
      </c>
      <c r="E331" s="24">
        <v>0.09</v>
      </c>
      <c r="F331" s="24">
        <f t="shared" si="0"/>
        <v>1.25</v>
      </c>
      <c r="G331" s="24">
        <f>SmtRes!CX79</f>
        <v>0.58499999999999996</v>
      </c>
      <c r="H331" s="26"/>
      <c r="I331" s="25"/>
      <c r="J331" s="26">
        <f>SmtRes!CZ79</f>
        <v>680.75</v>
      </c>
      <c r="K331" s="25"/>
      <c r="L331" s="26">
        <f>SmtRes!DG79</f>
        <v>398.24</v>
      </c>
    </row>
    <row r="332" spans="1:83" ht="28.5" x14ac:dyDescent="0.2">
      <c r="A332" s="22"/>
      <c r="B332" s="22" t="s">
        <v>366</v>
      </c>
      <c r="C332" s="22" t="s">
        <v>503</v>
      </c>
      <c r="D332" s="23" t="s">
        <v>346</v>
      </c>
      <c r="E332" s="24">
        <f>SmtRes!DO79*SmtRes!AT79</f>
        <v>0.09</v>
      </c>
      <c r="F332" s="24">
        <f t="shared" si="0"/>
        <v>1.25</v>
      </c>
      <c r="G332" s="24">
        <f>ROUND(E332*F332*G320, 7)</f>
        <v>0.58499999999999996</v>
      </c>
      <c r="H332" s="26"/>
      <c r="I332" s="25"/>
      <c r="J332" s="26">
        <f>ROUND(SmtRes!AG79/SmtRes!DO79, 2)</f>
        <v>404.99</v>
      </c>
      <c r="K332" s="25"/>
      <c r="L332" s="26">
        <f>SmtRes!DH79</f>
        <v>236.92</v>
      </c>
      <c r="CE332">
        <v>1</v>
      </c>
    </row>
    <row r="333" spans="1:83" ht="15" x14ac:dyDescent="0.2">
      <c r="A333" s="21"/>
      <c r="B333" s="24">
        <v>4</v>
      </c>
      <c r="C333" s="21" t="s">
        <v>504</v>
      </c>
      <c r="D333" s="23"/>
      <c r="E333" s="28"/>
      <c r="F333" s="24"/>
      <c r="G333" s="24"/>
      <c r="H333" s="24"/>
      <c r="I333" s="24"/>
      <c r="J333" s="24"/>
      <c r="K333" s="24"/>
      <c r="L333" s="29">
        <f>SUM(L334:L334)-SUMIF(CE334:CE334, 1, L334:L334)</f>
        <v>8503.68</v>
      </c>
    </row>
    <row r="334" spans="1:83" ht="14.25" x14ac:dyDescent="0.2">
      <c r="A334" s="22"/>
      <c r="B334" s="22" t="s">
        <v>407</v>
      </c>
      <c r="C334" s="22" t="s">
        <v>409</v>
      </c>
      <c r="D334" s="23" t="s">
        <v>154</v>
      </c>
      <c r="E334" s="24">
        <v>29.94</v>
      </c>
      <c r="F334" s="24"/>
      <c r="G334" s="24">
        <f>SmtRes!CX80</f>
        <v>155.68799999999999</v>
      </c>
      <c r="H334" s="26">
        <f>SmtRes!CZ80</f>
        <v>41.38</v>
      </c>
      <c r="I334" s="25">
        <f>SmtRes!AI80</f>
        <v>1.32</v>
      </c>
      <c r="J334" s="26">
        <f>ROUND(H334*I334, 2)</f>
        <v>54.62</v>
      </c>
      <c r="K334" s="25"/>
      <c r="L334" s="26">
        <f>SmtRes!DF80</f>
        <v>8503.68</v>
      </c>
    </row>
    <row r="335" spans="1:83" ht="28.5" x14ac:dyDescent="0.2">
      <c r="A335" s="22"/>
      <c r="B335" s="22" t="str">
        <f>EtalonRes!I86</f>
        <v>12.1.02.15</v>
      </c>
      <c r="C335" s="22" t="str">
        <f>EtalonRes!K86</f>
        <v>Материалы рулонные кровельные для верхнего слоя</v>
      </c>
      <c r="D335" s="23" t="str">
        <f>EtalonRes!O86</f>
        <v>м2</v>
      </c>
      <c r="E335" s="24">
        <f>EtalonRes!X86</f>
        <v>114</v>
      </c>
      <c r="F335" s="24"/>
      <c r="G335" s="24">
        <f>ROUND(EtalonRes!AG86*Source!I49, 7)</f>
        <v>592.79999999999995</v>
      </c>
      <c r="H335" s="26"/>
      <c r="I335" s="25"/>
      <c r="J335" s="26"/>
      <c r="K335" s="25"/>
      <c r="L335" s="26"/>
    </row>
    <row r="336" spans="1:83" ht="28.5" x14ac:dyDescent="0.2">
      <c r="A336" s="22"/>
      <c r="B336" s="22" t="str">
        <f>EtalonRes!I87</f>
        <v>12.1.02.15</v>
      </c>
      <c r="C336" s="30" t="str">
        <f>EtalonRes!K87</f>
        <v>Материалы рулонные кровельные для нижних слоев</v>
      </c>
      <c r="D336" s="31" t="str">
        <f>EtalonRes!O87</f>
        <v>м2</v>
      </c>
      <c r="E336" s="32">
        <f>EtalonRes!X87</f>
        <v>116</v>
      </c>
      <c r="F336" s="32"/>
      <c r="G336" s="32">
        <f>ROUND(EtalonRes!AG87*Source!I49, 7)</f>
        <v>603.20000000000005</v>
      </c>
      <c r="H336" s="33"/>
      <c r="I336" s="34"/>
      <c r="J336" s="33"/>
      <c r="K336" s="34"/>
      <c r="L336" s="33"/>
    </row>
    <row r="337" spans="1:83" ht="15" x14ac:dyDescent="0.2">
      <c r="A337" s="22"/>
      <c r="B337" s="22"/>
      <c r="C337" s="37" t="s">
        <v>485</v>
      </c>
      <c r="D337" s="23"/>
      <c r="E337" s="24"/>
      <c r="F337" s="24"/>
      <c r="G337" s="24"/>
      <c r="H337" s="26"/>
      <c r="I337" s="25"/>
      <c r="J337" s="26"/>
      <c r="K337" s="25"/>
      <c r="L337" s="26">
        <f>L323+L325+L326+L333</f>
        <v>45474.34</v>
      </c>
    </row>
    <row r="338" spans="1:83" ht="156.75" x14ac:dyDescent="0.2">
      <c r="A338" s="20" t="s">
        <v>546</v>
      </c>
      <c r="B338" s="22" t="str">
        <f>Source!F50</f>
        <v>12.1.02.03-1022</v>
      </c>
      <c r="C338" s="22" t="str">
        <f>Source!G50</f>
        <v>Материал рулонный битумно-полимерный кровельный и гидроизоляционный самоклеящийся ЭКС, основа полиэстер/полиэфир, с крупнозернистой посыпкой на верхней стороне полотна, гибкость не выше -25 °C, теплостойкость не менее 100 °C, разрывная сила в продольном/поперечном направлении 600/400 Н, толщина 4,2 мм, масса 1 м2 до 5,2 кг</v>
      </c>
      <c r="D338" s="23" t="str">
        <f>Source!H50</f>
        <v>м2</v>
      </c>
      <c r="E338" s="24">
        <f>SmtRes!AT82</f>
        <v>114</v>
      </c>
      <c r="F338" s="24"/>
      <c r="G338" s="24">
        <f>Source!I50</f>
        <v>592.79999999999995</v>
      </c>
      <c r="H338" s="26"/>
      <c r="I338" s="25"/>
      <c r="J338" s="26">
        <f>Source!AK50</f>
        <v>584.16999999999996</v>
      </c>
      <c r="K338" s="25"/>
      <c r="L338" s="26">
        <f>Source!P50</f>
        <v>346295.98</v>
      </c>
      <c r="AD338">
        <f>ROUND((Source!AT50/100)*((ROUND(ROUND(Source!AO50,2)*Source!I50, 2)+ROUND(ROUND(Source!AN50,2)*Source!I50, 2))), 2)</f>
        <v>0</v>
      </c>
      <c r="AE338">
        <f>ROUND((Source!AU50/100)*((ROUND(ROUND(Source!AO50,2)*Source!I50, 2)+ROUND(ROUND(Source!AN50,2)*Source!I50, 2))), 2)</f>
        <v>0</v>
      </c>
      <c r="AN338">
        <f>L338</f>
        <v>346295.98</v>
      </c>
      <c r="AW338">
        <f>L338</f>
        <v>346295.98</v>
      </c>
      <c r="AZ338">
        <f>Source!X50</f>
        <v>0</v>
      </c>
      <c r="BA338">
        <f>Source!Y50</f>
        <v>0</v>
      </c>
      <c r="CD338">
        <v>1</v>
      </c>
    </row>
    <row r="339" spans="1:83" ht="99.75" x14ac:dyDescent="0.2">
      <c r="A339" s="20" t="s">
        <v>547</v>
      </c>
      <c r="B339" s="22" t="str">
        <f>Source!F51</f>
        <v>12.1.02.03-0196</v>
      </c>
      <c r="C339" s="22" t="str">
        <f>Source!G51</f>
        <v>Материал рулонный битумно-полимерный кровельный и гидроизоляционный, наплавляемый, основа полиэфирное волокно, гибкость не выше -15 °C, прочность не менее 400-600 Н, теплостойкость не менее 130 °C</v>
      </c>
      <c r="D339" s="23" t="str">
        <f>Source!H51</f>
        <v>м2</v>
      </c>
      <c r="E339" s="24">
        <f>SmtRes!AT81</f>
        <v>116</v>
      </c>
      <c r="F339" s="24"/>
      <c r="G339" s="24">
        <f>Source!I51</f>
        <v>603.20000000000005</v>
      </c>
      <c r="H339" s="26"/>
      <c r="I339" s="25"/>
      <c r="J339" s="26">
        <f>Source!AK51</f>
        <v>339.03</v>
      </c>
      <c r="K339" s="25"/>
      <c r="L339" s="26">
        <f>Source!P51</f>
        <v>204502.9</v>
      </c>
      <c r="AD339">
        <f>ROUND((Source!AT51/100)*((ROUND(ROUND(Source!AO51,2)*Source!I51, 2)+ROUND(ROUND(Source!AN51,2)*Source!I51, 2))), 2)</f>
        <v>0</v>
      </c>
      <c r="AE339">
        <f>ROUND((Source!AU51/100)*((ROUND(ROUND(Source!AO51,2)*Source!I51, 2)+ROUND(ROUND(Source!AN51,2)*Source!I51, 2))), 2)</f>
        <v>0</v>
      </c>
      <c r="AN339">
        <f>L339</f>
        <v>204502.9</v>
      </c>
      <c r="AW339">
        <f>L339</f>
        <v>204502.9</v>
      </c>
      <c r="AZ339">
        <f>Source!X51</f>
        <v>0</v>
      </c>
      <c r="BA339">
        <f>Source!Y51</f>
        <v>0</v>
      </c>
      <c r="CD339">
        <v>1</v>
      </c>
    </row>
    <row r="340" spans="1:83" ht="14.25" x14ac:dyDescent="0.2">
      <c r="A340" s="22"/>
      <c r="B340" s="22"/>
      <c r="C340" s="22" t="s">
        <v>486</v>
      </c>
      <c r="D340" s="23"/>
      <c r="E340" s="24"/>
      <c r="F340" s="24"/>
      <c r="G340" s="24"/>
      <c r="H340" s="26"/>
      <c r="I340" s="25"/>
      <c r="J340" s="26"/>
      <c r="K340" s="25"/>
      <c r="L340" s="26">
        <f>SUM(AR320:AR343)+SUM(AS320:AS343)+SUM(AT320:AT343)+SUM(AU320:AU343)+SUM(AV320:AV343)</f>
        <v>34942.89</v>
      </c>
    </row>
    <row r="341" spans="1:83" ht="28.5" x14ac:dyDescent="0.2">
      <c r="A341" s="22"/>
      <c r="B341" s="22" t="s">
        <v>520</v>
      </c>
      <c r="C341" s="22" t="s">
        <v>512</v>
      </c>
      <c r="D341" s="23" t="s">
        <v>488</v>
      </c>
      <c r="E341" s="24">
        <f>Source!BZ49</f>
        <v>109</v>
      </c>
      <c r="F341" s="24">
        <f>ROUND(0.9,7)</f>
        <v>0.9</v>
      </c>
      <c r="G341" s="24">
        <f>Source!AT49</f>
        <v>98.1</v>
      </c>
      <c r="H341" s="26"/>
      <c r="I341" s="25"/>
      <c r="J341" s="26"/>
      <c r="K341" s="25"/>
      <c r="L341" s="26">
        <f>SUM(AZ320:AZ343)</f>
        <v>34278.980000000003</v>
      </c>
    </row>
    <row r="342" spans="1:83" ht="28.5" x14ac:dyDescent="0.2">
      <c r="A342" s="30"/>
      <c r="B342" s="30" t="s">
        <v>521</v>
      </c>
      <c r="C342" s="30" t="s">
        <v>513</v>
      </c>
      <c r="D342" s="31" t="s">
        <v>488</v>
      </c>
      <c r="E342" s="32">
        <f>Source!CA49</f>
        <v>57</v>
      </c>
      <c r="F342" s="32">
        <f>ROUND(0.85,7)</f>
        <v>0.85</v>
      </c>
      <c r="G342" s="32">
        <f>Source!AU49</f>
        <v>48.45</v>
      </c>
      <c r="H342" s="33"/>
      <c r="I342" s="34"/>
      <c r="J342" s="33"/>
      <c r="K342" s="34"/>
      <c r="L342" s="33">
        <f>SUM(BA320:BA343)</f>
        <v>16929.830000000002</v>
      </c>
    </row>
    <row r="343" spans="1:83" ht="15" x14ac:dyDescent="0.2">
      <c r="C343" s="93" t="s">
        <v>490</v>
      </c>
      <c r="D343" s="93"/>
      <c r="E343" s="93"/>
      <c r="F343" s="93"/>
      <c r="G343" s="93"/>
      <c r="H343" s="93"/>
      <c r="I343" s="94">
        <f>IF(E320&lt;&gt;0,K343/E320, 0)</f>
        <v>124515.77499999999</v>
      </c>
      <c r="J343" s="94"/>
      <c r="K343" s="94">
        <f>L323+L325+L333+L341+L342+L326+SUM(L338:L339)</f>
        <v>647482.03</v>
      </c>
      <c r="L343" s="94"/>
      <c r="AD343">
        <f>ROUND((Source!AT49/100)*((ROUND(SUMIF(SmtRes!AQ75:'SmtRes'!AQ82,"=1",SmtRes!AD75:'SmtRes'!AD82)*Source!I49, 2)+ROUND(SUMIF(SmtRes!AQ75:'SmtRes'!AQ82,"=1",SmtRes!AC75:'SmtRes'!AC82)*Source!I49, 2))), 2)</f>
        <v>9635.7999999999993</v>
      </c>
      <c r="AE343">
        <f>ROUND((Source!AU49/100)*((ROUND(SUMIF(SmtRes!AQ75:'SmtRes'!AQ82,"=1",SmtRes!AD75:'SmtRes'!AD82)*Source!I49, 2)+ROUND(SUMIF(SmtRes!AQ75:'SmtRes'!AQ82,"=1",SmtRes!AC75:'SmtRes'!AC82)*Source!I49, 2))), 2)</f>
        <v>4758.97</v>
      </c>
      <c r="AN343" s="35">
        <f>L323+L325+L333+L341+L342+L326</f>
        <v>96683.150000000009</v>
      </c>
      <c r="AO343" s="35">
        <f>L325</f>
        <v>2027.7699999999998</v>
      </c>
      <c r="AQ343" t="s">
        <v>491</v>
      </c>
      <c r="AR343" s="35">
        <f>L323</f>
        <v>33998.76</v>
      </c>
      <c r="AT343" s="35">
        <f>L326</f>
        <v>944.13</v>
      </c>
      <c r="AV343" t="s">
        <v>491</v>
      </c>
      <c r="AW343" s="35">
        <f>L333</f>
        <v>8503.68</v>
      </c>
      <c r="AZ343">
        <f>Source!X49</f>
        <v>34278.980000000003</v>
      </c>
      <c r="BA343">
        <f>Source!Y49</f>
        <v>16929.830000000002</v>
      </c>
      <c r="CD343">
        <v>1</v>
      </c>
    </row>
    <row r="344" spans="1:83" ht="57" x14ac:dyDescent="0.2">
      <c r="A344" s="20" t="s">
        <v>167</v>
      </c>
      <c r="B344" s="22" t="s">
        <v>548</v>
      </c>
      <c r="C344" s="22" t="str">
        <f>Source!G52</f>
        <v>Разборка мелких покрытий и обделок из листовой стали: поясков, сандриков, желобов, отливов, свесов и т.п.</v>
      </c>
      <c r="D344" s="23" t="str">
        <f>Source!H52</f>
        <v>100 м</v>
      </c>
      <c r="E344" s="24">
        <f>Source!K52</f>
        <v>1.02</v>
      </c>
      <c r="F344" s="24"/>
      <c r="G344" s="24">
        <f>Source!I52</f>
        <v>1.02</v>
      </c>
      <c r="H344" s="26"/>
      <c r="I344" s="25"/>
      <c r="J344" s="26"/>
      <c r="K344" s="25"/>
      <c r="L344" s="26"/>
    </row>
    <row r="345" spans="1:83" x14ac:dyDescent="0.2">
      <c r="C345" s="27" t="str">
        <f>"Объем: "&amp;Source!I52&amp;"=102/"&amp;"100"</f>
        <v>Объем: 1,02=102/100</v>
      </c>
    </row>
    <row r="346" spans="1:83" ht="15" x14ac:dyDescent="0.2">
      <c r="A346" s="21"/>
      <c r="B346" s="24">
        <v>1</v>
      </c>
      <c r="C346" s="21" t="s">
        <v>482</v>
      </c>
      <c r="D346" s="23" t="s">
        <v>346</v>
      </c>
      <c r="E346" s="28"/>
      <c r="F346" s="24"/>
      <c r="G346" s="24">
        <f>Source!U52</f>
        <v>9.282</v>
      </c>
      <c r="H346" s="24"/>
      <c r="I346" s="24"/>
      <c r="J346" s="24"/>
      <c r="K346" s="24"/>
      <c r="L346" s="29">
        <f>SUM(L347:L347)-SUMIF(CE347:CE347, 1, L347:L347)</f>
        <v>3057.77</v>
      </c>
    </row>
    <row r="347" spans="1:83" ht="28.5" x14ac:dyDescent="0.2">
      <c r="A347" s="22"/>
      <c r="B347" s="22" t="s">
        <v>344</v>
      </c>
      <c r="C347" s="22" t="s">
        <v>392</v>
      </c>
      <c r="D347" s="23" t="s">
        <v>346</v>
      </c>
      <c r="E347" s="24">
        <v>9.1</v>
      </c>
      <c r="F347" s="24"/>
      <c r="G347" s="24">
        <f>SmtRes!CX83</f>
        <v>9.282</v>
      </c>
      <c r="H347" s="26"/>
      <c r="I347" s="25"/>
      <c r="J347" s="26">
        <f>SmtRes!CZ83</f>
        <v>329.43</v>
      </c>
      <c r="K347" s="25"/>
      <c r="L347" s="26">
        <f>SmtRes!DI83</f>
        <v>3057.77</v>
      </c>
    </row>
    <row r="348" spans="1:83" ht="15" x14ac:dyDescent="0.2">
      <c r="A348" s="21"/>
      <c r="B348" s="24">
        <v>2</v>
      </c>
      <c r="C348" s="21" t="s">
        <v>483</v>
      </c>
      <c r="D348" s="23"/>
      <c r="E348" s="28"/>
      <c r="F348" s="24"/>
      <c r="G348" s="24"/>
      <c r="H348" s="24"/>
      <c r="I348" s="24"/>
      <c r="J348" s="24"/>
      <c r="K348" s="24"/>
      <c r="L348" s="29">
        <f>SUM(L349:L350)-SUMIF(CE349:CE350, 1, L349:L350)</f>
        <v>1.26</v>
      </c>
    </row>
    <row r="349" spans="1:83" ht="15" hidden="1" x14ac:dyDescent="0.2">
      <c r="A349" s="21"/>
      <c r="B349" s="24"/>
      <c r="C349" s="21" t="s">
        <v>484</v>
      </c>
      <c r="D349" s="23" t="s">
        <v>346</v>
      </c>
      <c r="E349" s="28"/>
      <c r="F349" s="24"/>
      <c r="G349" s="24">
        <f>Source!V52</f>
        <v>0</v>
      </c>
      <c r="H349" s="24"/>
      <c r="I349" s="24"/>
      <c r="J349" s="24"/>
      <c r="K349" s="24"/>
      <c r="L349" s="29">
        <f>SUMIF(CE350:CE350, 1, L350:L350)</f>
        <v>0</v>
      </c>
      <c r="CE349">
        <v>1</v>
      </c>
    </row>
    <row r="350" spans="1:83" ht="28.5" x14ac:dyDescent="0.2">
      <c r="A350" s="22"/>
      <c r="B350" s="22" t="s">
        <v>410</v>
      </c>
      <c r="C350" s="30" t="s">
        <v>412</v>
      </c>
      <c r="D350" s="31" t="s">
        <v>350</v>
      </c>
      <c r="E350" s="32">
        <v>0.12</v>
      </c>
      <c r="F350" s="32"/>
      <c r="G350" s="32">
        <f>SmtRes!CX84</f>
        <v>0.12239999999999999</v>
      </c>
      <c r="H350" s="33">
        <f>SmtRes!CZ84</f>
        <v>6.62</v>
      </c>
      <c r="I350" s="34">
        <f>SmtRes!AJ84</f>
        <v>1.56</v>
      </c>
      <c r="J350" s="33">
        <f>ROUND(H350*I350, 2)</f>
        <v>10.33</v>
      </c>
      <c r="K350" s="34"/>
      <c r="L350" s="33">
        <f>SmtRes!DG84</f>
        <v>1.26</v>
      </c>
    </row>
    <row r="351" spans="1:83" ht="15" x14ac:dyDescent="0.2">
      <c r="A351" s="22"/>
      <c r="B351" s="22"/>
      <c r="C351" s="37" t="s">
        <v>485</v>
      </c>
      <c r="D351" s="23"/>
      <c r="E351" s="24"/>
      <c r="F351" s="24"/>
      <c r="G351" s="24"/>
      <c r="H351" s="26"/>
      <c r="I351" s="25"/>
      <c r="J351" s="26"/>
      <c r="K351" s="25"/>
      <c r="L351" s="26">
        <f>L346+L348+L349</f>
        <v>3059.03</v>
      </c>
    </row>
    <row r="352" spans="1:83" ht="14.25" x14ac:dyDescent="0.2">
      <c r="A352" s="20" t="s">
        <v>549</v>
      </c>
      <c r="B352" s="22" t="str">
        <f>Source!F53</f>
        <v>999-9900</v>
      </c>
      <c r="C352" s="22" t="str">
        <f>Source!G53</f>
        <v>Строительный мусор</v>
      </c>
      <c r="D352" s="23" t="str">
        <f>Source!H53</f>
        <v>т</v>
      </c>
      <c r="E352" s="24">
        <f>SmtRes!AT85</f>
        <v>0.12</v>
      </c>
      <c r="F352" s="24"/>
      <c r="G352" s="24">
        <f>Source!I53</f>
        <v>0.12239999999999999</v>
      </c>
      <c r="H352" s="26">
        <f>Source!AL53+Source!AO53+Source!AM53+Source!AN53</f>
        <v>0</v>
      </c>
      <c r="I352" s="25"/>
      <c r="J352" s="26"/>
      <c r="K352" s="25"/>
      <c r="L352" s="26">
        <f>Source!P53</f>
        <v>0</v>
      </c>
      <c r="AD352">
        <f>ROUND((Source!AT53/100)*((ROUND(ROUND(Source!AO53,2)*Source!I53, 2)+ROUND(ROUND(Source!AN53,2)*Source!I53, 2))), 2)</f>
        <v>0</v>
      </c>
      <c r="AE352">
        <f>ROUND((Source!AU53/100)*((ROUND(ROUND(Source!AO53,2)*Source!I53, 2)+ROUND(ROUND(Source!AN53,2)*Source!I53, 2))), 2)</f>
        <v>0</v>
      </c>
      <c r="AN352">
        <f>L352</f>
        <v>0</v>
      </c>
      <c r="AW352">
        <f>L352</f>
        <v>0</v>
      </c>
      <c r="AZ352">
        <f>Source!X53</f>
        <v>0</v>
      </c>
      <c r="BA352">
        <f>Source!Y53</f>
        <v>0</v>
      </c>
      <c r="CD352">
        <v>1</v>
      </c>
    </row>
    <row r="353" spans="1:83" ht="14.25" x14ac:dyDescent="0.2">
      <c r="A353" s="22"/>
      <c r="B353" s="22"/>
      <c r="C353" s="22" t="s">
        <v>486</v>
      </c>
      <c r="D353" s="23"/>
      <c r="E353" s="24"/>
      <c r="F353" s="24"/>
      <c r="G353" s="24"/>
      <c r="H353" s="26"/>
      <c r="I353" s="25"/>
      <c r="J353" s="26"/>
      <c r="K353" s="25"/>
      <c r="L353" s="26">
        <f>SUM(AR344:AR356)+SUM(AS344:AS356)+SUM(AT344:AT356)+SUM(AU344:AU356)+SUM(AV344:AV356)</f>
        <v>3057.77</v>
      </c>
    </row>
    <row r="354" spans="1:83" ht="14.25" x14ac:dyDescent="0.2">
      <c r="A354" s="22"/>
      <c r="B354" s="22" t="s">
        <v>35</v>
      </c>
      <c r="C354" s="22" t="s">
        <v>495</v>
      </c>
      <c r="D354" s="23" t="s">
        <v>488</v>
      </c>
      <c r="E354" s="24">
        <f>Source!BZ52</f>
        <v>90</v>
      </c>
      <c r="F354" s="24"/>
      <c r="G354" s="24">
        <f>Source!AT52</f>
        <v>90</v>
      </c>
      <c r="H354" s="26"/>
      <c r="I354" s="25"/>
      <c r="J354" s="26"/>
      <c r="K354" s="25"/>
      <c r="L354" s="26">
        <f>SUM(AZ344:AZ356)</f>
        <v>2751.99</v>
      </c>
    </row>
    <row r="355" spans="1:83" ht="14.25" x14ac:dyDescent="0.2">
      <c r="A355" s="30"/>
      <c r="B355" s="30" t="s">
        <v>36</v>
      </c>
      <c r="C355" s="30" t="s">
        <v>496</v>
      </c>
      <c r="D355" s="31" t="s">
        <v>488</v>
      </c>
      <c r="E355" s="32">
        <f>Source!CA52</f>
        <v>46</v>
      </c>
      <c r="F355" s="32"/>
      <c r="G355" s="32">
        <f>Source!AU52</f>
        <v>46</v>
      </c>
      <c r="H355" s="33"/>
      <c r="I355" s="34"/>
      <c r="J355" s="33"/>
      <c r="K355" s="34"/>
      <c r="L355" s="33">
        <f>SUM(BA344:BA356)</f>
        <v>1406.57</v>
      </c>
    </row>
    <row r="356" spans="1:83" ht="15" x14ac:dyDescent="0.2">
      <c r="C356" s="93" t="s">
        <v>490</v>
      </c>
      <c r="D356" s="93"/>
      <c r="E356" s="93"/>
      <c r="F356" s="93"/>
      <c r="G356" s="93"/>
      <c r="H356" s="93"/>
      <c r="I356" s="94">
        <f>IF(E344&lt;&gt;0,K356/E344, 0)</f>
        <v>7076.0686274509808</v>
      </c>
      <c r="J356" s="94"/>
      <c r="K356" s="94">
        <f>L346+L348+L354+L355+L349+SUM(L352:L352)</f>
        <v>7217.59</v>
      </c>
      <c r="L356" s="94"/>
      <c r="AD356">
        <f>ROUND((Source!AT52/100)*((ROUND(SUMIF(SmtRes!AQ83:'SmtRes'!AQ85,"=1",SmtRes!AD83:'SmtRes'!AD85)*Source!I52, 2)+ROUND(SUMIF(SmtRes!AQ83:'SmtRes'!AQ85,"=1",SmtRes!AC83:'SmtRes'!AC85)*Source!I52, 2))), 2)</f>
        <v>302.42</v>
      </c>
      <c r="AE356">
        <f>ROUND((Source!AU52/100)*((ROUND(SUMIF(SmtRes!AQ83:'SmtRes'!AQ85,"=1",SmtRes!AD83:'SmtRes'!AD85)*Source!I52, 2)+ROUND(SUMIF(SmtRes!AQ83:'SmtRes'!AQ85,"=1",SmtRes!AC83:'SmtRes'!AC85)*Source!I52, 2))), 2)</f>
        <v>154.57</v>
      </c>
      <c r="AN356" s="35">
        <f>L346+L348+L354+L355+L349</f>
        <v>7217.59</v>
      </c>
      <c r="AO356" s="35">
        <f>L348</f>
        <v>1.26</v>
      </c>
      <c r="AQ356" t="s">
        <v>491</v>
      </c>
      <c r="AR356" s="35">
        <f>L346</f>
        <v>3057.77</v>
      </c>
      <c r="AT356" s="35">
        <f>L349</f>
        <v>0</v>
      </c>
      <c r="AV356" t="s">
        <v>491</v>
      </c>
      <c r="AW356">
        <f>0</f>
        <v>0</v>
      </c>
      <c r="AZ356">
        <f>Source!X52</f>
        <v>2751.99</v>
      </c>
      <c r="BA356">
        <f>Source!Y52</f>
        <v>1406.57</v>
      </c>
      <c r="CD356">
        <v>1</v>
      </c>
    </row>
    <row r="357" spans="1:83" ht="42.75" x14ac:dyDescent="0.2">
      <c r="A357" s="20" t="s">
        <v>173</v>
      </c>
      <c r="B357" s="22" t="s">
        <v>508</v>
      </c>
      <c r="C357" s="22" t="str">
        <f>Source!G54</f>
        <v>Разборка покрытий кровель: из рулонных материалов (парапеты и примыкания)</v>
      </c>
      <c r="D357" s="23" t="str">
        <f>Source!H54</f>
        <v>100 м2</v>
      </c>
      <c r="E357" s="24">
        <f>Source!K54</f>
        <v>0.51</v>
      </c>
      <c r="F357" s="24"/>
      <c r="G357" s="24">
        <f>Source!I54</f>
        <v>0.51</v>
      </c>
      <c r="H357" s="26"/>
      <c r="I357" s="25"/>
      <c r="J357" s="26"/>
      <c r="K357" s="25"/>
      <c r="L357" s="26"/>
    </row>
    <row r="358" spans="1:83" x14ac:dyDescent="0.2">
      <c r="C358" s="27" t="str">
        <f>"Объем: "&amp;Source!I54&amp;"=102*"&amp;"0,5/"&amp;"100"</f>
        <v>Объем: 0,51=102*0,5/100</v>
      </c>
    </row>
    <row r="359" spans="1:83" ht="15" x14ac:dyDescent="0.2">
      <c r="A359" s="21"/>
      <c r="B359" s="24">
        <v>1</v>
      </c>
      <c r="C359" s="21" t="s">
        <v>482</v>
      </c>
      <c r="D359" s="23" t="s">
        <v>346</v>
      </c>
      <c r="E359" s="28"/>
      <c r="F359" s="24"/>
      <c r="G359" s="24">
        <f>Source!U54</f>
        <v>7.3338000000000001</v>
      </c>
      <c r="H359" s="24"/>
      <c r="I359" s="24"/>
      <c r="J359" s="24"/>
      <c r="K359" s="24"/>
      <c r="L359" s="29">
        <f>SUM(L360:L360)-SUMIF(CE360:CE360, 1, L360:L360)</f>
        <v>2415.9699999999998</v>
      </c>
    </row>
    <row r="360" spans="1:83" ht="28.5" x14ac:dyDescent="0.2">
      <c r="A360" s="22"/>
      <c r="B360" s="22" t="s">
        <v>344</v>
      </c>
      <c r="C360" s="22" t="s">
        <v>392</v>
      </c>
      <c r="D360" s="23" t="s">
        <v>346</v>
      </c>
      <c r="E360" s="24">
        <v>14.38</v>
      </c>
      <c r="F360" s="24"/>
      <c r="G360" s="24">
        <f>SmtRes!CX86</f>
        <v>7.3338000000000001</v>
      </c>
      <c r="H360" s="26"/>
      <c r="I360" s="25"/>
      <c r="J360" s="26">
        <f>SmtRes!CZ86</f>
        <v>329.43</v>
      </c>
      <c r="K360" s="25"/>
      <c r="L360" s="26">
        <f>SmtRes!DI86</f>
        <v>2415.9699999999998</v>
      </c>
    </row>
    <row r="361" spans="1:83" ht="15" x14ac:dyDescent="0.2">
      <c r="A361" s="21"/>
      <c r="B361" s="24">
        <v>2</v>
      </c>
      <c r="C361" s="21" t="s">
        <v>483</v>
      </c>
      <c r="D361" s="23"/>
      <c r="E361" s="28"/>
      <c r="F361" s="24"/>
      <c r="G361" s="24"/>
      <c r="H361" s="24"/>
      <c r="I361" s="24"/>
      <c r="J361" s="24"/>
      <c r="K361" s="24"/>
      <c r="L361" s="29">
        <f>SUM(L362:L363)-SUMIF(CE362:CE363, 1, L362:L363)</f>
        <v>56.66</v>
      </c>
    </row>
    <row r="362" spans="1:83" ht="15" hidden="1" x14ac:dyDescent="0.2">
      <c r="A362" s="21"/>
      <c r="B362" s="24"/>
      <c r="C362" s="21" t="s">
        <v>484</v>
      </c>
      <c r="D362" s="23" t="s">
        <v>346</v>
      </c>
      <c r="E362" s="28"/>
      <c r="F362" s="24"/>
      <c r="G362" s="24">
        <f>Source!V54</f>
        <v>0</v>
      </c>
      <c r="H362" s="24"/>
      <c r="I362" s="24"/>
      <c r="J362" s="24"/>
      <c r="K362" s="24"/>
      <c r="L362" s="29">
        <f>SUMIF(CE363:CE363, 1, L363:L363)</f>
        <v>0</v>
      </c>
      <c r="CE362">
        <v>1</v>
      </c>
    </row>
    <row r="363" spans="1:83" ht="28.5" x14ac:dyDescent="0.2">
      <c r="A363" s="22"/>
      <c r="B363" s="22" t="s">
        <v>347</v>
      </c>
      <c r="C363" s="30" t="s">
        <v>349</v>
      </c>
      <c r="D363" s="31" t="s">
        <v>350</v>
      </c>
      <c r="E363" s="32">
        <v>6.22</v>
      </c>
      <c r="F363" s="32"/>
      <c r="G363" s="32">
        <f>SmtRes!CX87</f>
        <v>3.1722000000000001</v>
      </c>
      <c r="H363" s="33">
        <f>SmtRes!CZ87</f>
        <v>11.45</v>
      </c>
      <c r="I363" s="34">
        <f>SmtRes!AJ87</f>
        <v>1.56</v>
      </c>
      <c r="J363" s="33">
        <f>ROUND(H363*I363, 2)</f>
        <v>17.86</v>
      </c>
      <c r="K363" s="34"/>
      <c r="L363" s="33">
        <f>SmtRes!DG87</f>
        <v>56.66</v>
      </c>
    </row>
    <row r="364" spans="1:83" ht="15" x14ac:dyDescent="0.2">
      <c r="A364" s="22"/>
      <c r="B364" s="22"/>
      <c r="C364" s="37" t="s">
        <v>485</v>
      </c>
      <c r="D364" s="23"/>
      <c r="E364" s="24"/>
      <c r="F364" s="24"/>
      <c r="G364" s="24"/>
      <c r="H364" s="26"/>
      <c r="I364" s="25"/>
      <c r="J364" s="26"/>
      <c r="K364" s="25"/>
      <c r="L364" s="26">
        <f>L359+L361+L362</f>
        <v>2472.6299999999997</v>
      </c>
    </row>
    <row r="365" spans="1:83" ht="14.25" x14ac:dyDescent="0.2">
      <c r="A365" s="22"/>
      <c r="B365" s="22"/>
      <c r="C365" s="22" t="s">
        <v>486</v>
      </c>
      <c r="D365" s="23"/>
      <c r="E365" s="24"/>
      <c r="F365" s="24"/>
      <c r="G365" s="24"/>
      <c r="H365" s="26"/>
      <c r="I365" s="25"/>
      <c r="J365" s="26"/>
      <c r="K365" s="25"/>
      <c r="L365" s="26">
        <f>SUM(AR357:AR368)+SUM(AS357:AS368)+SUM(AT357:AT368)+SUM(AU357:AU368)+SUM(AV357:AV368)</f>
        <v>2415.9699999999998</v>
      </c>
    </row>
    <row r="366" spans="1:83" ht="71.25" x14ac:dyDescent="0.2">
      <c r="A366" s="22"/>
      <c r="B366" s="22" t="s">
        <v>26</v>
      </c>
      <c r="C366" s="22" t="s">
        <v>487</v>
      </c>
      <c r="D366" s="23" t="s">
        <v>488</v>
      </c>
      <c r="E366" s="24">
        <f>Source!BZ54</f>
        <v>91</v>
      </c>
      <c r="F366" s="24"/>
      <c r="G366" s="24">
        <f>Source!AT54</f>
        <v>91</v>
      </c>
      <c r="H366" s="26"/>
      <c r="I366" s="25"/>
      <c r="J366" s="26"/>
      <c r="K366" s="25"/>
      <c r="L366" s="26">
        <f>SUM(AZ357:AZ368)</f>
        <v>2198.5300000000002</v>
      </c>
    </row>
    <row r="367" spans="1:83" ht="71.25" x14ac:dyDescent="0.2">
      <c r="A367" s="30"/>
      <c r="B367" s="30" t="s">
        <v>27</v>
      </c>
      <c r="C367" s="30" t="s">
        <v>489</v>
      </c>
      <c r="D367" s="31" t="s">
        <v>488</v>
      </c>
      <c r="E367" s="32">
        <f>Source!CA54</f>
        <v>52</v>
      </c>
      <c r="F367" s="32"/>
      <c r="G367" s="32">
        <f>Source!AU54</f>
        <v>52</v>
      </c>
      <c r="H367" s="33"/>
      <c r="I367" s="34"/>
      <c r="J367" s="33"/>
      <c r="K367" s="34"/>
      <c r="L367" s="33">
        <f>SUM(BA357:BA368)</f>
        <v>1256.3</v>
      </c>
    </row>
    <row r="368" spans="1:83" ht="15" x14ac:dyDescent="0.2">
      <c r="C368" s="93" t="s">
        <v>490</v>
      </c>
      <c r="D368" s="93"/>
      <c r="E368" s="93"/>
      <c r="F368" s="93"/>
      <c r="G368" s="93"/>
      <c r="H368" s="93"/>
      <c r="I368" s="94">
        <f>IF(E357&lt;&gt;0,K368/E357, 0)</f>
        <v>11622.470588235294</v>
      </c>
      <c r="J368" s="94"/>
      <c r="K368" s="94">
        <f>L359+L361+L366+L367+L362</f>
        <v>5927.46</v>
      </c>
      <c r="L368" s="94"/>
      <c r="AD368">
        <f>ROUND((Source!AT54/100)*((ROUND(SUMIF(SmtRes!AQ86:'SmtRes'!AQ87,"=1",SmtRes!AD86:'SmtRes'!AD87)*Source!I54, 2)+ROUND(SUMIF(SmtRes!AQ86:'SmtRes'!AQ87,"=1",SmtRes!AC86:'SmtRes'!AC87)*Source!I54, 2))), 2)</f>
        <v>152.88999999999999</v>
      </c>
      <c r="AE368">
        <f>ROUND((Source!AU54/100)*((ROUND(SUMIF(SmtRes!AQ86:'SmtRes'!AQ87,"=1",SmtRes!AD86:'SmtRes'!AD87)*Source!I54, 2)+ROUND(SUMIF(SmtRes!AQ86:'SmtRes'!AQ87,"=1",SmtRes!AC86:'SmtRes'!AC87)*Source!I54, 2))), 2)</f>
        <v>87.37</v>
      </c>
      <c r="AN368" s="35">
        <f>L359+L361+L366+L367+L362</f>
        <v>5927.46</v>
      </c>
      <c r="AO368" s="35">
        <f>L361</f>
        <v>56.66</v>
      </c>
      <c r="AQ368" t="s">
        <v>491</v>
      </c>
      <c r="AR368" s="35">
        <f>L359</f>
        <v>2415.9699999999998</v>
      </c>
      <c r="AT368" s="35">
        <f>L362</f>
        <v>0</v>
      </c>
      <c r="AV368" t="s">
        <v>491</v>
      </c>
      <c r="AW368">
        <f>0</f>
        <v>0</v>
      </c>
      <c r="AZ368">
        <f>Source!X54</f>
        <v>2198.5300000000002</v>
      </c>
      <c r="BA368">
        <f>Source!Y54</f>
        <v>1256.3</v>
      </c>
      <c r="CD368">
        <v>1</v>
      </c>
    </row>
    <row r="369" spans="1:83" ht="57" x14ac:dyDescent="0.2">
      <c r="A369" s="20" t="s">
        <v>175</v>
      </c>
      <c r="B369" s="22" t="s">
        <v>550</v>
      </c>
      <c r="C369" s="22" t="str">
        <f>Source!G55</f>
        <v>Устройство примыканий кровель из наплавляемых материалов к стенам и парапетам высотой: до 600 мм без фартуков</v>
      </c>
      <c r="D369" s="23" t="str">
        <f>Source!H55</f>
        <v>100 м</v>
      </c>
      <c r="E369" s="24">
        <f>Source!K55</f>
        <v>1.02</v>
      </c>
      <c r="F369" s="24"/>
      <c r="G369" s="24">
        <f>Source!I55</f>
        <v>1.02</v>
      </c>
      <c r="H369" s="26"/>
      <c r="I369" s="25"/>
      <c r="J369" s="26"/>
      <c r="K369" s="25"/>
      <c r="L369" s="26"/>
    </row>
    <row r="370" spans="1:83" x14ac:dyDescent="0.2">
      <c r="C370" s="27" t="str">
        <f>"Объем: "&amp;Source!I55&amp;"=102/"&amp;"100"</f>
        <v>Объем: 1,02=102/100</v>
      </c>
    </row>
    <row r="371" spans="1:83" ht="15" x14ac:dyDescent="0.2">
      <c r="A371" s="21"/>
      <c r="B371" s="24">
        <v>1</v>
      </c>
      <c r="C371" s="21" t="s">
        <v>482</v>
      </c>
      <c r="D371" s="23" t="s">
        <v>346</v>
      </c>
      <c r="E371" s="28"/>
      <c r="F371" s="24"/>
      <c r="G371" s="24">
        <f>Source!U55</f>
        <v>36.21</v>
      </c>
      <c r="H371" s="24"/>
      <c r="I371" s="24"/>
      <c r="J371" s="24"/>
      <c r="K371" s="24"/>
      <c r="L371" s="29">
        <f>SUM(L372:L372)-SUMIF(CE372:CE372, 1, L372:L372)</f>
        <v>14007.84</v>
      </c>
    </row>
    <row r="372" spans="1:83" ht="28.5" x14ac:dyDescent="0.2">
      <c r="A372" s="22"/>
      <c r="B372" s="22" t="s">
        <v>413</v>
      </c>
      <c r="C372" s="22" t="s">
        <v>414</v>
      </c>
      <c r="D372" s="23" t="s">
        <v>346</v>
      </c>
      <c r="E372" s="24">
        <v>35.5</v>
      </c>
      <c r="F372" s="24"/>
      <c r="G372" s="24">
        <f>SmtRes!CX88</f>
        <v>36.21</v>
      </c>
      <c r="H372" s="26"/>
      <c r="I372" s="25"/>
      <c r="J372" s="26">
        <f>SmtRes!CZ88</f>
        <v>386.85</v>
      </c>
      <c r="K372" s="25"/>
      <c r="L372" s="26">
        <f>SmtRes!DI88</f>
        <v>14007.84</v>
      </c>
    </row>
    <row r="373" spans="1:83" ht="15" x14ac:dyDescent="0.2">
      <c r="A373" s="21"/>
      <c r="B373" s="24">
        <v>2</v>
      </c>
      <c r="C373" s="21" t="s">
        <v>483</v>
      </c>
      <c r="D373" s="23"/>
      <c r="E373" s="28"/>
      <c r="F373" s="24"/>
      <c r="G373" s="24"/>
      <c r="H373" s="24"/>
      <c r="I373" s="24"/>
      <c r="J373" s="24"/>
      <c r="K373" s="24"/>
      <c r="L373" s="29">
        <f>SUM(L374:L380)-SUMIF(CE374:CE380, 1, L374:L380)</f>
        <v>962.76</v>
      </c>
    </row>
    <row r="374" spans="1:83" ht="15" x14ac:dyDescent="0.2">
      <c r="A374" s="21"/>
      <c r="B374" s="24"/>
      <c r="C374" s="21" t="s">
        <v>484</v>
      </c>
      <c r="D374" s="23" t="s">
        <v>346</v>
      </c>
      <c r="E374" s="28"/>
      <c r="F374" s="24"/>
      <c r="G374" s="24">
        <f>Source!V55</f>
        <v>0.87719999999999998</v>
      </c>
      <c r="H374" s="24"/>
      <c r="I374" s="24"/>
      <c r="J374" s="24"/>
      <c r="K374" s="24"/>
      <c r="L374" s="29">
        <f>SUMIF(CE375:CE380, 1, L375:L380)</f>
        <v>455.93</v>
      </c>
      <c r="CE374">
        <v>1</v>
      </c>
    </row>
    <row r="375" spans="1:83" ht="28.5" x14ac:dyDescent="0.2">
      <c r="A375" s="22"/>
      <c r="B375" s="22" t="s">
        <v>355</v>
      </c>
      <c r="C375" s="22" t="s">
        <v>357</v>
      </c>
      <c r="D375" s="23" t="s">
        <v>350</v>
      </c>
      <c r="E375" s="24">
        <v>0.61</v>
      </c>
      <c r="F375" s="24"/>
      <c r="G375" s="24">
        <f>SmtRes!CX90</f>
        <v>0.62219999999999998</v>
      </c>
      <c r="H375" s="26"/>
      <c r="I375" s="25"/>
      <c r="J375" s="26">
        <f>SmtRes!CZ90</f>
        <v>1098</v>
      </c>
      <c r="K375" s="25"/>
      <c r="L375" s="26">
        <f>SmtRes!DG90</f>
        <v>683.18</v>
      </c>
    </row>
    <row r="376" spans="1:83" ht="28.5" x14ac:dyDescent="0.2">
      <c r="A376" s="22"/>
      <c r="B376" s="22" t="s">
        <v>358</v>
      </c>
      <c r="C376" s="22" t="s">
        <v>493</v>
      </c>
      <c r="D376" s="23" t="s">
        <v>346</v>
      </c>
      <c r="E376" s="24">
        <f>SmtRes!DO90*SmtRes!AT90</f>
        <v>0.61</v>
      </c>
      <c r="F376" s="24"/>
      <c r="G376" s="24">
        <f>ROUND(E376*G369, 7)</f>
        <v>0.62219999999999998</v>
      </c>
      <c r="H376" s="26"/>
      <c r="I376" s="25"/>
      <c r="J376" s="26">
        <f>ROUND(SmtRes!AG90/SmtRes!DO90, 2)</f>
        <v>544.01</v>
      </c>
      <c r="K376" s="25"/>
      <c r="L376" s="26">
        <f>SmtRes!DH90</f>
        <v>338.48</v>
      </c>
      <c r="CE376">
        <v>1</v>
      </c>
    </row>
    <row r="377" spans="1:83" ht="28.5" x14ac:dyDescent="0.2">
      <c r="A377" s="22"/>
      <c r="B377" s="22" t="s">
        <v>397</v>
      </c>
      <c r="C377" s="22" t="s">
        <v>399</v>
      </c>
      <c r="D377" s="23" t="s">
        <v>350</v>
      </c>
      <c r="E377" s="24">
        <v>0.1</v>
      </c>
      <c r="F377" s="24"/>
      <c r="G377" s="24">
        <f>SmtRes!CX91</f>
        <v>0.10199999999999999</v>
      </c>
      <c r="H377" s="26"/>
      <c r="I377" s="25"/>
      <c r="J377" s="26">
        <f>SmtRes!CZ91</f>
        <v>1719.93</v>
      </c>
      <c r="K377" s="25"/>
      <c r="L377" s="26">
        <f>SmtRes!DG91</f>
        <v>175.43</v>
      </c>
    </row>
    <row r="378" spans="1:83" ht="28.5" x14ac:dyDescent="0.2">
      <c r="A378" s="22"/>
      <c r="B378" s="22" t="s">
        <v>358</v>
      </c>
      <c r="C378" s="22" t="s">
        <v>493</v>
      </c>
      <c r="D378" s="23" t="s">
        <v>346</v>
      </c>
      <c r="E378" s="24">
        <f>SmtRes!DO91*SmtRes!AT91</f>
        <v>0.1</v>
      </c>
      <c r="F378" s="24"/>
      <c r="G378" s="24">
        <f>ROUND(E378*G369, 7)</f>
        <v>0.10199999999999999</v>
      </c>
      <c r="H378" s="26"/>
      <c r="I378" s="25"/>
      <c r="J378" s="26">
        <f>ROUND(SmtRes!AG91/SmtRes!DO91, 2)</f>
        <v>544.01</v>
      </c>
      <c r="K378" s="25"/>
      <c r="L378" s="26">
        <f>SmtRes!DH91</f>
        <v>55.49</v>
      </c>
      <c r="CE378">
        <v>1</v>
      </c>
    </row>
    <row r="379" spans="1:83" ht="28.5" x14ac:dyDescent="0.2">
      <c r="A379" s="22"/>
      <c r="B379" s="22" t="s">
        <v>363</v>
      </c>
      <c r="C379" s="22" t="s">
        <v>365</v>
      </c>
      <c r="D379" s="23" t="s">
        <v>350</v>
      </c>
      <c r="E379" s="24">
        <v>0.15</v>
      </c>
      <c r="F379" s="24"/>
      <c r="G379" s="24">
        <f>SmtRes!CX92</f>
        <v>0.153</v>
      </c>
      <c r="H379" s="26"/>
      <c r="I379" s="25"/>
      <c r="J379" s="26">
        <f>SmtRes!CZ92</f>
        <v>680.75</v>
      </c>
      <c r="K379" s="25"/>
      <c r="L379" s="26">
        <f>SmtRes!DG92</f>
        <v>104.15</v>
      </c>
    </row>
    <row r="380" spans="1:83" ht="28.5" x14ac:dyDescent="0.2">
      <c r="A380" s="22"/>
      <c r="B380" s="22" t="s">
        <v>366</v>
      </c>
      <c r="C380" s="22" t="s">
        <v>503</v>
      </c>
      <c r="D380" s="23" t="s">
        <v>346</v>
      </c>
      <c r="E380" s="24">
        <f>SmtRes!DO92*SmtRes!AT92</f>
        <v>0.15</v>
      </c>
      <c r="F380" s="24"/>
      <c r="G380" s="24">
        <f>ROUND(E380*G369, 7)</f>
        <v>0.153</v>
      </c>
      <c r="H380" s="26"/>
      <c r="I380" s="25"/>
      <c r="J380" s="26">
        <f>ROUND(SmtRes!AG92/SmtRes!DO92, 2)</f>
        <v>404.99</v>
      </c>
      <c r="K380" s="25"/>
      <c r="L380" s="26">
        <f>SmtRes!DH92</f>
        <v>61.96</v>
      </c>
      <c r="CE380">
        <v>1</v>
      </c>
    </row>
    <row r="381" spans="1:83" ht="15" x14ac:dyDescent="0.2">
      <c r="A381" s="21"/>
      <c r="B381" s="24">
        <v>4</v>
      </c>
      <c r="C381" s="21" t="s">
        <v>504</v>
      </c>
      <c r="D381" s="23"/>
      <c r="E381" s="28"/>
      <c r="F381" s="24"/>
      <c r="G381" s="24"/>
      <c r="H381" s="24"/>
      <c r="I381" s="24"/>
      <c r="J381" s="24"/>
      <c r="K381" s="24"/>
      <c r="L381" s="29">
        <f>SUM(L382:L383)-SUMIF(CE382:CE383, 1, L382:L383)</f>
        <v>4797.59</v>
      </c>
    </row>
    <row r="382" spans="1:83" ht="14.25" x14ac:dyDescent="0.2">
      <c r="A382" s="22"/>
      <c r="B382" s="22" t="s">
        <v>407</v>
      </c>
      <c r="C382" s="22" t="s">
        <v>409</v>
      </c>
      <c r="D382" s="23" t="s">
        <v>154</v>
      </c>
      <c r="E382" s="24">
        <v>32.49</v>
      </c>
      <c r="F382" s="24"/>
      <c r="G382" s="24">
        <f>SmtRes!CX93</f>
        <v>33.139800000000001</v>
      </c>
      <c r="H382" s="26">
        <f>SmtRes!CZ93</f>
        <v>41.38</v>
      </c>
      <c r="I382" s="25">
        <f>SmtRes!AI93</f>
        <v>1.32</v>
      </c>
      <c r="J382" s="26">
        <f>ROUND(H382*I382, 2)</f>
        <v>54.62</v>
      </c>
      <c r="K382" s="25"/>
      <c r="L382" s="26">
        <f>SmtRes!DF93</f>
        <v>1810.1</v>
      </c>
    </row>
    <row r="383" spans="1:83" ht="28.5" x14ac:dyDescent="0.2">
      <c r="A383" s="22"/>
      <c r="B383" s="22" t="s">
        <v>415</v>
      </c>
      <c r="C383" s="22" t="s">
        <v>417</v>
      </c>
      <c r="D383" s="23" t="s">
        <v>92</v>
      </c>
      <c r="E383" s="24">
        <v>0.51</v>
      </c>
      <c r="F383" s="24"/>
      <c r="G383" s="24">
        <f>SmtRes!CX94</f>
        <v>0.5202</v>
      </c>
      <c r="H383" s="26"/>
      <c r="I383" s="25"/>
      <c r="J383" s="26">
        <f>SmtRes!CZ94</f>
        <v>5742.96</v>
      </c>
      <c r="K383" s="25"/>
      <c r="L383" s="26">
        <f>SmtRes!DF94</f>
        <v>2987.49</v>
      </c>
    </row>
    <row r="384" spans="1:83" ht="28.5" x14ac:dyDescent="0.2">
      <c r="A384" s="22"/>
      <c r="B384" s="22" t="str">
        <f>EtalonRes!I100</f>
        <v>12.1.02.15</v>
      </c>
      <c r="C384" s="30" t="str">
        <f>EtalonRes!K100</f>
        <v>Материалы рулонные кровельные наплавляемые</v>
      </c>
      <c r="D384" s="31" t="str">
        <f>EtalonRes!O100</f>
        <v>м2</v>
      </c>
      <c r="E384" s="32">
        <f>EtalonRes!X100</f>
        <v>252</v>
      </c>
      <c r="F384" s="32"/>
      <c r="G384" s="32">
        <f>ROUND(EtalonRes!AG100*Source!I55, 7)</f>
        <v>257.04000000000002</v>
      </c>
      <c r="H384" s="33"/>
      <c r="I384" s="34"/>
      <c r="J384" s="33"/>
      <c r="K384" s="34"/>
      <c r="L384" s="33"/>
    </row>
    <row r="385" spans="1:83" ht="15" x14ac:dyDescent="0.2">
      <c r="A385" s="22"/>
      <c r="B385" s="22"/>
      <c r="C385" s="37" t="s">
        <v>485</v>
      </c>
      <c r="D385" s="23"/>
      <c r="E385" s="24"/>
      <c r="F385" s="24"/>
      <c r="G385" s="24"/>
      <c r="H385" s="26"/>
      <c r="I385" s="25"/>
      <c r="J385" s="26"/>
      <c r="K385" s="25"/>
      <c r="L385" s="26">
        <f>L371+L373+L374+L381</f>
        <v>20224.120000000003</v>
      </c>
    </row>
    <row r="386" spans="1:83" ht="156.75" x14ac:dyDescent="0.2">
      <c r="A386" s="20" t="s">
        <v>551</v>
      </c>
      <c r="B386" s="22" t="str">
        <f>Source!F56</f>
        <v>12.1.02.03-1022</v>
      </c>
      <c r="C386" s="22" t="str">
        <f>Source!G56</f>
        <v>Материал рулонный битумно-полимерный кровельный и гидроизоляционный самоклеящийся ЭКС, основа полиэстер/полиэфир, с крупнозернистой посыпкой на верхней стороне полотна, гибкость не выше -25 °C, теплостойкость не менее 100 °C, разрывная сила в продольном/поперечном направлении 600/400 Н, толщина 4,2 мм, масса 1 м2 до 5,2 кг</v>
      </c>
      <c r="D386" s="23" t="str">
        <f>Source!H56</f>
        <v>м2</v>
      </c>
      <c r="E386" s="24">
        <f>SmtRes!AT95</f>
        <v>252</v>
      </c>
      <c r="F386" s="24"/>
      <c r="G386" s="24">
        <f>Source!I56</f>
        <v>257.04000000000002</v>
      </c>
      <c r="H386" s="26"/>
      <c r="I386" s="25"/>
      <c r="J386" s="26">
        <f>Source!AK56</f>
        <v>584.16999999999996</v>
      </c>
      <c r="K386" s="25"/>
      <c r="L386" s="26">
        <f>Source!P56</f>
        <v>150155.06</v>
      </c>
      <c r="AD386">
        <f>ROUND((Source!AT56/100)*((ROUND(ROUND(Source!AO56,2)*Source!I56, 2)+ROUND(ROUND(Source!AN56,2)*Source!I56, 2))), 2)</f>
        <v>0</v>
      </c>
      <c r="AE386">
        <f>ROUND((Source!AU56/100)*((ROUND(ROUND(Source!AO56,2)*Source!I56, 2)+ROUND(ROUND(Source!AN56,2)*Source!I56, 2))), 2)</f>
        <v>0</v>
      </c>
      <c r="AN386">
        <f>L386</f>
        <v>150155.06</v>
      </c>
      <c r="AW386">
        <f>L386</f>
        <v>150155.06</v>
      </c>
      <c r="AZ386">
        <f>Source!X56</f>
        <v>0</v>
      </c>
      <c r="BA386">
        <f>Source!Y56</f>
        <v>0</v>
      </c>
      <c r="CD386">
        <v>1</v>
      </c>
    </row>
    <row r="387" spans="1:83" ht="14.25" x14ac:dyDescent="0.2">
      <c r="A387" s="22"/>
      <c r="B387" s="22"/>
      <c r="C387" s="22" t="s">
        <v>486</v>
      </c>
      <c r="D387" s="23"/>
      <c r="E387" s="24"/>
      <c r="F387" s="24"/>
      <c r="G387" s="24"/>
      <c r="H387" s="26"/>
      <c r="I387" s="25"/>
      <c r="J387" s="26"/>
      <c r="K387" s="25"/>
      <c r="L387" s="26">
        <f>SUM(AR369:AR390)+SUM(AS369:AS390)+SUM(AT369:AT390)+SUM(AU369:AU390)+SUM(AV369:AV390)</f>
        <v>14463.77</v>
      </c>
    </row>
    <row r="388" spans="1:83" ht="14.25" x14ac:dyDescent="0.2">
      <c r="A388" s="22"/>
      <c r="B388" s="22" t="s">
        <v>82</v>
      </c>
      <c r="C388" s="22" t="s">
        <v>512</v>
      </c>
      <c r="D388" s="23" t="s">
        <v>488</v>
      </c>
      <c r="E388" s="24">
        <f>Source!BZ55</f>
        <v>109</v>
      </c>
      <c r="F388" s="24"/>
      <c r="G388" s="24">
        <f>Source!AT55</f>
        <v>109</v>
      </c>
      <c r="H388" s="26"/>
      <c r="I388" s="25"/>
      <c r="J388" s="26"/>
      <c r="K388" s="25"/>
      <c r="L388" s="26">
        <f>SUM(AZ369:AZ390)</f>
        <v>15765.51</v>
      </c>
    </row>
    <row r="389" spans="1:83" ht="14.25" x14ac:dyDescent="0.2">
      <c r="A389" s="30"/>
      <c r="B389" s="30" t="s">
        <v>83</v>
      </c>
      <c r="C389" s="30" t="s">
        <v>513</v>
      </c>
      <c r="D389" s="31" t="s">
        <v>488</v>
      </c>
      <c r="E389" s="32">
        <f>Source!CA55</f>
        <v>57</v>
      </c>
      <c r="F389" s="32"/>
      <c r="G389" s="32">
        <f>Source!AU55</f>
        <v>57</v>
      </c>
      <c r="H389" s="33"/>
      <c r="I389" s="34"/>
      <c r="J389" s="33"/>
      <c r="K389" s="34"/>
      <c r="L389" s="33">
        <f>SUM(BA369:BA390)</f>
        <v>8244.35</v>
      </c>
    </row>
    <row r="390" spans="1:83" ht="15" x14ac:dyDescent="0.2">
      <c r="C390" s="93" t="s">
        <v>490</v>
      </c>
      <c r="D390" s="93"/>
      <c r="E390" s="93"/>
      <c r="F390" s="93"/>
      <c r="G390" s="93"/>
      <c r="H390" s="93"/>
      <c r="I390" s="94">
        <f>IF(E369&lt;&gt;0,K390/E369, 0)</f>
        <v>190577.49019607843</v>
      </c>
      <c r="J390" s="94"/>
      <c r="K390" s="94">
        <f>L371+L373+L381+L388+L389+L374+SUM(L386:L386)</f>
        <v>194389.04</v>
      </c>
      <c r="L390" s="94"/>
      <c r="AD390">
        <f>ROUND((Source!AT55/100)*((ROUND(SUMIF(SmtRes!AQ88:'SmtRes'!AQ95,"=1",SmtRes!AD88:'SmtRes'!AD95)*Source!I55, 2)+ROUND(SUMIF(SmtRes!AQ88:'SmtRes'!AQ95,"=1",SmtRes!AC88:'SmtRes'!AC95)*Source!I55, 2))), 2)</f>
        <v>2090.0300000000002</v>
      </c>
      <c r="AE390">
        <f>ROUND((Source!AU55/100)*((ROUND(SUMIF(SmtRes!AQ88:'SmtRes'!AQ95,"=1",SmtRes!AD88:'SmtRes'!AD95)*Source!I55, 2)+ROUND(SUMIF(SmtRes!AQ88:'SmtRes'!AQ95,"=1",SmtRes!AC88:'SmtRes'!AC95)*Source!I55, 2))), 2)</f>
        <v>1092.95</v>
      </c>
      <c r="AN390" s="35">
        <f>L371+L373+L381+L388+L389+L374</f>
        <v>44233.98</v>
      </c>
      <c r="AO390" s="35">
        <f>L373</f>
        <v>962.76</v>
      </c>
      <c r="AQ390" t="s">
        <v>491</v>
      </c>
      <c r="AR390" s="35">
        <f>L371</f>
        <v>14007.84</v>
      </c>
      <c r="AT390" s="35">
        <f>L374</f>
        <v>455.93</v>
      </c>
      <c r="AV390" t="s">
        <v>491</v>
      </c>
      <c r="AW390" s="35">
        <f>L381</f>
        <v>4797.59</v>
      </c>
      <c r="AZ390">
        <f>Source!X55</f>
        <v>15765.51</v>
      </c>
      <c r="BA390">
        <f>Source!Y55</f>
        <v>8244.35</v>
      </c>
      <c r="CD390">
        <v>1</v>
      </c>
    </row>
    <row r="391" spans="1:83" ht="119.25" x14ac:dyDescent="0.2">
      <c r="A391" s="20" t="s">
        <v>180</v>
      </c>
      <c r="B391" s="22" t="s">
        <v>552</v>
      </c>
      <c r="C391" s="22" t="s">
        <v>553</v>
      </c>
      <c r="D391" s="23" t="str">
        <f>Source!H57</f>
        <v>100 м2</v>
      </c>
      <c r="E391" s="24">
        <f>Source!K57</f>
        <v>0.57199999999999995</v>
      </c>
      <c r="F391" s="24"/>
      <c r="G391" s="24">
        <f>Source!I57</f>
        <v>0.57199999999999995</v>
      </c>
      <c r="H391" s="26"/>
      <c r="I391" s="25"/>
      <c r="J391" s="26"/>
      <c r="K391" s="25"/>
      <c r="L391" s="26"/>
    </row>
    <row r="392" spans="1:83" ht="165.75" x14ac:dyDescent="0.2">
      <c r="B392" s="39" t="str">
        <f>Source!EO57</f>
        <v>Поправка: 421/пр_2020_п.58_пп.б</v>
      </c>
      <c r="C392" s="39" t="str">
        <f>Source!CN57</f>
        <v>Поправка: 421/пр_2020_п.58_пп.б_x000D_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393" spans="1:83" x14ac:dyDescent="0.2">
      <c r="C393" s="27" t="str">
        <f>"Объем: "&amp;Source!I57&amp;"=57,2/"&amp;"100"</f>
        <v>Объем: 0,572=57,2/100</v>
      </c>
    </row>
    <row r="394" spans="1:83" ht="15" x14ac:dyDescent="0.2">
      <c r="A394" s="21"/>
      <c r="B394" s="24">
        <v>1</v>
      </c>
      <c r="C394" s="21" t="s">
        <v>482</v>
      </c>
      <c r="D394" s="23" t="s">
        <v>346</v>
      </c>
      <c r="E394" s="28"/>
      <c r="F394" s="24"/>
      <c r="G394" s="24">
        <f>Source!U57</f>
        <v>63.938160000000003</v>
      </c>
      <c r="H394" s="24"/>
      <c r="I394" s="24"/>
      <c r="J394" s="24"/>
      <c r="K394" s="24"/>
      <c r="L394" s="29">
        <f>SUM(L395:L395)-SUMIF(CE395:CE395, 1, L395:L395)</f>
        <v>22995.360000000001</v>
      </c>
    </row>
    <row r="395" spans="1:83" ht="28.5" x14ac:dyDescent="0.2">
      <c r="A395" s="22"/>
      <c r="B395" s="22" t="s">
        <v>361</v>
      </c>
      <c r="C395" s="22" t="s">
        <v>418</v>
      </c>
      <c r="D395" s="23" t="s">
        <v>346</v>
      </c>
      <c r="E395" s="24">
        <v>97.2</v>
      </c>
      <c r="F395" s="24">
        <f>ROUND(1.15,7)</f>
        <v>1.1499999999999999</v>
      </c>
      <c r="G395" s="24">
        <f>SmtRes!CX96</f>
        <v>63.938160000000003</v>
      </c>
      <c r="H395" s="26"/>
      <c r="I395" s="25"/>
      <c r="J395" s="26">
        <f>SmtRes!CZ96</f>
        <v>359.65</v>
      </c>
      <c r="K395" s="25"/>
      <c r="L395" s="26">
        <f>SmtRes!DI96</f>
        <v>22995.360000000001</v>
      </c>
    </row>
    <row r="396" spans="1:83" ht="15" x14ac:dyDescent="0.2">
      <c r="A396" s="21"/>
      <c r="B396" s="24">
        <v>2</v>
      </c>
      <c r="C396" s="21" t="s">
        <v>483</v>
      </c>
      <c r="D396" s="23"/>
      <c r="E396" s="28"/>
      <c r="F396" s="24"/>
      <c r="G396" s="24"/>
      <c r="H396" s="24"/>
      <c r="I396" s="24"/>
      <c r="J396" s="24"/>
      <c r="K396" s="24"/>
      <c r="L396" s="29">
        <f>SUM(L397:L401)-SUMIF(CE397:CE401, 1, L397:L401)</f>
        <v>191.07999999999996</v>
      </c>
    </row>
    <row r="397" spans="1:83" ht="15" x14ac:dyDescent="0.2">
      <c r="A397" s="21"/>
      <c r="B397" s="24"/>
      <c r="C397" s="21" t="s">
        <v>484</v>
      </c>
      <c r="D397" s="23" t="s">
        <v>346</v>
      </c>
      <c r="E397" s="28"/>
      <c r="F397" s="24"/>
      <c r="G397" s="24">
        <f>Source!V57</f>
        <v>0.19305</v>
      </c>
      <c r="H397" s="24"/>
      <c r="I397" s="24"/>
      <c r="J397" s="24"/>
      <c r="K397" s="24"/>
      <c r="L397" s="29">
        <f>SUMIF(CE398:CE401, 1, L398:L401)</f>
        <v>98.06</v>
      </c>
      <c r="CE397">
        <v>1</v>
      </c>
    </row>
    <row r="398" spans="1:83" ht="28.5" x14ac:dyDescent="0.2">
      <c r="A398" s="22"/>
      <c r="B398" s="22" t="s">
        <v>355</v>
      </c>
      <c r="C398" s="22" t="s">
        <v>357</v>
      </c>
      <c r="D398" s="23" t="s">
        <v>350</v>
      </c>
      <c r="E398" s="24">
        <v>0.2</v>
      </c>
      <c r="F398" s="24">
        <f>ROUND(1.25,7)</f>
        <v>1.25</v>
      </c>
      <c r="G398" s="24">
        <f>SmtRes!CX98</f>
        <v>0.14299999999999999</v>
      </c>
      <c r="H398" s="26"/>
      <c r="I398" s="25"/>
      <c r="J398" s="26">
        <f>SmtRes!CZ98</f>
        <v>1098</v>
      </c>
      <c r="K398" s="25"/>
      <c r="L398" s="26">
        <f>SmtRes!DG98</f>
        <v>157.01</v>
      </c>
    </row>
    <row r="399" spans="1:83" ht="28.5" x14ac:dyDescent="0.2">
      <c r="A399" s="22"/>
      <c r="B399" s="22" t="s">
        <v>358</v>
      </c>
      <c r="C399" s="22" t="s">
        <v>493</v>
      </c>
      <c r="D399" s="23" t="s">
        <v>346</v>
      </c>
      <c r="E399" s="24">
        <f>SmtRes!DO98*SmtRes!AT98</f>
        <v>0.2</v>
      </c>
      <c r="F399" s="24">
        <f>ROUND(1.25,7)</f>
        <v>1.25</v>
      </c>
      <c r="G399" s="24">
        <f>ROUND(E399*F399*G391, 7)</f>
        <v>0.14299999999999999</v>
      </c>
      <c r="H399" s="26"/>
      <c r="I399" s="25"/>
      <c r="J399" s="26">
        <f>ROUND(SmtRes!AG98/SmtRes!DO98, 2)</f>
        <v>544.01</v>
      </c>
      <c r="K399" s="25"/>
      <c r="L399" s="26">
        <f>SmtRes!DH98</f>
        <v>77.790000000000006</v>
      </c>
      <c r="CE399">
        <v>1</v>
      </c>
    </row>
    <row r="400" spans="1:83" ht="28.5" x14ac:dyDescent="0.2">
      <c r="A400" s="22"/>
      <c r="B400" s="22" t="s">
        <v>363</v>
      </c>
      <c r="C400" s="22" t="s">
        <v>365</v>
      </c>
      <c r="D400" s="23" t="s">
        <v>350</v>
      </c>
      <c r="E400" s="24">
        <v>7.0000000000000007E-2</v>
      </c>
      <c r="F400" s="24">
        <f>ROUND(1.25,7)</f>
        <v>1.25</v>
      </c>
      <c r="G400" s="24">
        <f>SmtRes!CX99</f>
        <v>5.0049999999999997E-2</v>
      </c>
      <c r="H400" s="26"/>
      <c r="I400" s="25"/>
      <c r="J400" s="26">
        <f>SmtRes!CZ99</f>
        <v>680.75</v>
      </c>
      <c r="K400" s="25"/>
      <c r="L400" s="26">
        <f>SmtRes!DG99</f>
        <v>34.07</v>
      </c>
    </row>
    <row r="401" spans="1:83" ht="28.5" x14ac:dyDescent="0.2">
      <c r="A401" s="22"/>
      <c r="B401" s="22" t="s">
        <v>366</v>
      </c>
      <c r="C401" s="22" t="s">
        <v>503</v>
      </c>
      <c r="D401" s="23" t="s">
        <v>346</v>
      </c>
      <c r="E401" s="24">
        <f>SmtRes!DO99*SmtRes!AT99</f>
        <v>7.0000000000000007E-2</v>
      </c>
      <c r="F401" s="24">
        <f>ROUND(1.25,7)</f>
        <v>1.25</v>
      </c>
      <c r="G401" s="24">
        <f>ROUND(E401*F401*G391, 7)</f>
        <v>5.0049999999999997E-2</v>
      </c>
      <c r="H401" s="26"/>
      <c r="I401" s="25"/>
      <c r="J401" s="26">
        <f>ROUND(SmtRes!AG99/SmtRes!DO99, 2)</f>
        <v>404.99</v>
      </c>
      <c r="K401" s="25"/>
      <c r="L401" s="26">
        <f>SmtRes!DH99</f>
        <v>20.27</v>
      </c>
      <c r="CE401">
        <v>1</v>
      </c>
    </row>
    <row r="402" spans="1:83" ht="15" x14ac:dyDescent="0.2">
      <c r="A402" s="21"/>
      <c r="B402" s="24">
        <v>4</v>
      </c>
      <c r="C402" s="21" t="s">
        <v>504</v>
      </c>
      <c r="D402" s="23"/>
      <c r="E402" s="28"/>
      <c r="F402" s="24"/>
      <c r="G402" s="24"/>
      <c r="H402" s="24"/>
      <c r="I402" s="24"/>
      <c r="J402" s="24"/>
      <c r="K402" s="24"/>
      <c r="L402" s="29">
        <f>SUM(L403:L405)-SUMIF(CE403:CE405, 1, L403:L405)</f>
        <v>28886.39</v>
      </c>
    </row>
    <row r="403" spans="1:83" ht="28.5" x14ac:dyDescent="0.2">
      <c r="A403" s="22"/>
      <c r="B403" s="22" t="s">
        <v>419</v>
      </c>
      <c r="C403" s="22" t="s">
        <v>421</v>
      </c>
      <c r="D403" s="23" t="s">
        <v>154</v>
      </c>
      <c r="E403" s="24">
        <v>4</v>
      </c>
      <c r="F403" s="24"/>
      <c r="G403" s="24">
        <f>SmtRes!CX100</f>
        <v>2.2879999999999998</v>
      </c>
      <c r="H403" s="26">
        <f>SmtRes!CZ100</f>
        <v>72.97</v>
      </c>
      <c r="I403" s="25">
        <f>SmtRes!AI100</f>
        <v>1.19</v>
      </c>
      <c r="J403" s="26">
        <f>ROUND(H403*I403, 2)</f>
        <v>86.83</v>
      </c>
      <c r="K403" s="25"/>
      <c r="L403" s="26">
        <f>SmtRes!DF100</f>
        <v>198.67</v>
      </c>
    </row>
    <row r="404" spans="1:83" ht="28.5" x14ac:dyDescent="0.2">
      <c r="A404" s="22"/>
      <c r="B404" s="22" t="s">
        <v>422</v>
      </c>
      <c r="C404" s="22" t="s">
        <v>424</v>
      </c>
      <c r="D404" s="23" t="s">
        <v>41</v>
      </c>
      <c r="E404" s="24">
        <v>1.2E-2</v>
      </c>
      <c r="F404" s="24"/>
      <c r="G404" s="24">
        <f>SmtRes!CX101</f>
        <v>6.8640000000000003E-3</v>
      </c>
      <c r="H404" s="26">
        <f>SmtRes!CZ101</f>
        <v>149930.17000000001</v>
      </c>
      <c r="I404" s="25">
        <f>SmtRes!AI101</f>
        <v>0.98</v>
      </c>
      <c r="J404" s="26">
        <f>ROUND(H404*I404, 2)</f>
        <v>146931.57</v>
      </c>
      <c r="K404" s="25"/>
      <c r="L404" s="26">
        <f>SmtRes!DF101</f>
        <v>1008.54</v>
      </c>
    </row>
    <row r="405" spans="1:83" ht="28.5" x14ac:dyDescent="0.2">
      <c r="A405" s="22"/>
      <c r="B405" s="22" t="s">
        <v>425</v>
      </c>
      <c r="C405" s="30" t="s">
        <v>427</v>
      </c>
      <c r="D405" s="31" t="s">
        <v>41</v>
      </c>
      <c r="E405" s="32">
        <v>0.56999999999999995</v>
      </c>
      <c r="F405" s="32"/>
      <c r="G405" s="32">
        <f>SmtRes!CX102</f>
        <v>0.32604</v>
      </c>
      <c r="H405" s="33">
        <f>SmtRes!CZ102</f>
        <v>91285</v>
      </c>
      <c r="I405" s="34">
        <f>SmtRes!AI102</f>
        <v>0.93</v>
      </c>
      <c r="J405" s="33">
        <f>ROUND(H405*I405, 2)</f>
        <v>84895.05</v>
      </c>
      <c r="K405" s="34"/>
      <c r="L405" s="33">
        <f>SmtRes!DF102</f>
        <v>27679.18</v>
      </c>
    </row>
    <row r="406" spans="1:83" ht="15" x14ac:dyDescent="0.2">
      <c r="A406" s="22"/>
      <c r="B406" s="22"/>
      <c r="C406" s="37" t="s">
        <v>485</v>
      </c>
      <c r="D406" s="23"/>
      <c r="E406" s="24"/>
      <c r="F406" s="24"/>
      <c r="G406" s="24"/>
      <c r="H406" s="26"/>
      <c r="I406" s="25"/>
      <c r="J406" s="26"/>
      <c r="K406" s="25"/>
      <c r="L406" s="26">
        <f>L394+L396+L397+L402</f>
        <v>52170.89</v>
      </c>
    </row>
    <row r="407" spans="1:83" ht="14.25" x14ac:dyDescent="0.2">
      <c r="A407" s="22"/>
      <c r="B407" s="22"/>
      <c r="C407" s="22" t="s">
        <v>486</v>
      </c>
      <c r="D407" s="23"/>
      <c r="E407" s="24"/>
      <c r="F407" s="24"/>
      <c r="G407" s="24"/>
      <c r="H407" s="26"/>
      <c r="I407" s="25"/>
      <c r="J407" s="26"/>
      <c r="K407" s="25"/>
      <c r="L407" s="26">
        <f>SUM(AR391:AR410)+SUM(AS391:AS410)+SUM(AT391:AT410)+SUM(AU391:AU410)+SUM(AV391:AV410)</f>
        <v>23093.420000000002</v>
      </c>
    </row>
    <row r="408" spans="1:83" ht="28.5" x14ac:dyDescent="0.2">
      <c r="A408" s="22"/>
      <c r="B408" s="22" t="s">
        <v>520</v>
      </c>
      <c r="C408" s="22" t="s">
        <v>512</v>
      </c>
      <c r="D408" s="23" t="s">
        <v>488</v>
      </c>
      <c r="E408" s="24">
        <f>Source!BZ57</f>
        <v>109</v>
      </c>
      <c r="F408" s="24">
        <f>ROUND(0.9,7)</f>
        <v>0.9</v>
      </c>
      <c r="G408" s="24">
        <f>Source!AT57</f>
        <v>98.1</v>
      </c>
      <c r="H408" s="26"/>
      <c r="I408" s="25"/>
      <c r="J408" s="26"/>
      <c r="K408" s="25"/>
      <c r="L408" s="26">
        <f>SUM(AZ391:AZ410)</f>
        <v>22654.65</v>
      </c>
    </row>
    <row r="409" spans="1:83" ht="28.5" x14ac:dyDescent="0.2">
      <c r="A409" s="30"/>
      <c r="B409" s="30" t="s">
        <v>521</v>
      </c>
      <c r="C409" s="30" t="s">
        <v>513</v>
      </c>
      <c r="D409" s="31" t="s">
        <v>488</v>
      </c>
      <c r="E409" s="32">
        <f>Source!CA57</f>
        <v>57</v>
      </c>
      <c r="F409" s="32">
        <f>ROUND(0.85,7)</f>
        <v>0.85</v>
      </c>
      <c r="G409" s="32">
        <f>Source!AU57</f>
        <v>48.45</v>
      </c>
      <c r="H409" s="33"/>
      <c r="I409" s="34"/>
      <c r="J409" s="33"/>
      <c r="K409" s="34"/>
      <c r="L409" s="33">
        <f>SUM(BA391:BA410)</f>
        <v>11188.76</v>
      </c>
    </row>
    <row r="410" spans="1:83" ht="15" x14ac:dyDescent="0.2">
      <c r="C410" s="93" t="s">
        <v>490</v>
      </c>
      <c r="D410" s="93"/>
      <c r="E410" s="93"/>
      <c r="F410" s="93"/>
      <c r="G410" s="93"/>
      <c r="H410" s="93"/>
      <c r="I410" s="94">
        <f>IF(E391&lt;&gt;0,K410/E391, 0)</f>
        <v>150374.65034965036</v>
      </c>
      <c r="J410" s="94"/>
      <c r="K410" s="94">
        <f>L394+L396+L402+L408+L409+L397</f>
        <v>86014.3</v>
      </c>
      <c r="L410" s="94"/>
      <c r="AD410">
        <f>ROUND((Source!AT57/100)*((ROUND(SUMIF(SmtRes!AQ96:'SmtRes'!AQ102,"=1",SmtRes!AD96:'SmtRes'!AD102)*Source!I57, 2)+ROUND(SUMIF(SmtRes!AQ96:'SmtRes'!AQ102,"=1",SmtRes!AC96:'SmtRes'!AC102)*Source!I57, 2))), 2)</f>
        <v>734.33</v>
      </c>
      <c r="AE410">
        <f>ROUND((Source!AU57/100)*((ROUND(SUMIF(SmtRes!AQ96:'SmtRes'!AQ102,"=1",SmtRes!AD96:'SmtRes'!AD102)*Source!I57, 2)+ROUND(SUMIF(SmtRes!AQ96:'SmtRes'!AQ102,"=1",SmtRes!AC96:'SmtRes'!AC102)*Source!I57, 2))), 2)</f>
        <v>362.67</v>
      </c>
      <c r="AN410" s="35">
        <f>L394+L396+L402+L408+L409+L397</f>
        <v>86014.3</v>
      </c>
      <c r="AO410" s="35">
        <f>L396</f>
        <v>191.07999999999996</v>
      </c>
      <c r="AQ410" t="s">
        <v>491</v>
      </c>
      <c r="AR410" s="35">
        <f>L394</f>
        <v>22995.360000000001</v>
      </c>
      <c r="AT410" s="35">
        <f>L397</f>
        <v>98.06</v>
      </c>
      <c r="AV410" t="s">
        <v>491</v>
      </c>
      <c r="AW410" s="35">
        <f>L402</f>
        <v>28886.39</v>
      </c>
      <c r="AZ410">
        <f>Source!X57</f>
        <v>22654.65</v>
      </c>
      <c r="BA410">
        <f>Source!Y57</f>
        <v>11188.76</v>
      </c>
      <c r="CD410">
        <v>1</v>
      </c>
    </row>
    <row r="411" spans="1:83" ht="42.75" x14ac:dyDescent="0.2">
      <c r="A411" s="41" t="s">
        <v>184</v>
      </c>
      <c r="B411" s="30" t="s">
        <v>185</v>
      </c>
      <c r="C411" s="30" t="str">
        <f>Source!G58</f>
        <v>Погрузка в автотранспортное средство: мусор строительный с погрузкой вручную</v>
      </c>
      <c r="D411" s="31" t="str">
        <f>Source!H58</f>
        <v>1т груза</v>
      </c>
      <c r="E411" s="32">
        <f>Source!K58</f>
        <v>34.992420000000003</v>
      </c>
      <c r="F411" s="32"/>
      <c r="G411" s="32">
        <f>Source!I58</f>
        <v>34.992420000000003</v>
      </c>
      <c r="H411" s="33"/>
      <c r="I411" s="34"/>
      <c r="J411" s="33">
        <f>Source!AK58</f>
        <v>984.54</v>
      </c>
      <c r="K411" s="34"/>
      <c r="L411" s="33">
        <f>Source!HD58</f>
        <v>34451.440000000002</v>
      </c>
    </row>
    <row r="412" spans="1:83" ht="15" x14ac:dyDescent="0.2">
      <c r="C412" s="93" t="s">
        <v>490</v>
      </c>
      <c r="D412" s="93"/>
      <c r="E412" s="93"/>
      <c r="F412" s="93"/>
      <c r="G412" s="93"/>
      <c r="H412" s="93"/>
      <c r="I412" s="94">
        <f>IF(E411&lt;&gt;0,K412/E411, 0)</f>
        <v>984.54008039455402</v>
      </c>
      <c r="J412" s="94"/>
      <c r="K412" s="94">
        <f>L411</f>
        <v>34451.440000000002</v>
      </c>
      <c r="L412" s="94"/>
      <c r="AD412">
        <f>ROUND((Source!AT58/100)*((ROUND(0*Source!I58, 2)+ROUND(0*Source!I58, 2))), 2)</f>
        <v>0</v>
      </c>
      <c r="AE412">
        <f>ROUND((Source!AU58/100)*((ROUND(0*Source!I58, 2)+ROUND(0*Source!I58, 2))), 2)</f>
        <v>0</v>
      </c>
      <c r="AN412" s="35">
        <f>L411</f>
        <v>34451.440000000002</v>
      </c>
      <c r="AP412">
        <f>0</f>
        <v>0</v>
      </c>
      <c r="AQ412" t="s">
        <v>491</v>
      </c>
      <c r="AS412">
        <f>0</f>
        <v>0</v>
      </c>
      <c r="AU412">
        <f>0</f>
        <v>0</v>
      </c>
      <c r="AV412" t="s">
        <v>491</v>
      </c>
      <c r="AZ412">
        <f>Source!X58</f>
        <v>0</v>
      </c>
      <c r="BA412">
        <f>Source!Y58</f>
        <v>0</v>
      </c>
      <c r="BB412" s="35">
        <f>L411</f>
        <v>34451.440000000002</v>
      </c>
      <c r="CD412">
        <v>1</v>
      </c>
    </row>
    <row r="413" spans="1:83" ht="128.25" x14ac:dyDescent="0.2">
      <c r="A413" s="41" t="s">
        <v>192</v>
      </c>
      <c r="B413" s="30" t="s">
        <v>193</v>
      </c>
      <c r="C413" s="30" t="str">
        <f>Source!G59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v>
      </c>
      <c r="D413" s="31" t="str">
        <f>Source!H59</f>
        <v>1т груза</v>
      </c>
      <c r="E413" s="32">
        <f>Source!K59</f>
        <v>34.992420000000003</v>
      </c>
      <c r="F413" s="32"/>
      <c r="G413" s="32">
        <f>Source!I59</f>
        <v>34.992420000000003</v>
      </c>
      <c r="H413" s="33"/>
      <c r="I413" s="34"/>
      <c r="J413" s="33">
        <f>Source!AK59</f>
        <v>240.53</v>
      </c>
      <c r="K413" s="34"/>
      <c r="L413" s="33">
        <f>Source!HD59</f>
        <v>8416.73</v>
      </c>
    </row>
    <row r="414" spans="1:83" ht="15" x14ac:dyDescent="0.2">
      <c r="C414" s="93" t="s">
        <v>490</v>
      </c>
      <c r="D414" s="93"/>
      <c r="E414" s="93"/>
      <c r="F414" s="93"/>
      <c r="G414" s="93"/>
      <c r="H414" s="93"/>
      <c r="I414" s="94">
        <f>IF(E413&lt;&gt;0,K414/E413, 0)</f>
        <v>240.53009194562705</v>
      </c>
      <c r="J414" s="94"/>
      <c r="K414" s="94">
        <f>L413</f>
        <v>8416.73</v>
      </c>
      <c r="L414" s="94"/>
      <c r="AD414">
        <f>ROUND((Source!AT59/100)*((ROUND(0*Source!I59, 2)+ROUND(0*Source!I59, 2))), 2)</f>
        <v>0</v>
      </c>
      <c r="AE414">
        <f>ROUND((Source!AU59/100)*((ROUND(0*Source!I59, 2)+ROUND(0*Source!I59, 2))), 2)</f>
        <v>0</v>
      </c>
      <c r="AN414" s="35">
        <f>L413</f>
        <v>8416.73</v>
      </c>
      <c r="AP414">
        <f>0</f>
        <v>0</v>
      </c>
      <c r="AQ414" t="s">
        <v>491</v>
      </c>
      <c r="AS414">
        <f>0</f>
        <v>0</v>
      </c>
      <c r="AU414">
        <f>0</f>
        <v>0</v>
      </c>
      <c r="AV414" t="s">
        <v>491</v>
      </c>
      <c r="AZ414">
        <f>Source!X59</f>
        <v>0</v>
      </c>
      <c r="BA414">
        <f>Source!Y59</f>
        <v>0</v>
      </c>
      <c r="BB414" s="35">
        <f>L413</f>
        <v>8416.73</v>
      </c>
      <c r="CD414">
        <v>1</v>
      </c>
    </row>
    <row r="416" spans="1:83" ht="15" x14ac:dyDescent="0.2">
      <c r="A416" s="46"/>
      <c r="B416" s="47"/>
      <c r="C416" s="95" t="s">
        <v>554</v>
      </c>
      <c r="D416" s="95"/>
      <c r="E416" s="95"/>
      <c r="F416" s="95"/>
      <c r="G416" s="95"/>
      <c r="H416" s="95"/>
      <c r="I416" s="48"/>
      <c r="J416" s="46"/>
      <c r="K416" s="49"/>
      <c r="L416" s="48"/>
    </row>
    <row r="418" spans="1:12" ht="15" x14ac:dyDescent="0.2">
      <c r="A418" s="43"/>
      <c r="B418" s="44"/>
      <c r="C418" s="92" t="s">
        <v>555</v>
      </c>
      <c r="D418" s="92"/>
      <c r="E418" s="92"/>
      <c r="F418" s="92"/>
      <c r="G418" s="92"/>
      <c r="H418" s="92"/>
      <c r="I418" s="29"/>
      <c r="J418" s="43"/>
      <c r="K418" s="45"/>
      <c r="L418" s="29">
        <f>L420+L435+L436</f>
        <v>3718382.7</v>
      </c>
    </row>
    <row r="419" spans="1:12" ht="14.25" x14ac:dyDescent="0.2">
      <c r="A419" s="38"/>
      <c r="B419" s="42"/>
      <c r="C419" s="89" t="s">
        <v>556</v>
      </c>
      <c r="D419" s="87"/>
      <c r="E419" s="87"/>
      <c r="F419" s="87"/>
      <c r="G419" s="87"/>
      <c r="H419" s="87"/>
      <c r="I419" s="26"/>
      <c r="J419" s="38"/>
      <c r="K419" s="24"/>
      <c r="L419" s="26"/>
    </row>
    <row r="420" spans="1:12" ht="14.25" x14ac:dyDescent="0.2">
      <c r="A420" s="38"/>
      <c r="B420" s="42"/>
      <c r="C420" s="87" t="s">
        <v>557</v>
      </c>
      <c r="D420" s="87"/>
      <c r="E420" s="87"/>
      <c r="F420" s="87"/>
      <c r="G420" s="87"/>
      <c r="H420" s="87"/>
      <c r="I420" s="26"/>
      <c r="J420" s="38"/>
      <c r="K420" s="24"/>
      <c r="L420" s="26">
        <f>L422+L423+L429+L433</f>
        <v>2455773.21</v>
      </c>
    </row>
    <row r="421" spans="1:12" ht="14.25" x14ac:dyDescent="0.2">
      <c r="A421" s="38"/>
      <c r="B421" s="42"/>
      <c r="C421" s="89" t="s">
        <v>556</v>
      </c>
      <c r="D421" s="87"/>
      <c r="E421" s="87"/>
      <c r="F421" s="87"/>
      <c r="G421" s="87"/>
      <c r="H421" s="87"/>
      <c r="I421" s="26"/>
      <c r="J421" s="38"/>
      <c r="K421" s="24"/>
      <c r="L421" s="26"/>
    </row>
    <row r="422" spans="1:12" ht="14.25" x14ac:dyDescent="0.2">
      <c r="A422" s="38"/>
      <c r="B422" s="42"/>
      <c r="C422" s="87" t="s">
        <v>558</v>
      </c>
      <c r="D422" s="87"/>
      <c r="E422" s="87"/>
      <c r="F422" s="87"/>
      <c r="G422" s="87"/>
      <c r="H422" s="87"/>
      <c r="I422" s="26"/>
      <c r="J422" s="38"/>
      <c r="K422" s="24"/>
      <c r="L422" s="26">
        <f>SUMIF(CD52:CD414, 1, AR52:AR414)</f>
        <v>771065.39</v>
      </c>
    </row>
    <row r="423" spans="1:12" ht="14.25" hidden="1" x14ac:dyDescent="0.2">
      <c r="A423" s="38"/>
      <c r="B423" s="42"/>
      <c r="C423" s="87" t="s">
        <v>559</v>
      </c>
      <c r="D423" s="87"/>
      <c r="E423" s="87"/>
      <c r="F423" s="87"/>
      <c r="G423" s="87"/>
      <c r="H423" s="87"/>
      <c r="I423" s="26"/>
      <c r="J423" s="38"/>
      <c r="K423" s="24"/>
      <c r="L423" s="26">
        <f>L425+L428+L427</f>
        <v>262893.49</v>
      </c>
    </row>
    <row r="424" spans="1:12" ht="14.25" hidden="1" x14ac:dyDescent="0.2">
      <c r="A424" s="38"/>
      <c r="B424" s="42"/>
      <c r="C424" s="89" t="s">
        <v>560</v>
      </c>
      <c r="D424" s="87"/>
      <c r="E424" s="87"/>
      <c r="F424" s="87"/>
      <c r="G424" s="87"/>
      <c r="H424" s="87"/>
      <c r="I424" s="26"/>
      <c r="J424" s="38"/>
      <c r="K424" s="24"/>
      <c r="L424" s="26"/>
    </row>
    <row r="425" spans="1:12" ht="14.25" x14ac:dyDescent="0.2">
      <c r="A425" s="38"/>
      <c r="B425" s="42"/>
      <c r="C425" s="87" t="s">
        <v>559</v>
      </c>
      <c r="D425" s="87"/>
      <c r="E425" s="87"/>
      <c r="F425" s="87"/>
      <c r="G425" s="87"/>
      <c r="H425" s="87"/>
      <c r="I425" s="26"/>
      <c r="J425" s="38"/>
      <c r="K425" s="24"/>
      <c r="L425" s="26">
        <f>SUMIF(CD52:CD414, 1, AO52:AO414)</f>
        <v>196393.94000000003</v>
      </c>
    </row>
    <row r="426" spans="1:12" ht="14.25" hidden="1" x14ac:dyDescent="0.2">
      <c r="A426" s="38"/>
      <c r="B426" s="42"/>
      <c r="C426" s="89" t="s">
        <v>561</v>
      </c>
      <c r="D426" s="87"/>
      <c r="E426" s="87"/>
      <c r="F426" s="87"/>
      <c r="G426" s="87"/>
      <c r="H426" s="87"/>
      <c r="I426" s="26"/>
      <c r="J426" s="38"/>
      <c r="K426" s="24"/>
      <c r="L426" s="26"/>
    </row>
    <row r="427" spans="1:12" ht="14.25" x14ac:dyDescent="0.2">
      <c r="A427" s="38"/>
      <c r="B427" s="42"/>
      <c r="C427" s="87" t="s">
        <v>570</v>
      </c>
      <c r="D427" s="87"/>
      <c r="E427" s="87"/>
      <c r="F427" s="87"/>
      <c r="G427" s="87"/>
      <c r="H427" s="87"/>
      <c r="I427" s="26"/>
      <c r="J427" s="38"/>
      <c r="K427" s="24"/>
      <c r="L427" s="26">
        <f>SUMIF(CD52:CD414, 1, AT52:AT414)</f>
        <v>66499.549999999988</v>
      </c>
    </row>
    <row r="428" spans="1:12" ht="14.25" hidden="1" x14ac:dyDescent="0.2">
      <c r="A428" s="38"/>
      <c r="B428" s="42"/>
      <c r="C428" s="87" t="s">
        <v>562</v>
      </c>
      <c r="D428" s="87"/>
      <c r="E428" s="87"/>
      <c r="F428" s="87"/>
      <c r="G428" s="87"/>
      <c r="H428" s="87"/>
      <c r="I428" s="26"/>
      <c r="J428" s="38"/>
      <c r="K428" s="24"/>
      <c r="L428" s="26">
        <f>SUMIF(CD52:CD414, 1, AV52:AV414)</f>
        <v>0</v>
      </c>
    </row>
    <row r="429" spans="1:12" ht="14.25" x14ac:dyDescent="0.2">
      <c r="A429" s="38"/>
      <c r="B429" s="42"/>
      <c r="C429" s="87" t="s">
        <v>563</v>
      </c>
      <c r="D429" s="87"/>
      <c r="E429" s="87"/>
      <c r="F429" s="87"/>
      <c r="G429" s="87"/>
      <c r="H429" s="87"/>
      <c r="I429" s="26"/>
      <c r="J429" s="38"/>
      <c r="K429" s="24"/>
      <c r="L429" s="26">
        <f>L431+L432</f>
        <v>1378946.16</v>
      </c>
    </row>
    <row r="430" spans="1:12" ht="14.25" x14ac:dyDescent="0.2">
      <c r="A430" s="38"/>
      <c r="B430" s="42"/>
      <c r="C430" s="89" t="s">
        <v>560</v>
      </c>
      <c r="D430" s="87"/>
      <c r="E430" s="87"/>
      <c r="F430" s="87"/>
      <c r="G430" s="87"/>
      <c r="H430" s="87"/>
      <c r="I430" s="26"/>
      <c r="J430" s="38"/>
      <c r="K430" s="24"/>
      <c r="L430" s="26"/>
    </row>
    <row r="431" spans="1:12" ht="14.25" x14ac:dyDescent="0.2">
      <c r="A431" s="38"/>
      <c r="B431" s="42"/>
      <c r="C431" s="87" t="s">
        <v>564</v>
      </c>
      <c r="D431" s="87"/>
      <c r="E431" s="87"/>
      <c r="F431" s="87"/>
      <c r="G431" s="87"/>
      <c r="H431" s="87"/>
      <c r="I431" s="26"/>
      <c r="J431" s="38"/>
      <c r="K431" s="24"/>
      <c r="L431" s="26">
        <f>SUMIF(CD52:CD414, 1, AW52:AW414)-SUMIF(CD52:CD414, 1, BK52:BK414)</f>
        <v>1378946.16</v>
      </c>
    </row>
    <row r="432" spans="1:12" ht="14.25" hidden="1" x14ac:dyDescent="0.2">
      <c r="A432" s="38"/>
      <c r="B432" s="42"/>
      <c r="C432" s="87" t="s">
        <v>565</v>
      </c>
      <c r="D432" s="87"/>
      <c r="E432" s="87"/>
      <c r="F432" s="87"/>
      <c r="G432" s="87"/>
      <c r="H432" s="87"/>
      <c r="I432" s="26"/>
      <c r="J432" s="38"/>
      <c r="K432" s="24"/>
      <c r="L432" s="26">
        <f>SUMIF(CD52:CD414, 1, BC52:BC414)</f>
        <v>0</v>
      </c>
    </row>
    <row r="433" spans="1:12" ht="14.25" x14ac:dyDescent="0.2">
      <c r="A433" s="38"/>
      <c r="B433" s="42"/>
      <c r="C433" s="87" t="s">
        <v>566</v>
      </c>
      <c r="D433" s="87"/>
      <c r="E433" s="87"/>
      <c r="F433" s="87"/>
      <c r="G433" s="87"/>
      <c r="H433" s="87"/>
      <c r="I433" s="26"/>
      <c r="J433" s="38"/>
      <c r="K433" s="24"/>
      <c r="L433" s="26">
        <f>SUMIF(CD52:CD414, 1, BB52:BB414)</f>
        <v>42868.17</v>
      </c>
    </row>
    <row r="434" spans="1:12" ht="14.25" x14ac:dyDescent="0.2">
      <c r="A434" s="38"/>
      <c r="B434" s="42"/>
      <c r="C434" s="87" t="s">
        <v>567</v>
      </c>
      <c r="D434" s="87"/>
      <c r="E434" s="87"/>
      <c r="F434" s="87"/>
      <c r="G434" s="87"/>
      <c r="H434" s="87"/>
      <c r="I434" s="26"/>
      <c r="J434" s="38"/>
      <c r="K434" s="24"/>
      <c r="L434" s="26">
        <f>SUMIF(CD52:CD414, 1, AR52:AR414)+SUMIF(CD52:CD414, 1, AT52:AT414)+SUMIF(CD52:CD414, 1, AV52:AV414)</f>
        <v>837564.94</v>
      </c>
    </row>
    <row r="435" spans="1:12" ht="14.25" x14ac:dyDescent="0.2">
      <c r="A435" s="38"/>
      <c r="B435" s="42"/>
      <c r="C435" s="87" t="s">
        <v>568</v>
      </c>
      <c r="D435" s="87"/>
      <c r="E435" s="87"/>
      <c r="F435" s="87"/>
      <c r="G435" s="87"/>
      <c r="H435" s="87"/>
      <c r="I435" s="26"/>
      <c r="J435" s="38"/>
      <c r="K435" s="24"/>
      <c r="L435" s="26">
        <f>SUMIF(CD52:CD414, 1, AZ52:AZ414)</f>
        <v>837034.22000000009</v>
      </c>
    </row>
    <row r="436" spans="1:12" ht="14.25" x14ac:dyDescent="0.2">
      <c r="A436" s="38"/>
      <c r="B436" s="42"/>
      <c r="C436" s="87" t="s">
        <v>569</v>
      </c>
      <c r="D436" s="87"/>
      <c r="E436" s="87"/>
      <c r="F436" s="87"/>
      <c r="G436" s="87"/>
      <c r="H436" s="87"/>
      <c r="I436" s="26"/>
      <c r="J436" s="38"/>
      <c r="K436" s="24"/>
      <c r="L436" s="26">
        <f>SUMIF(CD52:CD414, 1, BA52:BA414)</f>
        <v>425575.27</v>
      </c>
    </row>
    <row r="437" spans="1:12" hidden="1" x14ac:dyDescent="0.2"/>
    <row r="438" spans="1:12" ht="15" hidden="1" x14ac:dyDescent="0.2">
      <c r="A438" s="43"/>
      <c r="B438" s="44"/>
      <c r="C438" s="92" t="s">
        <v>571</v>
      </c>
      <c r="D438" s="92"/>
      <c r="E438" s="92"/>
      <c r="F438" s="92"/>
      <c r="G438" s="92"/>
      <c r="H438" s="92"/>
      <c r="I438" s="29"/>
      <c r="J438" s="43"/>
      <c r="K438" s="45"/>
      <c r="L438" s="29">
        <f>L440+L455+L456</f>
        <v>0</v>
      </c>
    </row>
    <row r="439" spans="1:12" ht="14.25" hidden="1" x14ac:dyDescent="0.2">
      <c r="A439" s="38"/>
      <c r="B439" s="42"/>
      <c r="C439" s="89" t="s">
        <v>556</v>
      </c>
      <c r="D439" s="87"/>
      <c r="E439" s="87"/>
      <c r="F439" s="87"/>
      <c r="G439" s="87"/>
      <c r="H439" s="87"/>
      <c r="I439" s="26"/>
      <c r="J439" s="38"/>
      <c r="K439" s="24"/>
      <c r="L439" s="26"/>
    </row>
    <row r="440" spans="1:12" ht="14.25" hidden="1" x14ac:dyDescent="0.2">
      <c r="A440" s="38"/>
      <c r="B440" s="42"/>
      <c r="C440" s="87" t="s">
        <v>557</v>
      </c>
      <c r="D440" s="87"/>
      <c r="E440" s="87"/>
      <c r="F440" s="87"/>
      <c r="G440" s="87"/>
      <c r="H440" s="87"/>
      <c r="I440" s="26"/>
      <c r="J440" s="38"/>
      <c r="K440" s="24"/>
      <c r="L440" s="26">
        <f>L442+L443+L449+L453</f>
        <v>0</v>
      </c>
    </row>
    <row r="441" spans="1:12" ht="14.25" hidden="1" x14ac:dyDescent="0.2">
      <c r="A441" s="38"/>
      <c r="B441" s="42"/>
      <c r="C441" s="89" t="s">
        <v>556</v>
      </c>
      <c r="D441" s="87"/>
      <c r="E441" s="87"/>
      <c r="F441" s="87"/>
      <c r="G441" s="87"/>
      <c r="H441" s="87"/>
      <c r="I441" s="26"/>
      <c r="J441" s="38"/>
      <c r="K441" s="24"/>
      <c r="L441" s="26"/>
    </row>
    <row r="442" spans="1:12" ht="14.25" hidden="1" x14ac:dyDescent="0.2">
      <c r="A442" s="38"/>
      <c r="B442" s="42"/>
      <c r="C442" s="87" t="s">
        <v>558</v>
      </c>
      <c r="D442" s="87"/>
      <c r="E442" s="87"/>
      <c r="F442" s="87"/>
      <c r="G442" s="87"/>
      <c r="H442" s="87"/>
      <c r="I442" s="26"/>
      <c r="J442" s="38"/>
      <c r="K442" s="24"/>
      <c r="L442" s="26">
        <f>SUMIF(CD52:CD436, 2, AR52:AR436)</f>
        <v>0</v>
      </c>
    </row>
    <row r="443" spans="1:12" ht="14.25" hidden="1" x14ac:dyDescent="0.2">
      <c r="A443" s="38"/>
      <c r="B443" s="42"/>
      <c r="C443" s="87" t="s">
        <v>559</v>
      </c>
      <c r="D443" s="87"/>
      <c r="E443" s="87"/>
      <c r="F443" s="87"/>
      <c r="G443" s="87"/>
      <c r="H443" s="87"/>
      <c r="I443" s="26"/>
      <c r="J443" s="38"/>
      <c r="K443" s="24"/>
      <c r="L443" s="26">
        <f>L445+L448+L447</f>
        <v>0</v>
      </c>
    </row>
    <row r="444" spans="1:12" ht="14.25" hidden="1" x14ac:dyDescent="0.2">
      <c r="A444" s="38"/>
      <c r="B444" s="42"/>
      <c r="C444" s="89" t="s">
        <v>560</v>
      </c>
      <c r="D444" s="87"/>
      <c r="E444" s="87"/>
      <c r="F444" s="87"/>
      <c r="G444" s="87"/>
      <c r="H444" s="87"/>
      <c r="I444" s="26"/>
      <c r="J444" s="38"/>
      <c r="K444" s="24"/>
      <c r="L444" s="26"/>
    </row>
    <row r="445" spans="1:12" ht="14.25" hidden="1" x14ac:dyDescent="0.2">
      <c r="A445" s="38"/>
      <c r="B445" s="42"/>
      <c r="C445" s="87" t="s">
        <v>559</v>
      </c>
      <c r="D445" s="87"/>
      <c r="E445" s="87"/>
      <c r="F445" s="87"/>
      <c r="G445" s="87"/>
      <c r="H445" s="87"/>
      <c r="I445" s="26"/>
      <c r="J445" s="38"/>
      <c r="K445" s="24"/>
      <c r="L445" s="26">
        <f>SUMIF(CD52:CD436, 2, AO52:AO436)</f>
        <v>0</v>
      </c>
    </row>
    <row r="446" spans="1:12" ht="14.25" hidden="1" x14ac:dyDescent="0.2">
      <c r="A446" s="38"/>
      <c r="B446" s="42"/>
      <c r="C446" s="89" t="s">
        <v>561</v>
      </c>
      <c r="D446" s="87"/>
      <c r="E446" s="87"/>
      <c r="F446" s="87"/>
      <c r="G446" s="87"/>
      <c r="H446" s="87"/>
      <c r="I446" s="26"/>
      <c r="J446" s="38"/>
      <c r="K446" s="24"/>
      <c r="L446" s="26"/>
    </row>
    <row r="447" spans="1:12" ht="14.25" hidden="1" x14ac:dyDescent="0.2">
      <c r="A447" s="38"/>
      <c r="B447" s="42"/>
      <c r="C447" s="87" t="s">
        <v>570</v>
      </c>
      <c r="D447" s="87"/>
      <c r="E447" s="87"/>
      <c r="F447" s="87"/>
      <c r="G447" s="87"/>
      <c r="H447" s="87"/>
      <c r="I447" s="26"/>
      <c r="J447" s="38"/>
      <c r="K447" s="24"/>
      <c r="L447" s="26">
        <f>SUMIF(CD52:CD436, 2, AT52:AT436)</f>
        <v>0</v>
      </c>
    </row>
    <row r="448" spans="1:12" ht="14.25" hidden="1" x14ac:dyDescent="0.2">
      <c r="A448" s="38"/>
      <c r="B448" s="42"/>
      <c r="C448" s="87" t="s">
        <v>562</v>
      </c>
      <c r="D448" s="87"/>
      <c r="E448" s="87"/>
      <c r="F448" s="87"/>
      <c r="G448" s="87"/>
      <c r="H448" s="87"/>
      <c r="I448" s="26"/>
      <c r="J448" s="38"/>
      <c r="K448" s="24"/>
      <c r="L448" s="26">
        <f>SUMIF(CD52:CD436, 2, AV52:AV436)</f>
        <v>0</v>
      </c>
    </row>
    <row r="449" spans="1:12" ht="14.25" hidden="1" x14ac:dyDescent="0.2">
      <c r="A449" s="38"/>
      <c r="B449" s="42"/>
      <c r="C449" s="87" t="s">
        <v>563</v>
      </c>
      <c r="D449" s="87"/>
      <c r="E449" s="87"/>
      <c r="F449" s="87"/>
      <c r="G449" s="87"/>
      <c r="H449" s="87"/>
      <c r="I449" s="26"/>
      <c r="J449" s="38"/>
      <c r="K449" s="24"/>
      <c r="L449" s="26">
        <f>L451+L452</f>
        <v>0</v>
      </c>
    </row>
    <row r="450" spans="1:12" ht="14.25" hidden="1" x14ac:dyDescent="0.2">
      <c r="A450" s="38"/>
      <c r="B450" s="42"/>
      <c r="C450" s="89" t="s">
        <v>560</v>
      </c>
      <c r="D450" s="87"/>
      <c r="E450" s="87"/>
      <c r="F450" s="87"/>
      <c r="G450" s="87"/>
      <c r="H450" s="87"/>
      <c r="I450" s="26"/>
      <c r="J450" s="38"/>
      <c r="K450" s="24"/>
      <c r="L450" s="26"/>
    </row>
    <row r="451" spans="1:12" ht="14.25" hidden="1" x14ac:dyDescent="0.2">
      <c r="A451" s="38"/>
      <c r="B451" s="42"/>
      <c r="C451" s="87" t="s">
        <v>564</v>
      </c>
      <c r="D451" s="87"/>
      <c r="E451" s="87"/>
      <c r="F451" s="87"/>
      <c r="G451" s="87"/>
      <c r="H451" s="87"/>
      <c r="I451" s="26"/>
      <c r="J451" s="38"/>
      <c r="K451" s="24"/>
      <c r="L451" s="26">
        <f>SUMIF(CD52:CD436, 2, AW52:AW436)-SUMIF(CD52:CD436, 2, BK52:BK436)</f>
        <v>0</v>
      </c>
    </row>
    <row r="452" spans="1:12" ht="14.25" hidden="1" x14ac:dyDescent="0.2">
      <c r="A452" s="38"/>
      <c r="B452" s="42"/>
      <c r="C452" s="87" t="s">
        <v>565</v>
      </c>
      <c r="D452" s="87"/>
      <c r="E452" s="87"/>
      <c r="F452" s="87"/>
      <c r="G452" s="87"/>
      <c r="H452" s="87"/>
      <c r="I452" s="26"/>
      <c r="J452" s="38"/>
      <c r="K452" s="24"/>
      <c r="L452" s="26">
        <f>SUMIF(CD52:CD436, 2, BC52:BC436)</f>
        <v>0</v>
      </c>
    </row>
    <row r="453" spans="1:12" ht="14.25" hidden="1" x14ac:dyDescent="0.2">
      <c r="A453" s="38"/>
      <c r="B453" s="42"/>
      <c r="C453" s="87" t="s">
        <v>566</v>
      </c>
      <c r="D453" s="87"/>
      <c r="E453" s="87"/>
      <c r="F453" s="87"/>
      <c r="G453" s="87"/>
      <c r="H453" s="87"/>
      <c r="I453" s="26"/>
      <c r="J453" s="38"/>
      <c r="K453" s="24"/>
      <c r="L453" s="26">
        <f>SUMIF(CD52:CD436, 2, BB52:BB436)</f>
        <v>0</v>
      </c>
    </row>
    <row r="454" spans="1:12" ht="14.25" hidden="1" x14ac:dyDescent="0.2">
      <c r="A454" s="38"/>
      <c r="B454" s="42"/>
      <c r="C454" s="87" t="s">
        <v>567</v>
      </c>
      <c r="D454" s="87"/>
      <c r="E454" s="87"/>
      <c r="F454" s="87"/>
      <c r="G454" s="87"/>
      <c r="H454" s="87"/>
      <c r="I454" s="26"/>
      <c r="J454" s="38"/>
      <c r="K454" s="24"/>
      <c r="L454" s="26">
        <f>SUMIF(CD52:CD436, 2, AR52:AR436)+SUMIF(CD52:CD436, 2, AT52:AT436)+SUMIF(CD52:CD436, 2, AV52:AV436)</f>
        <v>0</v>
      </c>
    </row>
    <row r="455" spans="1:12" ht="14.25" hidden="1" x14ac:dyDescent="0.2">
      <c r="A455" s="38"/>
      <c r="B455" s="42"/>
      <c r="C455" s="87" t="s">
        <v>568</v>
      </c>
      <c r="D455" s="87"/>
      <c r="E455" s="87"/>
      <c r="F455" s="87"/>
      <c r="G455" s="87"/>
      <c r="H455" s="87"/>
      <c r="I455" s="26"/>
      <c r="J455" s="38"/>
      <c r="K455" s="24"/>
      <c r="L455" s="26">
        <f>SUMIF(CD52:CD436, 2, AZ52:AZ436)</f>
        <v>0</v>
      </c>
    </row>
    <row r="456" spans="1:12" ht="14.25" hidden="1" x14ac:dyDescent="0.2">
      <c r="A456" s="38"/>
      <c r="B456" s="42"/>
      <c r="C456" s="87" t="s">
        <v>569</v>
      </c>
      <c r="D456" s="87"/>
      <c r="E456" s="87"/>
      <c r="F456" s="87"/>
      <c r="G456" s="87"/>
      <c r="H456" s="87"/>
      <c r="I456" s="26"/>
      <c r="J456" s="38"/>
      <c r="K456" s="24"/>
      <c r="L456" s="26">
        <f>SUMIF(CD52:CD436, 2, BA52:BA436)</f>
        <v>0</v>
      </c>
    </row>
    <row r="457" spans="1:12" hidden="1" x14ac:dyDescent="0.2"/>
    <row r="458" spans="1:12" ht="15" hidden="1" x14ac:dyDescent="0.2">
      <c r="A458" s="43"/>
      <c r="B458" s="44"/>
      <c r="C458" s="92" t="s">
        <v>572</v>
      </c>
      <c r="D458" s="92"/>
      <c r="E458" s="92"/>
      <c r="F458" s="92"/>
      <c r="G458" s="92"/>
      <c r="H458" s="92"/>
      <c r="I458" s="29"/>
      <c r="J458" s="43"/>
      <c r="K458" s="45"/>
      <c r="L458" s="29">
        <f>L460+L461</f>
        <v>0</v>
      </c>
    </row>
    <row r="459" spans="1:12" ht="14.25" hidden="1" x14ac:dyDescent="0.2">
      <c r="A459" s="38"/>
      <c r="B459" s="42"/>
      <c r="C459" s="89" t="s">
        <v>556</v>
      </c>
      <c r="D459" s="87"/>
      <c r="E459" s="87"/>
      <c r="F459" s="87"/>
      <c r="G459" s="87"/>
      <c r="H459" s="87"/>
      <c r="I459" s="26"/>
      <c r="J459" s="38"/>
      <c r="K459" s="24"/>
      <c r="L459" s="26"/>
    </row>
    <row r="460" spans="1:12" ht="14.25" hidden="1" x14ac:dyDescent="0.2">
      <c r="A460" s="38"/>
      <c r="B460" s="42"/>
      <c r="C460" s="87" t="s">
        <v>573</v>
      </c>
      <c r="D460" s="87"/>
      <c r="E460" s="87"/>
      <c r="F460" s="87"/>
      <c r="G460" s="87"/>
      <c r="H460" s="87"/>
      <c r="I460" s="26"/>
      <c r="J460" s="38"/>
      <c r="K460" s="24"/>
      <c r="L460" s="26">
        <f>SUMIF(CD52:CD456, 3, BK52:BK456)</f>
        <v>0</v>
      </c>
    </row>
    <row r="461" spans="1:12" ht="14.25" hidden="1" x14ac:dyDescent="0.2">
      <c r="A461" s="38"/>
      <c r="B461" s="42"/>
      <c r="C461" s="87" t="s">
        <v>574</v>
      </c>
      <c r="D461" s="87"/>
      <c r="E461" s="87"/>
      <c r="F461" s="87"/>
      <c r="G461" s="87"/>
      <c r="H461" s="87"/>
      <c r="I461" s="26"/>
      <c r="J461" s="38"/>
      <c r="K461" s="24"/>
      <c r="L461" s="26">
        <f>SUMIF(CD52:CD456, 3, BD52:BD456)</f>
        <v>0</v>
      </c>
    </row>
    <row r="462" spans="1:12" hidden="1" x14ac:dyDescent="0.2"/>
    <row r="463" spans="1:12" ht="15" hidden="1" x14ac:dyDescent="0.2">
      <c r="A463" s="43"/>
      <c r="B463" s="44"/>
      <c r="C463" s="92" t="s">
        <v>575</v>
      </c>
      <c r="D463" s="92"/>
      <c r="E463" s="92"/>
      <c r="F463" s="92"/>
      <c r="G463" s="92"/>
      <c r="H463" s="92"/>
      <c r="I463" s="29"/>
      <c r="J463" s="43"/>
      <c r="K463" s="45"/>
      <c r="L463" s="29">
        <f>L471+L486+L487+L465+L466+L467+L468</f>
        <v>0</v>
      </c>
    </row>
    <row r="464" spans="1:12" ht="14.25" hidden="1" x14ac:dyDescent="0.2">
      <c r="A464" s="38"/>
      <c r="B464" s="42"/>
      <c r="C464" s="89" t="s">
        <v>556</v>
      </c>
      <c r="D464" s="87"/>
      <c r="E464" s="87"/>
      <c r="F464" s="87"/>
      <c r="G464" s="87"/>
      <c r="H464" s="87"/>
      <c r="I464" s="26"/>
      <c r="J464" s="38"/>
      <c r="K464" s="24"/>
      <c r="L464" s="26"/>
    </row>
    <row r="465" spans="1:12" ht="14.25" hidden="1" x14ac:dyDescent="0.2">
      <c r="A465" s="38"/>
      <c r="B465" s="42"/>
      <c r="C465" s="87" t="s">
        <v>576</v>
      </c>
      <c r="D465" s="87"/>
      <c r="E465" s="87"/>
      <c r="F465" s="87"/>
      <c r="G465" s="87"/>
      <c r="H465" s="87"/>
      <c r="I465" s="26"/>
      <c r="J465" s="38"/>
      <c r="K465" s="24"/>
      <c r="L465" s="26"/>
    </row>
    <row r="466" spans="1:12" ht="14.25" hidden="1" x14ac:dyDescent="0.2">
      <c r="A466" s="38"/>
      <c r="B466" s="42"/>
      <c r="C466" s="87" t="s">
        <v>576</v>
      </c>
      <c r="D466" s="87"/>
      <c r="E466" s="87"/>
      <c r="F466" s="87"/>
      <c r="G466" s="87"/>
      <c r="H466" s="87"/>
      <c r="I466" s="26"/>
      <c r="J466" s="38"/>
      <c r="K466" s="24"/>
      <c r="L466" s="26">
        <f>SUM(BQ52:BQ461)</f>
        <v>0</v>
      </c>
    </row>
    <row r="467" spans="1:12" ht="14.25" hidden="1" x14ac:dyDescent="0.2">
      <c r="A467" s="38"/>
      <c r="B467" s="42"/>
      <c r="C467" s="87" t="s">
        <v>577</v>
      </c>
      <c r="D467" s="87"/>
      <c r="E467" s="87"/>
      <c r="F467" s="87"/>
      <c r="G467" s="87"/>
      <c r="H467" s="87"/>
      <c r="I467" s="26"/>
      <c r="J467" s="38"/>
      <c r="K467" s="24"/>
      <c r="L467" s="26">
        <f>SUMIF(CD52:CD461, 4, BB52:BB461)+SUMIF(CD52:CD461, 4, BC52:BC461)+SUMIF(CD52:CD461, 4, BD52:BD461)</f>
        <v>0</v>
      </c>
    </row>
    <row r="468" spans="1:12" ht="14.25" hidden="1" x14ac:dyDescent="0.2">
      <c r="A468" s="38"/>
      <c r="B468" s="42"/>
      <c r="C468" s="87" t="s">
        <v>578</v>
      </c>
      <c r="D468" s="87"/>
      <c r="E468" s="87"/>
      <c r="F468" s="87"/>
      <c r="G468" s="87"/>
      <c r="H468" s="87"/>
      <c r="I468" s="26"/>
      <c r="J468" s="38"/>
      <c r="K468" s="24"/>
      <c r="L468" s="26">
        <f>SUM(BO52:BO461)</f>
        <v>0</v>
      </c>
    </row>
    <row r="469" spans="1:12" ht="14.25" hidden="1" x14ac:dyDescent="0.2">
      <c r="A469" s="38"/>
      <c r="B469" s="42"/>
      <c r="C469" s="87" t="s">
        <v>579</v>
      </c>
      <c r="D469" s="87"/>
      <c r="E469" s="87"/>
      <c r="F469" s="87"/>
      <c r="G469" s="87"/>
      <c r="H469" s="87"/>
      <c r="I469" s="26"/>
      <c r="J469" s="38"/>
      <c r="K469" s="24"/>
      <c r="L469" s="26">
        <f>L471+L486+L487</f>
        <v>0</v>
      </c>
    </row>
    <row r="470" spans="1:12" ht="14.25" hidden="1" x14ac:dyDescent="0.2">
      <c r="A470" s="38"/>
      <c r="B470" s="42"/>
      <c r="C470" s="89" t="s">
        <v>556</v>
      </c>
      <c r="D470" s="87"/>
      <c r="E470" s="87"/>
      <c r="F470" s="87"/>
      <c r="G470" s="87"/>
      <c r="H470" s="87"/>
      <c r="I470" s="26"/>
      <c r="J470" s="38"/>
      <c r="K470" s="24"/>
      <c r="L470" s="26"/>
    </row>
    <row r="471" spans="1:12" ht="14.25" hidden="1" x14ac:dyDescent="0.2">
      <c r="A471" s="38"/>
      <c r="B471" s="42"/>
      <c r="C471" s="87" t="s">
        <v>557</v>
      </c>
      <c r="D471" s="87"/>
      <c r="E471" s="87"/>
      <c r="F471" s="87"/>
      <c r="G471" s="87"/>
      <c r="H471" s="87"/>
      <c r="I471" s="26"/>
      <c r="J471" s="38"/>
      <c r="K471" s="24"/>
      <c r="L471" s="26">
        <f>L473+L474+L480+L484</f>
        <v>0</v>
      </c>
    </row>
    <row r="472" spans="1:12" ht="14.25" hidden="1" x14ac:dyDescent="0.2">
      <c r="A472" s="38"/>
      <c r="B472" s="42"/>
      <c r="C472" s="89" t="s">
        <v>556</v>
      </c>
      <c r="D472" s="87"/>
      <c r="E472" s="87"/>
      <c r="F472" s="87"/>
      <c r="G472" s="87"/>
      <c r="H472" s="87"/>
      <c r="I472" s="26"/>
      <c r="J472" s="38"/>
      <c r="K472" s="24"/>
      <c r="L472" s="26"/>
    </row>
    <row r="473" spans="1:12" ht="14.25" hidden="1" x14ac:dyDescent="0.2">
      <c r="A473" s="38"/>
      <c r="B473" s="42"/>
      <c r="C473" s="87" t="s">
        <v>558</v>
      </c>
      <c r="D473" s="87"/>
      <c r="E473" s="87"/>
      <c r="F473" s="87"/>
      <c r="G473" s="87"/>
      <c r="H473" s="87"/>
      <c r="I473" s="26"/>
      <c r="J473" s="38"/>
      <c r="K473" s="24"/>
      <c r="L473" s="26">
        <f>SUMIF(CD52:CD461, 4, AR52:AR461)</f>
        <v>0</v>
      </c>
    </row>
    <row r="474" spans="1:12" ht="14.25" hidden="1" x14ac:dyDescent="0.2">
      <c r="A474" s="38"/>
      <c r="B474" s="42"/>
      <c r="C474" s="87" t="s">
        <v>559</v>
      </c>
      <c r="D474" s="87"/>
      <c r="E474" s="87"/>
      <c r="F474" s="87"/>
      <c r="G474" s="87"/>
      <c r="H474" s="87"/>
      <c r="I474" s="26"/>
      <c r="J474" s="38"/>
      <c r="K474" s="24"/>
      <c r="L474" s="26">
        <f>L476+L479+L478</f>
        <v>0</v>
      </c>
    </row>
    <row r="475" spans="1:12" ht="14.25" hidden="1" x14ac:dyDescent="0.2">
      <c r="A475" s="38"/>
      <c r="B475" s="42"/>
      <c r="C475" s="89" t="s">
        <v>560</v>
      </c>
      <c r="D475" s="87"/>
      <c r="E475" s="87"/>
      <c r="F475" s="87"/>
      <c r="G475" s="87"/>
      <c r="H475" s="87"/>
      <c r="I475" s="26"/>
      <c r="J475" s="38"/>
      <c r="K475" s="24"/>
      <c r="L475" s="26"/>
    </row>
    <row r="476" spans="1:12" ht="14.25" hidden="1" x14ac:dyDescent="0.2">
      <c r="A476" s="38"/>
      <c r="B476" s="42"/>
      <c r="C476" s="87" t="s">
        <v>559</v>
      </c>
      <c r="D476" s="87"/>
      <c r="E476" s="87"/>
      <c r="F476" s="87"/>
      <c r="G476" s="87"/>
      <c r="H476" s="87"/>
      <c r="I476" s="26"/>
      <c r="J476" s="38"/>
      <c r="K476" s="24"/>
      <c r="L476" s="26">
        <f>SUMIF(CD52:CD461, 4, AO52:AO461)</f>
        <v>0</v>
      </c>
    </row>
    <row r="477" spans="1:12" ht="14.25" hidden="1" x14ac:dyDescent="0.2">
      <c r="A477" s="38"/>
      <c r="B477" s="42"/>
      <c r="C477" s="89" t="s">
        <v>561</v>
      </c>
      <c r="D477" s="87"/>
      <c r="E477" s="87"/>
      <c r="F477" s="87"/>
      <c r="G477" s="87"/>
      <c r="H477" s="87"/>
      <c r="I477" s="26"/>
      <c r="J477" s="38"/>
      <c r="K477" s="24"/>
      <c r="L477" s="26"/>
    </row>
    <row r="478" spans="1:12" ht="14.25" hidden="1" x14ac:dyDescent="0.2">
      <c r="A478" s="38"/>
      <c r="B478" s="42"/>
      <c r="C478" s="87" t="s">
        <v>570</v>
      </c>
      <c r="D478" s="87"/>
      <c r="E478" s="87"/>
      <c r="F478" s="87"/>
      <c r="G478" s="87"/>
      <c r="H478" s="87"/>
      <c r="I478" s="26"/>
      <c r="J478" s="38"/>
      <c r="K478" s="24"/>
      <c r="L478" s="26">
        <f>SUMIF(CD52:CD461, 4, AT52:AT461)</f>
        <v>0</v>
      </c>
    </row>
    <row r="479" spans="1:12" ht="14.25" hidden="1" x14ac:dyDescent="0.2">
      <c r="A479" s="38"/>
      <c r="B479" s="42"/>
      <c r="C479" s="87" t="s">
        <v>562</v>
      </c>
      <c r="D479" s="87"/>
      <c r="E479" s="87"/>
      <c r="F479" s="87"/>
      <c r="G479" s="87"/>
      <c r="H479" s="87"/>
      <c r="I479" s="26"/>
      <c r="J479" s="38"/>
      <c r="K479" s="24"/>
      <c r="L479" s="26">
        <f>SUMIF(CD52:CD461, 4, AV52:AV461)</f>
        <v>0</v>
      </c>
    </row>
    <row r="480" spans="1:12" ht="14.25" hidden="1" x14ac:dyDescent="0.2">
      <c r="A480" s="38"/>
      <c r="B480" s="42"/>
      <c r="C480" s="87" t="s">
        <v>563</v>
      </c>
      <c r="D480" s="87"/>
      <c r="E480" s="87"/>
      <c r="F480" s="87"/>
      <c r="G480" s="87"/>
      <c r="H480" s="87"/>
      <c r="I480" s="26"/>
      <c r="J480" s="38"/>
      <c r="K480" s="24"/>
      <c r="L480" s="26">
        <f>L482+L483</f>
        <v>0</v>
      </c>
    </row>
    <row r="481" spans="1:12" ht="14.25" hidden="1" x14ac:dyDescent="0.2">
      <c r="A481" s="38"/>
      <c r="B481" s="42"/>
      <c r="C481" s="89" t="s">
        <v>560</v>
      </c>
      <c r="D481" s="87"/>
      <c r="E481" s="87"/>
      <c r="F481" s="87"/>
      <c r="G481" s="87"/>
      <c r="H481" s="87"/>
      <c r="I481" s="26"/>
      <c r="J481" s="38"/>
      <c r="K481" s="24"/>
      <c r="L481" s="26"/>
    </row>
    <row r="482" spans="1:12" ht="14.25" hidden="1" x14ac:dyDescent="0.2">
      <c r="A482" s="38"/>
      <c r="B482" s="42"/>
      <c r="C482" s="87" t="s">
        <v>564</v>
      </c>
      <c r="D482" s="87"/>
      <c r="E482" s="87"/>
      <c r="F482" s="87"/>
      <c r="G482" s="87"/>
      <c r="H482" s="87"/>
      <c r="I482" s="26"/>
      <c r="J482" s="38"/>
      <c r="K482" s="24"/>
      <c r="L482" s="26">
        <f>SUMIF(CD52:CD461, 4, AW52:AW461)-SUMIF(CD52:CD461, 4, BK52:BK461)</f>
        <v>0</v>
      </c>
    </row>
    <row r="483" spans="1:12" ht="14.25" hidden="1" x14ac:dyDescent="0.2">
      <c r="A483" s="38"/>
      <c r="B483" s="42"/>
      <c r="C483" s="87" t="s">
        <v>565</v>
      </c>
      <c r="D483" s="87"/>
      <c r="E483" s="87"/>
      <c r="F483" s="87"/>
      <c r="G483" s="87"/>
      <c r="H483" s="87"/>
      <c r="I483" s="26"/>
      <c r="J483" s="38"/>
      <c r="K483" s="24"/>
      <c r="L483" s="26">
        <f>SUMIF(CD52:CD461, 4, BC52:BC461)</f>
        <v>0</v>
      </c>
    </row>
    <row r="484" spans="1:12" ht="14.25" hidden="1" x14ac:dyDescent="0.2">
      <c r="A484" s="38"/>
      <c r="B484" s="42"/>
      <c r="C484" s="87" t="s">
        <v>566</v>
      </c>
      <c r="D484" s="87"/>
      <c r="E484" s="87"/>
      <c r="F484" s="87"/>
      <c r="G484" s="87"/>
      <c r="H484" s="87"/>
      <c r="I484" s="26"/>
      <c r="J484" s="38"/>
      <c r="K484" s="24"/>
      <c r="L484" s="26">
        <f>SUMIF(CD52:CD461, 4, BB52:BB461)</f>
        <v>0</v>
      </c>
    </row>
    <row r="485" spans="1:12" ht="14.25" hidden="1" x14ac:dyDescent="0.2">
      <c r="A485" s="38"/>
      <c r="B485" s="42"/>
      <c r="C485" s="87" t="s">
        <v>567</v>
      </c>
      <c r="D485" s="87"/>
      <c r="E485" s="87"/>
      <c r="F485" s="87"/>
      <c r="G485" s="87"/>
      <c r="H485" s="87"/>
      <c r="I485" s="26"/>
      <c r="J485" s="38"/>
      <c r="K485" s="24"/>
      <c r="L485" s="26">
        <f>SUMIF(CD52:CD461, 4, AR52:AR461)+SUMIF(CD52:CD461, 4, AT52:AT461)+SUMIF(CD52:CD461, 4, AV52:AV461)</f>
        <v>0</v>
      </c>
    </row>
    <row r="486" spans="1:12" ht="14.25" hidden="1" x14ac:dyDescent="0.2">
      <c r="A486" s="38"/>
      <c r="B486" s="42"/>
      <c r="C486" s="87" t="s">
        <v>568</v>
      </c>
      <c r="D486" s="87"/>
      <c r="E486" s="87"/>
      <c r="F486" s="87"/>
      <c r="G486" s="87"/>
      <c r="H486" s="87"/>
      <c r="I486" s="26"/>
      <c r="J486" s="38"/>
      <c r="K486" s="24"/>
      <c r="L486" s="26">
        <f>SUMIF(CD52:CD461, 4, AZ52:AZ461)</f>
        <v>0</v>
      </c>
    </row>
    <row r="487" spans="1:12" ht="14.25" hidden="1" x14ac:dyDescent="0.2">
      <c r="A487" s="38"/>
      <c r="B487" s="42"/>
      <c r="C487" s="87" t="s">
        <v>569</v>
      </c>
      <c r="D487" s="87"/>
      <c r="E487" s="87"/>
      <c r="F487" s="87"/>
      <c r="G487" s="87"/>
      <c r="H487" s="87"/>
      <c r="I487" s="26"/>
      <c r="J487" s="38"/>
      <c r="K487" s="24"/>
      <c r="L487" s="26">
        <f>SUMIF(CD52:CD461, 4, BA52:BA461)</f>
        <v>0</v>
      </c>
    </row>
    <row r="489" spans="1:12" ht="15" x14ac:dyDescent="0.2">
      <c r="A489" s="43"/>
      <c r="B489" s="44"/>
      <c r="C489" s="92" t="s">
        <v>580</v>
      </c>
      <c r="D489" s="92"/>
      <c r="E489" s="92"/>
      <c r="F489" s="92"/>
      <c r="G489" s="92"/>
      <c r="H489" s="92"/>
      <c r="I489" s="29"/>
      <c r="J489" s="43"/>
      <c r="K489" s="45"/>
      <c r="L489" s="29">
        <f>L418+L438+L458+L463</f>
        <v>3718382.7</v>
      </c>
    </row>
    <row r="490" spans="1:12" ht="14.25" x14ac:dyDescent="0.2">
      <c r="A490" s="38"/>
      <c r="B490" s="42"/>
      <c r="C490" s="89" t="s">
        <v>556</v>
      </c>
      <c r="D490" s="87"/>
      <c r="E490" s="87"/>
      <c r="F490" s="87"/>
      <c r="G490" s="87"/>
      <c r="H490" s="87"/>
      <c r="I490" s="26"/>
      <c r="J490" s="38"/>
      <c r="K490" s="24"/>
      <c r="L490" s="26"/>
    </row>
    <row r="491" spans="1:12" ht="14.25" x14ac:dyDescent="0.2">
      <c r="A491" s="38"/>
      <c r="B491" s="42"/>
      <c r="C491" s="87" t="s">
        <v>557</v>
      </c>
      <c r="D491" s="87"/>
      <c r="E491" s="87"/>
      <c r="F491" s="87"/>
      <c r="G491" s="87"/>
      <c r="H491" s="87"/>
      <c r="I491" s="26"/>
      <c r="J491" s="38"/>
      <c r="K491" s="24"/>
      <c r="L491" s="26">
        <f>L493+L494+L500+L504</f>
        <v>2455773.21</v>
      </c>
    </row>
    <row r="492" spans="1:12" ht="14.25" x14ac:dyDescent="0.2">
      <c r="A492" s="38"/>
      <c r="B492" s="42"/>
      <c r="C492" s="89" t="s">
        <v>556</v>
      </c>
      <c r="D492" s="87"/>
      <c r="E492" s="87"/>
      <c r="F492" s="87"/>
      <c r="G492" s="87"/>
      <c r="H492" s="87"/>
      <c r="I492" s="26"/>
      <c r="J492" s="38"/>
      <c r="K492" s="24"/>
      <c r="L492" s="26"/>
    </row>
    <row r="493" spans="1:12" ht="14.25" x14ac:dyDescent="0.2">
      <c r="A493" s="38"/>
      <c r="B493" s="42"/>
      <c r="C493" s="87" t="s">
        <v>558</v>
      </c>
      <c r="D493" s="87"/>
      <c r="E493" s="87"/>
      <c r="F493" s="87"/>
      <c r="G493" s="87"/>
      <c r="H493" s="87"/>
      <c r="I493" s="26"/>
      <c r="J493" s="38"/>
      <c r="K493" s="24"/>
      <c r="L493" s="26">
        <f>SUM(AR52:AR487)</f>
        <v>771065.39</v>
      </c>
    </row>
    <row r="494" spans="1:12" ht="14.25" hidden="1" x14ac:dyDescent="0.2">
      <c r="A494" s="38"/>
      <c r="B494" s="42"/>
      <c r="C494" s="87" t="s">
        <v>559</v>
      </c>
      <c r="D494" s="87"/>
      <c r="E494" s="87"/>
      <c r="F494" s="87"/>
      <c r="G494" s="87"/>
      <c r="H494" s="87"/>
      <c r="I494" s="26"/>
      <c r="J494" s="38"/>
      <c r="K494" s="24"/>
      <c r="L494" s="26">
        <f>L496+L499+L498</f>
        <v>262893.49</v>
      </c>
    </row>
    <row r="495" spans="1:12" ht="14.25" hidden="1" x14ac:dyDescent="0.2">
      <c r="A495" s="38"/>
      <c r="B495" s="42"/>
      <c r="C495" s="89" t="s">
        <v>560</v>
      </c>
      <c r="D495" s="87"/>
      <c r="E495" s="87"/>
      <c r="F495" s="87"/>
      <c r="G495" s="87"/>
      <c r="H495" s="87"/>
      <c r="I495" s="26"/>
      <c r="J495" s="38"/>
      <c r="K495" s="24"/>
      <c r="L495" s="26"/>
    </row>
    <row r="496" spans="1:12" ht="14.25" x14ac:dyDescent="0.2">
      <c r="A496" s="38"/>
      <c r="B496" s="42"/>
      <c r="C496" s="87" t="s">
        <v>559</v>
      </c>
      <c r="D496" s="87"/>
      <c r="E496" s="87"/>
      <c r="F496" s="87"/>
      <c r="G496" s="87"/>
      <c r="H496" s="87"/>
      <c r="I496" s="26"/>
      <c r="J496" s="38"/>
      <c r="K496" s="24"/>
      <c r="L496" s="26">
        <f>SUM(AO52:AO487)</f>
        <v>196393.94000000003</v>
      </c>
    </row>
    <row r="497" spans="1:12" ht="14.25" hidden="1" x14ac:dyDescent="0.2">
      <c r="A497" s="38"/>
      <c r="B497" s="42"/>
      <c r="C497" s="89" t="s">
        <v>561</v>
      </c>
      <c r="D497" s="87"/>
      <c r="E497" s="87"/>
      <c r="F497" s="87"/>
      <c r="G497" s="87"/>
      <c r="H497" s="87"/>
      <c r="I497" s="26"/>
      <c r="J497" s="38"/>
      <c r="K497" s="24"/>
      <c r="L497" s="26"/>
    </row>
    <row r="498" spans="1:12" ht="14.25" x14ac:dyDescent="0.2">
      <c r="A498" s="38"/>
      <c r="B498" s="42"/>
      <c r="C498" s="87" t="s">
        <v>570</v>
      </c>
      <c r="D498" s="87"/>
      <c r="E498" s="87"/>
      <c r="F498" s="87"/>
      <c r="G498" s="87"/>
      <c r="H498" s="87"/>
      <c r="I498" s="26"/>
      <c r="J498" s="38"/>
      <c r="K498" s="24"/>
      <c r="L498" s="26">
        <f>SUM(AT52:AT487)</f>
        <v>66499.549999999988</v>
      </c>
    </row>
    <row r="499" spans="1:12" ht="14.25" hidden="1" x14ac:dyDescent="0.2">
      <c r="A499" s="38"/>
      <c r="B499" s="42"/>
      <c r="C499" s="87" t="s">
        <v>562</v>
      </c>
      <c r="D499" s="87"/>
      <c r="E499" s="87"/>
      <c r="F499" s="87"/>
      <c r="G499" s="87"/>
      <c r="H499" s="87"/>
      <c r="I499" s="26"/>
      <c r="J499" s="38"/>
      <c r="K499" s="24"/>
      <c r="L499" s="26">
        <f>SUM(AV52:AV487)</f>
        <v>0</v>
      </c>
    </row>
    <row r="500" spans="1:12" ht="14.25" x14ac:dyDescent="0.2">
      <c r="A500" s="38"/>
      <c r="B500" s="42"/>
      <c r="C500" s="87" t="s">
        <v>563</v>
      </c>
      <c r="D500" s="87"/>
      <c r="E500" s="87"/>
      <c r="F500" s="87"/>
      <c r="G500" s="87"/>
      <c r="H500" s="87"/>
      <c r="I500" s="26"/>
      <c r="J500" s="38"/>
      <c r="K500" s="24"/>
      <c r="L500" s="26">
        <f>L502+L503</f>
        <v>1378946.16</v>
      </c>
    </row>
    <row r="501" spans="1:12" ht="14.25" x14ac:dyDescent="0.2">
      <c r="A501" s="38"/>
      <c r="B501" s="42"/>
      <c r="C501" s="89" t="s">
        <v>560</v>
      </c>
      <c r="D501" s="87"/>
      <c r="E501" s="87"/>
      <c r="F501" s="87"/>
      <c r="G501" s="87"/>
      <c r="H501" s="87"/>
      <c r="I501" s="26"/>
      <c r="J501" s="38"/>
      <c r="K501" s="24"/>
      <c r="L501" s="26"/>
    </row>
    <row r="502" spans="1:12" ht="14.25" x14ac:dyDescent="0.2">
      <c r="A502" s="38"/>
      <c r="B502" s="42"/>
      <c r="C502" s="87" t="s">
        <v>564</v>
      </c>
      <c r="D502" s="87"/>
      <c r="E502" s="87"/>
      <c r="F502" s="87"/>
      <c r="G502" s="87"/>
      <c r="H502" s="87"/>
      <c r="I502" s="26"/>
      <c r="J502" s="38"/>
      <c r="K502" s="24"/>
      <c r="L502" s="26">
        <f>SUM(AW52:AW487)-SUM(BK52:BK487)</f>
        <v>1378946.16</v>
      </c>
    </row>
    <row r="503" spans="1:12" ht="14.25" hidden="1" x14ac:dyDescent="0.2">
      <c r="A503" s="38"/>
      <c r="B503" s="42"/>
      <c r="C503" s="87" t="s">
        <v>565</v>
      </c>
      <c r="D503" s="87"/>
      <c r="E503" s="87"/>
      <c r="F503" s="87"/>
      <c r="G503" s="87"/>
      <c r="H503" s="87"/>
      <c r="I503" s="26"/>
      <c r="J503" s="38"/>
      <c r="K503" s="24"/>
      <c r="L503" s="26">
        <f>SUM(BC52:BC487)</f>
        <v>0</v>
      </c>
    </row>
    <row r="504" spans="1:12" ht="14.25" x14ac:dyDescent="0.2">
      <c r="A504" s="38"/>
      <c r="B504" s="42"/>
      <c r="C504" s="87" t="s">
        <v>566</v>
      </c>
      <c r="D504" s="87"/>
      <c r="E504" s="87"/>
      <c r="F504" s="87"/>
      <c r="G504" s="87"/>
      <c r="H504" s="87"/>
      <c r="I504" s="26"/>
      <c r="J504" s="38"/>
      <c r="K504" s="24"/>
      <c r="L504" s="26">
        <f>SUM(BB52:BB487)</f>
        <v>42868.17</v>
      </c>
    </row>
    <row r="505" spans="1:12" ht="14.25" x14ac:dyDescent="0.2">
      <c r="A505" s="38"/>
      <c r="B505" s="42"/>
      <c r="C505" s="87" t="s">
        <v>581</v>
      </c>
      <c r="D505" s="87"/>
      <c r="E505" s="87"/>
      <c r="F505" s="87"/>
      <c r="G505" s="87"/>
      <c r="H505" s="87"/>
      <c r="I505" s="26"/>
      <c r="J505" s="38"/>
      <c r="K505" s="24"/>
      <c r="L505" s="26">
        <f>SUM(AR52:AR487)+SUM(AT52:AT487)+SUM(AV52:AV487)</f>
        <v>837564.94</v>
      </c>
    </row>
    <row r="506" spans="1:12" ht="14.25" x14ac:dyDescent="0.2">
      <c r="A506" s="38"/>
      <c r="B506" s="42"/>
      <c r="C506" s="87" t="s">
        <v>582</v>
      </c>
      <c r="D506" s="87"/>
      <c r="E506" s="87"/>
      <c r="F506" s="87"/>
      <c r="G506" s="87"/>
      <c r="H506" s="87"/>
      <c r="I506" s="26"/>
      <c r="J506" s="38"/>
      <c r="K506" s="24"/>
      <c r="L506" s="26">
        <f>SUM(AZ52:AZ487)</f>
        <v>837034.22000000009</v>
      </c>
    </row>
    <row r="507" spans="1:12" ht="14.25" x14ac:dyDescent="0.2">
      <c r="A507" s="38"/>
      <c r="B507" s="42"/>
      <c r="C507" s="87" t="s">
        <v>583</v>
      </c>
      <c r="D507" s="87"/>
      <c r="E507" s="87"/>
      <c r="F507" s="87"/>
      <c r="G507" s="87"/>
      <c r="H507" s="87"/>
      <c r="I507" s="26"/>
      <c r="J507" s="38"/>
      <c r="K507" s="24"/>
      <c r="L507" s="26">
        <f>SUM(BA52:BA487)</f>
        <v>425575.27</v>
      </c>
    </row>
    <row r="508" spans="1:12" ht="14.25" hidden="1" x14ac:dyDescent="0.2">
      <c r="A508" s="38"/>
      <c r="B508" s="42"/>
      <c r="C508" s="87" t="s">
        <v>584</v>
      </c>
      <c r="D508" s="87"/>
      <c r="E508" s="87"/>
      <c r="F508" s="87"/>
      <c r="G508" s="87"/>
      <c r="H508" s="87"/>
      <c r="I508" s="26"/>
      <c r="J508" s="38"/>
      <c r="K508" s="24"/>
      <c r="L508" s="26">
        <f>L510+L511</f>
        <v>0</v>
      </c>
    </row>
    <row r="509" spans="1:12" ht="14.25" hidden="1" x14ac:dyDescent="0.2">
      <c r="A509" s="38"/>
      <c r="B509" s="42"/>
      <c r="C509" s="89" t="s">
        <v>556</v>
      </c>
      <c r="D509" s="87"/>
      <c r="E509" s="87"/>
      <c r="F509" s="87"/>
      <c r="G509" s="87"/>
      <c r="H509" s="87"/>
      <c r="I509" s="26"/>
      <c r="J509" s="38"/>
      <c r="K509" s="24"/>
      <c r="L509" s="26"/>
    </row>
    <row r="510" spans="1:12" ht="14.25" hidden="1" x14ac:dyDescent="0.2">
      <c r="A510" s="38"/>
      <c r="B510" s="42"/>
      <c r="C510" s="87" t="s">
        <v>573</v>
      </c>
      <c r="D510" s="87"/>
      <c r="E510" s="87"/>
      <c r="F510" s="87"/>
      <c r="G510" s="87"/>
      <c r="H510" s="87"/>
      <c r="I510" s="26"/>
      <c r="J510" s="38"/>
      <c r="K510" s="24"/>
      <c r="L510" s="26">
        <f>SUM(BK52:BK487)</f>
        <v>0</v>
      </c>
    </row>
    <row r="511" spans="1:12" ht="14.25" hidden="1" x14ac:dyDescent="0.2">
      <c r="A511" s="38"/>
      <c r="B511" s="42"/>
      <c r="C511" s="87" t="s">
        <v>574</v>
      </c>
      <c r="D511" s="87"/>
      <c r="E511" s="87"/>
      <c r="F511" s="87"/>
      <c r="G511" s="87"/>
      <c r="H511" s="87"/>
      <c r="I511" s="26"/>
      <c r="J511" s="38"/>
      <c r="K511" s="24"/>
      <c r="L511" s="26">
        <f>SUM(BD52:BD487)</f>
        <v>0</v>
      </c>
    </row>
    <row r="512" spans="1:12" ht="14.25" hidden="1" x14ac:dyDescent="0.2">
      <c r="A512" s="38"/>
      <c r="B512" s="42"/>
      <c r="C512" s="87" t="s">
        <v>585</v>
      </c>
      <c r="D512" s="87"/>
      <c r="E512" s="87"/>
      <c r="F512" s="87"/>
      <c r="G512" s="87"/>
      <c r="H512" s="87"/>
      <c r="I512" s="26"/>
      <c r="J512" s="38"/>
      <c r="K512" s="24"/>
      <c r="L512" s="26">
        <f>L463</f>
        <v>0</v>
      </c>
    </row>
    <row r="513" spans="1:12" ht="14.25" x14ac:dyDescent="0.2">
      <c r="A513" s="38"/>
      <c r="B513" s="42"/>
      <c r="C513" s="92" t="s">
        <v>586</v>
      </c>
      <c r="D513" s="87"/>
      <c r="E513" s="87"/>
      <c r="F513" s="87"/>
      <c r="G513" s="87"/>
      <c r="H513" s="87"/>
      <c r="I513" s="26"/>
      <c r="J513" s="38"/>
      <c r="K513" s="24"/>
      <c r="L513" s="26"/>
    </row>
    <row r="514" spans="1:12" ht="14.25" hidden="1" x14ac:dyDescent="0.2">
      <c r="A514" s="38"/>
      <c r="B514" s="42"/>
      <c r="C514" s="87" t="s">
        <v>587</v>
      </c>
      <c r="D514" s="87"/>
      <c r="E514" s="87"/>
      <c r="F514" s="87"/>
      <c r="G514" s="87"/>
      <c r="H514" s="87"/>
      <c r="I514" s="26"/>
      <c r="J514" s="38"/>
      <c r="K514" s="24"/>
      <c r="L514" s="26">
        <f>SUM(AX52:AX487)</f>
        <v>0</v>
      </c>
    </row>
    <row r="515" spans="1:12" ht="14.25" hidden="1" x14ac:dyDescent="0.2">
      <c r="A515" s="38"/>
      <c r="B515" s="42"/>
      <c r="C515" s="87" t="s">
        <v>588</v>
      </c>
      <c r="D515" s="87"/>
      <c r="E515" s="87"/>
      <c r="F515" s="87"/>
      <c r="G515" s="87"/>
      <c r="H515" s="87"/>
      <c r="I515" s="26"/>
      <c r="J515" s="38"/>
      <c r="K515" s="24"/>
      <c r="L515" s="26">
        <f>SUM(AY52:AY487)</f>
        <v>0</v>
      </c>
    </row>
    <row r="516" spans="1:12" ht="14.25" x14ac:dyDescent="0.2">
      <c r="A516" s="38"/>
      <c r="B516" s="42"/>
      <c r="C516" s="87" t="s">
        <v>589</v>
      </c>
      <c r="D516" s="87"/>
      <c r="E516" s="87"/>
      <c r="F516" s="88"/>
      <c r="G516" s="28">
        <f>Source!F83</f>
        <v>2205.5652799999998</v>
      </c>
      <c r="H516" s="38"/>
      <c r="I516" s="38"/>
      <c r="J516" s="38"/>
      <c r="K516" s="38"/>
      <c r="L516" s="38"/>
    </row>
    <row r="517" spans="1:12" ht="14.25" x14ac:dyDescent="0.2">
      <c r="A517" s="38"/>
      <c r="B517" s="42"/>
      <c r="C517" s="87" t="s">
        <v>590</v>
      </c>
      <c r="D517" s="87"/>
      <c r="E517" s="87"/>
      <c r="F517" s="88"/>
      <c r="G517" s="28">
        <f>Source!F84</f>
        <v>134.36314999999999</v>
      </c>
      <c r="H517" s="38"/>
      <c r="I517" s="38"/>
      <c r="J517" s="38"/>
      <c r="K517" s="38"/>
      <c r="L517" s="38"/>
    </row>
    <row r="519" spans="1:12" ht="14.25" x14ac:dyDescent="0.2">
      <c r="C519" s="85" t="str">
        <f>Source!H90</f>
        <v>Итого по смете</v>
      </c>
      <c r="D519" s="85"/>
      <c r="E519" s="85"/>
      <c r="F519" s="85"/>
      <c r="G519" s="85"/>
      <c r="H519" s="85"/>
      <c r="I519" s="85"/>
      <c r="J519" s="85"/>
      <c r="K519" s="85"/>
      <c r="L519" s="36">
        <f>IF(Source!Y90=0, "", Source!Y90)</f>
        <v>3718383.75</v>
      </c>
    </row>
    <row r="520" spans="1:12" ht="14.25" x14ac:dyDescent="0.2">
      <c r="C520" s="85" t="str">
        <f>Source!H91</f>
        <v>Непредвиденные работы 2%</v>
      </c>
      <c r="D520" s="85"/>
      <c r="E520" s="85"/>
      <c r="F520" s="85"/>
      <c r="G520" s="85"/>
      <c r="H520" s="85"/>
      <c r="I520" s="85"/>
      <c r="J520" s="85"/>
      <c r="K520" s="85"/>
      <c r="L520" s="36">
        <f>IF(Source!Y91=0, "", Source!Y91)</f>
        <v>74367.679999999993</v>
      </c>
    </row>
    <row r="521" spans="1:12" ht="14.25" x14ac:dyDescent="0.2">
      <c r="C521" s="85" t="str">
        <f>Source!H92</f>
        <v>Итого с непредвиденными работами</v>
      </c>
      <c r="D521" s="85"/>
      <c r="E521" s="85"/>
      <c r="F521" s="85"/>
      <c r="G521" s="85"/>
      <c r="H521" s="85"/>
      <c r="I521" s="85"/>
      <c r="J521" s="85"/>
      <c r="K521" s="85"/>
      <c r="L521" s="36">
        <f>IF(Source!Y92=0, "", Source!Y92)</f>
        <v>3792751.43</v>
      </c>
    </row>
    <row r="522" spans="1:12" ht="14.25" x14ac:dyDescent="0.2">
      <c r="C522" s="85" t="str">
        <f>Source!H93</f>
        <v>НДС 22%</v>
      </c>
      <c r="D522" s="85"/>
      <c r="E522" s="85"/>
      <c r="F522" s="85"/>
      <c r="G522" s="85"/>
      <c r="H522" s="85"/>
      <c r="I522" s="85"/>
      <c r="J522" s="85"/>
      <c r="K522" s="85"/>
      <c r="L522" s="36">
        <f>IF(Source!Y93=0, "", Source!Y93)</f>
        <v>834405.31</v>
      </c>
    </row>
    <row r="523" spans="1:12" ht="15" x14ac:dyDescent="0.25">
      <c r="C523" s="86" t="str">
        <f>Source!H94</f>
        <v>ВСЕГО</v>
      </c>
      <c r="D523" s="86"/>
      <c r="E523" s="86"/>
      <c r="F523" s="86"/>
      <c r="G523" s="86"/>
      <c r="H523" s="86"/>
      <c r="I523" s="86"/>
      <c r="J523" s="86"/>
      <c r="K523" s="86"/>
      <c r="L523" s="69">
        <f>IF(Source!Y94=0, "", Source!Y94)</f>
        <v>4627156.74</v>
      </c>
    </row>
    <row r="524" spans="1:12" ht="15" x14ac:dyDescent="0.25">
      <c r="C524" s="77"/>
      <c r="D524" s="77"/>
      <c r="E524" s="77"/>
      <c r="F524" s="77"/>
      <c r="G524" s="77"/>
      <c r="H524" s="77"/>
      <c r="I524" s="77"/>
      <c r="J524" s="77"/>
      <c r="K524" s="77"/>
      <c r="L524" s="69"/>
    </row>
    <row r="525" spans="1:12" ht="15" x14ac:dyDescent="0.25">
      <c r="C525" s="77"/>
      <c r="D525" s="77"/>
      <c r="E525" s="77"/>
      <c r="F525" s="77"/>
      <c r="G525" s="77"/>
      <c r="H525" s="77"/>
      <c r="I525" s="77"/>
      <c r="J525" s="77"/>
      <c r="K525" s="77"/>
      <c r="L525" s="69"/>
    </row>
    <row r="527" spans="1:12" ht="13.9" customHeight="1" x14ac:dyDescent="0.2">
      <c r="A527" s="70"/>
      <c r="B527" s="71"/>
      <c r="C527" s="72"/>
      <c r="D527" s="68"/>
      <c r="E527" s="68"/>
      <c r="F527" s="68"/>
      <c r="G527" s="68"/>
      <c r="H527" s="73"/>
      <c r="I527" s="74"/>
      <c r="J527" s="74"/>
      <c r="K527" s="75"/>
      <c r="L527" s="75"/>
    </row>
    <row r="528" spans="1:12" ht="13.9" customHeight="1" x14ac:dyDescent="0.2">
      <c r="A528" s="70"/>
      <c r="B528" s="76"/>
      <c r="C528" s="81"/>
      <c r="D528" s="81"/>
      <c r="E528" s="81"/>
      <c r="F528" s="81"/>
      <c r="G528" s="81"/>
      <c r="H528" s="74"/>
      <c r="I528" s="74"/>
      <c r="J528" s="74"/>
      <c r="K528" s="75"/>
      <c r="L528" s="75"/>
    </row>
    <row r="529" spans="1:12" ht="13.9" customHeight="1" x14ac:dyDescent="0.2">
      <c r="A529" s="70"/>
      <c r="B529" s="76"/>
      <c r="C529" s="58"/>
      <c r="D529" s="58"/>
      <c r="E529" s="58"/>
      <c r="F529" s="58"/>
      <c r="G529" s="58"/>
      <c r="H529" s="74"/>
      <c r="I529" s="74"/>
      <c r="J529" s="74"/>
      <c r="K529" s="75"/>
      <c r="L529" s="75"/>
    </row>
    <row r="530" spans="1:12" ht="13.9" customHeight="1" x14ac:dyDescent="0.2">
      <c r="A530" s="70"/>
      <c r="B530" s="71"/>
      <c r="C530" s="72"/>
      <c r="D530" s="68"/>
      <c r="E530" s="68"/>
      <c r="F530" s="68"/>
      <c r="G530" s="68"/>
      <c r="H530" s="73"/>
      <c r="I530" s="74"/>
      <c r="J530" s="74"/>
      <c r="K530" s="75"/>
      <c r="L530" s="75"/>
    </row>
    <row r="531" spans="1:12" ht="13.9" customHeight="1" x14ac:dyDescent="0.2">
      <c r="A531" s="58"/>
      <c r="B531" s="58"/>
      <c r="C531" s="81"/>
      <c r="D531" s="81"/>
      <c r="E531" s="81"/>
      <c r="F531" s="81"/>
      <c r="G531" s="81"/>
      <c r="H531" s="74"/>
      <c r="I531" s="74"/>
      <c r="J531" s="74"/>
      <c r="K531" s="75"/>
      <c r="L531" s="75"/>
    </row>
  </sheetData>
  <mergeCells count="208">
    <mergeCell ref="C91:H91"/>
    <mergeCell ref="I91:J91"/>
    <mergeCell ref="K91:L91"/>
    <mergeCell ref="C63:H63"/>
    <mergeCell ref="I63:J63"/>
    <mergeCell ref="K63:L63"/>
    <mergeCell ref="C77:H77"/>
    <mergeCell ref="I77:J77"/>
    <mergeCell ref="K77:L77"/>
    <mergeCell ref="A46:A50"/>
    <mergeCell ref="B46:B50"/>
    <mergeCell ref="C46:C50"/>
    <mergeCell ref="D46:D50"/>
    <mergeCell ref="E46:G49"/>
    <mergeCell ref="H46:L49"/>
    <mergeCell ref="C107:L107"/>
    <mergeCell ref="C124:H124"/>
    <mergeCell ref="I124:J124"/>
    <mergeCell ref="K124:L124"/>
    <mergeCell ref="C126:L126"/>
    <mergeCell ref="C144:H144"/>
    <mergeCell ref="I144:J144"/>
    <mergeCell ref="K144:L144"/>
    <mergeCell ref="C105:H105"/>
    <mergeCell ref="I105:J105"/>
    <mergeCell ref="K105:L105"/>
    <mergeCell ref="C194:H194"/>
    <mergeCell ref="I194:J194"/>
    <mergeCell ref="K194:L194"/>
    <mergeCell ref="C211:H211"/>
    <mergeCell ref="I211:J211"/>
    <mergeCell ref="K211:L211"/>
    <mergeCell ref="C156:H156"/>
    <mergeCell ref="I156:J156"/>
    <mergeCell ref="K156:L156"/>
    <mergeCell ref="C177:H177"/>
    <mergeCell ref="I177:J177"/>
    <mergeCell ref="K177:L177"/>
    <mergeCell ref="C264:H264"/>
    <mergeCell ref="I264:J264"/>
    <mergeCell ref="K264:L264"/>
    <mergeCell ref="C279:L279"/>
    <mergeCell ref="C283:H283"/>
    <mergeCell ref="I283:J283"/>
    <mergeCell ref="K283:L283"/>
    <mergeCell ref="C229:H229"/>
    <mergeCell ref="I229:J229"/>
    <mergeCell ref="K229:L229"/>
    <mergeCell ref="C242:H242"/>
    <mergeCell ref="I242:J242"/>
    <mergeCell ref="K242:L242"/>
    <mergeCell ref="C343:H343"/>
    <mergeCell ref="I343:J343"/>
    <mergeCell ref="K343:L343"/>
    <mergeCell ref="C356:H356"/>
    <mergeCell ref="I356:J356"/>
    <mergeCell ref="K356:L356"/>
    <mergeCell ref="C303:H303"/>
    <mergeCell ref="I303:J303"/>
    <mergeCell ref="K303:L303"/>
    <mergeCell ref="C319:H319"/>
    <mergeCell ref="I319:J319"/>
    <mergeCell ref="K319:L319"/>
    <mergeCell ref="C410:H410"/>
    <mergeCell ref="I410:J410"/>
    <mergeCell ref="K410:L410"/>
    <mergeCell ref="C412:H412"/>
    <mergeCell ref="I412:J412"/>
    <mergeCell ref="K412:L412"/>
    <mergeCell ref="C368:H368"/>
    <mergeCell ref="I368:J368"/>
    <mergeCell ref="K368:L368"/>
    <mergeCell ref="C390:H390"/>
    <mergeCell ref="I390:J390"/>
    <mergeCell ref="K390:L390"/>
    <mergeCell ref="C420:H420"/>
    <mergeCell ref="C421:H421"/>
    <mergeCell ref="C422:H422"/>
    <mergeCell ref="C423:H423"/>
    <mergeCell ref="C424:H424"/>
    <mergeCell ref="C425:H425"/>
    <mergeCell ref="C414:H414"/>
    <mergeCell ref="I414:J414"/>
    <mergeCell ref="K414:L414"/>
    <mergeCell ref="C416:H416"/>
    <mergeCell ref="C418:H418"/>
    <mergeCell ref="C419:H419"/>
    <mergeCell ref="C432:H432"/>
    <mergeCell ref="C433:H433"/>
    <mergeCell ref="C434:H434"/>
    <mergeCell ref="C435:H435"/>
    <mergeCell ref="C436:H436"/>
    <mergeCell ref="C438:H438"/>
    <mergeCell ref="C426:H426"/>
    <mergeCell ref="C427:H427"/>
    <mergeCell ref="C428:H428"/>
    <mergeCell ref="C429:H429"/>
    <mergeCell ref="C430:H430"/>
    <mergeCell ref="C431:H431"/>
    <mergeCell ref="C445:H445"/>
    <mergeCell ref="C446:H446"/>
    <mergeCell ref="C447:H447"/>
    <mergeCell ref="C448:H448"/>
    <mergeCell ref="C449:H449"/>
    <mergeCell ref="C450:H450"/>
    <mergeCell ref="C439:H439"/>
    <mergeCell ref="C440:H440"/>
    <mergeCell ref="C441:H441"/>
    <mergeCell ref="C442:H442"/>
    <mergeCell ref="C443:H443"/>
    <mergeCell ref="C444:H444"/>
    <mergeCell ref="C458:H458"/>
    <mergeCell ref="C459:H459"/>
    <mergeCell ref="C460:H460"/>
    <mergeCell ref="C461:H461"/>
    <mergeCell ref="C463:H463"/>
    <mergeCell ref="C464:H464"/>
    <mergeCell ref="C451:H451"/>
    <mergeCell ref="C452:H452"/>
    <mergeCell ref="C453:H453"/>
    <mergeCell ref="C454:H454"/>
    <mergeCell ref="C455:H455"/>
    <mergeCell ref="C456:H456"/>
    <mergeCell ref="C471:H471"/>
    <mergeCell ref="C472:H472"/>
    <mergeCell ref="C473:H473"/>
    <mergeCell ref="C474:H474"/>
    <mergeCell ref="C475:H475"/>
    <mergeCell ref="C476:H476"/>
    <mergeCell ref="C465:H465"/>
    <mergeCell ref="C466:H466"/>
    <mergeCell ref="C467:H467"/>
    <mergeCell ref="C468:H468"/>
    <mergeCell ref="C469:H469"/>
    <mergeCell ref="C470:H470"/>
    <mergeCell ref="C484:H484"/>
    <mergeCell ref="C485:H485"/>
    <mergeCell ref="C486:H486"/>
    <mergeCell ref="C487:H487"/>
    <mergeCell ref="C489:H489"/>
    <mergeCell ref="C477:H477"/>
    <mergeCell ref="C478:H478"/>
    <mergeCell ref="C479:H479"/>
    <mergeCell ref="C480:H480"/>
    <mergeCell ref="C481:H481"/>
    <mergeCell ref="C482:H482"/>
    <mergeCell ref="C512:H512"/>
    <mergeCell ref="C513:H513"/>
    <mergeCell ref="C502:H502"/>
    <mergeCell ref="C503:H503"/>
    <mergeCell ref="C504:H504"/>
    <mergeCell ref="C505:H505"/>
    <mergeCell ref="C506:H506"/>
    <mergeCell ref="C507:H507"/>
    <mergeCell ref="C496:H496"/>
    <mergeCell ref="C497:H497"/>
    <mergeCell ref="C498:H498"/>
    <mergeCell ref="C499:H499"/>
    <mergeCell ref="C500:H500"/>
    <mergeCell ref="C501:H501"/>
    <mergeCell ref="C511:H511"/>
    <mergeCell ref="F18:L18"/>
    <mergeCell ref="A20:E20"/>
    <mergeCell ref="F20:L20"/>
    <mergeCell ref="A22:E22"/>
    <mergeCell ref="F22:L22"/>
    <mergeCell ref="A24:E24"/>
    <mergeCell ref="F24:L24"/>
    <mergeCell ref="A10:E10"/>
    <mergeCell ref="F10:L10"/>
    <mergeCell ref="A12:E12"/>
    <mergeCell ref="F12:L12"/>
    <mergeCell ref="A14:E14"/>
    <mergeCell ref="F14:L14"/>
    <mergeCell ref="A16:E16"/>
    <mergeCell ref="F16:L16"/>
    <mergeCell ref="A18:E18"/>
    <mergeCell ref="C490:H490"/>
    <mergeCell ref="C491:H491"/>
    <mergeCell ref="C492:H492"/>
    <mergeCell ref="C493:H493"/>
    <mergeCell ref="C494:H494"/>
    <mergeCell ref="C495:H495"/>
    <mergeCell ref="C483:H483"/>
    <mergeCell ref="I1:L1"/>
    <mergeCell ref="A36:L36"/>
    <mergeCell ref="C41:L41"/>
    <mergeCell ref="C42:L42"/>
    <mergeCell ref="C528:G528"/>
    <mergeCell ref="C531:G531"/>
    <mergeCell ref="A27:L27"/>
    <mergeCell ref="A28:L28"/>
    <mergeCell ref="A30:L30"/>
    <mergeCell ref="A31:L31"/>
    <mergeCell ref="A33:L33"/>
    <mergeCell ref="A35:L35"/>
    <mergeCell ref="C521:K521"/>
    <mergeCell ref="C522:K522"/>
    <mergeCell ref="C523:K523"/>
    <mergeCell ref="C514:H514"/>
    <mergeCell ref="C515:H515"/>
    <mergeCell ref="C516:F516"/>
    <mergeCell ref="C517:F517"/>
    <mergeCell ref="C519:K519"/>
    <mergeCell ref="C520:K520"/>
    <mergeCell ref="C508:H508"/>
    <mergeCell ref="C509:H509"/>
    <mergeCell ref="C510:H510"/>
  </mergeCells>
  <pageMargins left="0.4" right="0.2" top="0.2" bottom="0.4" header="0.2" footer="0.2"/>
  <pageSetup paperSize="9" scale="69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4"/>
  <sheetViews>
    <sheetView workbookViewId="0">
      <selection activeCell="A160" sqref="A160:AX160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26294</v>
      </c>
      <c r="M1">
        <v>10</v>
      </c>
      <c r="N1">
        <v>12</v>
      </c>
      <c r="O1">
        <v>1</v>
      </c>
      <c r="P1">
        <v>0</v>
      </c>
      <c r="Q1">
        <v>2</v>
      </c>
    </row>
    <row r="12" spans="1:133" x14ac:dyDescent="0.2">
      <c r="A12" s="1">
        <v>1</v>
      </c>
      <c r="B12" s="1">
        <v>158</v>
      </c>
      <c r="C12" s="1">
        <v>0</v>
      </c>
      <c r="D12" s="1">
        <f>ROW(A98)</f>
        <v>98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446</v>
      </c>
      <c r="CW12" s="1"/>
      <c r="CX12" s="1"/>
      <c r="CY12" s="1">
        <v>0</v>
      </c>
      <c r="CZ12" s="1" t="s">
        <v>14</v>
      </c>
      <c r="DA12" s="1" t="s">
        <v>14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B98</f>
        <v>158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объект_(Копия)</v>
      </c>
      <c r="G18" s="3" t="str">
        <f t="shared" si="0"/>
        <v>Ремонт кровли ОПС Красные Четаи</v>
      </c>
      <c r="H18" s="3"/>
      <c r="I18" s="3"/>
      <c r="J18" s="3"/>
      <c r="K18" s="3"/>
      <c r="L18" s="3"/>
      <c r="M18" s="3"/>
      <c r="N18" s="3"/>
      <c r="O18" s="3">
        <f t="shared" ref="O18:AT18" si="1">O98</f>
        <v>2412905.04</v>
      </c>
      <c r="P18" s="3">
        <f t="shared" si="1"/>
        <v>1378946.16</v>
      </c>
      <c r="Q18" s="3">
        <f t="shared" si="1"/>
        <v>196393.94</v>
      </c>
      <c r="R18" s="3">
        <f t="shared" si="1"/>
        <v>66499.55</v>
      </c>
      <c r="S18" s="3">
        <f t="shared" si="1"/>
        <v>771065.39</v>
      </c>
      <c r="T18" s="3">
        <f t="shared" si="1"/>
        <v>0</v>
      </c>
      <c r="U18" s="3">
        <f t="shared" si="1"/>
        <v>2205.5652800000003</v>
      </c>
      <c r="V18" s="3">
        <f t="shared" si="1"/>
        <v>134.36314999999996</v>
      </c>
      <c r="W18" s="3">
        <f t="shared" si="1"/>
        <v>0</v>
      </c>
      <c r="X18" s="3">
        <f t="shared" si="1"/>
        <v>837034.22</v>
      </c>
      <c r="Y18" s="3">
        <f t="shared" si="1"/>
        <v>425575.27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3718382.7</v>
      </c>
      <c r="AS18" s="3">
        <f t="shared" si="1"/>
        <v>3718382.7</v>
      </c>
      <c r="AT18" s="3">
        <f t="shared" si="1"/>
        <v>0</v>
      </c>
      <c r="AU18" s="3">
        <f t="shared" ref="AU18:BZ18" si="2">AU98</f>
        <v>0</v>
      </c>
      <c r="AV18" s="3">
        <f t="shared" si="2"/>
        <v>1378946.16</v>
      </c>
      <c r="AW18" s="3">
        <f t="shared" si="2"/>
        <v>1378946.16</v>
      </c>
      <c r="AX18" s="3">
        <f t="shared" si="2"/>
        <v>0</v>
      </c>
      <c r="AY18" s="3">
        <f t="shared" si="2"/>
        <v>1378946.16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42868.17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CA98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DG98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EM98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FS98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ROW(A61)</f>
        <v>61</v>
      </c>
      <c r="E20" s="1"/>
      <c r="F20" s="1" t="s">
        <v>15</v>
      </c>
      <c r="G20" s="1" t="s">
        <v>16</v>
      </c>
      <c r="H20" s="1" t="s">
        <v>3</v>
      </c>
      <c r="I20" s="1">
        <v>0</v>
      </c>
      <c r="J20" s="1" t="s">
        <v>3</v>
      </c>
      <c r="K20" s="1">
        <v>-1</v>
      </c>
      <c r="L20" s="1" t="s">
        <v>15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B61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02-01-01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O61</f>
        <v>2412905.04</v>
      </c>
      <c r="P22" s="3">
        <f t="shared" si="8"/>
        <v>1378946.16</v>
      </c>
      <c r="Q22" s="3">
        <f t="shared" si="8"/>
        <v>196393.94</v>
      </c>
      <c r="R22" s="3">
        <f t="shared" si="8"/>
        <v>66499.55</v>
      </c>
      <c r="S22" s="3">
        <f t="shared" si="8"/>
        <v>771065.39</v>
      </c>
      <c r="T22" s="3">
        <f t="shared" si="8"/>
        <v>0</v>
      </c>
      <c r="U22" s="3">
        <f t="shared" si="8"/>
        <v>2205.5652800000003</v>
      </c>
      <c r="V22" s="3">
        <f t="shared" si="8"/>
        <v>134.36314999999996</v>
      </c>
      <c r="W22" s="3">
        <f t="shared" si="8"/>
        <v>0</v>
      </c>
      <c r="X22" s="3">
        <f t="shared" si="8"/>
        <v>837034.22</v>
      </c>
      <c r="Y22" s="3">
        <f t="shared" si="8"/>
        <v>425575.27</v>
      </c>
      <c r="Z22" s="3">
        <f t="shared" si="8"/>
        <v>0</v>
      </c>
      <c r="AA22" s="3">
        <f t="shared" si="8"/>
        <v>0</v>
      </c>
      <c r="AB22" s="3">
        <f t="shared" si="8"/>
        <v>2412905.04</v>
      </c>
      <c r="AC22" s="3">
        <f t="shared" si="8"/>
        <v>1378946.16</v>
      </c>
      <c r="AD22" s="3">
        <f t="shared" si="8"/>
        <v>196393.94</v>
      </c>
      <c r="AE22" s="3">
        <f t="shared" si="8"/>
        <v>66499.55</v>
      </c>
      <c r="AF22" s="3">
        <f t="shared" si="8"/>
        <v>771065.39</v>
      </c>
      <c r="AG22" s="3">
        <f t="shared" si="8"/>
        <v>0</v>
      </c>
      <c r="AH22" s="3">
        <f t="shared" si="8"/>
        <v>2205.5652800000003</v>
      </c>
      <c r="AI22" s="3">
        <f t="shared" si="8"/>
        <v>134.36314999999996</v>
      </c>
      <c r="AJ22" s="3">
        <f t="shared" si="8"/>
        <v>0</v>
      </c>
      <c r="AK22" s="3">
        <f t="shared" si="8"/>
        <v>837034.22</v>
      </c>
      <c r="AL22" s="3">
        <f t="shared" si="8"/>
        <v>425575.27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3718382.7</v>
      </c>
      <c r="AS22" s="3">
        <f t="shared" si="8"/>
        <v>3718382.7</v>
      </c>
      <c r="AT22" s="3">
        <f t="shared" si="8"/>
        <v>0</v>
      </c>
      <c r="AU22" s="3">
        <f t="shared" ref="AU22:BZ22" si="9">AU61</f>
        <v>0</v>
      </c>
      <c r="AV22" s="3">
        <f t="shared" si="9"/>
        <v>1378946.16</v>
      </c>
      <c r="AW22" s="3">
        <f t="shared" si="9"/>
        <v>1378946.16</v>
      </c>
      <c r="AX22" s="3">
        <f t="shared" si="9"/>
        <v>0</v>
      </c>
      <c r="AY22" s="3">
        <f t="shared" si="9"/>
        <v>1378946.16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42868.17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CA61</f>
        <v>3718382.7</v>
      </c>
      <c r="CB22" s="3">
        <f t="shared" si="10"/>
        <v>3718382.7</v>
      </c>
      <c r="CC22" s="3">
        <f t="shared" si="10"/>
        <v>0</v>
      </c>
      <c r="CD22" s="3">
        <f t="shared" si="10"/>
        <v>0</v>
      </c>
      <c r="CE22" s="3">
        <f t="shared" si="10"/>
        <v>1378946.16</v>
      </c>
      <c r="CF22" s="3">
        <f t="shared" si="10"/>
        <v>1378946.16</v>
      </c>
      <c r="CG22" s="3">
        <f t="shared" si="10"/>
        <v>0</v>
      </c>
      <c r="CH22" s="3">
        <f t="shared" si="10"/>
        <v>1378946.16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42868.17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DG61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EM61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FS61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2">
        <v>17</v>
      </c>
      <c r="B24" s="2">
        <v>1</v>
      </c>
      <c r="C24" s="2">
        <f>ROW(SmtRes!A2)</f>
        <v>2</v>
      </c>
      <c r="D24" s="2">
        <f>ROW(EtalonRes!A2)</f>
        <v>2</v>
      </c>
      <c r="E24" s="2" t="s">
        <v>17</v>
      </c>
      <c r="F24" s="2" t="s">
        <v>18</v>
      </c>
      <c r="G24" s="2" t="s">
        <v>19</v>
      </c>
      <c r="H24" s="2" t="s">
        <v>20</v>
      </c>
      <c r="I24" s="2">
        <f>ROUND(40*13/100,7)</f>
        <v>5.2</v>
      </c>
      <c r="J24" s="2">
        <v>0</v>
      </c>
      <c r="K24" s="2">
        <f>ROUND(40*13/100,7)</f>
        <v>5.2</v>
      </c>
      <c r="L24" s="2"/>
      <c r="M24" s="2"/>
      <c r="N24" s="2"/>
      <c r="O24" s="2">
        <f t="shared" ref="O24:O57" si="14">ROUND(CP24,2)</f>
        <v>14872.45</v>
      </c>
      <c r="P24" s="2">
        <f>SUMIF(SmtRes!AQ1:'SmtRes'!AQ2,"=1",SmtRes!DF1:'SmtRes'!DF2)</f>
        <v>0</v>
      </c>
      <c r="Q24" s="2">
        <f>SUMIF(SmtRes!AQ1:'SmtRes'!AQ2,"=1",SmtRes!DG1:'SmtRes'!DG2)</f>
        <v>174.6</v>
      </c>
      <c r="R24" s="2">
        <f>SUMIF(SmtRes!AQ1:'SmtRes'!AQ2,"=1",SmtRes!DH1:'SmtRes'!DH2)</f>
        <v>0</v>
      </c>
      <c r="S24" s="2">
        <f>SUMIF(SmtRes!AQ1:'SmtRes'!AQ2,"=1",SmtRes!DI1:'SmtRes'!DI2)</f>
        <v>14697.85</v>
      </c>
      <c r="T24" s="2">
        <f t="shared" ref="T24:T57" si="15">ROUND(CU24*I24,2)</f>
        <v>0</v>
      </c>
      <c r="U24" s="2">
        <f>SUMIF(SmtRes!AQ1:'SmtRes'!AQ2,"=1",SmtRes!CV1:'SmtRes'!CV2)</f>
        <v>44.616</v>
      </c>
      <c r="V24" s="2">
        <f>SUMIF(SmtRes!AQ1:'SmtRes'!AQ2,"=1",SmtRes!CW1:'SmtRes'!CW2)</f>
        <v>0</v>
      </c>
      <c r="W24" s="2">
        <f t="shared" ref="W24:W57" si="16">ROUND(CX24*I24,2)</f>
        <v>0</v>
      </c>
      <c r="X24" s="2">
        <f t="shared" ref="X24:X57" si="17">ROUND(CY24,2)</f>
        <v>13375.04</v>
      </c>
      <c r="Y24" s="2">
        <f t="shared" ref="Y24:Y57" si="18">ROUND(CZ24,2)</f>
        <v>7642.88</v>
      </c>
      <c r="Z24" s="2"/>
      <c r="AA24" s="2">
        <v>55860754</v>
      </c>
      <c r="AB24" s="2">
        <f t="shared" ref="AB24:AB57" si="19">ROUND((AC24+AD24+AF24),6)</f>
        <v>2848.0354000000002</v>
      </c>
      <c r="AC24" s="2">
        <f>ROUND((0),6)</f>
        <v>0</v>
      </c>
      <c r="AD24" s="2">
        <f>ROUND((((SUM(SmtRes!BR1:'SmtRes'!BR2))-(0))+AE24),6)</f>
        <v>21.526</v>
      </c>
      <c r="AE24" s="2">
        <f>ROUND((0),6)</f>
        <v>0</v>
      </c>
      <c r="AF24" s="2">
        <f>ROUND((SUM(SmtRes!BT1:'SmtRes'!BT2)),6)</f>
        <v>2826.5093999999999</v>
      </c>
      <c r="AG24" s="2">
        <f t="shared" ref="AG24:AG57" si="20">ROUND((AP24),6)</f>
        <v>0</v>
      </c>
      <c r="AH24" s="2">
        <f>(SUM(SmtRes!BU1:'SmtRes'!BU2))</f>
        <v>8.58</v>
      </c>
      <c r="AI24" s="2">
        <f>(0)</f>
        <v>0</v>
      </c>
      <c r="AJ24" s="2">
        <f t="shared" ref="AJ24:AJ57" si="21">(AS24)</f>
        <v>0</v>
      </c>
      <c r="AK24" s="2">
        <v>2848.0353999999998</v>
      </c>
      <c r="AL24" s="2">
        <v>0</v>
      </c>
      <c r="AM24" s="2">
        <v>21.525999999999996</v>
      </c>
      <c r="AN24" s="2">
        <v>0</v>
      </c>
      <c r="AO24" s="2">
        <v>2826.5093999999999</v>
      </c>
      <c r="AP24" s="2">
        <v>0</v>
      </c>
      <c r="AQ24" s="2">
        <v>8.58</v>
      </c>
      <c r="AR24" s="2">
        <v>0</v>
      </c>
      <c r="AS24" s="2">
        <v>0</v>
      </c>
      <c r="AT24" s="2">
        <v>91</v>
      </c>
      <c r="AU24" s="2">
        <v>52</v>
      </c>
      <c r="AV24" s="2">
        <v>1</v>
      </c>
      <c r="AW24" s="2">
        <v>1</v>
      </c>
      <c r="AX24" s="2"/>
      <c r="AY24" s="2"/>
      <c r="AZ24" s="2">
        <v>1</v>
      </c>
      <c r="BA24" s="2">
        <v>1</v>
      </c>
      <c r="BB24" s="2">
        <v>1</v>
      </c>
      <c r="BC24" s="2">
        <v>1</v>
      </c>
      <c r="BD24" s="2" t="s">
        <v>3</v>
      </c>
      <c r="BE24" s="2" t="s">
        <v>3</v>
      </c>
      <c r="BF24" s="2" t="s">
        <v>3</v>
      </c>
      <c r="BG24" s="2" t="s">
        <v>3</v>
      </c>
      <c r="BH24" s="2">
        <v>0</v>
      </c>
      <c r="BI24" s="2">
        <v>1</v>
      </c>
      <c r="BJ24" s="2" t="s">
        <v>21</v>
      </c>
      <c r="BK24" s="2"/>
      <c r="BL24" s="2"/>
      <c r="BM24" s="2">
        <v>46003</v>
      </c>
      <c r="BN24" s="2">
        <v>0</v>
      </c>
      <c r="BO24" s="2" t="s">
        <v>3</v>
      </c>
      <c r="BP24" s="2">
        <v>0</v>
      </c>
      <c r="BQ24" s="2">
        <v>2</v>
      </c>
      <c r="BR24" s="2">
        <v>0</v>
      </c>
      <c r="BS24" s="2">
        <v>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 t="s">
        <v>3</v>
      </c>
      <c r="BZ24" s="2">
        <v>91</v>
      </c>
      <c r="CA24" s="2">
        <v>52</v>
      </c>
      <c r="CB24" s="2" t="s">
        <v>3</v>
      </c>
      <c r="CC24" s="2"/>
      <c r="CD24" s="2"/>
      <c r="CE24" s="2">
        <v>0</v>
      </c>
      <c r="CF24" s="2">
        <v>0</v>
      </c>
      <c r="CG24" s="2">
        <v>0</v>
      </c>
      <c r="CH24" s="2"/>
      <c r="CI24" s="2"/>
      <c r="CJ24" s="2"/>
      <c r="CK24" s="2"/>
      <c r="CL24" s="2"/>
      <c r="CM24" s="2">
        <v>0</v>
      </c>
      <c r="CN24" s="2" t="s">
        <v>3</v>
      </c>
      <c r="CO24" s="2">
        <v>0</v>
      </c>
      <c r="CP24" s="2">
        <f t="shared" ref="CP24:CP57" si="22">(P24+Q24+S24+R24)</f>
        <v>14872.45</v>
      </c>
      <c r="CQ24" s="2">
        <f>SUMIF(SmtRes!AQ1:'SmtRes'!AQ2,"=1",SmtRes!AA1:'SmtRes'!AA2)</f>
        <v>0</v>
      </c>
      <c r="CR24" s="2">
        <f>SUMIF(SmtRes!AQ1:'SmtRes'!AQ2,"=1",SmtRes!AB1:'SmtRes'!AB2)</f>
        <v>17.86</v>
      </c>
      <c r="CS24" s="2">
        <f>SUMIF(SmtRes!AQ1:'SmtRes'!AQ2,"=1",SmtRes!AC1:'SmtRes'!AC2)</f>
        <v>0</v>
      </c>
      <c r="CT24" s="2">
        <f>SUMIF(SmtRes!AQ1:'SmtRes'!AQ2,"=1",SmtRes!AD1:'SmtRes'!AD2)</f>
        <v>329.43</v>
      </c>
      <c r="CU24" s="2">
        <f t="shared" ref="CU24:CU57" si="23">AG24</f>
        <v>0</v>
      </c>
      <c r="CV24" s="2">
        <f>SUMIF(SmtRes!AQ1:'SmtRes'!AQ2,"=1",SmtRes!BU1:'SmtRes'!BU2)</f>
        <v>8.58</v>
      </c>
      <c r="CW24" s="2">
        <f>SUMIF(SmtRes!AQ1:'SmtRes'!AQ2,"=1",SmtRes!BV1:'SmtRes'!BV2)</f>
        <v>0</v>
      </c>
      <c r="CX24" s="2">
        <f t="shared" ref="CX24:CX57" si="24">AJ24</f>
        <v>0</v>
      </c>
      <c r="CY24" s="2">
        <f t="shared" ref="CY24:CY57" si="25">(((S24+R24)*AT24)/100)</f>
        <v>13375.043500000002</v>
      </c>
      <c r="CZ24" s="2">
        <f t="shared" ref="CZ24:CZ57" si="26">(((S24+R24)*AU24)/100)</f>
        <v>7642.8820000000005</v>
      </c>
      <c r="DA24" s="2"/>
      <c r="DB24" s="2"/>
      <c r="DC24" s="2" t="s">
        <v>3</v>
      </c>
      <c r="DD24" s="2" t="s">
        <v>3</v>
      </c>
      <c r="DE24" s="2" t="s">
        <v>3</v>
      </c>
      <c r="DF24" s="2" t="s">
        <v>3</v>
      </c>
      <c r="DG24" s="2" t="s">
        <v>3</v>
      </c>
      <c r="DH24" s="2" t="s">
        <v>3</v>
      </c>
      <c r="DI24" s="2" t="s">
        <v>3</v>
      </c>
      <c r="DJ24" s="2" t="s">
        <v>3</v>
      </c>
      <c r="DK24" s="2" t="s">
        <v>3</v>
      </c>
      <c r="DL24" s="2" t="s">
        <v>3</v>
      </c>
      <c r="DM24" s="2" t="s">
        <v>3</v>
      </c>
      <c r="DN24" s="2">
        <v>0</v>
      </c>
      <c r="DO24" s="2">
        <v>0</v>
      </c>
      <c r="DP24" s="2">
        <v>1</v>
      </c>
      <c r="DQ24" s="2">
        <v>1</v>
      </c>
      <c r="DR24" s="2"/>
      <c r="DS24" s="2"/>
      <c r="DT24" s="2"/>
      <c r="DU24" s="2">
        <v>1005</v>
      </c>
      <c r="DV24" s="2" t="s">
        <v>20</v>
      </c>
      <c r="DW24" s="2" t="s">
        <v>20</v>
      </c>
      <c r="DX24" s="2">
        <v>100</v>
      </c>
      <c r="DY24" s="2"/>
      <c r="DZ24" s="2" t="s">
        <v>3</v>
      </c>
      <c r="EA24" s="2" t="s">
        <v>3</v>
      </c>
      <c r="EB24" s="2" t="s">
        <v>3</v>
      </c>
      <c r="EC24" s="2" t="s">
        <v>3</v>
      </c>
      <c r="ED24" s="2"/>
      <c r="EE24" s="2">
        <v>54459166</v>
      </c>
      <c r="EF24" s="2">
        <v>2</v>
      </c>
      <c r="EG24" s="2" t="s">
        <v>22</v>
      </c>
      <c r="EH24" s="2">
        <v>40</v>
      </c>
      <c r="EI24" s="2" t="s">
        <v>23</v>
      </c>
      <c r="EJ24" s="2">
        <v>1</v>
      </c>
      <c r="EK24" s="2">
        <v>46003</v>
      </c>
      <c r="EL24" s="2" t="s">
        <v>24</v>
      </c>
      <c r="EM24" s="2" t="s">
        <v>25</v>
      </c>
      <c r="EN24" s="2"/>
      <c r="EO24" s="2" t="s">
        <v>3</v>
      </c>
      <c r="EP24" s="2"/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8.58</v>
      </c>
      <c r="EX24" s="2">
        <v>0</v>
      </c>
      <c r="EY24" s="2">
        <v>0</v>
      </c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>
        <v>0</v>
      </c>
      <c r="FR24" s="2">
        <v>0</v>
      </c>
      <c r="FS24" s="2">
        <v>0</v>
      </c>
      <c r="FT24" s="2"/>
      <c r="FU24" s="2"/>
      <c r="FV24" s="2"/>
      <c r="FW24" s="2"/>
      <c r="FX24" s="2">
        <v>91</v>
      </c>
      <c r="FY24" s="2">
        <v>52</v>
      </c>
      <c r="FZ24" s="2"/>
      <c r="GA24" s="2" t="s">
        <v>3</v>
      </c>
      <c r="GB24" s="2"/>
      <c r="GC24" s="2"/>
      <c r="GD24" s="2">
        <v>1</v>
      </c>
      <c r="GE24" s="2"/>
      <c r="GF24" s="2">
        <v>-767061417</v>
      </c>
      <c r="GG24" s="2">
        <v>2</v>
      </c>
      <c r="GH24" s="2">
        <v>1</v>
      </c>
      <c r="GI24" s="2">
        <v>-2</v>
      </c>
      <c r="GJ24" s="2">
        <v>0</v>
      </c>
      <c r="GK24" s="2">
        <v>0</v>
      </c>
      <c r="GL24" s="2">
        <f t="shared" ref="GL24:GL59" si="27">ROUND(IF(AND(BH24=3,BI24=3,FS24&lt;&gt;0),P24,0),2)</f>
        <v>0</v>
      </c>
      <c r="GM24" s="2">
        <f t="shared" ref="GM24:GM57" si="28">ROUND(O24+X24+Y24,2)+GX24</f>
        <v>35890.370000000003</v>
      </c>
      <c r="GN24" s="2">
        <f t="shared" ref="GN24:GN59" si="29">IF(OR(BI24=0,BI24=1),GM24-GX24,0)</f>
        <v>35890.370000000003</v>
      </c>
      <c r="GO24" s="2">
        <f t="shared" ref="GO24:GO59" si="30">IF(BI24=2,GM24-GX24,0)</f>
        <v>0</v>
      </c>
      <c r="GP24" s="2">
        <f t="shared" ref="GP24:GP59" si="31">IF(BI24=4,GM24-GX24,0)</f>
        <v>0</v>
      </c>
      <c r="GQ24" s="2"/>
      <c r="GR24" s="2">
        <v>0</v>
      </c>
      <c r="GS24" s="2">
        <v>3</v>
      </c>
      <c r="GT24" s="2">
        <v>0</v>
      </c>
      <c r="GU24" s="2" t="s">
        <v>3</v>
      </c>
      <c r="GV24" s="2">
        <f t="shared" ref="GV24:GV57" si="32">ROUND((GT24),6)</f>
        <v>0</v>
      </c>
      <c r="GW24" s="2">
        <v>1</v>
      </c>
      <c r="GX24" s="2">
        <f t="shared" ref="GX24:GX57" si="33">ROUND(HC24*I24,2)</f>
        <v>0</v>
      </c>
      <c r="GY24" s="2"/>
      <c r="GZ24" s="2"/>
      <c r="HA24" s="2">
        <v>0</v>
      </c>
      <c r="HB24" s="2">
        <v>0</v>
      </c>
      <c r="HC24" s="2">
        <f t="shared" ref="HC24:HC57" si="34">GV24*GW24</f>
        <v>0</v>
      </c>
      <c r="HD24" s="2"/>
      <c r="HE24" s="2" t="s">
        <v>3</v>
      </c>
      <c r="HF24" s="2" t="s">
        <v>3</v>
      </c>
      <c r="HG24" s="2"/>
      <c r="HH24" s="2"/>
      <c r="HI24" s="2"/>
      <c r="HJ24" s="2"/>
      <c r="HK24" s="2"/>
      <c r="HL24" s="2"/>
      <c r="HM24" s="2" t="s">
        <v>3</v>
      </c>
      <c r="HN24" s="2" t="s">
        <v>26</v>
      </c>
      <c r="HO24" s="2" t="s">
        <v>27</v>
      </c>
      <c r="HP24" s="2" t="s">
        <v>24</v>
      </c>
      <c r="HQ24" s="2" t="s">
        <v>24</v>
      </c>
      <c r="HR24" s="2"/>
      <c r="HS24" s="2">
        <v>0</v>
      </c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>
        <v>0</v>
      </c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 x14ac:dyDescent="0.2">
      <c r="A25" s="2">
        <v>17</v>
      </c>
      <c r="B25" s="2">
        <v>1</v>
      </c>
      <c r="C25" s="2">
        <f>ROW(SmtRes!A6)</f>
        <v>6</v>
      </c>
      <c r="D25" s="2">
        <f>ROW(EtalonRes!A6)</f>
        <v>6</v>
      </c>
      <c r="E25" s="2" t="s">
        <v>28</v>
      </c>
      <c r="F25" s="2" t="s">
        <v>29</v>
      </c>
      <c r="G25" s="2" t="s">
        <v>30</v>
      </c>
      <c r="H25" s="2" t="s">
        <v>20</v>
      </c>
      <c r="I25" s="2">
        <f>ROUND(520/100,7)</f>
        <v>5.2</v>
      </c>
      <c r="J25" s="2">
        <v>0</v>
      </c>
      <c r="K25" s="2">
        <f>ROUND(520/100,7)</f>
        <v>5.2</v>
      </c>
      <c r="L25" s="2"/>
      <c r="M25" s="2"/>
      <c r="N25" s="2"/>
      <c r="O25" s="2">
        <f t="shared" si="14"/>
        <v>30374.25</v>
      </c>
      <c r="P25" s="2">
        <f>SUMIF(SmtRes!AQ3:'SmtRes'!AQ6,"=1",SmtRes!DF3:'SmtRes'!DF6)</f>
        <v>0</v>
      </c>
      <c r="Q25" s="2">
        <f>SUMIF(SmtRes!AQ3:'SmtRes'!AQ6,"=1",SmtRes!DG3:'SmtRes'!DG6)</f>
        <v>2626.42</v>
      </c>
      <c r="R25" s="2">
        <f>SUMIF(SmtRes!AQ3:'SmtRes'!AQ6,"=1",SmtRes!DH3:'SmtRes'!DH6)</f>
        <v>1301.27</v>
      </c>
      <c r="S25" s="2">
        <f>SUMIF(SmtRes!AQ3:'SmtRes'!AQ6,"=1",SmtRes!DI3:'SmtRes'!DI6)</f>
        <v>26446.560000000001</v>
      </c>
      <c r="T25" s="2">
        <f t="shared" si="15"/>
        <v>0</v>
      </c>
      <c r="U25" s="2">
        <f>SUMIF(SmtRes!AQ3:'SmtRes'!AQ6,"=1",SmtRes!CV3:'SmtRes'!CV6)</f>
        <v>78.831999999999994</v>
      </c>
      <c r="V25" s="2">
        <f>SUMIF(SmtRes!AQ3:'SmtRes'!AQ6,"=1",SmtRes!CW3:'SmtRes'!CW6)</f>
        <v>2.3919999999999999</v>
      </c>
      <c r="W25" s="2">
        <f t="shared" si="16"/>
        <v>0</v>
      </c>
      <c r="X25" s="2">
        <f t="shared" si="17"/>
        <v>24973.05</v>
      </c>
      <c r="Y25" s="2">
        <f t="shared" si="18"/>
        <v>12764</v>
      </c>
      <c r="Z25" s="2"/>
      <c r="AA25" s="2">
        <v>55860754</v>
      </c>
      <c r="AB25" s="2">
        <f t="shared" si="19"/>
        <v>5590.9567999999999</v>
      </c>
      <c r="AC25" s="2">
        <f>ROUND((0),6)</f>
        <v>0</v>
      </c>
      <c r="AD25" s="2">
        <f>ROUND((((SUM(SmtRes!BR3:'SmtRes'!BR6))-(SUM(SmtRes!BS3:'SmtRes'!BS6)))+AE25),6)</f>
        <v>505.08</v>
      </c>
      <c r="AE25" s="2">
        <f>ROUND((SUM(SmtRes!BS3:'SmtRes'!BS6)),6)</f>
        <v>250.24459999999999</v>
      </c>
      <c r="AF25" s="2">
        <f>ROUND((SUM(SmtRes!BT3:'SmtRes'!BT6)),6)</f>
        <v>5085.8768</v>
      </c>
      <c r="AG25" s="2">
        <f t="shared" si="20"/>
        <v>0</v>
      </c>
      <c r="AH25" s="2">
        <f>(SUM(SmtRes!BU3:'SmtRes'!BU6))</f>
        <v>15.16</v>
      </c>
      <c r="AI25" s="2">
        <f>(SUM(SmtRes!BV3:'SmtRes'!BV6))</f>
        <v>0.46</v>
      </c>
      <c r="AJ25" s="2">
        <f t="shared" si="21"/>
        <v>0</v>
      </c>
      <c r="AK25" s="2">
        <v>5841.2013999999999</v>
      </c>
      <c r="AL25" s="2">
        <v>0</v>
      </c>
      <c r="AM25" s="2">
        <v>505.08000000000004</v>
      </c>
      <c r="AN25" s="2">
        <v>250.24460000000002</v>
      </c>
      <c r="AO25" s="2">
        <v>5085.8768</v>
      </c>
      <c r="AP25" s="2">
        <v>0</v>
      </c>
      <c r="AQ25" s="2">
        <v>15.16</v>
      </c>
      <c r="AR25" s="2">
        <v>0.46</v>
      </c>
      <c r="AS25" s="2">
        <v>0</v>
      </c>
      <c r="AT25" s="2">
        <v>90</v>
      </c>
      <c r="AU25" s="2">
        <v>46</v>
      </c>
      <c r="AV25" s="2">
        <v>1</v>
      </c>
      <c r="AW25" s="2">
        <v>1</v>
      </c>
      <c r="AX25" s="2"/>
      <c r="AY25" s="2"/>
      <c r="AZ25" s="2">
        <v>1</v>
      </c>
      <c r="BA25" s="2">
        <v>1</v>
      </c>
      <c r="BB25" s="2">
        <v>1</v>
      </c>
      <c r="BC25" s="2">
        <v>1</v>
      </c>
      <c r="BD25" s="2" t="s">
        <v>3</v>
      </c>
      <c r="BE25" s="2" t="s">
        <v>3</v>
      </c>
      <c r="BF25" s="2" t="s">
        <v>3</v>
      </c>
      <c r="BG25" s="2" t="s">
        <v>3</v>
      </c>
      <c r="BH25" s="2">
        <v>0</v>
      </c>
      <c r="BI25" s="2">
        <v>1</v>
      </c>
      <c r="BJ25" s="2" t="s">
        <v>31</v>
      </c>
      <c r="BK25" s="2"/>
      <c r="BL25" s="2"/>
      <c r="BM25" s="2">
        <v>58001</v>
      </c>
      <c r="BN25" s="2">
        <v>0</v>
      </c>
      <c r="BO25" s="2" t="s">
        <v>3</v>
      </c>
      <c r="BP25" s="2">
        <v>0</v>
      </c>
      <c r="BQ25" s="2">
        <v>6</v>
      </c>
      <c r="BR25" s="2">
        <v>0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 t="s">
        <v>3</v>
      </c>
      <c r="BZ25" s="2">
        <v>90</v>
      </c>
      <c r="CA25" s="2">
        <v>46</v>
      </c>
      <c r="CB25" s="2" t="s">
        <v>3</v>
      </c>
      <c r="CC25" s="2"/>
      <c r="CD25" s="2"/>
      <c r="CE25" s="2">
        <v>0</v>
      </c>
      <c r="CF25" s="2">
        <v>0</v>
      </c>
      <c r="CG25" s="2">
        <v>0</v>
      </c>
      <c r="CH25" s="2"/>
      <c r="CI25" s="2"/>
      <c r="CJ25" s="2"/>
      <c r="CK25" s="2"/>
      <c r="CL25" s="2"/>
      <c r="CM25" s="2">
        <v>0</v>
      </c>
      <c r="CN25" s="2" t="s">
        <v>3</v>
      </c>
      <c r="CO25" s="2">
        <v>0</v>
      </c>
      <c r="CP25" s="2">
        <f t="shared" si="22"/>
        <v>30374.250000000004</v>
      </c>
      <c r="CQ25" s="2">
        <f>SUMIF(SmtRes!AQ3:'SmtRes'!AQ6,"=1",SmtRes!AA3:'SmtRes'!AA6)</f>
        <v>0</v>
      </c>
      <c r="CR25" s="2">
        <f>SUMIF(SmtRes!AQ3:'SmtRes'!AQ6,"=1",SmtRes!AB3:'SmtRes'!AB6)</f>
        <v>1098</v>
      </c>
      <c r="CS25" s="2">
        <f>SUMIF(SmtRes!AQ3:'SmtRes'!AQ6,"=1",SmtRes!AC3:'SmtRes'!AC6)</f>
        <v>544.01</v>
      </c>
      <c r="CT25" s="2">
        <f>SUMIF(SmtRes!AQ3:'SmtRes'!AQ6,"=1",SmtRes!AD3:'SmtRes'!AD6)</f>
        <v>335.48</v>
      </c>
      <c r="CU25" s="2">
        <f t="shared" si="23"/>
        <v>0</v>
      </c>
      <c r="CV25" s="2">
        <f>SUMIF(SmtRes!AQ3:'SmtRes'!AQ6,"=1",SmtRes!BU3:'SmtRes'!BU6)</f>
        <v>15.16</v>
      </c>
      <c r="CW25" s="2">
        <f>SUMIF(SmtRes!AQ3:'SmtRes'!AQ6,"=1",SmtRes!BV3:'SmtRes'!BV6)</f>
        <v>0.46</v>
      </c>
      <c r="CX25" s="2">
        <f t="shared" si="24"/>
        <v>0</v>
      </c>
      <c r="CY25" s="2">
        <f t="shared" si="25"/>
        <v>24973.047000000002</v>
      </c>
      <c r="CZ25" s="2">
        <f t="shared" si="26"/>
        <v>12764.001800000002</v>
      </c>
      <c r="DA25" s="2"/>
      <c r="DB25" s="2"/>
      <c r="DC25" s="2" t="s">
        <v>3</v>
      </c>
      <c r="DD25" s="2" t="s">
        <v>3</v>
      </c>
      <c r="DE25" s="2" t="s">
        <v>3</v>
      </c>
      <c r="DF25" s="2" t="s">
        <v>3</v>
      </c>
      <c r="DG25" s="2" t="s">
        <v>3</v>
      </c>
      <c r="DH25" s="2" t="s">
        <v>3</v>
      </c>
      <c r="DI25" s="2" t="s">
        <v>3</v>
      </c>
      <c r="DJ25" s="2" t="s">
        <v>3</v>
      </c>
      <c r="DK25" s="2" t="s">
        <v>3</v>
      </c>
      <c r="DL25" s="2" t="s">
        <v>3</v>
      </c>
      <c r="DM25" s="2" t="s">
        <v>3</v>
      </c>
      <c r="DN25" s="2">
        <v>0</v>
      </c>
      <c r="DO25" s="2">
        <v>0</v>
      </c>
      <c r="DP25" s="2">
        <v>1</v>
      </c>
      <c r="DQ25" s="2">
        <v>1</v>
      </c>
      <c r="DR25" s="2"/>
      <c r="DS25" s="2"/>
      <c r="DT25" s="2"/>
      <c r="DU25" s="2">
        <v>1005</v>
      </c>
      <c r="DV25" s="2" t="s">
        <v>20</v>
      </c>
      <c r="DW25" s="2" t="s">
        <v>20</v>
      </c>
      <c r="DX25" s="2">
        <v>100</v>
      </c>
      <c r="DY25" s="2"/>
      <c r="DZ25" s="2" t="s">
        <v>3</v>
      </c>
      <c r="EA25" s="2" t="s">
        <v>3</v>
      </c>
      <c r="EB25" s="2" t="s">
        <v>3</v>
      </c>
      <c r="EC25" s="2" t="s">
        <v>3</v>
      </c>
      <c r="ED25" s="2"/>
      <c r="EE25" s="2">
        <v>54459004</v>
      </c>
      <c r="EF25" s="2">
        <v>6</v>
      </c>
      <c r="EG25" s="2" t="s">
        <v>32</v>
      </c>
      <c r="EH25" s="2">
        <v>92</v>
      </c>
      <c r="EI25" s="2" t="s">
        <v>33</v>
      </c>
      <c r="EJ25" s="2">
        <v>1</v>
      </c>
      <c r="EK25" s="2">
        <v>58001</v>
      </c>
      <c r="EL25" s="2" t="s">
        <v>33</v>
      </c>
      <c r="EM25" s="2" t="s">
        <v>34</v>
      </c>
      <c r="EN25" s="2"/>
      <c r="EO25" s="2" t="s">
        <v>3</v>
      </c>
      <c r="EP25" s="2"/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15.16</v>
      </c>
      <c r="EX25" s="2">
        <v>0.46</v>
      </c>
      <c r="EY25" s="2">
        <v>0</v>
      </c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>
        <v>0</v>
      </c>
      <c r="FR25" s="2">
        <v>0</v>
      </c>
      <c r="FS25" s="2">
        <v>0</v>
      </c>
      <c r="FT25" s="2"/>
      <c r="FU25" s="2"/>
      <c r="FV25" s="2"/>
      <c r="FW25" s="2"/>
      <c r="FX25" s="2">
        <v>90</v>
      </c>
      <c r="FY25" s="2">
        <v>46</v>
      </c>
      <c r="FZ25" s="2"/>
      <c r="GA25" s="2" t="s">
        <v>3</v>
      </c>
      <c r="GB25" s="2"/>
      <c r="GC25" s="2"/>
      <c r="GD25" s="2">
        <v>1</v>
      </c>
      <c r="GE25" s="2"/>
      <c r="GF25" s="2">
        <v>668933849</v>
      </c>
      <c r="GG25" s="2">
        <v>2</v>
      </c>
      <c r="GH25" s="2">
        <v>1</v>
      </c>
      <c r="GI25" s="2">
        <v>-2</v>
      </c>
      <c r="GJ25" s="2">
        <v>0</v>
      </c>
      <c r="GK25" s="2">
        <v>0</v>
      </c>
      <c r="GL25" s="2">
        <f t="shared" si="27"/>
        <v>0</v>
      </c>
      <c r="GM25" s="2">
        <f t="shared" si="28"/>
        <v>68111.3</v>
      </c>
      <c r="GN25" s="2">
        <f t="shared" si="29"/>
        <v>68111.3</v>
      </c>
      <c r="GO25" s="2">
        <f t="shared" si="30"/>
        <v>0</v>
      </c>
      <c r="GP25" s="2">
        <f t="shared" si="31"/>
        <v>0</v>
      </c>
      <c r="GQ25" s="2"/>
      <c r="GR25" s="2">
        <v>0</v>
      </c>
      <c r="GS25" s="2">
        <v>3</v>
      </c>
      <c r="GT25" s="2">
        <v>0</v>
      </c>
      <c r="GU25" s="2" t="s">
        <v>3</v>
      </c>
      <c r="GV25" s="2">
        <f t="shared" si="32"/>
        <v>0</v>
      </c>
      <c r="GW25" s="2">
        <v>1</v>
      </c>
      <c r="GX25" s="2">
        <f t="shared" si="33"/>
        <v>0</v>
      </c>
      <c r="GY25" s="2"/>
      <c r="GZ25" s="2"/>
      <c r="HA25" s="2">
        <v>0</v>
      </c>
      <c r="HB25" s="2">
        <v>0</v>
      </c>
      <c r="HC25" s="2">
        <f t="shared" si="34"/>
        <v>0</v>
      </c>
      <c r="HD25" s="2"/>
      <c r="HE25" s="2" t="s">
        <v>3</v>
      </c>
      <c r="HF25" s="2" t="s">
        <v>3</v>
      </c>
      <c r="HG25" s="2"/>
      <c r="HH25" s="2"/>
      <c r="HI25" s="2"/>
      <c r="HJ25" s="2"/>
      <c r="HK25" s="2"/>
      <c r="HL25" s="2"/>
      <c r="HM25" s="2" t="s">
        <v>3</v>
      </c>
      <c r="HN25" s="2" t="s">
        <v>35</v>
      </c>
      <c r="HO25" s="2" t="s">
        <v>36</v>
      </c>
      <c r="HP25" s="2" t="s">
        <v>37</v>
      </c>
      <c r="HQ25" s="2" t="s">
        <v>37</v>
      </c>
      <c r="HR25" s="2"/>
      <c r="HS25" s="2">
        <v>0</v>
      </c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>
        <v>0</v>
      </c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 x14ac:dyDescent="0.2">
      <c r="A26" s="2">
        <v>18</v>
      </c>
      <c r="B26" s="2">
        <v>1</v>
      </c>
      <c r="C26" s="2">
        <v>6</v>
      </c>
      <c r="D26" s="2"/>
      <c r="E26" s="2" t="s">
        <v>38</v>
      </c>
      <c r="F26" s="2" t="s">
        <v>39</v>
      </c>
      <c r="G26" s="2" t="s">
        <v>40</v>
      </c>
      <c r="H26" s="2" t="s">
        <v>41</v>
      </c>
      <c r="I26" s="2">
        <f>I25*J26</f>
        <v>7.2799999999999994</v>
      </c>
      <c r="J26" s="2">
        <v>1.4</v>
      </c>
      <c r="K26" s="2">
        <v>1.4</v>
      </c>
      <c r="L26" s="2"/>
      <c r="M26" s="2"/>
      <c r="N26" s="2"/>
      <c r="O26" s="2">
        <f t="shared" si="14"/>
        <v>0</v>
      </c>
      <c r="P26" s="2">
        <f>ROUND(CQ26*I26,2)</f>
        <v>0</v>
      </c>
      <c r="Q26" s="2">
        <f>ROUND(CR26*I26,2)</f>
        <v>0</v>
      </c>
      <c r="R26" s="2">
        <f>ROUND(CS26*I26,2)</f>
        <v>0</v>
      </c>
      <c r="S26" s="2">
        <f>ROUND(CT26*I26,2)</f>
        <v>0</v>
      </c>
      <c r="T26" s="2">
        <f t="shared" si="15"/>
        <v>0</v>
      </c>
      <c r="U26" s="2">
        <f>ROUND(CV26*I26,7)</f>
        <v>0</v>
      </c>
      <c r="V26" s="2">
        <f>ROUND(CW26*I26,7)</f>
        <v>0</v>
      </c>
      <c r="W26" s="2">
        <f t="shared" si="16"/>
        <v>0</v>
      </c>
      <c r="X26" s="2">
        <f t="shared" si="17"/>
        <v>0</v>
      </c>
      <c r="Y26" s="2">
        <f t="shared" si="18"/>
        <v>0</v>
      </c>
      <c r="Z26" s="2"/>
      <c r="AA26" s="2">
        <v>55860754</v>
      </c>
      <c r="AB26" s="2">
        <f t="shared" si="19"/>
        <v>0</v>
      </c>
      <c r="AC26" s="2">
        <f>ROUND((ES26),6)</f>
        <v>0</v>
      </c>
      <c r="AD26" s="2">
        <f>ROUND((((ET26)-(EU26))+AE26),6)</f>
        <v>0</v>
      </c>
      <c r="AE26" s="2">
        <f>ROUND((EU26),6)</f>
        <v>0</v>
      </c>
      <c r="AF26" s="2">
        <f>ROUND((EV26),6)</f>
        <v>0</v>
      </c>
      <c r="AG26" s="2">
        <f t="shared" si="20"/>
        <v>0</v>
      </c>
      <c r="AH26" s="2">
        <f>(EW26)</f>
        <v>0</v>
      </c>
      <c r="AI26" s="2">
        <f>(EX26)</f>
        <v>0</v>
      </c>
      <c r="AJ26" s="2">
        <f t="shared" si="21"/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90</v>
      </c>
      <c r="AU26" s="2">
        <v>46</v>
      </c>
      <c r="AV26" s="2">
        <v>1</v>
      </c>
      <c r="AW26" s="2">
        <v>1</v>
      </c>
      <c r="AX26" s="2"/>
      <c r="AY26" s="2"/>
      <c r="AZ26" s="2">
        <v>1</v>
      </c>
      <c r="BA26" s="2">
        <v>1</v>
      </c>
      <c r="BB26" s="2">
        <v>1</v>
      </c>
      <c r="BC26" s="2">
        <v>1</v>
      </c>
      <c r="BD26" s="2" t="s">
        <v>3</v>
      </c>
      <c r="BE26" s="2" t="s">
        <v>3</v>
      </c>
      <c r="BF26" s="2" t="s">
        <v>3</v>
      </c>
      <c r="BG26" s="2" t="s">
        <v>3</v>
      </c>
      <c r="BH26" s="2">
        <v>3</v>
      </c>
      <c r="BI26" s="2">
        <v>1</v>
      </c>
      <c r="BJ26" s="2" t="s">
        <v>3</v>
      </c>
      <c r="BK26" s="2"/>
      <c r="BL26" s="2"/>
      <c r="BM26" s="2">
        <v>58001</v>
      </c>
      <c r="BN26" s="2">
        <v>0</v>
      </c>
      <c r="BO26" s="2" t="s">
        <v>3</v>
      </c>
      <c r="BP26" s="2">
        <v>0</v>
      </c>
      <c r="BQ26" s="2">
        <v>6</v>
      </c>
      <c r="BR26" s="2">
        <v>0</v>
      </c>
      <c r="BS26" s="2">
        <v>1</v>
      </c>
      <c r="BT26" s="2">
        <v>1</v>
      </c>
      <c r="BU26" s="2">
        <v>1</v>
      </c>
      <c r="BV26" s="2">
        <v>1</v>
      </c>
      <c r="BW26" s="2">
        <v>1</v>
      </c>
      <c r="BX26" s="2">
        <v>1</v>
      </c>
      <c r="BY26" s="2" t="s">
        <v>3</v>
      </c>
      <c r="BZ26" s="2">
        <v>90</v>
      </c>
      <c r="CA26" s="2">
        <v>46</v>
      </c>
      <c r="CB26" s="2" t="s">
        <v>3</v>
      </c>
      <c r="CC26" s="2"/>
      <c r="CD26" s="2"/>
      <c r="CE26" s="2">
        <v>0</v>
      </c>
      <c r="CF26" s="2">
        <v>0</v>
      </c>
      <c r="CG26" s="2">
        <v>0</v>
      </c>
      <c r="CH26" s="2"/>
      <c r="CI26" s="2"/>
      <c r="CJ26" s="2"/>
      <c r="CK26" s="2"/>
      <c r="CL26" s="2"/>
      <c r="CM26" s="2">
        <v>0</v>
      </c>
      <c r="CN26" s="2" t="s">
        <v>3</v>
      </c>
      <c r="CO26" s="2">
        <v>0</v>
      </c>
      <c r="CP26" s="2">
        <f t="shared" si="22"/>
        <v>0</v>
      </c>
      <c r="CQ26" s="2">
        <f>ROUND(AL26*BC26,2)</f>
        <v>0</v>
      </c>
      <c r="CR26" s="2">
        <f>ROUND(AM26*BB26,2)</f>
        <v>0</v>
      </c>
      <c r="CS26" s="2">
        <f>ROUND(AN26*BS26,2)</f>
        <v>0</v>
      </c>
      <c r="CT26" s="2">
        <f>ROUND(AO26*BA26,2)</f>
        <v>0</v>
      </c>
      <c r="CU26" s="2">
        <f t="shared" si="23"/>
        <v>0</v>
      </c>
      <c r="CV26" s="2">
        <f>AH26</f>
        <v>0</v>
      </c>
      <c r="CW26" s="2">
        <f>AI26</f>
        <v>0</v>
      </c>
      <c r="CX26" s="2">
        <f t="shared" si="24"/>
        <v>0</v>
      </c>
      <c r="CY26" s="2">
        <f t="shared" si="25"/>
        <v>0</v>
      </c>
      <c r="CZ26" s="2">
        <f t="shared" si="26"/>
        <v>0</v>
      </c>
      <c r="DA26" s="2"/>
      <c r="DB26" s="2"/>
      <c r="DC26" s="2" t="s">
        <v>3</v>
      </c>
      <c r="DD26" s="2" t="s">
        <v>3</v>
      </c>
      <c r="DE26" s="2" t="s">
        <v>3</v>
      </c>
      <c r="DF26" s="2" t="s">
        <v>3</v>
      </c>
      <c r="DG26" s="2" t="s">
        <v>3</v>
      </c>
      <c r="DH26" s="2" t="s">
        <v>3</v>
      </c>
      <c r="DI26" s="2" t="s">
        <v>3</v>
      </c>
      <c r="DJ26" s="2" t="s">
        <v>3</v>
      </c>
      <c r="DK26" s="2" t="s">
        <v>3</v>
      </c>
      <c r="DL26" s="2" t="s">
        <v>3</v>
      </c>
      <c r="DM26" s="2" t="s">
        <v>3</v>
      </c>
      <c r="DN26" s="2">
        <v>0</v>
      </c>
      <c r="DO26" s="2">
        <v>0</v>
      </c>
      <c r="DP26" s="2">
        <v>1</v>
      </c>
      <c r="DQ26" s="2">
        <v>1</v>
      </c>
      <c r="DR26" s="2"/>
      <c r="DS26" s="2"/>
      <c r="DT26" s="2"/>
      <c r="DU26" s="2">
        <v>1009</v>
      </c>
      <c r="DV26" s="2" t="s">
        <v>41</v>
      </c>
      <c r="DW26" s="2" t="s">
        <v>41</v>
      </c>
      <c r="DX26" s="2">
        <v>1000</v>
      </c>
      <c r="DY26" s="2"/>
      <c r="DZ26" s="2" t="s">
        <v>3</v>
      </c>
      <c r="EA26" s="2" t="s">
        <v>3</v>
      </c>
      <c r="EB26" s="2" t="s">
        <v>3</v>
      </c>
      <c r="EC26" s="2" t="s">
        <v>3</v>
      </c>
      <c r="ED26" s="2"/>
      <c r="EE26" s="2">
        <v>54459004</v>
      </c>
      <c r="EF26" s="2">
        <v>6</v>
      </c>
      <c r="EG26" s="2" t="s">
        <v>32</v>
      </c>
      <c r="EH26" s="2">
        <v>92</v>
      </c>
      <c r="EI26" s="2" t="s">
        <v>33</v>
      </c>
      <c r="EJ26" s="2">
        <v>1</v>
      </c>
      <c r="EK26" s="2">
        <v>58001</v>
      </c>
      <c r="EL26" s="2" t="s">
        <v>33</v>
      </c>
      <c r="EM26" s="2" t="s">
        <v>34</v>
      </c>
      <c r="EN26" s="2"/>
      <c r="EO26" s="2" t="s">
        <v>3</v>
      </c>
      <c r="EP26" s="2"/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>
        <v>0</v>
      </c>
      <c r="FR26" s="2">
        <v>0</v>
      </c>
      <c r="FS26" s="2">
        <v>0</v>
      </c>
      <c r="FT26" s="2"/>
      <c r="FU26" s="2"/>
      <c r="FV26" s="2"/>
      <c r="FW26" s="2"/>
      <c r="FX26" s="2">
        <v>90</v>
      </c>
      <c r="FY26" s="2">
        <v>46</v>
      </c>
      <c r="FZ26" s="2"/>
      <c r="GA26" s="2" t="s">
        <v>3</v>
      </c>
      <c r="GB26" s="2"/>
      <c r="GC26" s="2"/>
      <c r="GD26" s="2">
        <v>1</v>
      </c>
      <c r="GE26" s="2"/>
      <c r="GF26" s="2">
        <v>2102561428</v>
      </c>
      <c r="GG26" s="2">
        <v>2</v>
      </c>
      <c r="GH26" s="2">
        <v>1</v>
      </c>
      <c r="GI26" s="2">
        <v>-2</v>
      </c>
      <c r="GJ26" s="2">
        <v>0</v>
      </c>
      <c r="GK26" s="2">
        <v>0</v>
      </c>
      <c r="GL26" s="2">
        <f t="shared" si="27"/>
        <v>0</v>
      </c>
      <c r="GM26" s="2">
        <f t="shared" si="28"/>
        <v>0</v>
      </c>
      <c r="GN26" s="2">
        <f t="shared" si="29"/>
        <v>0</v>
      </c>
      <c r="GO26" s="2">
        <f t="shared" si="30"/>
        <v>0</v>
      </c>
      <c r="GP26" s="2">
        <f t="shared" si="31"/>
        <v>0</v>
      </c>
      <c r="GQ26" s="2"/>
      <c r="GR26" s="2">
        <v>0</v>
      </c>
      <c r="GS26" s="2">
        <v>3</v>
      </c>
      <c r="GT26" s="2">
        <v>0</v>
      </c>
      <c r="GU26" s="2" t="s">
        <v>3</v>
      </c>
      <c r="GV26" s="2">
        <f t="shared" si="32"/>
        <v>0</v>
      </c>
      <c r="GW26" s="2">
        <v>1</v>
      </c>
      <c r="GX26" s="2">
        <f t="shared" si="33"/>
        <v>0</v>
      </c>
      <c r="GY26" s="2"/>
      <c r="GZ26" s="2"/>
      <c r="HA26" s="2">
        <v>0</v>
      </c>
      <c r="HB26" s="2">
        <v>0</v>
      </c>
      <c r="HC26" s="2">
        <f t="shared" si="34"/>
        <v>0</v>
      </c>
      <c r="HD26" s="2"/>
      <c r="HE26" s="2" t="s">
        <v>3</v>
      </c>
      <c r="HF26" s="2" t="s">
        <v>3</v>
      </c>
      <c r="HG26" s="2"/>
      <c r="HH26" s="2"/>
      <c r="HI26" s="2"/>
      <c r="HJ26" s="2"/>
      <c r="HK26" s="2"/>
      <c r="HL26" s="2"/>
      <c r="HM26" s="2" t="s">
        <v>3</v>
      </c>
      <c r="HN26" s="2" t="s">
        <v>35</v>
      </c>
      <c r="HO26" s="2" t="s">
        <v>36</v>
      </c>
      <c r="HP26" s="2" t="s">
        <v>37</v>
      </c>
      <c r="HQ26" s="2" t="s">
        <v>37</v>
      </c>
      <c r="HR26" s="2"/>
      <c r="HS26" s="2">
        <v>0</v>
      </c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>
        <v>0</v>
      </c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pans="1:255" x14ac:dyDescent="0.2">
      <c r="A27" s="2">
        <v>17</v>
      </c>
      <c r="B27" s="2">
        <v>1</v>
      </c>
      <c r="C27" s="2">
        <f>ROW(SmtRes!A10)</f>
        <v>10</v>
      </c>
      <c r="D27" s="2">
        <f>ROW(EtalonRes!A10)</f>
        <v>10</v>
      </c>
      <c r="E27" s="2" t="s">
        <v>42</v>
      </c>
      <c r="F27" s="2" t="s">
        <v>43</v>
      </c>
      <c r="G27" s="2" t="s">
        <v>44</v>
      </c>
      <c r="H27" s="2" t="s">
        <v>20</v>
      </c>
      <c r="I27" s="2">
        <f>ROUND(520/100,7)</f>
        <v>5.2</v>
      </c>
      <c r="J27" s="2">
        <v>0</v>
      </c>
      <c r="K27" s="2">
        <f>ROUND(520/100,7)</f>
        <v>5.2</v>
      </c>
      <c r="L27" s="2"/>
      <c r="M27" s="2"/>
      <c r="N27" s="2"/>
      <c r="O27" s="2">
        <f t="shared" si="14"/>
        <v>51677.63</v>
      </c>
      <c r="P27" s="2">
        <f>SUMIF(SmtRes!AQ7:'SmtRes'!AQ10,"=1",SmtRes!DF7:'SmtRes'!DF10)</f>
        <v>0</v>
      </c>
      <c r="Q27" s="2">
        <f>SUMIF(SmtRes!AQ7:'SmtRes'!AQ10,"=1",SmtRes!DG7:'SmtRes'!DG10)</f>
        <v>2398.0300000000002</v>
      </c>
      <c r="R27" s="2">
        <f>SUMIF(SmtRes!AQ7:'SmtRes'!AQ10,"=1",SmtRes!DH7:'SmtRes'!DH10)</f>
        <v>1188.1199999999999</v>
      </c>
      <c r="S27" s="2">
        <f>SUMIF(SmtRes!AQ7:'SmtRes'!AQ10,"=1",SmtRes!DI7:'SmtRes'!DI10)</f>
        <v>48091.48</v>
      </c>
      <c r="T27" s="2">
        <f t="shared" si="15"/>
        <v>0</v>
      </c>
      <c r="U27" s="2">
        <f>SUMIF(SmtRes!AQ7:'SmtRes'!AQ10,"=1",SmtRes!CV7:'SmtRes'!CV10)</f>
        <v>140.816</v>
      </c>
      <c r="V27" s="2">
        <f>SUMIF(SmtRes!AQ7:'SmtRes'!AQ10,"=1",SmtRes!CW7:'SmtRes'!CW10)</f>
        <v>2.1840000000000002</v>
      </c>
      <c r="W27" s="2">
        <f t="shared" si="16"/>
        <v>0</v>
      </c>
      <c r="X27" s="2">
        <f t="shared" si="17"/>
        <v>44351.64</v>
      </c>
      <c r="Y27" s="2">
        <f t="shared" si="18"/>
        <v>22668.62</v>
      </c>
      <c r="Z27" s="2"/>
      <c r="AA27" s="2">
        <v>55860754</v>
      </c>
      <c r="AB27" s="2">
        <f t="shared" si="19"/>
        <v>9709.5216</v>
      </c>
      <c r="AC27" s="2">
        <f>ROUND((0),6)</f>
        <v>0</v>
      </c>
      <c r="AD27" s="2">
        <f>ROUND((((SUM(SmtRes!BR7:'SmtRes'!BR10))-(SUM(SmtRes!BS7:'SmtRes'!BS10)))+AE27),6)</f>
        <v>461.16</v>
      </c>
      <c r="AE27" s="2">
        <f>ROUND((SUM(SmtRes!BS7:'SmtRes'!BS10)),6)</f>
        <v>228.48419999999999</v>
      </c>
      <c r="AF27" s="2">
        <f>ROUND((SUM(SmtRes!BT7:'SmtRes'!BT10)),6)</f>
        <v>9248.3616000000002</v>
      </c>
      <c r="AG27" s="2">
        <f t="shared" si="20"/>
        <v>0</v>
      </c>
      <c r="AH27" s="2">
        <f>(SUM(SmtRes!BU7:'SmtRes'!BU10))</f>
        <v>27.08</v>
      </c>
      <c r="AI27" s="2">
        <f>(SUM(SmtRes!BV7:'SmtRes'!BV10))</f>
        <v>0.42</v>
      </c>
      <c r="AJ27" s="2">
        <f t="shared" si="21"/>
        <v>0</v>
      </c>
      <c r="AK27" s="2">
        <v>9938.005799999999</v>
      </c>
      <c r="AL27" s="2">
        <v>0</v>
      </c>
      <c r="AM27" s="2">
        <v>461.15999999999997</v>
      </c>
      <c r="AN27" s="2">
        <v>228.48419999999999</v>
      </c>
      <c r="AO27" s="2">
        <v>9248.3615999999984</v>
      </c>
      <c r="AP27" s="2">
        <v>0</v>
      </c>
      <c r="AQ27" s="2">
        <v>27.08</v>
      </c>
      <c r="AR27" s="2">
        <v>0.42</v>
      </c>
      <c r="AS27" s="2">
        <v>0</v>
      </c>
      <c r="AT27" s="2">
        <v>90</v>
      </c>
      <c r="AU27" s="2">
        <v>46</v>
      </c>
      <c r="AV27" s="2">
        <v>1</v>
      </c>
      <c r="AW27" s="2">
        <v>1</v>
      </c>
      <c r="AX27" s="2"/>
      <c r="AY27" s="2"/>
      <c r="AZ27" s="2">
        <v>1</v>
      </c>
      <c r="BA27" s="2">
        <v>1</v>
      </c>
      <c r="BB27" s="2">
        <v>1</v>
      </c>
      <c r="BC27" s="2">
        <v>1</v>
      </c>
      <c r="BD27" s="2" t="s">
        <v>3</v>
      </c>
      <c r="BE27" s="2" t="s">
        <v>3</v>
      </c>
      <c r="BF27" s="2" t="s">
        <v>3</v>
      </c>
      <c r="BG27" s="2" t="s">
        <v>3</v>
      </c>
      <c r="BH27" s="2">
        <v>0</v>
      </c>
      <c r="BI27" s="2">
        <v>1</v>
      </c>
      <c r="BJ27" s="2" t="s">
        <v>45</v>
      </c>
      <c r="BK27" s="2"/>
      <c r="BL27" s="2"/>
      <c r="BM27" s="2">
        <v>58001</v>
      </c>
      <c r="BN27" s="2">
        <v>0</v>
      </c>
      <c r="BO27" s="2" t="s">
        <v>3</v>
      </c>
      <c r="BP27" s="2">
        <v>0</v>
      </c>
      <c r="BQ27" s="2">
        <v>6</v>
      </c>
      <c r="BR27" s="2">
        <v>0</v>
      </c>
      <c r="BS27" s="2">
        <v>1</v>
      </c>
      <c r="BT27" s="2">
        <v>1</v>
      </c>
      <c r="BU27" s="2">
        <v>1</v>
      </c>
      <c r="BV27" s="2">
        <v>1</v>
      </c>
      <c r="BW27" s="2">
        <v>1</v>
      </c>
      <c r="BX27" s="2">
        <v>1</v>
      </c>
      <c r="BY27" s="2" t="s">
        <v>3</v>
      </c>
      <c r="BZ27" s="2">
        <v>90</v>
      </c>
      <c r="CA27" s="2">
        <v>46</v>
      </c>
      <c r="CB27" s="2" t="s">
        <v>3</v>
      </c>
      <c r="CC27" s="2"/>
      <c r="CD27" s="2"/>
      <c r="CE27" s="2">
        <v>0</v>
      </c>
      <c r="CF27" s="2">
        <v>0</v>
      </c>
      <c r="CG27" s="2">
        <v>0</v>
      </c>
      <c r="CH27" s="2"/>
      <c r="CI27" s="2"/>
      <c r="CJ27" s="2"/>
      <c r="CK27" s="2"/>
      <c r="CL27" s="2"/>
      <c r="CM27" s="2">
        <v>0</v>
      </c>
      <c r="CN27" s="2" t="s">
        <v>3</v>
      </c>
      <c r="CO27" s="2">
        <v>0</v>
      </c>
      <c r="CP27" s="2">
        <f t="shared" si="22"/>
        <v>51677.630000000005</v>
      </c>
      <c r="CQ27" s="2">
        <f>SUMIF(SmtRes!AQ7:'SmtRes'!AQ10,"=1",SmtRes!AA7:'SmtRes'!AA10)</f>
        <v>0</v>
      </c>
      <c r="CR27" s="2">
        <f>SUMIF(SmtRes!AQ7:'SmtRes'!AQ10,"=1",SmtRes!AB7:'SmtRes'!AB10)</f>
        <v>1098</v>
      </c>
      <c r="CS27" s="2">
        <f>SUMIF(SmtRes!AQ7:'SmtRes'!AQ10,"=1",SmtRes!AC7:'SmtRes'!AC10)</f>
        <v>544.01</v>
      </c>
      <c r="CT27" s="2">
        <f>SUMIF(SmtRes!AQ7:'SmtRes'!AQ10,"=1",SmtRes!AD7:'SmtRes'!AD10)</f>
        <v>341.52</v>
      </c>
      <c r="CU27" s="2">
        <f t="shared" si="23"/>
        <v>0</v>
      </c>
      <c r="CV27" s="2">
        <f>SUMIF(SmtRes!AQ7:'SmtRes'!AQ10,"=1",SmtRes!BU7:'SmtRes'!BU10)</f>
        <v>27.08</v>
      </c>
      <c r="CW27" s="2">
        <f>SUMIF(SmtRes!AQ7:'SmtRes'!AQ10,"=1",SmtRes!BV7:'SmtRes'!BV10)</f>
        <v>0.42</v>
      </c>
      <c r="CX27" s="2">
        <f t="shared" si="24"/>
        <v>0</v>
      </c>
      <c r="CY27" s="2">
        <f t="shared" si="25"/>
        <v>44351.640000000007</v>
      </c>
      <c r="CZ27" s="2">
        <f t="shared" si="26"/>
        <v>22668.616000000002</v>
      </c>
      <c r="DA27" s="2"/>
      <c r="DB27" s="2"/>
      <c r="DC27" s="2" t="s">
        <v>3</v>
      </c>
      <c r="DD27" s="2" t="s">
        <v>3</v>
      </c>
      <c r="DE27" s="2" t="s">
        <v>3</v>
      </c>
      <c r="DF27" s="2" t="s">
        <v>3</v>
      </c>
      <c r="DG27" s="2" t="s">
        <v>3</v>
      </c>
      <c r="DH27" s="2" t="s">
        <v>3</v>
      </c>
      <c r="DI27" s="2" t="s">
        <v>3</v>
      </c>
      <c r="DJ27" s="2" t="s">
        <v>3</v>
      </c>
      <c r="DK27" s="2" t="s">
        <v>3</v>
      </c>
      <c r="DL27" s="2" t="s">
        <v>3</v>
      </c>
      <c r="DM27" s="2" t="s">
        <v>3</v>
      </c>
      <c r="DN27" s="2">
        <v>0</v>
      </c>
      <c r="DO27" s="2">
        <v>0</v>
      </c>
      <c r="DP27" s="2">
        <v>1</v>
      </c>
      <c r="DQ27" s="2">
        <v>1</v>
      </c>
      <c r="DR27" s="2"/>
      <c r="DS27" s="2"/>
      <c r="DT27" s="2"/>
      <c r="DU27" s="2">
        <v>1005</v>
      </c>
      <c r="DV27" s="2" t="s">
        <v>20</v>
      </c>
      <c r="DW27" s="2" t="s">
        <v>20</v>
      </c>
      <c r="DX27" s="2">
        <v>100</v>
      </c>
      <c r="DY27" s="2"/>
      <c r="DZ27" s="2" t="s">
        <v>3</v>
      </c>
      <c r="EA27" s="2" t="s">
        <v>3</v>
      </c>
      <c r="EB27" s="2" t="s">
        <v>3</v>
      </c>
      <c r="EC27" s="2" t="s">
        <v>3</v>
      </c>
      <c r="ED27" s="2"/>
      <c r="EE27" s="2">
        <v>54459004</v>
      </c>
      <c r="EF27" s="2">
        <v>6</v>
      </c>
      <c r="EG27" s="2" t="s">
        <v>32</v>
      </c>
      <c r="EH27" s="2">
        <v>92</v>
      </c>
      <c r="EI27" s="2" t="s">
        <v>33</v>
      </c>
      <c r="EJ27" s="2">
        <v>1</v>
      </c>
      <c r="EK27" s="2">
        <v>58001</v>
      </c>
      <c r="EL27" s="2" t="s">
        <v>33</v>
      </c>
      <c r="EM27" s="2" t="s">
        <v>34</v>
      </c>
      <c r="EN27" s="2"/>
      <c r="EO27" s="2" t="s">
        <v>3</v>
      </c>
      <c r="EP27" s="2"/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27.08</v>
      </c>
      <c r="EX27" s="2">
        <v>0.42</v>
      </c>
      <c r="EY27" s="2">
        <v>0</v>
      </c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>
        <v>0</v>
      </c>
      <c r="FR27" s="2">
        <v>0</v>
      </c>
      <c r="FS27" s="2">
        <v>0</v>
      </c>
      <c r="FT27" s="2"/>
      <c r="FU27" s="2"/>
      <c r="FV27" s="2"/>
      <c r="FW27" s="2"/>
      <c r="FX27" s="2">
        <v>90</v>
      </c>
      <c r="FY27" s="2">
        <v>46</v>
      </c>
      <c r="FZ27" s="2"/>
      <c r="GA27" s="2" t="s">
        <v>3</v>
      </c>
      <c r="GB27" s="2"/>
      <c r="GC27" s="2"/>
      <c r="GD27" s="2">
        <v>1</v>
      </c>
      <c r="GE27" s="2"/>
      <c r="GF27" s="2">
        <v>870291465</v>
      </c>
      <c r="GG27" s="2">
        <v>2</v>
      </c>
      <c r="GH27" s="2">
        <v>1</v>
      </c>
      <c r="GI27" s="2">
        <v>-2</v>
      </c>
      <c r="GJ27" s="2">
        <v>0</v>
      </c>
      <c r="GK27" s="2">
        <v>0</v>
      </c>
      <c r="GL27" s="2">
        <f t="shared" si="27"/>
        <v>0</v>
      </c>
      <c r="GM27" s="2">
        <f t="shared" si="28"/>
        <v>118697.89</v>
      </c>
      <c r="GN27" s="2">
        <f t="shared" si="29"/>
        <v>118697.89</v>
      </c>
      <c r="GO27" s="2">
        <f t="shared" si="30"/>
        <v>0</v>
      </c>
      <c r="GP27" s="2">
        <f t="shared" si="31"/>
        <v>0</v>
      </c>
      <c r="GQ27" s="2"/>
      <c r="GR27" s="2">
        <v>0</v>
      </c>
      <c r="GS27" s="2">
        <v>3</v>
      </c>
      <c r="GT27" s="2">
        <v>0</v>
      </c>
      <c r="GU27" s="2" t="s">
        <v>3</v>
      </c>
      <c r="GV27" s="2">
        <f t="shared" si="32"/>
        <v>0</v>
      </c>
      <c r="GW27" s="2">
        <v>1</v>
      </c>
      <c r="GX27" s="2">
        <f t="shared" si="33"/>
        <v>0</v>
      </c>
      <c r="GY27" s="2"/>
      <c r="GZ27" s="2"/>
      <c r="HA27" s="2">
        <v>0</v>
      </c>
      <c r="HB27" s="2">
        <v>0</v>
      </c>
      <c r="HC27" s="2">
        <f t="shared" si="34"/>
        <v>0</v>
      </c>
      <c r="HD27" s="2"/>
      <c r="HE27" s="2" t="s">
        <v>3</v>
      </c>
      <c r="HF27" s="2" t="s">
        <v>3</v>
      </c>
      <c r="HG27" s="2"/>
      <c r="HH27" s="2"/>
      <c r="HI27" s="2"/>
      <c r="HJ27" s="2"/>
      <c r="HK27" s="2"/>
      <c r="HL27" s="2"/>
      <c r="HM27" s="2" t="s">
        <v>3</v>
      </c>
      <c r="HN27" s="2" t="s">
        <v>35</v>
      </c>
      <c r="HO27" s="2" t="s">
        <v>36</v>
      </c>
      <c r="HP27" s="2" t="s">
        <v>37</v>
      </c>
      <c r="HQ27" s="2" t="s">
        <v>37</v>
      </c>
      <c r="HR27" s="2"/>
      <c r="HS27" s="2">
        <v>0</v>
      </c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>
        <v>0</v>
      </c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pans="1:255" x14ac:dyDescent="0.2">
      <c r="A28" s="2">
        <v>18</v>
      </c>
      <c r="B28" s="2">
        <v>1</v>
      </c>
      <c r="C28" s="2">
        <v>10</v>
      </c>
      <c r="D28" s="2"/>
      <c r="E28" s="2" t="s">
        <v>46</v>
      </c>
      <c r="F28" s="2" t="s">
        <v>39</v>
      </c>
      <c r="G28" s="2" t="s">
        <v>40</v>
      </c>
      <c r="H28" s="2" t="s">
        <v>41</v>
      </c>
      <c r="I28" s="2">
        <f>I27*J28</f>
        <v>6.5</v>
      </c>
      <c r="J28" s="2">
        <v>1.25</v>
      </c>
      <c r="K28" s="2">
        <v>1.25</v>
      </c>
      <c r="L28" s="2"/>
      <c r="M28" s="2"/>
      <c r="N28" s="2"/>
      <c r="O28" s="2">
        <f t="shared" si="14"/>
        <v>0</v>
      </c>
      <c r="P28" s="2">
        <f>ROUND(CQ28*I28,2)</f>
        <v>0</v>
      </c>
      <c r="Q28" s="2">
        <f>ROUND(CR28*I28,2)</f>
        <v>0</v>
      </c>
      <c r="R28" s="2">
        <f>ROUND(CS28*I28,2)</f>
        <v>0</v>
      </c>
      <c r="S28" s="2">
        <f>ROUND(CT28*I28,2)</f>
        <v>0</v>
      </c>
      <c r="T28" s="2">
        <f t="shared" si="15"/>
        <v>0</v>
      </c>
      <c r="U28" s="2">
        <f>ROUND(CV28*I28,7)</f>
        <v>0</v>
      </c>
      <c r="V28" s="2">
        <f>ROUND(CW28*I28,7)</f>
        <v>0</v>
      </c>
      <c r="W28" s="2">
        <f t="shared" si="16"/>
        <v>0</v>
      </c>
      <c r="X28" s="2">
        <f t="shared" si="17"/>
        <v>0</v>
      </c>
      <c r="Y28" s="2">
        <f t="shared" si="18"/>
        <v>0</v>
      </c>
      <c r="Z28" s="2"/>
      <c r="AA28" s="2">
        <v>55860754</v>
      </c>
      <c r="AB28" s="2">
        <f t="shared" si="19"/>
        <v>0</v>
      </c>
      <c r="AC28" s="2">
        <f>ROUND((ES28),6)</f>
        <v>0</v>
      </c>
      <c r="AD28" s="2">
        <f>ROUND((((ET28)-(EU28))+AE28),6)</f>
        <v>0</v>
      </c>
      <c r="AE28" s="2">
        <f>ROUND((EU28),6)</f>
        <v>0</v>
      </c>
      <c r="AF28" s="2">
        <f>ROUND((EV28),6)</f>
        <v>0</v>
      </c>
      <c r="AG28" s="2">
        <f t="shared" si="20"/>
        <v>0</v>
      </c>
      <c r="AH28" s="2">
        <f>(EW28)</f>
        <v>0</v>
      </c>
      <c r="AI28" s="2">
        <f>(EX28)</f>
        <v>0</v>
      </c>
      <c r="AJ28" s="2">
        <f t="shared" si="21"/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90</v>
      </c>
      <c r="AU28" s="2">
        <v>46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3</v>
      </c>
      <c r="BI28" s="2">
        <v>1</v>
      </c>
      <c r="BJ28" s="2" t="s">
        <v>3</v>
      </c>
      <c r="BK28" s="2"/>
      <c r="BL28" s="2"/>
      <c r="BM28" s="2">
        <v>58001</v>
      </c>
      <c r="BN28" s="2">
        <v>0</v>
      </c>
      <c r="BO28" s="2" t="s">
        <v>3</v>
      </c>
      <c r="BP28" s="2">
        <v>0</v>
      </c>
      <c r="BQ28" s="2">
        <v>6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90</v>
      </c>
      <c r="CA28" s="2">
        <v>46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 t="shared" si="22"/>
        <v>0</v>
      </c>
      <c r="CQ28" s="2">
        <f>ROUND(AL28*BC28,2)</f>
        <v>0</v>
      </c>
      <c r="CR28" s="2">
        <f>ROUND(AM28*BB28,2)</f>
        <v>0</v>
      </c>
      <c r="CS28" s="2">
        <f>ROUND(AN28*BS28,2)</f>
        <v>0</v>
      </c>
      <c r="CT28" s="2">
        <f>ROUND(AO28*BA28,2)</f>
        <v>0</v>
      </c>
      <c r="CU28" s="2">
        <f t="shared" si="23"/>
        <v>0</v>
      </c>
      <c r="CV28" s="2">
        <f>AH28</f>
        <v>0</v>
      </c>
      <c r="CW28" s="2">
        <f>AI28</f>
        <v>0</v>
      </c>
      <c r="CX28" s="2">
        <f t="shared" si="24"/>
        <v>0</v>
      </c>
      <c r="CY28" s="2">
        <f t="shared" si="25"/>
        <v>0</v>
      </c>
      <c r="CZ28" s="2">
        <f t="shared" si="26"/>
        <v>0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1009</v>
      </c>
      <c r="DV28" s="2" t="s">
        <v>41</v>
      </c>
      <c r="DW28" s="2" t="s">
        <v>41</v>
      </c>
      <c r="DX28" s="2">
        <v>1000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54459004</v>
      </c>
      <c r="EF28" s="2">
        <v>6</v>
      </c>
      <c r="EG28" s="2" t="s">
        <v>32</v>
      </c>
      <c r="EH28" s="2">
        <v>92</v>
      </c>
      <c r="EI28" s="2" t="s">
        <v>33</v>
      </c>
      <c r="EJ28" s="2">
        <v>1</v>
      </c>
      <c r="EK28" s="2">
        <v>58001</v>
      </c>
      <c r="EL28" s="2" t="s">
        <v>33</v>
      </c>
      <c r="EM28" s="2" t="s">
        <v>34</v>
      </c>
      <c r="EN28" s="2"/>
      <c r="EO28" s="2" t="s">
        <v>3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90</v>
      </c>
      <c r="FY28" s="2">
        <v>46</v>
      </c>
      <c r="FZ28" s="2"/>
      <c r="GA28" s="2" t="s">
        <v>3</v>
      </c>
      <c r="GB28" s="2"/>
      <c r="GC28" s="2"/>
      <c r="GD28" s="2">
        <v>1</v>
      </c>
      <c r="GE28" s="2"/>
      <c r="GF28" s="2">
        <v>2102561428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si="27"/>
        <v>0</v>
      </c>
      <c r="GM28" s="2">
        <f t="shared" si="28"/>
        <v>0</v>
      </c>
      <c r="GN28" s="2">
        <f t="shared" si="29"/>
        <v>0</v>
      </c>
      <c r="GO28" s="2">
        <f t="shared" si="30"/>
        <v>0</v>
      </c>
      <c r="GP28" s="2">
        <f t="shared" si="31"/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si="32"/>
        <v>0</v>
      </c>
      <c r="GW28" s="2">
        <v>1</v>
      </c>
      <c r="GX28" s="2">
        <f t="shared" si="33"/>
        <v>0</v>
      </c>
      <c r="GY28" s="2"/>
      <c r="GZ28" s="2"/>
      <c r="HA28" s="2">
        <v>0</v>
      </c>
      <c r="HB28" s="2">
        <v>0</v>
      </c>
      <c r="HC28" s="2">
        <f t="shared" si="34"/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35</v>
      </c>
      <c r="HO28" s="2" t="s">
        <v>36</v>
      </c>
      <c r="HP28" s="2" t="s">
        <v>37</v>
      </c>
      <c r="HQ28" s="2" t="s">
        <v>37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17</v>
      </c>
      <c r="B29" s="2">
        <v>1</v>
      </c>
      <c r="C29" s="2">
        <f>ROW(SmtRes!A14)</f>
        <v>14</v>
      </c>
      <c r="D29" s="2">
        <f>ROW(EtalonRes!A14)</f>
        <v>14</v>
      </c>
      <c r="E29" s="2" t="s">
        <v>47</v>
      </c>
      <c r="F29" s="2" t="s">
        <v>48</v>
      </c>
      <c r="G29" s="2" t="s">
        <v>49</v>
      </c>
      <c r="H29" s="2" t="s">
        <v>20</v>
      </c>
      <c r="I29" s="2">
        <f>ROUND(520/100,7)</f>
        <v>5.2</v>
      </c>
      <c r="J29" s="2">
        <v>0</v>
      </c>
      <c r="K29" s="2">
        <f>ROUND(520/100,7)</f>
        <v>5.2</v>
      </c>
      <c r="L29" s="2"/>
      <c r="M29" s="2"/>
      <c r="N29" s="2"/>
      <c r="O29" s="2">
        <f t="shared" si="14"/>
        <v>14045.84</v>
      </c>
      <c r="P29" s="2">
        <f>SUMIF(SmtRes!AQ11:'SmtRes'!AQ14,"=1",SmtRes!DF11:'SmtRes'!DF14)</f>
        <v>0</v>
      </c>
      <c r="Q29" s="2">
        <f>SUMIF(SmtRes!AQ11:'SmtRes'!AQ14,"=1",SmtRes!DG11:'SmtRes'!DG14)</f>
        <v>1541.59</v>
      </c>
      <c r="R29" s="2">
        <f>SUMIF(SmtRes!AQ11:'SmtRes'!AQ14,"=1",SmtRes!DH11:'SmtRes'!DH14)</f>
        <v>763.79</v>
      </c>
      <c r="S29" s="2">
        <f>SUMIF(SmtRes!AQ11:'SmtRes'!AQ14,"=1",SmtRes!DI11:'SmtRes'!DI14)</f>
        <v>11740.46</v>
      </c>
      <c r="T29" s="2">
        <f t="shared" si="15"/>
        <v>0</v>
      </c>
      <c r="U29" s="2">
        <f>SUMIF(SmtRes!AQ11:'SmtRes'!AQ14,"=1",SmtRes!CV11:'SmtRes'!CV14)</f>
        <v>34.996000000000002</v>
      </c>
      <c r="V29" s="2">
        <f>SUMIF(SmtRes!AQ11:'SmtRes'!AQ14,"=1",SmtRes!CW11:'SmtRes'!CW14)</f>
        <v>1.4039999999999999</v>
      </c>
      <c r="W29" s="2">
        <f t="shared" si="16"/>
        <v>0</v>
      </c>
      <c r="X29" s="2">
        <f t="shared" si="17"/>
        <v>11253.83</v>
      </c>
      <c r="Y29" s="2">
        <f t="shared" si="18"/>
        <v>5751.96</v>
      </c>
      <c r="Z29" s="2"/>
      <c r="AA29" s="2">
        <v>55860754</v>
      </c>
      <c r="AB29" s="2">
        <f t="shared" si="19"/>
        <v>2554.2404000000001</v>
      </c>
      <c r="AC29" s="2">
        <f>ROUND((0),6)</f>
        <v>0</v>
      </c>
      <c r="AD29" s="2">
        <f>ROUND((((SUM(SmtRes!BR11:'SmtRes'!BR14))-(SUM(SmtRes!BS11:'SmtRes'!BS14)))+AE29),6)</f>
        <v>296.45999999999998</v>
      </c>
      <c r="AE29" s="2">
        <f>ROUND((SUM(SmtRes!BS11:'SmtRes'!BS14)),6)</f>
        <v>146.8827</v>
      </c>
      <c r="AF29" s="2">
        <f>ROUND((SUM(SmtRes!BT11:'SmtRes'!BT14)),6)</f>
        <v>2257.7804000000001</v>
      </c>
      <c r="AG29" s="2">
        <f t="shared" si="20"/>
        <v>0</v>
      </c>
      <c r="AH29" s="2">
        <f>(SUM(SmtRes!BU11:'SmtRes'!BU14))</f>
        <v>6.73</v>
      </c>
      <c r="AI29" s="2">
        <f>(SUM(SmtRes!BV11:'SmtRes'!BV14))</f>
        <v>0.27</v>
      </c>
      <c r="AJ29" s="2">
        <f t="shared" si="21"/>
        <v>0</v>
      </c>
      <c r="AK29" s="2">
        <v>2701.1231000000002</v>
      </c>
      <c r="AL29" s="2">
        <v>0</v>
      </c>
      <c r="AM29" s="2">
        <v>296.46000000000004</v>
      </c>
      <c r="AN29" s="2">
        <v>146.8827</v>
      </c>
      <c r="AO29" s="2">
        <v>2257.7804000000001</v>
      </c>
      <c r="AP29" s="2">
        <v>0</v>
      </c>
      <c r="AQ29" s="2">
        <v>6.73</v>
      </c>
      <c r="AR29" s="2">
        <v>0.27</v>
      </c>
      <c r="AS29" s="2">
        <v>0</v>
      </c>
      <c r="AT29" s="2">
        <v>90</v>
      </c>
      <c r="AU29" s="2">
        <v>46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0</v>
      </c>
      <c r="BI29" s="2">
        <v>1</v>
      </c>
      <c r="BJ29" s="2" t="s">
        <v>50</v>
      </c>
      <c r="BK29" s="2"/>
      <c r="BL29" s="2"/>
      <c r="BM29" s="2">
        <v>58001</v>
      </c>
      <c r="BN29" s="2">
        <v>0</v>
      </c>
      <c r="BO29" s="2" t="s">
        <v>3</v>
      </c>
      <c r="BP29" s="2">
        <v>0</v>
      </c>
      <c r="BQ29" s="2">
        <v>6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90</v>
      </c>
      <c r="CA29" s="2">
        <v>46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 t="shared" si="22"/>
        <v>14045.84</v>
      </c>
      <c r="CQ29" s="2">
        <f>SUMIF(SmtRes!AQ11:'SmtRes'!AQ14,"=1",SmtRes!AA11:'SmtRes'!AA14)</f>
        <v>0</v>
      </c>
      <c r="CR29" s="2">
        <f>SUMIF(SmtRes!AQ11:'SmtRes'!AQ14,"=1",SmtRes!AB11:'SmtRes'!AB14)</f>
        <v>1098</v>
      </c>
      <c r="CS29" s="2">
        <f>SUMIF(SmtRes!AQ11:'SmtRes'!AQ14,"=1",SmtRes!AC11:'SmtRes'!AC14)</f>
        <v>544.01</v>
      </c>
      <c r="CT29" s="2">
        <f>SUMIF(SmtRes!AQ11:'SmtRes'!AQ14,"=1",SmtRes!AD11:'SmtRes'!AD14)</f>
        <v>335.48</v>
      </c>
      <c r="CU29" s="2">
        <f t="shared" si="23"/>
        <v>0</v>
      </c>
      <c r="CV29" s="2">
        <f>SUMIF(SmtRes!AQ11:'SmtRes'!AQ14,"=1",SmtRes!BU11:'SmtRes'!BU14)</f>
        <v>6.73</v>
      </c>
      <c r="CW29" s="2">
        <f>SUMIF(SmtRes!AQ11:'SmtRes'!AQ14,"=1",SmtRes!BV11:'SmtRes'!BV14)</f>
        <v>0.27</v>
      </c>
      <c r="CX29" s="2">
        <f t="shared" si="24"/>
        <v>0</v>
      </c>
      <c r="CY29" s="2">
        <f t="shared" si="25"/>
        <v>11253.825000000001</v>
      </c>
      <c r="CZ29" s="2">
        <f t="shared" si="26"/>
        <v>5751.9549999999999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1005</v>
      </c>
      <c r="DV29" s="2" t="s">
        <v>20</v>
      </c>
      <c r="DW29" s="2" t="s">
        <v>20</v>
      </c>
      <c r="DX29" s="2">
        <v>100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54459004</v>
      </c>
      <c r="EF29" s="2">
        <v>6</v>
      </c>
      <c r="EG29" s="2" t="s">
        <v>32</v>
      </c>
      <c r="EH29" s="2">
        <v>92</v>
      </c>
      <c r="EI29" s="2" t="s">
        <v>33</v>
      </c>
      <c r="EJ29" s="2">
        <v>1</v>
      </c>
      <c r="EK29" s="2">
        <v>58001</v>
      </c>
      <c r="EL29" s="2" t="s">
        <v>33</v>
      </c>
      <c r="EM29" s="2" t="s">
        <v>34</v>
      </c>
      <c r="EN29" s="2"/>
      <c r="EO29" s="2" t="s">
        <v>3</v>
      </c>
      <c r="EP29" s="2"/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6.73</v>
      </c>
      <c r="EX29" s="2">
        <v>0.27</v>
      </c>
      <c r="EY29" s="2">
        <v>0</v>
      </c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90</v>
      </c>
      <c r="FY29" s="2">
        <v>46</v>
      </c>
      <c r="FZ29" s="2"/>
      <c r="GA29" s="2" t="s">
        <v>3</v>
      </c>
      <c r="GB29" s="2"/>
      <c r="GC29" s="2"/>
      <c r="GD29" s="2">
        <v>1</v>
      </c>
      <c r="GE29" s="2"/>
      <c r="GF29" s="2">
        <v>1263192660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27"/>
        <v>0</v>
      </c>
      <c r="GM29" s="2">
        <f t="shared" si="28"/>
        <v>31051.63</v>
      </c>
      <c r="GN29" s="2">
        <f t="shared" si="29"/>
        <v>31051.63</v>
      </c>
      <c r="GO29" s="2">
        <f t="shared" si="30"/>
        <v>0</v>
      </c>
      <c r="GP29" s="2">
        <f t="shared" si="31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32"/>
        <v>0</v>
      </c>
      <c r="GW29" s="2">
        <v>1</v>
      </c>
      <c r="GX29" s="2">
        <f t="shared" si="33"/>
        <v>0</v>
      </c>
      <c r="GY29" s="2"/>
      <c r="GZ29" s="2"/>
      <c r="HA29" s="2">
        <v>0</v>
      </c>
      <c r="HB29" s="2">
        <v>0</v>
      </c>
      <c r="HC29" s="2">
        <f t="shared" si="34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35</v>
      </c>
      <c r="HO29" s="2" t="s">
        <v>36</v>
      </c>
      <c r="HP29" s="2" t="s">
        <v>37</v>
      </c>
      <c r="HQ29" s="2" t="s">
        <v>37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18</v>
      </c>
      <c r="B30" s="2">
        <v>1</v>
      </c>
      <c r="C30" s="2">
        <v>14</v>
      </c>
      <c r="D30" s="2"/>
      <c r="E30" s="2" t="s">
        <v>51</v>
      </c>
      <c r="F30" s="2" t="s">
        <v>39</v>
      </c>
      <c r="G30" s="2" t="s">
        <v>40</v>
      </c>
      <c r="H30" s="2" t="s">
        <v>41</v>
      </c>
      <c r="I30" s="2">
        <f>I29*J30</f>
        <v>4.2119999999999997</v>
      </c>
      <c r="J30" s="2">
        <v>0.80999999999999994</v>
      </c>
      <c r="K30" s="2">
        <v>0.81</v>
      </c>
      <c r="L30" s="2"/>
      <c r="M30" s="2"/>
      <c r="N30" s="2"/>
      <c r="O30" s="2">
        <f t="shared" si="14"/>
        <v>0</v>
      </c>
      <c r="P30" s="2">
        <f>ROUND(CQ30*I30,2)</f>
        <v>0</v>
      </c>
      <c r="Q30" s="2">
        <f>ROUND(CR30*I30,2)</f>
        <v>0</v>
      </c>
      <c r="R30" s="2">
        <f>ROUND(CS30*I30,2)</f>
        <v>0</v>
      </c>
      <c r="S30" s="2">
        <f>ROUND(CT30*I30,2)</f>
        <v>0</v>
      </c>
      <c r="T30" s="2">
        <f t="shared" si="15"/>
        <v>0</v>
      </c>
      <c r="U30" s="2">
        <f>ROUND(CV30*I30,7)</f>
        <v>0</v>
      </c>
      <c r="V30" s="2">
        <f>ROUND(CW30*I30,7)</f>
        <v>0</v>
      </c>
      <c r="W30" s="2">
        <f t="shared" si="16"/>
        <v>0</v>
      </c>
      <c r="X30" s="2">
        <f t="shared" si="17"/>
        <v>0</v>
      </c>
      <c r="Y30" s="2">
        <f t="shared" si="18"/>
        <v>0</v>
      </c>
      <c r="Z30" s="2"/>
      <c r="AA30" s="2">
        <v>55860754</v>
      </c>
      <c r="AB30" s="2">
        <f t="shared" si="19"/>
        <v>0</v>
      </c>
      <c r="AC30" s="2">
        <f>ROUND((ES30),6)</f>
        <v>0</v>
      </c>
      <c r="AD30" s="2">
        <f>ROUND((((ET30)-(EU30))+AE30),6)</f>
        <v>0</v>
      </c>
      <c r="AE30" s="2">
        <f>ROUND((EU30),6)</f>
        <v>0</v>
      </c>
      <c r="AF30" s="2">
        <f>ROUND((EV30),6)</f>
        <v>0</v>
      </c>
      <c r="AG30" s="2">
        <f t="shared" si="20"/>
        <v>0</v>
      </c>
      <c r="AH30" s="2">
        <f>(EW30)</f>
        <v>0</v>
      </c>
      <c r="AI30" s="2">
        <f>(EX30)</f>
        <v>0</v>
      </c>
      <c r="AJ30" s="2">
        <f t="shared" si="21"/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90</v>
      </c>
      <c r="AU30" s="2">
        <v>46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3</v>
      </c>
      <c r="BI30" s="2">
        <v>1</v>
      </c>
      <c r="BJ30" s="2" t="s">
        <v>3</v>
      </c>
      <c r="BK30" s="2"/>
      <c r="BL30" s="2"/>
      <c r="BM30" s="2">
        <v>58001</v>
      </c>
      <c r="BN30" s="2">
        <v>0</v>
      </c>
      <c r="BO30" s="2" t="s">
        <v>3</v>
      </c>
      <c r="BP30" s="2">
        <v>0</v>
      </c>
      <c r="BQ30" s="2">
        <v>6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90</v>
      </c>
      <c r="CA30" s="2">
        <v>46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 t="shared" si="22"/>
        <v>0</v>
      </c>
      <c r="CQ30" s="2">
        <f>ROUND(AL30*BC30,2)</f>
        <v>0</v>
      </c>
      <c r="CR30" s="2">
        <f>ROUND(AM30*BB30,2)</f>
        <v>0</v>
      </c>
      <c r="CS30" s="2">
        <f>ROUND(AN30*BS30,2)</f>
        <v>0</v>
      </c>
      <c r="CT30" s="2">
        <f>ROUND(AO30*BA30,2)</f>
        <v>0</v>
      </c>
      <c r="CU30" s="2">
        <f t="shared" si="23"/>
        <v>0</v>
      </c>
      <c r="CV30" s="2">
        <f>AH30</f>
        <v>0</v>
      </c>
      <c r="CW30" s="2">
        <f>AI30</f>
        <v>0</v>
      </c>
      <c r="CX30" s="2">
        <f t="shared" si="24"/>
        <v>0</v>
      </c>
      <c r="CY30" s="2">
        <f t="shared" si="25"/>
        <v>0</v>
      </c>
      <c r="CZ30" s="2">
        <f t="shared" si="26"/>
        <v>0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1009</v>
      </c>
      <c r="DV30" s="2" t="s">
        <v>41</v>
      </c>
      <c r="DW30" s="2" t="s">
        <v>41</v>
      </c>
      <c r="DX30" s="2">
        <v>1000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54459004</v>
      </c>
      <c r="EF30" s="2">
        <v>6</v>
      </c>
      <c r="EG30" s="2" t="s">
        <v>32</v>
      </c>
      <c r="EH30" s="2">
        <v>92</v>
      </c>
      <c r="EI30" s="2" t="s">
        <v>33</v>
      </c>
      <c r="EJ30" s="2">
        <v>1</v>
      </c>
      <c r="EK30" s="2">
        <v>58001</v>
      </c>
      <c r="EL30" s="2" t="s">
        <v>33</v>
      </c>
      <c r="EM30" s="2" t="s">
        <v>34</v>
      </c>
      <c r="EN30" s="2"/>
      <c r="EO30" s="2" t="s">
        <v>3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90</v>
      </c>
      <c r="FY30" s="2">
        <v>46</v>
      </c>
      <c r="FZ30" s="2"/>
      <c r="GA30" s="2" t="s">
        <v>3</v>
      </c>
      <c r="GB30" s="2"/>
      <c r="GC30" s="2"/>
      <c r="GD30" s="2">
        <v>1</v>
      </c>
      <c r="GE30" s="2"/>
      <c r="GF30" s="2">
        <v>2102561428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27"/>
        <v>0</v>
      </c>
      <c r="GM30" s="2">
        <f t="shared" si="28"/>
        <v>0</v>
      </c>
      <c r="GN30" s="2">
        <f t="shared" si="29"/>
        <v>0</v>
      </c>
      <c r="GO30" s="2">
        <f t="shared" si="30"/>
        <v>0</v>
      </c>
      <c r="GP30" s="2">
        <f t="shared" si="31"/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 t="shared" si="32"/>
        <v>0</v>
      </c>
      <c r="GW30" s="2">
        <v>1</v>
      </c>
      <c r="GX30" s="2">
        <f t="shared" si="33"/>
        <v>0</v>
      </c>
      <c r="GY30" s="2"/>
      <c r="GZ30" s="2"/>
      <c r="HA30" s="2">
        <v>0</v>
      </c>
      <c r="HB30" s="2">
        <v>0</v>
      </c>
      <c r="HC30" s="2">
        <f t="shared" si="34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35</v>
      </c>
      <c r="HO30" s="2" t="s">
        <v>36</v>
      </c>
      <c r="HP30" s="2" t="s">
        <v>37</v>
      </c>
      <c r="HQ30" s="2" t="s">
        <v>37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17</v>
      </c>
      <c r="B31" s="2">
        <v>1</v>
      </c>
      <c r="C31" s="2">
        <f>ROW(SmtRes!A20)</f>
        <v>20</v>
      </c>
      <c r="D31" s="2">
        <f>ROW(EtalonRes!A21)</f>
        <v>21</v>
      </c>
      <c r="E31" s="2" t="s">
        <v>52</v>
      </c>
      <c r="F31" s="2" t="s">
        <v>53</v>
      </c>
      <c r="G31" s="2" t="s">
        <v>54</v>
      </c>
      <c r="H31" s="2" t="s">
        <v>20</v>
      </c>
      <c r="I31" s="2">
        <f>ROUND(30/100,7)</f>
        <v>0.3</v>
      </c>
      <c r="J31" s="2">
        <v>0</v>
      </c>
      <c r="K31" s="2">
        <f>ROUND(30/100,7)</f>
        <v>0.3</v>
      </c>
      <c r="L31" s="2"/>
      <c r="M31" s="2"/>
      <c r="N31" s="2"/>
      <c r="O31" s="2">
        <f t="shared" si="14"/>
        <v>6143.1</v>
      </c>
      <c r="P31" s="2">
        <f>SUMIF(SmtRes!AQ15:'SmtRes'!AQ20,"=1",SmtRes!DF15:'SmtRes'!DF20)</f>
        <v>0</v>
      </c>
      <c r="Q31" s="2">
        <f>SUMIF(SmtRes!AQ15:'SmtRes'!AQ20,"=1",SmtRes!DG15:'SmtRes'!DG20)</f>
        <v>171.55</v>
      </c>
      <c r="R31" s="2">
        <f>SUMIF(SmtRes!AQ15:'SmtRes'!AQ20,"=1",SmtRes!DH15:'SmtRes'!DH20)</f>
        <v>102.06</v>
      </c>
      <c r="S31" s="2">
        <f>SUMIF(SmtRes!AQ15:'SmtRes'!AQ20,"=1",SmtRes!DI15:'SmtRes'!DI20)</f>
        <v>5869.49</v>
      </c>
      <c r="T31" s="2">
        <f t="shared" si="15"/>
        <v>0</v>
      </c>
      <c r="U31" s="2">
        <f>SUMIF(SmtRes!AQ15:'SmtRes'!AQ20,"=1",SmtRes!CV15:'SmtRes'!CV20)</f>
        <v>16.32</v>
      </c>
      <c r="V31" s="2">
        <f>SUMIF(SmtRes!AQ15:'SmtRes'!AQ20,"=1",SmtRes!CW15:'SmtRes'!CW20)</f>
        <v>0.252</v>
      </c>
      <c r="W31" s="2">
        <f t="shared" si="16"/>
        <v>0</v>
      </c>
      <c r="X31" s="2">
        <f t="shared" si="17"/>
        <v>6449.27</v>
      </c>
      <c r="Y31" s="2">
        <f t="shared" si="18"/>
        <v>3284.35</v>
      </c>
      <c r="Z31" s="2"/>
      <c r="AA31" s="2">
        <v>55860754</v>
      </c>
      <c r="AB31" s="2">
        <f t="shared" si="19"/>
        <v>20136.79</v>
      </c>
      <c r="AC31" s="2">
        <f t="shared" ref="AC31:AC37" si="35">ROUND((0),6)</f>
        <v>0</v>
      </c>
      <c r="AD31" s="2">
        <f>ROUND((((SUM(SmtRes!BR15:'SmtRes'!BR20))-(SUM(SmtRes!BS15:'SmtRes'!BS20)))+AE31),6)</f>
        <v>571.83000000000004</v>
      </c>
      <c r="AE31" s="2">
        <f>ROUND((SUM(SmtRes!BS15:'SmtRes'!BS20)),6)</f>
        <v>340.19159999999999</v>
      </c>
      <c r="AF31" s="2">
        <f>ROUND((SUM(SmtRes!BT15:'SmtRes'!BT20)),6)</f>
        <v>19564.96</v>
      </c>
      <c r="AG31" s="2">
        <f t="shared" si="20"/>
        <v>0</v>
      </c>
      <c r="AH31" s="2">
        <f>(SUM(SmtRes!BU15:'SmtRes'!BU20))</f>
        <v>54.400000000000006</v>
      </c>
      <c r="AI31" s="2">
        <f>(SUM(SmtRes!BV15:'SmtRes'!BV20))</f>
        <v>0.84000000000000008</v>
      </c>
      <c r="AJ31" s="2">
        <f t="shared" si="21"/>
        <v>0</v>
      </c>
      <c r="AK31" s="2">
        <v>70808.609631999992</v>
      </c>
      <c r="AL31" s="2">
        <v>45212.382632000001</v>
      </c>
      <c r="AM31" s="2">
        <v>714.78750000000002</v>
      </c>
      <c r="AN31" s="2">
        <v>425.23950000000002</v>
      </c>
      <c r="AO31" s="2">
        <v>24456.199999999997</v>
      </c>
      <c r="AP31" s="2">
        <v>0</v>
      </c>
      <c r="AQ31" s="2">
        <v>68</v>
      </c>
      <c r="AR31" s="2">
        <v>1.05</v>
      </c>
      <c r="AS31" s="2">
        <v>0</v>
      </c>
      <c r="AT31" s="2">
        <v>108</v>
      </c>
      <c r="AU31" s="2">
        <v>55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55</v>
      </c>
      <c r="BK31" s="2"/>
      <c r="BL31" s="2"/>
      <c r="BM31" s="2">
        <v>10001</v>
      </c>
      <c r="BN31" s="2">
        <v>0</v>
      </c>
      <c r="BO31" s="2" t="s">
        <v>3</v>
      </c>
      <c r="BP31" s="2">
        <v>0</v>
      </c>
      <c r="BQ31" s="2">
        <v>2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108</v>
      </c>
      <c r="CA31" s="2">
        <v>55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56</v>
      </c>
      <c r="CO31" s="2">
        <v>0</v>
      </c>
      <c r="CP31" s="2">
        <f t="shared" si="22"/>
        <v>6143.1</v>
      </c>
      <c r="CQ31" s="2">
        <f>SUMIF(SmtRes!AQ15:'SmtRes'!AQ20,"=1",SmtRes!AA15:'SmtRes'!AA20)</f>
        <v>117085.51000000001</v>
      </c>
      <c r="CR31" s="2">
        <f>SUMIF(SmtRes!AQ15:'SmtRes'!AQ20,"=1",SmtRes!AB15:'SmtRes'!AB20)</f>
        <v>680.75</v>
      </c>
      <c r="CS31" s="2">
        <f>SUMIF(SmtRes!AQ15:'SmtRes'!AQ20,"=1",SmtRes!AC15:'SmtRes'!AC20)</f>
        <v>404.99</v>
      </c>
      <c r="CT31" s="2">
        <f>SUMIF(SmtRes!AQ15:'SmtRes'!AQ20,"=1",SmtRes!AD15:'SmtRes'!AD20)</f>
        <v>359.65</v>
      </c>
      <c r="CU31" s="2">
        <f t="shared" si="23"/>
        <v>0</v>
      </c>
      <c r="CV31" s="2">
        <f>SUMIF(SmtRes!AQ15:'SmtRes'!AQ20,"=1",SmtRes!BU15:'SmtRes'!BU20)</f>
        <v>54.400000000000006</v>
      </c>
      <c r="CW31" s="2">
        <f>SUMIF(SmtRes!AQ15:'SmtRes'!AQ20,"=1",SmtRes!BV15:'SmtRes'!BV20)</f>
        <v>0.84000000000000008</v>
      </c>
      <c r="CX31" s="2">
        <f t="shared" si="24"/>
        <v>0</v>
      </c>
      <c r="CY31" s="2">
        <f t="shared" si="25"/>
        <v>6449.2740000000003</v>
      </c>
      <c r="CZ31" s="2">
        <f t="shared" si="26"/>
        <v>3284.3525</v>
      </c>
      <c r="DA31" s="2"/>
      <c r="DB31" s="2">
        <v>1</v>
      </c>
      <c r="DC31" s="2" t="s">
        <v>3</v>
      </c>
      <c r="DD31" s="2" t="s">
        <v>57</v>
      </c>
      <c r="DE31" s="2" t="s">
        <v>58</v>
      </c>
      <c r="DF31" s="2" t="s">
        <v>58</v>
      </c>
      <c r="DG31" s="2" t="s">
        <v>58</v>
      </c>
      <c r="DH31" s="2" t="s">
        <v>3</v>
      </c>
      <c r="DI31" s="2" t="s">
        <v>58</v>
      </c>
      <c r="DJ31" s="2" t="s">
        <v>58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1005</v>
      </c>
      <c r="DV31" s="2" t="s">
        <v>20</v>
      </c>
      <c r="DW31" s="2" t="s">
        <v>20</v>
      </c>
      <c r="DX31" s="2">
        <v>100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54458925</v>
      </c>
      <c r="EF31" s="2">
        <v>2</v>
      </c>
      <c r="EG31" s="2" t="s">
        <v>22</v>
      </c>
      <c r="EH31" s="2">
        <v>10</v>
      </c>
      <c r="EI31" s="2" t="s">
        <v>59</v>
      </c>
      <c r="EJ31" s="2">
        <v>1</v>
      </c>
      <c r="EK31" s="2">
        <v>10001</v>
      </c>
      <c r="EL31" s="2" t="s">
        <v>59</v>
      </c>
      <c r="EM31" s="2" t="s">
        <v>60</v>
      </c>
      <c r="EN31" s="2"/>
      <c r="EO31" s="2" t="s">
        <v>61</v>
      </c>
      <c r="EP31" s="2"/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68</v>
      </c>
      <c r="EX31" s="2">
        <v>1.05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108</v>
      </c>
      <c r="FY31" s="2">
        <v>55</v>
      </c>
      <c r="FZ31" s="2"/>
      <c r="GA31" s="2" t="s">
        <v>3</v>
      </c>
      <c r="GB31" s="2"/>
      <c r="GC31" s="2"/>
      <c r="GD31" s="2">
        <v>1</v>
      </c>
      <c r="GE31" s="2"/>
      <c r="GF31" s="2">
        <v>1281979485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27"/>
        <v>0</v>
      </c>
      <c r="GM31" s="2">
        <f t="shared" si="28"/>
        <v>15876.72</v>
      </c>
      <c r="GN31" s="2">
        <f t="shared" si="29"/>
        <v>15876.72</v>
      </c>
      <c r="GO31" s="2">
        <f t="shared" si="30"/>
        <v>0</v>
      </c>
      <c r="GP31" s="2">
        <f t="shared" si="31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32"/>
        <v>0</v>
      </c>
      <c r="GW31" s="2">
        <v>1</v>
      </c>
      <c r="GX31" s="2">
        <f t="shared" si="33"/>
        <v>0</v>
      </c>
      <c r="GY31" s="2"/>
      <c r="GZ31" s="2"/>
      <c r="HA31" s="2">
        <v>0</v>
      </c>
      <c r="HB31" s="2">
        <v>0</v>
      </c>
      <c r="HC31" s="2">
        <f t="shared" si="34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62</v>
      </c>
      <c r="HO31" s="2" t="s">
        <v>63</v>
      </c>
      <c r="HP31" s="2" t="s">
        <v>59</v>
      </c>
      <c r="HQ31" s="2" t="s">
        <v>59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17</v>
      </c>
      <c r="B32" s="2">
        <v>1</v>
      </c>
      <c r="C32" s="2">
        <f>ROW(SmtRes!A26)</f>
        <v>26</v>
      </c>
      <c r="D32" s="2">
        <f>ROW(EtalonRes!A29)</f>
        <v>29</v>
      </c>
      <c r="E32" s="2" t="s">
        <v>64</v>
      </c>
      <c r="F32" s="2" t="s">
        <v>65</v>
      </c>
      <c r="G32" s="2" t="s">
        <v>66</v>
      </c>
      <c r="H32" s="2" t="s">
        <v>20</v>
      </c>
      <c r="I32" s="2">
        <f>ROUND(30/100,7)</f>
        <v>0.3</v>
      </c>
      <c r="J32" s="2">
        <v>0</v>
      </c>
      <c r="K32" s="2">
        <f>ROUND(30/100,7)</f>
        <v>0.3</v>
      </c>
      <c r="L32" s="2"/>
      <c r="M32" s="2"/>
      <c r="N32" s="2"/>
      <c r="O32" s="2">
        <f t="shared" si="14"/>
        <v>12577.71</v>
      </c>
      <c r="P32" s="2">
        <f>SUMIF(SmtRes!AQ21:'SmtRes'!AQ26,"=1",SmtRes!DF21:'SmtRes'!DF26)</f>
        <v>0</v>
      </c>
      <c r="Q32" s="2">
        <f>SUMIF(SmtRes!AQ21:'SmtRes'!AQ26,"=1",SmtRes!DG21:'SmtRes'!DG26)</f>
        <v>147.04</v>
      </c>
      <c r="R32" s="2">
        <f>SUMIF(SmtRes!AQ21:'SmtRes'!AQ26,"=1",SmtRes!DH21:'SmtRes'!DH26)</f>
        <v>87.48</v>
      </c>
      <c r="S32" s="2">
        <f>SUMIF(SmtRes!AQ21:'SmtRes'!AQ26,"=1",SmtRes!DI21:'SmtRes'!DI26)</f>
        <v>12343.19</v>
      </c>
      <c r="T32" s="2">
        <f t="shared" si="15"/>
        <v>0</v>
      </c>
      <c r="U32" s="2">
        <f>SUMIF(SmtRes!AQ21:'SmtRes'!AQ26,"=1",SmtRes!CV21:'SmtRes'!CV26)</f>
        <v>34.32</v>
      </c>
      <c r="V32" s="2">
        <f>SUMIF(SmtRes!AQ21:'SmtRes'!AQ26,"=1",SmtRes!CW21:'SmtRes'!CW26)</f>
        <v>0.216</v>
      </c>
      <c r="W32" s="2">
        <f t="shared" si="16"/>
        <v>0</v>
      </c>
      <c r="X32" s="2">
        <f t="shared" si="17"/>
        <v>13425.12</v>
      </c>
      <c r="Y32" s="2">
        <f t="shared" si="18"/>
        <v>6836.87</v>
      </c>
      <c r="Z32" s="2"/>
      <c r="AA32" s="2">
        <v>55860754</v>
      </c>
      <c r="AB32" s="2">
        <f t="shared" si="19"/>
        <v>41634.1</v>
      </c>
      <c r="AC32" s="2">
        <f t="shared" si="35"/>
        <v>0</v>
      </c>
      <c r="AD32" s="2">
        <f>ROUND((((SUM(SmtRes!BR21:'SmtRes'!BR26))-(SUM(SmtRes!BS21:'SmtRes'!BS26)))+AE32),6)</f>
        <v>490.14</v>
      </c>
      <c r="AE32" s="2">
        <f>ROUND((SUM(SmtRes!BS21:'SmtRes'!BS26)),6)</f>
        <v>291.59280000000001</v>
      </c>
      <c r="AF32" s="2">
        <f>ROUND((SUM(SmtRes!BT21:'SmtRes'!BT26)),6)</f>
        <v>41143.96</v>
      </c>
      <c r="AG32" s="2">
        <f t="shared" si="20"/>
        <v>0</v>
      </c>
      <c r="AH32" s="2">
        <f>(SUM(SmtRes!BU21:'SmtRes'!BU26))</f>
        <v>114.4</v>
      </c>
      <c r="AI32" s="2">
        <f>(SUM(SmtRes!BV21:'SmtRes'!BV26))</f>
        <v>0.72000000000000008</v>
      </c>
      <c r="AJ32" s="2">
        <f t="shared" si="21"/>
        <v>0</v>
      </c>
      <c r="AK32" s="2">
        <v>82809.901421999995</v>
      </c>
      <c r="AL32" s="2">
        <v>30402.785422000001</v>
      </c>
      <c r="AM32" s="2">
        <v>612.67500000000007</v>
      </c>
      <c r="AN32" s="2">
        <v>364.49100000000004</v>
      </c>
      <c r="AO32" s="2">
        <v>51429.95</v>
      </c>
      <c r="AP32" s="2">
        <v>0</v>
      </c>
      <c r="AQ32" s="2">
        <v>143</v>
      </c>
      <c r="AR32" s="2">
        <v>0.9</v>
      </c>
      <c r="AS32" s="2">
        <v>0</v>
      </c>
      <c r="AT32" s="2">
        <v>108</v>
      </c>
      <c r="AU32" s="2">
        <v>55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1</v>
      </c>
      <c r="BJ32" s="2" t="s">
        <v>67</v>
      </c>
      <c r="BK32" s="2"/>
      <c r="BL32" s="2"/>
      <c r="BM32" s="2">
        <v>10001</v>
      </c>
      <c r="BN32" s="2">
        <v>0</v>
      </c>
      <c r="BO32" s="2" t="s">
        <v>3</v>
      </c>
      <c r="BP32" s="2">
        <v>0</v>
      </c>
      <c r="BQ32" s="2">
        <v>2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108</v>
      </c>
      <c r="CA32" s="2">
        <v>55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56</v>
      </c>
      <c r="CO32" s="2">
        <v>0</v>
      </c>
      <c r="CP32" s="2">
        <f t="shared" si="22"/>
        <v>12577.710000000001</v>
      </c>
      <c r="CQ32" s="2">
        <f>SUMIF(SmtRes!AQ21:'SmtRes'!AQ26,"=1",SmtRes!AA21:'SmtRes'!AA26)</f>
        <v>117085.51000000001</v>
      </c>
      <c r="CR32" s="2">
        <f>SUMIF(SmtRes!AQ21:'SmtRes'!AQ26,"=1",SmtRes!AB21:'SmtRes'!AB26)</f>
        <v>680.75</v>
      </c>
      <c r="CS32" s="2">
        <f>SUMIF(SmtRes!AQ21:'SmtRes'!AQ26,"=1",SmtRes!AC21:'SmtRes'!AC26)</f>
        <v>404.99</v>
      </c>
      <c r="CT32" s="2">
        <f>SUMIF(SmtRes!AQ21:'SmtRes'!AQ26,"=1",SmtRes!AD21:'SmtRes'!AD26)</f>
        <v>359.65</v>
      </c>
      <c r="CU32" s="2">
        <f t="shared" si="23"/>
        <v>0</v>
      </c>
      <c r="CV32" s="2">
        <f>SUMIF(SmtRes!AQ21:'SmtRes'!AQ26,"=1",SmtRes!BU21:'SmtRes'!BU26)</f>
        <v>114.4</v>
      </c>
      <c r="CW32" s="2">
        <f>SUMIF(SmtRes!AQ21:'SmtRes'!AQ26,"=1",SmtRes!BV21:'SmtRes'!BV26)</f>
        <v>0.72000000000000008</v>
      </c>
      <c r="CX32" s="2">
        <f t="shared" si="24"/>
        <v>0</v>
      </c>
      <c r="CY32" s="2">
        <f t="shared" si="25"/>
        <v>13425.123600000001</v>
      </c>
      <c r="CZ32" s="2">
        <f t="shared" si="26"/>
        <v>6836.8684999999996</v>
      </c>
      <c r="DA32" s="2"/>
      <c r="DB32" s="2">
        <v>2</v>
      </c>
      <c r="DC32" s="2" t="s">
        <v>3</v>
      </c>
      <c r="DD32" s="2" t="s">
        <v>57</v>
      </c>
      <c r="DE32" s="2" t="s">
        <v>58</v>
      </c>
      <c r="DF32" s="2" t="s">
        <v>58</v>
      </c>
      <c r="DG32" s="2" t="s">
        <v>58</v>
      </c>
      <c r="DH32" s="2" t="s">
        <v>3</v>
      </c>
      <c r="DI32" s="2" t="s">
        <v>58</v>
      </c>
      <c r="DJ32" s="2" t="s">
        <v>58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1005</v>
      </c>
      <c r="DV32" s="2" t="s">
        <v>20</v>
      </c>
      <c r="DW32" s="2" t="s">
        <v>20</v>
      </c>
      <c r="DX32" s="2">
        <v>100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54458925</v>
      </c>
      <c r="EF32" s="2">
        <v>2</v>
      </c>
      <c r="EG32" s="2" t="s">
        <v>22</v>
      </c>
      <c r="EH32" s="2">
        <v>10</v>
      </c>
      <c r="EI32" s="2" t="s">
        <v>59</v>
      </c>
      <c r="EJ32" s="2">
        <v>1</v>
      </c>
      <c r="EK32" s="2">
        <v>10001</v>
      </c>
      <c r="EL32" s="2" t="s">
        <v>59</v>
      </c>
      <c r="EM32" s="2" t="s">
        <v>60</v>
      </c>
      <c r="EN32" s="2"/>
      <c r="EO32" s="2" t="s">
        <v>61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143</v>
      </c>
      <c r="EX32" s="2">
        <v>0.9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108</v>
      </c>
      <c r="FY32" s="2">
        <v>55</v>
      </c>
      <c r="FZ32" s="2"/>
      <c r="GA32" s="2" t="s">
        <v>3</v>
      </c>
      <c r="GB32" s="2"/>
      <c r="GC32" s="2"/>
      <c r="GD32" s="2">
        <v>1</v>
      </c>
      <c r="GE32" s="2"/>
      <c r="GF32" s="2">
        <v>-482567213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27"/>
        <v>0</v>
      </c>
      <c r="GM32" s="2">
        <f t="shared" si="28"/>
        <v>32839.699999999997</v>
      </c>
      <c r="GN32" s="2">
        <f t="shared" si="29"/>
        <v>32839.699999999997</v>
      </c>
      <c r="GO32" s="2">
        <f t="shared" si="30"/>
        <v>0</v>
      </c>
      <c r="GP32" s="2">
        <f t="shared" si="31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32"/>
        <v>0</v>
      </c>
      <c r="GW32" s="2">
        <v>1</v>
      </c>
      <c r="GX32" s="2">
        <f t="shared" si="33"/>
        <v>0</v>
      </c>
      <c r="GY32" s="2"/>
      <c r="GZ32" s="2"/>
      <c r="HA32" s="2">
        <v>0</v>
      </c>
      <c r="HB32" s="2">
        <v>0</v>
      </c>
      <c r="HC32" s="2">
        <f t="shared" si="34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62</v>
      </c>
      <c r="HO32" s="2" t="s">
        <v>63</v>
      </c>
      <c r="HP32" s="2" t="s">
        <v>59</v>
      </c>
      <c r="HQ32" s="2" t="s">
        <v>59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 s="2">
        <v>17</v>
      </c>
      <c r="B33" s="2">
        <v>1</v>
      </c>
      <c r="C33" s="2">
        <f>ROW(SmtRes!A28)</f>
        <v>28</v>
      </c>
      <c r="D33" s="2">
        <f>ROW(EtalonRes!A31)</f>
        <v>31</v>
      </c>
      <c r="E33" s="2" t="s">
        <v>68</v>
      </c>
      <c r="F33" s="2" t="s">
        <v>69</v>
      </c>
      <c r="G33" s="2" t="s">
        <v>70</v>
      </c>
      <c r="H33" s="2" t="s">
        <v>20</v>
      </c>
      <c r="I33" s="2">
        <f>ROUND(520/100,7)</f>
        <v>5.2</v>
      </c>
      <c r="J33" s="2">
        <v>0</v>
      </c>
      <c r="K33" s="2">
        <f>ROUND(520/100,7)</f>
        <v>5.2</v>
      </c>
      <c r="L33" s="2"/>
      <c r="M33" s="2"/>
      <c r="N33" s="2"/>
      <c r="O33" s="2">
        <f t="shared" si="14"/>
        <v>25211.119999999999</v>
      </c>
      <c r="P33" s="2">
        <f>SUMIF(SmtRes!AQ27:'SmtRes'!AQ28,"=1",SmtRes!DF27:'SmtRes'!DF28)</f>
        <v>0</v>
      </c>
      <c r="Q33" s="2">
        <f>SUMIF(SmtRes!AQ27:'SmtRes'!AQ28,"=1",SmtRes!DG27:'SmtRes'!DG28)</f>
        <v>577.66</v>
      </c>
      <c r="R33" s="2">
        <f>SUMIF(SmtRes!AQ27:'SmtRes'!AQ28,"=1",SmtRes!DH27:'SmtRes'!DH28)</f>
        <v>0</v>
      </c>
      <c r="S33" s="2">
        <f>SUMIF(SmtRes!AQ27:'SmtRes'!AQ28,"=1",SmtRes!DI27:'SmtRes'!DI28)</f>
        <v>24633.46</v>
      </c>
      <c r="T33" s="2">
        <f t="shared" si="15"/>
        <v>0</v>
      </c>
      <c r="U33" s="2">
        <f>SUMIF(SmtRes!AQ27:'SmtRes'!AQ28,"=1",SmtRes!CV27:'SmtRes'!CV28)</f>
        <v>74.775999999999996</v>
      </c>
      <c r="V33" s="2">
        <f>SUMIF(SmtRes!AQ27:'SmtRes'!AQ28,"=1",SmtRes!CW27:'SmtRes'!CW28)</f>
        <v>0</v>
      </c>
      <c r="W33" s="2">
        <f t="shared" si="16"/>
        <v>0</v>
      </c>
      <c r="X33" s="2">
        <f t="shared" si="17"/>
        <v>22416.45</v>
      </c>
      <c r="Y33" s="2">
        <f t="shared" si="18"/>
        <v>12809.4</v>
      </c>
      <c r="Z33" s="2"/>
      <c r="AA33" s="2">
        <v>55860754</v>
      </c>
      <c r="AB33" s="2">
        <f t="shared" si="19"/>
        <v>4808.4224000000004</v>
      </c>
      <c r="AC33" s="2">
        <f t="shared" si="35"/>
        <v>0</v>
      </c>
      <c r="AD33" s="2">
        <f>ROUND((((SUM(SmtRes!BR27:'SmtRes'!BR28))-(0))+AE33),6)</f>
        <v>71.218999999999994</v>
      </c>
      <c r="AE33" s="2">
        <f>ROUND((0),6)</f>
        <v>0</v>
      </c>
      <c r="AF33" s="2">
        <f>ROUND((SUM(SmtRes!BT27:'SmtRes'!BT28)),6)</f>
        <v>4737.2034000000003</v>
      </c>
      <c r="AG33" s="2">
        <f t="shared" si="20"/>
        <v>0</v>
      </c>
      <c r="AH33" s="2">
        <f>(SUM(SmtRes!BU27:'SmtRes'!BU28))</f>
        <v>14.38</v>
      </c>
      <c r="AI33" s="2">
        <f>(0)</f>
        <v>0</v>
      </c>
      <c r="AJ33" s="2">
        <f t="shared" si="21"/>
        <v>0</v>
      </c>
      <c r="AK33" s="2">
        <v>4808.4224000000004</v>
      </c>
      <c r="AL33" s="2">
        <v>0</v>
      </c>
      <c r="AM33" s="2">
        <v>71.218999999999994</v>
      </c>
      <c r="AN33" s="2">
        <v>0</v>
      </c>
      <c r="AO33" s="2">
        <v>4737.2034000000003</v>
      </c>
      <c r="AP33" s="2">
        <v>0</v>
      </c>
      <c r="AQ33" s="2">
        <v>14.38</v>
      </c>
      <c r="AR33" s="2">
        <v>0</v>
      </c>
      <c r="AS33" s="2">
        <v>0</v>
      </c>
      <c r="AT33" s="2">
        <v>91</v>
      </c>
      <c r="AU33" s="2">
        <v>52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0</v>
      </c>
      <c r="BI33" s="2">
        <v>1</v>
      </c>
      <c r="BJ33" s="2" t="s">
        <v>71</v>
      </c>
      <c r="BK33" s="2"/>
      <c r="BL33" s="2"/>
      <c r="BM33" s="2">
        <v>46003</v>
      </c>
      <c r="BN33" s="2">
        <v>0</v>
      </c>
      <c r="BO33" s="2" t="s">
        <v>3</v>
      </c>
      <c r="BP33" s="2">
        <v>0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91</v>
      </c>
      <c r="CA33" s="2">
        <v>52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 t="shared" si="22"/>
        <v>25211.119999999999</v>
      </c>
      <c r="CQ33" s="2">
        <f>SUMIF(SmtRes!AQ27:'SmtRes'!AQ28,"=1",SmtRes!AA27:'SmtRes'!AA28)</f>
        <v>0</v>
      </c>
      <c r="CR33" s="2">
        <f>SUMIF(SmtRes!AQ27:'SmtRes'!AQ28,"=1",SmtRes!AB27:'SmtRes'!AB28)</f>
        <v>17.86</v>
      </c>
      <c r="CS33" s="2">
        <f>SUMIF(SmtRes!AQ27:'SmtRes'!AQ28,"=1",SmtRes!AC27:'SmtRes'!AC28)</f>
        <v>0</v>
      </c>
      <c r="CT33" s="2">
        <f>SUMIF(SmtRes!AQ27:'SmtRes'!AQ28,"=1",SmtRes!AD27:'SmtRes'!AD28)</f>
        <v>329.43</v>
      </c>
      <c r="CU33" s="2">
        <f t="shared" si="23"/>
        <v>0</v>
      </c>
      <c r="CV33" s="2">
        <f>SUMIF(SmtRes!AQ27:'SmtRes'!AQ28,"=1",SmtRes!BU27:'SmtRes'!BU28)</f>
        <v>14.38</v>
      </c>
      <c r="CW33" s="2">
        <f>SUMIF(SmtRes!AQ27:'SmtRes'!AQ28,"=1",SmtRes!BV27:'SmtRes'!BV28)</f>
        <v>0</v>
      </c>
      <c r="CX33" s="2">
        <f t="shared" si="24"/>
        <v>0</v>
      </c>
      <c r="CY33" s="2">
        <f t="shared" si="25"/>
        <v>22416.4486</v>
      </c>
      <c r="CZ33" s="2">
        <f t="shared" si="26"/>
        <v>12809.3992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1005</v>
      </c>
      <c r="DV33" s="2" t="s">
        <v>20</v>
      </c>
      <c r="DW33" s="2" t="s">
        <v>20</v>
      </c>
      <c r="DX33" s="2">
        <v>100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54459166</v>
      </c>
      <c r="EF33" s="2">
        <v>2</v>
      </c>
      <c r="EG33" s="2" t="s">
        <v>22</v>
      </c>
      <c r="EH33" s="2">
        <v>40</v>
      </c>
      <c r="EI33" s="2" t="s">
        <v>23</v>
      </c>
      <c r="EJ33" s="2">
        <v>1</v>
      </c>
      <c r="EK33" s="2">
        <v>46003</v>
      </c>
      <c r="EL33" s="2" t="s">
        <v>24</v>
      </c>
      <c r="EM33" s="2" t="s">
        <v>25</v>
      </c>
      <c r="EN33" s="2"/>
      <c r="EO33" s="2" t="s">
        <v>3</v>
      </c>
      <c r="EP33" s="2"/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14.38</v>
      </c>
      <c r="EX33" s="2">
        <v>0</v>
      </c>
      <c r="EY33" s="2">
        <v>0</v>
      </c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91</v>
      </c>
      <c r="FY33" s="2">
        <v>52</v>
      </c>
      <c r="FZ33" s="2"/>
      <c r="GA33" s="2" t="s">
        <v>3</v>
      </c>
      <c r="GB33" s="2"/>
      <c r="GC33" s="2"/>
      <c r="GD33" s="2">
        <v>1</v>
      </c>
      <c r="GE33" s="2"/>
      <c r="GF33" s="2">
        <v>-763287601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27"/>
        <v>0</v>
      </c>
      <c r="GM33" s="2">
        <f t="shared" si="28"/>
        <v>60436.97</v>
      </c>
      <c r="GN33" s="2">
        <f t="shared" si="29"/>
        <v>60436.97</v>
      </c>
      <c r="GO33" s="2">
        <f t="shared" si="30"/>
        <v>0</v>
      </c>
      <c r="GP33" s="2">
        <f t="shared" si="31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32"/>
        <v>0</v>
      </c>
      <c r="GW33" s="2">
        <v>1</v>
      </c>
      <c r="GX33" s="2">
        <f t="shared" si="33"/>
        <v>0</v>
      </c>
      <c r="GY33" s="2"/>
      <c r="GZ33" s="2"/>
      <c r="HA33" s="2">
        <v>0</v>
      </c>
      <c r="HB33" s="2">
        <v>0</v>
      </c>
      <c r="HC33" s="2">
        <f t="shared" si="34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26</v>
      </c>
      <c r="HO33" s="2" t="s">
        <v>27</v>
      </c>
      <c r="HP33" s="2" t="s">
        <v>24</v>
      </c>
      <c r="HQ33" s="2" t="s">
        <v>24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17</v>
      </c>
      <c r="B34" s="2">
        <v>1</v>
      </c>
      <c r="C34" s="2">
        <f>ROW(SmtRes!A35)</f>
        <v>35</v>
      </c>
      <c r="D34" s="2">
        <f>ROW(EtalonRes!A39)</f>
        <v>39</v>
      </c>
      <c r="E34" s="2" t="s">
        <v>72</v>
      </c>
      <c r="F34" s="2" t="s">
        <v>73</v>
      </c>
      <c r="G34" s="2" t="s">
        <v>74</v>
      </c>
      <c r="H34" s="2" t="s">
        <v>20</v>
      </c>
      <c r="I34" s="2">
        <f>ROUND(520/100,7)</f>
        <v>5.2</v>
      </c>
      <c r="J34" s="2">
        <v>0</v>
      </c>
      <c r="K34" s="2">
        <f>ROUND(520/100,7)</f>
        <v>5.2</v>
      </c>
      <c r="L34" s="2"/>
      <c r="M34" s="2"/>
      <c r="N34" s="2"/>
      <c r="O34" s="2">
        <f t="shared" si="14"/>
        <v>52961.32</v>
      </c>
      <c r="P34" s="2">
        <f>SUMIF(SmtRes!AQ29:'SmtRes'!AQ35,"=1",SmtRes!DF29:'SmtRes'!DF35)</f>
        <v>0</v>
      </c>
      <c r="Q34" s="2">
        <f>SUMIF(SmtRes!AQ29:'SmtRes'!AQ35,"=1",SmtRes!DG29:'SmtRes'!DG35)</f>
        <v>12167.58</v>
      </c>
      <c r="R34" s="2">
        <f>SUMIF(SmtRes!AQ29:'SmtRes'!AQ35,"=1",SmtRes!DH29:'SmtRes'!DH35)</f>
        <v>3978.5</v>
      </c>
      <c r="S34" s="2">
        <f>SUMIF(SmtRes!AQ29:'SmtRes'!AQ35,"=1",SmtRes!DI29:'SmtRes'!DI35)</f>
        <v>36815.24</v>
      </c>
      <c r="T34" s="2">
        <f t="shared" si="15"/>
        <v>0</v>
      </c>
      <c r="U34" s="2">
        <f>SUMIF(SmtRes!AQ29:'SmtRes'!AQ35,"=1",SmtRes!CV29:'SmtRes'!CV35)</f>
        <v>101.08799999999999</v>
      </c>
      <c r="V34" s="2">
        <f>SUMIF(SmtRes!AQ29:'SmtRes'!AQ35,"=1",SmtRes!CW29:'SmtRes'!CW35)</f>
        <v>8.0703999999999994</v>
      </c>
      <c r="W34" s="2">
        <f t="shared" si="16"/>
        <v>0</v>
      </c>
      <c r="X34" s="2">
        <f t="shared" si="17"/>
        <v>44465.18</v>
      </c>
      <c r="Y34" s="2">
        <f t="shared" si="18"/>
        <v>23252.43</v>
      </c>
      <c r="Z34" s="2"/>
      <c r="AA34" s="2">
        <v>55860754</v>
      </c>
      <c r="AB34" s="2">
        <f t="shared" si="19"/>
        <v>9405.48344</v>
      </c>
      <c r="AC34" s="2">
        <f t="shared" si="35"/>
        <v>0</v>
      </c>
      <c r="AD34" s="2">
        <f>ROUND((((SUM(SmtRes!BR29:'SmtRes'!BR35))-(SUM(SmtRes!BS29:'SmtRes'!BS35)))+AE34),6)</f>
        <v>2325.6298400000001</v>
      </c>
      <c r="AE34" s="2">
        <f>ROUND((SUM(SmtRes!BS29:'SmtRes'!BS35)),6)</f>
        <v>765.09487999999999</v>
      </c>
      <c r="AF34" s="2">
        <f>ROUND((SUM(SmtRes!BT29:'SmtRes'!BT35)),6)</f>
        <v>7079.8536000000004</v>
      </c>
      <c r="AG34" s="2">
        <f t="shared" si="20"/>
        <v>0</v>
      </c>
      <c r="AH34" s="2">
        <f>(SUM(SmtRes!BU29:'SmtRes'!BU35))</f>
        <v>19.440000000000001</v>
      </c>
      <c r="AI34" s="2">
        <f>(SUM(SmtRes!BV29:'SmtRes'!BV35))</f>
        <v>1.552</v>
      </c>
      <c r="AJ34" s="2">
        <f t="shared" si="21"/>
        <v>0</v>
      </c>
      <c r="AK34" s="2">
        <v>12969.198400000001</v>
      </c>
      <c r="AL34" s="2">
        <v>255.97550000000001</v>
      </c>
      <c r="AM34" s="2">
        <v>2907.0373000000004</v>
      </c>
      <c r="AN34" s="2">
        <v>956.36860000000001</v>
      </c>
      <c r="AO34" s="2">
        <v>8849.8170000000009</v>
      </c>
      <c r="AP34" s="2">
        <v>0</v>
      </c>
      <c r="AQ34" s="2">
        <v>24.3</v>
      </c>
      <c r="AR34" s="2">
        <v>1.94</v>
      </c>
      <c r="AS34" s="2">
        <v>0</v>
      </c>
      <c r="AT34" s="2">
        <v>109</v>
      </c>
      <c r="AU34" s="2">
        <v>57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0</v>
      </c>
      <c r="BI34" s="2">
        <v>1</v>
      </c>
      <c r="BJ34" s="2" t="s">
        <v>75</v>
      </c>
      <c r="BK34" s="2"/>
      <c r="BL34" s="2"/>
      <c r="BM34" s="2">
        <v>12001</v>
      </c>
      <c r="BN34" s="2">
        <v>0</v>
      </c>
      <c r="BO34" s="2" t="s">
        <v>3</v>
      </c>
      <c r="BP34" s="2">
        <v>0</v>
      </c>
      <c r="BQ34" s="2">
        <v>2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109</v>
      </c>
      <c r="CA34" s="2">
        <v>57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76</v>
      </c>
      <c r="CO34" s="2">
        <v>0</v>
      </c>
      <c r="CP34" s="2">
        <f t="shared" si="22"/>
        <v>52961.32</v>
      </c>
      <c r="CQ34" s="2">
        <f>SUMIF(SmtRes!AQ29:'SmtRes'!AQ35,"=1",SmtRes!AA29:'SmtRes'!AA35)</f>
        <v>68.150000000000006</v>
      </c>
      <c r="CR34" s="2">
        <f>SUMIF(SmtRes!AQ29:'SmtRes'!AQ35,"=1",SmtRes!AB29:'SmtRes'!AB35)</f>
        <v>2809.21</v>
      </c>
      <c r="CS34" s="2">
        <f>SUMIF(SmtRes!AQ29:'SmtRes'!AQ35,"=1",SmtRes!AC29:'SmtRes'!AC35)</f>
        <v>1009.44</v>
      </c>
      <c r="CT34" s="2">
        <f>SUMIF(SmtRes!AQ29:'SmtRes'!AQ35,"=1",SmtRes!AD29:'SmtRes'!AD35)</f>
        <v>364.19</v>
      </c>
      <c r="CU34" s="2">
        <f t="shared" si="23"/>
        <v>0</v>
      </c>
      <c r="CV34" s="2">
        <f>SUMIF(SmtRes!AQ29:'SmtRes'!AQ35,"=1",SmtRes!BU29:'SmtRes'!BU35)</f>
        <v>19.440000000000001</v>
      </c>
      <c r="CW34" s="2">
        <f>SUMIF(SmtRes!AQ29:'SmtRes'!AQ35,"=1",SmtRes!BV29:'SmtRes'!BV35)</f>
        <v>1.552</v>
      </c>
      <c r="CX34" s="2">
        <f t="shared" si="24"/>
        <v>0</v>
      </c>
      <c r="CY34" s="2">
        <f t="shared" si="25"/>
        <v>44465.176599999999</v>
      </c>
      <c r="CZ34" s="2">
        <f t="shared" si="26"/>
        <v>23252.431799999998</v>
      </c>
      <c r="DA34" s="2"/>
      <c r="DB34" s="2"/>
      <c r="DC34" s="2" t="s">
        <v>3</v>
      </c>
      <c r="DD34" s="2" t="s">
        <v>77</v>
      </c>
      <c r="DE34" s="2" t="s">
        <v>78</v>
      </c>
      <c r="DF34" s="2" t="s">
        <v>78</v>
      </c>
      <c r="DG34" s="2" t="s">
        <v>78</v>
      </c>
      <c r="DH34" s="2" t="s">
        <v>3</v>
      </c>
      <c r="DI34" s="2" t="s">
        <v>78</v>
      </c>
      <c r="DJ34" s="2" t="s">
        <v>78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1005</v>
      </c>
      <c r="DV34" s="2" t="s">
        <v>20</v>
      </c>
      <c r="DW34" s="2" t="s">
        <v>20</v>
      </c>
      <c r="DX34" s="2">
        <v>100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54458927</v>
      </c>
      <c r="EF34" s="2">
        <v>2</v>
      </c>
      <c r="EG34" s="2" t="s">
        <v>22</v>
      </c>
      <c r="EH34" s="2">
        <v>12</v>
      </c>
      <c r="EI34" s="2" t="s">
        <v>79</v>
      </c>
      <c r="EJ34" s="2">
        <v>1</v>
      </c>
      <c r="EK34" s="2">
        <v>12001</v>
      </c>
      <c r="EL34" s="2" t="s">
        <v>79</v>
      </c>
      <c r="EM34" s="2" t="s">
        <v>80</v>
      </c>
      <c r="EN34" s="2"/>
      <c r="EO34" s="2" t="s">
        <v>81</v>
      </c>
      <c r="EP34" s="2"/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1.94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109</v>
      </c>
      <c r="FY34" s="2">
        <v>57</v>
      </c>
      <c r="FZ34" s="2"/>
      <c r="GA34" s="2" t="s">
        <v>3</v>
      </c>
      <c r="GB34" s="2"/>
      <c r="GC34" s="2"/>
      <c r="GD34" s="2">
        <v>1</v>
      </c>
      <c r="GE34" s="2"/>
      <c r="GF34" s="2">
        <v>-578550043</v>
      </c>
      <c r="GG34" s="2">
        <v>2</v>
      </c>
      <c r="GH34" s="2">
        <v>1</v>
      </c>
      <c r="GI34" s="2">
        <v>-2</v>
      </c>
      <c r="GJ34" s="2">
        <v>0</v>
      </c>
      <c r="GK34" s="2">
        <v>0</v>
      </c>
      <c r="GL34" s="2">
        <f t="shared" si="27"/>
        <v>0</v>
      </c>
      <c r="GM34" s="2">
        <f t="shared" si="28"/>
        <v>120678.93</v>
      </c>
      <c r="GN34" s="2">
        <f t="shared" si="29"/>
        <v>120678.93</v>
      </c>
      <c r="GO34" s="2">
        <f t="shared" si="30"/>
        <v>0</v>
      </c>
      <c r="GP34" s="2">
        <f t="shared" si="31"/>
        <v>0</v>
      </c>
      <c r="GQ34" s="2"/>
      <c r="GR34" s="2">
        <v>0</v>
      </c>
      <c r="GS34" s="2">
        <v>0</v>
      </c>
      <c r="GT34" s="2">
        <v>0</v>
      </c>
      <c r="GU34" s="2" t="s">
        <v>3</v>
      </c>
      <c r="GV34" s="2">
        <f t="shared" si="32"/>
        <v>0</v>
      </c>
      <c r="GW34" s="2">
        <v>1</v>
      </c>
      <c r="GX34" s="2">
        <f t="shared" si="33"/>
        <v>0</v>
      </c>
      <c r="GY34" s="2"/>
      <c r="GZ34" s="2"/>
      <c r="HA34" s="2">
        <v>0</v>
      </c>
      <c r="HB34" s="2">
        <v>0</v>
      </c>
      <c r="HC34" s="2">
        <f t="shared" si="34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82</v>
      </c>
      <c r="HO34" s="2" t="s">
        <v>83</v>
      </c>
      <c r="HP34" s="2" t="s">
        <v>79</v>
      </c>
      <c r="HQ34" s="2" t="s">
        <v>79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17</v>
      </c>
      <c r="B35" s="2">
        <v>1</v>
      </c>
      <c r="C35" s="2">
        <f>ROW(SmtRes!A39)</f>
        <v>39</v>
      </c>
      <c r="D35" s="2">
        <f>ROW(EtalonRes!A44)</f>
        <v>44</v>
      </c>
      <c r="E35" s="2" t="s">
        <v>84</v>
      </c>
      <c r="F35" s="2" t="s">
        <v>85</v>
      </c>
      <c r="G35" s="2" t="s">
        <v>86</v>
      </c>
      <c r="H35" s="2" t="s">
        <v>20</v>
      </c>
      <c r="I35" s="2">
        <f>ROUND(520/100,7)</f>
        <v>5.2</v>
      </c>
      <c r="J35" s="2">
        <v>0</v>
      </c>
      <c r="K35" s="2">
        <f>ROUND(520/100,7)</f>
        <v>5.2</v>
      </c>
      <c r="L35" s="2"/>
      <c r="M35" s="2"/>
      <c r="N35" s="2"/>
      <c r="O35" s="2">
        <f t="shared" si="14"/>
        <v>105758.79</v>
      </c>
      <c r="P35" s="2">
        <f>SUMIF(SmtRes!AQ36:'SmtRes'!AQ39,"=1",SmtRes!DF36:'SmtRes'!DF39)</f>
        <v>0</v>
      </c>
      <c r="Q35" s="2">
        <f>SUMIF(SmtRes!AQ36:'SmtRes'!AQ39,"=1",SmtRes!DG36:'SmtRes'!DG39)</f>
        <v>11175.69</v>
      </c>
      <c r="R35" s="2">
        <f>SUMIF(SmtRes!AQ36:'SmtRes'!AQ39,"=1",SmtRes!DH36:'SmtRes'!DH39)</f>
        <v>3681.2799999999997</v>
      </c>
      <c r="S35" s="2">
        <f>SUMIF(SmtRes!AQ36:'SmtRes'!AQ39,"=1",SmtRes!DI36:'SmtRes'!DI39)</f>
        <v>90901.82</v>
      </c>
      <c r="T35" s="2">
        <f t="shared" si="15"/>
        <v>0</v>
      </c>
      <c r="U35" s="2">
        <f>SUMIF(SmtRes!AQ36:'SmtRes'!AQ39,"=1",SmtRes!CV36:'SmtRes'!CV39)</f>
        <v>249.6</v>
      </c>
      <c r="V35" s="2">
        <f>SUMIF(SmtRes!AQ36:'SmtRes'!AQ39,"=1",SmtRes!CW36:'SmtRes'!CW39)</f>
        <v>7.4879999999999995</v>
      </c>
      <c r="W35" s="2">
        <f t="shared" si="16"/>
        <v>0</v>
      </c>
      <c r="X35" s="2">
        <f t="shared" si="17"/>
        <v>103095.58</v>
      </c>
      <c r="Y35" s="2">
        <f t="shared" si="18"/>
        <v>53912.37</v>
      </c>
      <c r="Z35" s="2"/>
      <c r="AA35" s="2">
        <v>55860754</v>
      </c>
      <c r="AB35" s="2">
        <f t="shared" si="19"/>
        <v>19630.2912</v>
      </c>
      <c r="AC35" s="2">
        <f t="shared" si="35"/>
        <v>0</v>
      </c>
      <c r="AD35" s="2">
        <f>ROUND((((SUM(SmtRes!BR36:'SmtRes'!BR39))-(SUM(SmtRes!BS36:'SmtRes'!BS39)))+AE35),6)</f>
        <v>2149.1712000000002</v>
      </c>
      <c r="AE35" s="2">
        <f>ROUND((SUM(SmtRes!BS36:'SmtRes'!BS39)),6)</f>
        <v>707.93759999999997</v>
      </c>
      <c r="AF35" s="2">
        <f>ROUND((SUM(SmtRes!BT36:'SmtRes'!BT39)),6)</f>
        <v>17481.12</v>
      </c>
      <c r="AG35" s="2">
        <f t="shared" si="20"/>
        <v>0</v>
      </c>
      <c r="AH35" s="2">
        <f>(SUM(SmtRes!BU36:'SmtRes'!BU39))</f>
        <v>48</v>
      </c>
      <c r="AI35" s="2">
        <f>(SUM(SmtRes!BV36:'SmtRes'!BV39))</f>
        <v>1.44</v>
      </c>
      <c r="AJ35" s="2">
        <f t="shared" si="21"/>
        <v>0</v>
      </c>
      <c r="AK35" s="2">
        <v>423.7131</v>
      </c>
      <c r="AL35" s="2">
        <v>0</v>
      </c>
      <c r="AM35" s="2">
        <v>44.7744</v>
      </c>
      <c r="AN35" s="2">
        <v>14.748699999999999</v>
      </c>
      <c r="AO35" s="2">
        <v>364.19</v>
      </c>
      <c r="AP35" s="2">
        <v>0</v>
      </c>
      <c r="AQ35" s="2">
        <v>1</v>
      </c>
      <c r="AR35" s="2">
        <v>0.03</v>
      </c>
      <c r="AS35" s="2">
        <v>0</v>
      </c>
      <c r="AT35" s="2">
        <v>109</v>
      </c>
      <c r="AU35" s="2">
        <v>57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0</v>
      </c>
      <c r="BI35" s="2">
        <v>1</v>
      </c>
      <c r="BJ35" s="2" t="s">
        <v>87</v>
      </c>
      <c r="BK35" s="2"/>
      <c r="BL35" s="2"/>
      <c r="BM35" s="2">
        <v>12001</v>
      </c>
      <c r="BN35" s="2">
        <v>0</v>
      </c>
      <c r="BO35" s="2" t="s">
        <v>3</v>
      </c>
      <c r="BP35" s="2">
        <v>0</v>
      </c>
      <c r="BQ35" s="2">
        <v>2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109</v>
      </c>
      <c r="CA35" s="2">
        <v>57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76</v>
      </c>
      <c r="CO35" s="2">
        <v>0</v>
      </c>
      <c r="CP35" s="2">
        <f t="shared" si="22"/>
        <v>105758.79000000001</v>
      </c>
      <c r="CQ35" s="2">
        <f>SUMIF(SmtRes!AQ36:'SmtRes'!AQ39,"=1",SmtRes!AA36:'SmtRes'!AA39)</f>
        <v>0</v>
      </c>
      <c r="CR35" s="2">
        <f>SUMIF(SmtRes!AQ36:'SmtRes'!AQ39,"=1",SmtRes!AB36:'SmtRes'!AB39)</f>
        <v>2787.7200000000003</v>
      </c>
      <c r="CS35" s="2">
        <f>SUMIF(SmtRes!AQ36:'SmtRes'!AQ39,"=1",SmtRes!AC36:'SmtRes'!AC39)</f>
        <v>1009.44</v>
      </c>
      <c r="CT35" s="2">
        <f>SUMIF(SmtRes!AQ36:'SmtRes'!AQ39,"=1",SmtRes!AD36:'SmtRes'!AD39)</f>
        <v>364.19</v>
      </c>
      <c r="CU35" s="2">
        <f t="shared" si="23"/>
        <v>0</v>
      </c>
      <c r="CV35" s="2">
        <f>SUMIF(SmtRes!AQ36:'SmtRes'!AQ39,"=1",SmtRes!BU36:'SmtRes'!BU39)</f>
        <v>48</v>
      </c>
      <c r="CW35" s="2">
        <f>SUMIF(SmtRes!AQ36:'SmtRes'!AQ39,"=1",SmtRes!BV36:'SmtRes'!BV39)</f>
        <v>1.44</v>
      </c>
      <c r="CX35" s="2">
        <f t="shared" si="24"/>
        <v>0</v>
      </c>
      <c r="CY35" s="2">
        <f t="shared" si="25"/>
        <v>103095.579</v>
      </c>
      <c r="CZ35" s="2">
        <f t="shared" si="26"/>
        <v>53912.366999999998</v>
      </c>
      <c r="DA35" s="2"/>
      <c r="DB35" s="2"/>
      <c r="DC35" s="2" t="s">
        <v>3</v>
      </c>
      <c r="DD35" s="2" t="s">
        <v>77</v>
      </c>
      <c r="DE35" s="2" t="s">
        <v>88</v>
      </c>
      <c r="DF35" s="2" t="s">
        <v>88</v>
      </c>
      <c r="DG35" s="2" t="s">
        <v>88</v>
      </c>
      <c r="DH35" s="2" t="s">
        <v>3</v>
      </c>
      <c r="DI35" s="2" t="s">
        <v>88</v>
      </c>
      <c r="DJ35" s="2" t="s">
        <v>88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1005</v>
      </c>
      <c r="DV35" s="2" t="s">
        <v>20</v>
      </c>
      <c r="DW35" s="2" t="s">
        <v>20</v>
      </c>
      <c r="DX35" s="2">
        <v>100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54458927</v>
      </c>
      <c r="EF35" s="2">
        <v>2</v>
      </c>
      <c r="EG35" s="2" t="s">
        <v>22</v>
      </c>
      <c r="EH35" s="2">
        <v>12</v>
      </c>
      <c r="EI35" s="2" t="s">
        <v>79</v>
      </c>
      <c r="EJ35" s="2">
        <v>1</v>
      </c>
      <c r="EK35" s="2">
        <v>12001</v>
      </c>
      <c r="EL35" s="2" t="s">
        <v>79</v>
      </c>
      <c r="EM35" s="2" t="s">
        <v>80</v>
      </c>
      <c r="EN35" s="2"/>
      <c r="EO35" s="2" t="s">
        <v>81</v>
      </c>
      <c r="EP35" s="2"/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0.03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109</v>
      </c>
      <c r="FY35" s="2">
        <v>57</v>
      </c>
      <c r="FZ35" s="2"/>
      <c r="GA35" s="2" t="s">
        <v>3</v>
      </c>
      <c r="GB35" s="2"/>
      <c r="GC35" s="2"/>
      <c r="GD35" s="2">
        <v>1</v>
      </c>
      <c r="GE35" s="2"/>
      <c r="GF35" s="2">
        <v>505280839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27"/>
        <v>0</v>
      </c>
      <c r="GM35" s="2">
        <f t="shared" si="28"/>
        <v>262766.74</v>
      </c>
      <c r="GN35" s="2">
        <f t="shared" si="29"/>
        <v>262766.74</v>
      </c>
      <c r="GO35" s="2">
        <f t="shared" si="30"/>
        <v>0</v>
      </c>
      <c r="GP35" s="2">
        <f t="shared" si="31"/>
        <v>0</v>
      </c>
      <c r="GQ35" s="2"/>
      <c r="GR35" s="2">
        <v>0</v>
      </c>
      <c r="GS35" s="2">
        <v>0</v>
      </c>
      <c r="GT35" s="2">
        <v>0</v>
      </c>
      <c r="GU35" s="2" t="s">
        <v>3</v>
      </c>
      <c r="GV35" s="2">
        <f t="shared" si="32"/>
        <v>0</v>
      </c>
      <c r="GW35" s="2">
        <v>1</v>
      </c>
      <c r="GX35" s="2">
        <f t="shared" si="33"/>
        <v>0</v>
      </c>
      <c r="GY35" s="2"/>
      <c r="GZ35" s="2"/>
      <c r="HA35" s="2">
        <v>0</v>
      </c>
      <c r="HB35" s="2">
        <v>0</v>
      </c>
      <c r="HC35" s="2">
        <f t="shared" si="34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82</v>
      </c>
      <c r="HO35" s="2" t="s">
        <v>83</v>
      </c>
      <c r="HP35" s="2" t="s">
        <v>79</v>
      </c>
      <c r="HQ35" s="2" t="s">
        <v>79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17</v>
      </c>
      <c r="B36" s="2">
        <v>1</v>
      </c>
      <c r="C36" s="2">
        <f>ROW(SmtRes!A43)</f>
        <v>43</v>
      </c>
      <c r="D36" s="2">
        <f>ROW(EtalonRes!A49)</f>
        <v>49</v>
      </c>
      <c r="E36" s="2" t="s">
        <v>89</v>
      </c>
      <c r="F36" s="2" t="s">
        <v>90</v>
      </c>
      <c r="G36" s="2" t="s">
        <v>91</v>
      </c>
      <c r="H36" s="2" t="s">
        <v>92</v>
      </c>
      <c r="I36" s="2">
        <f>ROUND(520*0.2,7)</f>
        <v>104</v>
      </c>
      <c r="J36" s="2">
        <v>0</v>
      </c>
      <c r="K36" s="2">
        <f>ROUND(520*0.2,7)</f>
        <v>104</v>
      </c>
      <c r="L36" s="2"/>
      <c r="M36" s="2"/>
      <c r="N36" s="2"/>
      <c r="O36" s="2">
        <f t="shared" si="14"/>
        <v>130118.93</v>
      </c>
      <c r="P36" s="2">
        <f>SUMIF(SmtRes!AQ40:'SmtRes'!AQ43,"=1",SmtRes!DF40:'SmtRes'!DF43)</f>
        <v>0</v>
      </c>
      <c r="Q36" s="2">
        <f>SUMIF(SmtRes!AQ40:'SmtRes'!AQ43,"=1",SmtRes!DG40:'SmtRes'!DG43)</f>
        <v>41891.06</v>
      </c>
      <c r="R36" s="2">
        <f>SUMIF(SmtRes!AQ40:'SmtRes'!AQ43,"=1",SmtRes!DH40:'SmtRes'!DH43)</f>
        <v>13950.63</v>
      </c>
      <c r="S36" s="2">
        <f>SUMIF(SmtRes!AQ40:'SmtRes'!AQ43,"=1",SmtRes!DI40:'SmtRes'!DI43)</f>
        <v>74277.240000000005</v>
      </c>
      <c r="T36" s="2">
        <f t="shared" si="15"/>
        <v>0</v>
      </c>
      <c r="U36" s="2">
        <f>SUMIF(SmtRes!AQ40:'SmtRes'!AQ43,"=1",SmtRes!CV40:'SmtRes'!CV43)</f>
        <v>225.47200000000001</v>
      </c>
      <c r="V36" s="2">
        <f>SUMIF(SmtRes!AQ40:'SmtRes'!AQ43,"=1",SmtRes!CW40:'SmtRes'!CW43)</f>
        <v>28.287999999999997</v>
      </c>
      <c r="W36" s="2">
        <f t="shared" si="16"/>
        <v>0</v>
      </c>
      <c r="X36" s="2">
        <f t="shared" si="17"/>
        <v>96168.38</v>
      </c>
      <c r="Y36" s="2">
        <f t="shared" si="18"/>
        <v>50289.89</v>
      </c>
      <c r="Z36" s="2"/>
      <c r="AA36" s="2">
        <v>55860754</v>
      </c>
      <c r="AB36" s="2">
        <f t="shared" si="19"/>
        <v>1117.00296</v>
      </c>
      <c r="AC36" s="2">
        <f t="shared" si="35"/>
        <v>0</v>
      </c>
      <c r="AD36" s="2">
        <f>ROUND((((SUM(SmtRes!BR40:'SmtRes'!BR43))-(SUM(SmtRes!BS40:'SmtRes'!BS43)))+AE36),6)</f>
        <v>402.79872</v>
      </c>
      <c r="AE36" s="2">
        <f>ROUND((SUM(SmtRes!BS40:'SmtRes'!BS43)),6)</f>
        <v>134.14063999999999</v>
      </c>
      <c r="AF36" s="2">
        <f>ROUND((SUM(SmtRes!BT40:'SmtRes'!BT43)),6)</f>
        <v>714.20424000000003</v>
      </c>
      <c r="AG36" s="2">
        <f t="shared" si="20"/>
        <v>0</v>
      </c>
      <c r="AH36" s="2">
        <f>(SUM(SmtRes!BU40:'SmtRes'!BU43))</f>
        <v>2.1680000000000001</v>
      </c>
      <c r="AI36" s="2">
        <f>(SUM(SmtRes!BV40:'SmtRes'!BV43))</f>
        <v>0.27200000000000002</v>
      </c>
      <c r="AJ36" s="2">
        <f t="shared" si="21"/>
        <v>0</v>
      </c>
      <c r="AK36" s="2">
        <v>1563.9295</v>
      </c>
      <c r="AL36" s="2">
        <v>0</v>
      </c>
      <c r="AM36" s="2">
        <v>503.4984</v>
      </c>
      <c r="AN36" s="2">
        <v>167.67579999999998</v>
      </c>
      <c r="AO36" s="2">
        <v>892.75530000000003</v>
      </c>
      <c r="AP36" s="2">
        <v>0</v>
      </c>
      <c r="AQ36" s="2">
        <v>2.71</v>
      </c>
      <c r="AR36" s="2">
        <v>0.33999999999999997</v>
      </c>
      <c r="AS36" s="2">
        <v>0</v>
      </c>
      <c r="AT36" s="2">
        <v>109</v>
      </c>
      <c r="AU36" s="2">
        <v>57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0</v>
      </c>
      <c r="BI36" s="2">
        <v>1</v>
      </c>
      <c r="BJ36" s="2" t="s">
        <v>93</v>
      </c>
      <c r="BK36" s="2"/>
      <c r="BL36" s="2"/>
      <c r="BM36" s="2">
        <v>12001</v>
      </c>
      <c r="BN36" s="2">
        <v>0</v>
      </c>
      <c r="BO36" s="2" t="s">
        <v>3</v>
      </c>
      <c r="BP36" s="2">
        <v>0</v>
      </c>
      <c r="BQ36" s="2">
        <v>2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109</v>
      </c>
      <c r="CA36" s="2">
        <v>57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94</v>
      </c>
      <c r="CO36" s="2">
        <v>0</v>
      </c>
      <c r="CP36" s="2">
        <f t="shared" si="22"/>
        <v>130118.93000000001</v>
      </c>
      <c r="CQ36" s="2">
        <f>SUMIF(SmtRes!AQ40:'SmtRes'!AQ43,"=1",SmtRes!AA40:'SmtRes'!AA43)</f>
        <v>0</v>
      </c>
      <c r="CR36" s="2">
        <f>SUMIF(SmtRes!AQ40:'SmtRes'!AQ43,"=1",SmtRes!AB40:'SmtRes'!AB43)</f>
        <v>2787.7200000000003</v>
      </c>
      <c r="CS36" s="2">
        <f>SUMIF(SmtRes!AQ40:'SmtRes'!AQ43,"=1",SmtRes!AC40:'SmtRes'!AC43)</f>
        <v>1009.44</v>
      </c>
      <c r="CT36" s="2">
        <f>SUMIF(SmtRes!AQ40:'SmtRes'!AQ43,"=1",SmtRes!AD40:'SmtRes'!AD43)</f>
        <v>329.43</v>
      </c>
      <c r="CU36" s="2">
        <f t="shared" si="23"/>
        <v>0</v>
      </c>
      <c r="CV36" s="2">
        <f>SUMIF(SmtRes!AQ40:'SmtRes'!AQ43,"=1",SmtRes!BU40:'SmtRes'!BU43)</f>
        <v>2.1680000000000001</v>
      </c>
      <c r="CW36" s="2">
        <f>SUMIF(SmtRes!AQ40:'SmtRes'!AQ43,"=1",SmtRes!BV40:'SmtRes'!BV43)</f>
        <v>0.27200000000000002</v>
      </c>
      <c r="CX36" s="2">
        <f t="shared" si="24"/>
        <v>0</v>
      </c>
      <c r="CY36" s="2">
        <f t="shared" si="25"/>
        <v>96168.378300000026</v>
      </c>
      <c r="CZ36" s="2">
        <f t="shared" si="26"/>
        <v>50289.885900000008</v>
      </c>
      <c r="DA36" s="2"/>
      <c r="DB36" s="2"/>
      <c r="DC36" s="2" t="s">
        <v>3</v>
      </c>
      <c r="DD36" s="2" t="s">
        <v>77</v>
      </c>
      <c r="DE36" s="2" t="s">
        <v>78</v>
      </c>
      <c r="DF36" s="2" t="s">
        <v>78</v>
      </c>
      <c r="DG36" s="2" t="s">
        <v>78</v>
      </c>
      <c r="DH36" s="2" t="s">
        <v>3</v>
      </c>
      <c r="DI36" s="2" t="s">
        <v>78</v>
      </c>
      <c r="DJ36" s="2" t="s">
        <v>78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1007</v>
      </c>
      <c r="DV36" s="2" t="s">
        <v>92</v>
      </c>
      <c r="DW36" s="2" t="s">
        <v>92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54458927</v>
      </c>
      <c r="EF36" s="2">
        <v>2</v>
      </c>
      <c r="EG36" s="2" t="s">
        <v>22</v>
      </c>
      <c r="EH36" s="2">
        <v>12</v>
      </c>
      <c r="EI36" s="2" t="s">
        <v>79</v>
      </c>
      <c r="EJ36" s="2">
        <v>1</v>
      </c>
      <c r="EK36" s="2">
        <v>12001</v>
      </c>
      <c r="EL36" s="2" t="s">
        <v>79</v>
      </c>
      <c r="EM36" s="2" t="s">
        <v>80</v>
      </c>
      <c r="EN36" s="2"/>
      <c r="EO36" s="2" t="s">
        <v>95</v>
      </c>
      <c r="EP36" s="2"/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0.34</v>
      </c>
      <c r="EY36" s="2">
        <v>0</v>
      </c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109</v>
      </c>
      <c r="FY36" s="2">
        <v>57</v>
      </c>
      <c r="FZ36" s="2"/>
      <c r="GA36" s="2" t="s">
        <v>3</v>
      </c>
      <c r="GB36" s="2"/>
      <c r="GC36" s="2"/>
      <c r="GD36" s="2">
        <v>1</v>
      </c>
      <c r="GE36" s="2"/>
      <c r="GF36" s="2">
        <v>771735054</v>
      </c>
      <c r="GG36" s="2">
        <v>2</v>
      </c>
      <c r="GH36" s="2">
        <v>1</v>
      </c>
      <c r="GI36" s="2">
        <v>-2</v>
      </c>
      <c r="GJ36" s="2">
        <v>0</v>
      </c>
      <c r="GK36" s="2">
        <v>0</v>
      </c>
      <c r="GL36" s="2">
        <f t="shared" si="27"/>
        <v>0</v>
      </c>
      <c r="GM36" s="2">
        <f t="shared" si="28"/>
        <v>276577.2</v>
      </c>
      <c r="GN36" s="2">
        <f t="shared" si="29"/>
        <v>276577.2</v>
      </c>
      <c r="GO36" s="2">
        <f t="shared" si="30"/>
        <v>0</v>
      </c>
      <c r="GP36" s="2">
        <f t="shared" si="31"/>
        <v>0</v>
      </c>
      <c r="GQ36" s="2"/>
      <c r="GR36" s="2">
        <v>0</v>
      </c>
      <c r="GS36" s="2">
        <v>0</v>
      </c>
      <c r="GT36" s="2">
        <v>0</v>
      </c>
      <c r="GU36" s="2" t="s">
        <v>3</v>
      </c>
      <c r="GV36" s="2">
        <f t="shared" si="32"/>
        <v>0</v>
      </c>
      <c r="GW36" s="2">
        <v>1</v>
      </c>
      <c r="GX36" s="2">
        <f t="shared" si="33"/>
        <v>0</v>
      </c>
      <c r="GY36" s="2"/>
      <c r="GZ36" s="2"/>
      <c r="HA36" s="2">
        <v>0</v>
      </c>
      <c r="HB36" s="2">
        <v>0</v>
      </c>
      <c r="HC36" s="2">
        <f t="shared" si="34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82</v>
      </c>
      <c r="HO36" s="2" t="s">
        <v>83</v>
      </c>
      <c r="HP36" s="2" t="s">
        <v>79</v>
      </c>
      <c r="HQ36" s="2" t="s">
        <v>79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ht="409.5" x14ac:dyDescent="0.2">
      <c r="A37" s="2">
        <v>17</v>
      </c>
      <c r="B37" s="2">
        <v>1</v>
      </c>
      <c r="C37" s="2">
        <f>ROW(SmtRes!A48)</f>
        <v>48</v>
      </c>
      <c r="D37" s="2">
        <f>ROW(EtalonRes!A54)</f>
        <v>54</v>
      </c>
      <c r="E37" s="2" t="s">
        <v>96</v>
      </c>
      <c r="F37" s="2" t="s">
        <v>90</v>
      </c>
      <c r="G37" s="2" t="s">
        <v>97</v>
      </c>
      <c r="H37" s="2" t="s">
        <v>92</v>
      </c>
      <c r="I37" s="2">
        <f>ROUND(520*0.25,7)</f>
        <v>130</v>
      </c>
      <c r="J37" s="2">
        <v>0</v>
      </c>
      <c r="K37" s="2">
        <f>ROUND(520*0.25,7)</f>
        <v>130</v>
      </c>
      <c r="L37" s="2"/>
      <c r="M37" s="2"/>
      <c r="N37" s="2"/>
      <c r="O37" s="2">
        <f t="shared" si="14"/>
        <v>242532.73</v>
      </c>
      <c r="P37" s="2">
        <f>SUMIF(SmtRes!AQ44:'SmtRes'!AQ48,"=1",SmtRes!DF44:'SmtRes'!DF48)</f>
        <v>0</v>
      </c>
      <c r="Q37" s="2">
        <f>SUMIF(SmtRes!AQ44:'SmtRes'!AQ48,"=1",SmtRes!DG44:'SmtRes'!DG48)</f>
        <v>81818.489999999991</v>
      </c>
      <c r="R37" s="2">
        <f>SUMIF(SmtRes!AQ44:'SmtRes'!AQ48,"=1",SmtRes!DH44:'SmtRes'!DH48)</f>
        <v>27247.32</v>
      </c>
      <c r="S37" s="2">
        <f>SUMIF(SmtRes!AQ44:'SmtRes'!AQ48,"=1",SmtRes!DI44:'SmtRes'!DI48)</f>
        <v>133466.92000000001</v>
      </c>
      <c r="T37" s="2">
        <f t="shared" si="15"/>
        <v>0</v>
      </c>
      <c r="U37" s="2">
        <f>SUMIF(SmtRes!AQ44:'SmtRes'!AQ48,"=1",SmtRes!CV44:'SmtRes'!CV48)</f>
        <v>405.14499999999998</v>
      </c>
      <c r="V37" s="2">
        <f>SUMIF(SmtRes!AQ44:'SmtRes'!AQ48,"=1",SmtRes!CW44:'SmtRes'!CW48)</f>
        <v>55.25</v>
      </c>
      <c r="W37" s="2">
        <f t="shared" si="16"/>
        <v>0</v>
      </c>
      <c r="X37" s="2">
        <f t="shared" si="17"/>
        <v>157660.67000000001</v>
      </c>
      <c r="Y37" s="2">
        <f t="shared" si="18"/>
        <v>77866.05</v>
      </c>
      <c r="Z37" s="2"/>
      <c r="AA37" s="2">
        <v>55860754</v>
      </c>
      <c r="AB37" s="2">
        <f t="shared" si="19"/>
        <v>1656.0415949999999</v>
      </c>
      <c r="AC37" s="2">
        <f t="shared" si="35"/>
        <v>0</v>
      </c>
      <c r="AD37" s="2">
        <f>ROUND((((SUM(SmtRes!BR44:'SmtRes'!BR48))-(SUM(SmtRes!BS44:'SmtRes'!BS48)))+AE37),6)</f>
        <v>629.37300000000005</v>
      </c>
      <c r="AE37" s="2">
        <f>ROUND((SUM(SmtRes!BS44:'SmtRes'!BS48)),6)</f>
        <v>209.59475</v>
      </c>
      <c r="AF37" s="2">
        <f>ROUND((SUM(SmtRes!BT44:'SmtRes'!BT48)),6)</f>
        <v>1026.6685950000001</v>
      </c>
      <c r="AG37" s="2">
        <f t="shared" si="20"/>
        <v>0</v>
      </c>
      <c r="AH37" s="2">
        <f>(SUM(SmtRes!BU44:'SmtRes'!BU48))</f>
        <v>3.1164999999999998</v>
      </c>
      <c r="AI37" s="2">
        <f>(SUM(SmtRes!BV44:'SmtRes'!BV48))</f>
        <v>0.42500000000000004</v>
      </c>
      <c r="AJ37" s="2">
        <f t="shared" si="21"/>
        <v>0</v>
      </c>
      <c r="AK37" s="2">
        <v>1563.9295</v>
      </c>
      <c r="AL37" s="2">
        <v>0</v>
      </c>
      <c r="AM37" s="2">
        <v>503.4984</v>
      </c>
      <c r="AN37" s="2">
        <v>167.67579999999998</v>
      </c>
      <c r="AO37" s="2">
        <v>892.75530000000003</v>
      </c>
      <c r="AP37" s="2">
        <v>0</v>
      </c>
      <c r="AQ37" s="2">
        <v>2.71</v>
      </c>
      <c r="AR37" s="2">
        <v>0.33999999999999997</v>
      </c>
      <c r="AS37" s="2">
        <v>0</v>
      </c>
      <c r="AT37" s="2">
        <v>98.1</v>
      </c>
      <c r="AU37" s="2">
        <v>48.45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0</v>
      </c>
      <c r="BI37" s="2">
        <v>1</v>
      </c>
      <c r="BJ37" s="2" t="s">
        <v>93</v>
      </c>
      <c r="BK37" s="2"/>
      <c r="BL37" s="2"/>
      <c r="BM37" s="2">
        <v>12001</v>
      </c>
      <c r="BN37" s="2">
        <v>0</v>
      </c>
      <c r="BO37" s="2" t="s">
        <v>3</v>
      </c>
      <c r="BP37" s="2">
        <v>0</v>
      </c>
      <c r="BQ37" s="2">
        <v>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109</v>
      </c>
      <c r="CA37" s="2">
        <v>57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7" t="s">
        <v>447</v>
      </c>
      <c r="CO37" s="2">
        <v>0</v>
      </c>
      <c r="CP37" s="2">
        <f t="shared" si="22"/>
        <v>242532.73</v>
      </c>
      <c r="CQ37" s="2">
        <f>SUMIF(SmtRes!AQ44:'SmtRes'!AQ48,"=1",SmtRes!AA44:'SmtRes'!AA48)</f>
        <v>0</v>
      </c>
      <c r="CR37" s="2">
        <f>SUMIF(SmtRes!AQ44:'SmtRes'!AQ48,"=1",SmtRes!AB44:'SmtRes'!AB48)</f>
        <v>2787.7200000000003</v>
      </c>
      <c r="CS37" s="2">
        <f>SUMIF(SmtRes!AQ44:'SmtRes'!AQ48,"=1",SmtRes!AC44:'SmtRes'!AC48)</f>
        <v>1009.44</v>
      </c>
      <c r="CT37" s="2">
        <f>SUMIF(SmtRes!AQ44:'SmtRes'!AQ48,"=1",SmtRes!AD44:'SmtRes'!AD48)</f>
        <v>329.43</v>
      </c>
      <c r="CU37" s="2">
        <f t="shared" si="23"/>
        <v>0</v>
      </c>
      <c r="CV37" s="2">
        <f>SUMIF(SmtRes!AQ44:'SmtRes'!AQ48,"=1",SmtRes!BU44:'SmtRes'!BU48)</f>
        <v>3.1164999999999998</v>
      </c>
      <c r="CW37" s="2">
        <f>SUMIF(SmtRes!AQ44:'SmtRes'!AQ48,"=1",SmtRes!BV44:'SmtRes'!BV48)</f>
        <v>0.42500000000000004</v>
      </c>
      <c r="CX37" s="2">
        <f t="shared" si="24"/>
        <v>0</v>
      </c>
      <c r="CY37" s="2">
        <f t="shared" si="25"/>
        <v>157660.66944</v>
      </c>
      <c r="CZ37" s="2">
        <f t="shared" si="26"/>
        <v>77866.049280000007</v>
      </c>
      <c r="DA37" s="2"/>
      <c r="DB37" s="2"/>
      <c r="DC37" s="2" t="s">
        <v>3</v>
      </c>
      <c r="DD37" s="2" t="s">
        <v>3</v>
      </c>
      <c r="DE37" s="2" t="s">
        <v>98</v>
      </c>
      <c r="DF37" s="2" t="s">
        <v>98</v>
      </c>
      <c r="DG37" s="2" t="s">
        <v>99</v>
      </c>
      <c r="DH37" s="2" t="s">
        <v>3</v>
      </c>
      <c r="DI37" s="2" t="s">
        <v>99</v>
      </c>
      <c r="DJ37" s="2" t="s">
        <v>98</v>
      </c>
      <c r="DK37" s="2" t="s">
        <v>3</v>
      </c>
      <c r="DL37" s="2" t="s">
        <v>100</v>
      </c>
      <c r="DM37" s="2" t="s">
        <v>101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1007</v>
      </c>
      <c r="DV37" s="2" t="s">
        <v>92</v>
      </c>
      <c r="DW37" s="2" t="s">
        <v>92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54458927</v>
      </c>
      <c r="EF37" s="2">
        <v>2</v>
      </c>
      <c r="EG37" s="2" t="s">
        <v>22</v>
      </c>
      <c r="EH37" s="2">
        <v>12</v>
      </c>
      <c r="EI37" s="2" t="s">
        <v>79</v>
      </c>
      <c r="EJ37" s="2">
        <v>1</v>
      </c>
      <c r="EK37" s="2">
        <v>12001</v>
      </c>
      <c r="EL37" s="2" t="s">
        <v>79</v>
      </c>
      <c r="EM37" s="2" t="s">
        <v>80</v>
      </c>
      <c r="EN37" s="2"/>
      <c r="EO37" s="2" t="s">
        <v>102</v>
      </c>
      <c r="EP37" s="2"/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0.34</v>
      </c>
      <c r="EY37" s="2">
        <v>0</v>
      </c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98.1</v>
      </c>
      <c r="FY37" s="2">
        <v>48.45</v>
      </c>
      <c r="FZ37" s="2"/>
      <c r="GA37" s="2" t="s">
        <v>3</v>
      </c>
      <c r="GB37" s="2"/>
      <c r="GC37" s="2"/>
      <c r="GD37" s="2">
        <v>1</v>
      </c>
      <c r="GE37" s="2"/>
      <c r="GF37" s="2">
        <v>89140237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27"/>
        <v>0</v>
      </c>
      <c r="GM37" s="2">
        <f t="shared" si="28"/>
        <v>478059.45</v>
      </c>
      <c r="GN37" s="2">
        <f t="shared" si="29"/>
        <v>478059.45</v>
      </c>
      <c r="GO37" s="2">
        <f t="shared" si="30"/>
        <v>0</v>
      </c>
      <c r="GP37" s="2">
        <f t="shared" si="31"/>
        <v>0</v>
      </c>
      <c r="GQ37" s="2"/>
      <c r="GR37" s="2">
        <v>0</v>
      </c>
      <c r="GS37" s="2">
        <v>0</v>
      </c>
      <c r="GT37" s="2">
        <v>0</v>
      </c>
      <c r="GU37" s="2" t="s">
        <v>3</v>
      </c>
      <c r="GV37" s="2">
        <f t="shared" si="32"/>
        <v>0</v>
      </c>
      <c r="GW37" s="2">
        <v>1</v>
      </c>
      <c r="GX37" s="2">
        <f t="shared" si="33"/>
        <v>0</v>
      </c>
      <c r="GY37" s="2"/>
      <c r="GZ37" s="2"/>
      <c r="HA37" s="2">
        <v>0</v>
      </c>
      <c r="HB37" s="2">
        <v>0</v>
      </c>
      <c r="HC37" s="2">
        <f t="shared" si="34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82</v>
      </c>
      <c r="HO37" s="2" t="s">
        <v>83</v>
      </c>
      <c r="HP37" s="2" t="s">
        <v>79</v>
      </c>
      <c r="HQ37" s="2" t="s">
        <v>79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2">
        <v>18</v>
      </c>
      <c r="B38" s="2">
        <v>1</v>
      </c>
      <c r="C38" s="2">
        <v>48</v>
      </c>
      <c r="D38" s="2"/>
      <c r="E38" s="2" t="s">
        <v>103</v>
      </c>
      <c r="F38" s="2" t="s">
        <v>104</v>
      </c>
      <c r="G38" s="2" t="s">
        <v>105</v>
      </c>
      <c r="H38" s="2" t="s">
        <v>92</v>
      </c>
      <c r="I38" s="2">
        <f>I37*J38</f>
        <v>133.9</v>
      </c>
      <c r="J38" s="2">
        <v>1.03</v>
      </c>
      <c r="K38" s="2">
        <v>1.03</v>
      </c>
      <c r="L38" s="2"/>
      <c r="M38" s="2"/>
      <c r="N38" s="2"/>
      <c r="O38" s="2">
        <f t="shared" si="14"/>
        <v>337793.55</v>
      </c>
      <c r="P38" s="2">
        <f>ROUND(CQ38*I38,2)</f>
        <v>337793.55</v>
      </c>
      <c r="Q38" s="2">
        <f>ROUND(CR38*I38,2)</f>
        <v>0</v>
      </c>
      <c r="R38" s="2">
        <f>ROUND(CS38*I38,2)</f>
        <v>0</v>
      </c>
      <c r="S38" s="2">
        <f>ROUND(CT38*I38,2)</f>
        <v>0</v>
      </c>
      <c r="T38" s="2">
        <f t="shared" si="15"/>
        <v>0</v>
      </c>
      <c r="U38" s="2">
        <f>ROUND(CV38*I38,7)</f>
        <v>0</v>
      </c>
      <c r="V38" s="2">
        <f>ROUND(CW38*I38,7)</f>
        <v>0</v>
      </c>
      <c r="W38" s="2">
        <f t="shared" si="16"/>
        <v>0</v>
      </c>
      <c r="X38" s="2">
        <f t="shared" si="17"/>
        <v>0</v>
      </c>
      <c r="Y38" s="2">
        <f t="shared" si="18"/>
        <v>0</v>
      </c>
      <c r="Z38" s="2"/>
      <c r="AA38" s="2">
        <v>55860754</v>
      </c>
      <c r="AB38" s="2">
        <f t="shared" si="19"/>
        <v>1557.24</v>
      </c>
      <c r="AC38" s="2">
        <f>ROUND((ES38),6)</f>
        <v>1557.24</v>
      </c>
      <c r="AD38" s="2">
        <f>ROUND((((ET38)-(EU38))+AE38),6)</f>
        <v>0</v>
      </c>
      <c r="AE38" s="2">
        <f>ROUND((EU38),6)</f>
        <v>0</v>
      </c>
      <c r="AF38" s="2">
        <f>ROUND((EV38),6)</f>
        <v>0</v>
      </c>
      <c r="AG38" s="2">
        <f t="shared" si="20"/>
        <v>0</v>
      </c>
      <c r="AH38" s="2">
        <f>(EW38)</f>
        <v>0</v>
      </c>
      <c r="AI38" s="2">
        <f>(EX38)</f>
        <v>0</v>
      </c>
      <c r="AJ38" s="2">
        <f t="shared" si="21"/>
        <v>0</v>
      </c>
      <c r="AK38" s="2">
        <v>1557.24</v>
      </c>
      <c r="AL38" s="2">
        <v>1557.24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109</v>
      </c>
      <c r="AU38" s="2">
        <v>57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1.62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3</v>
      </c>
      <c r="BI38" s="2">
        <v>1</v>
      </c>
      <c r="BJ38" s="2" t="s">
        <v>106</v>
      </c>
      <c r="BK38" s="2"/>
      <c r="BL38" s="2"/>
      <c r="BM38" s="2">
        <v>12001</v>
      </c>
      <c r="BN38" s="2">
        <v>0</v>
      </c>
      <c r="BO38" s="2" t="s">
        <v>104</v>
      </c>
      <c r="BP38" s="2">
        <v>1</v>
      </c>
      <c r="BQ38" s="2">
        <v>2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109</v>
      </c>
      <c r="CA38" s="2">
        <v>57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2" t="s">
        <v>3</v>
      </c>
      <c r="CO38" s="2">
        <v>0</v>
      </c>
      <c r="CP38" s="2">
        <f t="shared" si="22"/>
        <v>337793.55</v>
      </c>
      <c r="CQ38" s="2">
        <f>ROUND(AL38*BC38,2)</f>
        <v>2522.73</v>
      </c>
      <c r="CR38" s="2">
        <f>ROUND(AM38*BB38,2)</f>
        <v>0</v>
      </c>
      <c r="CS38" s="2">
        <f>ROUND(AN38*BS38,2)</f>
        <v>0</v>
      </c>
      <c r="CT38" s="2">
        <f>ROUND(AO38*BA38,2)</f>
        <v>0</v>
      </c>
      <c r="CU38" s="2">
        <f t="shared" si="23"/>
        <v>0</v>
      </c>
      <c r="CV38" s="2">
        <f>AH38</f>
        <v>0</v>
      </c>
      <c r="CW38" s="2">
        <f>AI38</f>
        <v>0</v>
      </c>
      <c r="CX38" s="2">
        <f t="shared" si="24"/>
        <v>0</v>
      </c>
      <c r="CY38" s="2">
        <f t="shared" si="25"/>
        <v>0</v>
      </c>
      <c r="CZ38" s="2">
        <f t="shared" si="26"/>
        <v>0</v>
      </c>
      <c r="DA38" s="2"/>
      <c r="DB38" s="2"/>
      <c r="DC38" s="2" t="s">
        <v>3</v>
      </c>
      <c r="DD38" s="2" t="s">
        <v>3</v>
      </c>
      <c r="DE38" s="2" t="s">
        <v>3</v>
      </c>
      <c r="DF38" s="2" t="s">
        <v>3</v>
      </c>
      <c r="DG38" s="2" t="s">
        <v>3</v>
      </c>
      <c r="DH38" s="2" t="s">
        <v>3</v>
      </c>
      <c r="DI38" s="2" t="s">
        <v>3</v>
      </c>
      <c r="DJ38" s="2" t="s">
        <v>3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1007</v>
      </c>
      <c r="DV38" s="2" t="s">
        <v>92</v>
      </c>
      <c r="DW38" s="2" t="s">
        <v>92</v>
      </c>
      <c r="DX38" s="2">
        <v>1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54458927</v>
      </c>
      <c r="EF38" s="2">
        <v>2</v>
      </c>
      <c r="EG38" s="2" t="s">
        <v>22</v>
      </c>
      <c r="EH38" s="2">
        <v>12</v>
      </c>
      <c r="EI38" s="2" t="s">
        <v>79</v>
      </c>
      <c r="EJ38" s="2">
        <v>1</v>
      </c>
      <c r="EK38" s="2">
        <v>12001</v>
      </c>
      <c r="EL38" s="2" t="s">
        <v>79</v>
      </c>
      <c r="EM38" s="2" t="s">
        <v>80</v>
      </c>
      <c r="EN38" s="2"/>
      <c r="EO38" s="2" t="s">
        <v>3</v>
      </c>
      <c r="EP38" s="2"/>
      <c r="EQ38" s="2">
        <v>0</v>
      </c>
      <c r="ER38" s="2">
        <v>1557.24</v>
      </c>
      <c r="ES38" s="2">
        <v>1557.24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109</v>
      </c>
      <c r="FY38" s="2">
        <v>57</v>
      </c>
      <c r="FZ38" s="2"/>
      <c r="GA38" s="2" t="s">
        <v>3</v>
      </c>
      <c r="GB38" s="2"/>
      <c r="GC38" s="2"/>
      <c r="GD38" s="2">
        <v>1</v>
      </c>
      <c r="GE38" s="2"/>
      <c r="GF38" s="2">
        <v>876979683</v>
      </c>
      <c r="GG38" s="2">
        <v>2</v>
      </c>
      <c r="GH38" s="2">
        <v>1</v>
      </c>
      <c r="GI38" s="2">
        <v>2</v>
      </c>
      <c r="GJ38" s="2">
        <v>0</v>
      </c>
      <c r="GK38" s="2">
        <v>0</v>
      </c>
      <c r="GL38" s="2">
        <f t="shared" si="27"/>
        <v>0</v>
      </c>
      <c r="GM38" s="2">
        <f t="shared" si="28"/>
        <v>337793.55</v>
      </c>
      <c r="GN38" s="2">
        <f t="shared" si="29"/>
        <v>337793.55</v>
      </c>
      <c r="GO38" s="2">
        <f t="shared" si="30"/>
        <v>0</v>
      </c>
      <c r="GP38" s="2">
        <f t="shared" si="31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32"/>
        <v>0</v>
      </c>
      <c r="GW38" s="2">
        <v>1</v>
      </c>
      <c r="GX38" s="2">
        <f t="shared" si="33"/>
        <v>0</v>
      </c>
      <c r="GY38" s="2"/>
      <c r="GZ38" s="2"/>
      <c r="HA38" s="2">
        <v>0</v>
      </c>
      <c r="HB38" s="2">
        <v>0</v>
      </c>
      <c r="HC38" s="2">
        <f t="shared" si="34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82</v>
      </c>
      <c r="HO38" s="2" t="s">
        <v>83</v>
      </c>
      <c r="HP38" s="2" t="s">
        <v>79</v>
      </c>
      <c r="HQ38" s="2" t="s">
        <v>79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17</v>
      </c>
      <c r="B39" s="2">
        <v>1</v>
      </c>
      <c r="C39" s="2">
        <f>ROW(SmtRes!A51)</f>
        <v>51</v>
      </c>
      <c r="D39" s="2">
        <f>ROW(EtalonRes!A56)</f>
        <v>56</v>
      </c>
      <c r="E39" s="2" t="s">
        <v>107</v>
      </c>
      <c r="F39" s="2" t="s">
        <v>108</v>
      </c>
      <c r="G39" s="2" t="s">
        <v>109</v>
      </c>
      <c r="H39" s="2" t="s">
        <v>20</v>
      </c>
      <c r="I39" s="2">
        <f>ROUND(520/100,7)</f>
        <v>5.2</v>
      </c>
      <c r="J39" s="2">
        <v>0</v>
      </c>
      <c r="K39" s="2">
        <f>ROUND(520/100,7)</f>
        <v>5.2</v>
      </c>
      <c r="L39" s="2"/>
      <c r="M39" s="2"/>
      <c r="N39" s="2"/>
      <c r="O39" s="2">
        <f t="shared" si="14"/>
        <v>11333.01</v>
      </c>
      <c r="P39" s="2">
        <f>SUMIF(SmtRes!AQ49:'SmtRes'!AQ51,"=1",SmtRes!DF49:'SmtRes'!DF51)</f>
        <v>308.26</v>
      </c>
      <c r="Q39" s="2">
        <f>SUMIF(SmtRes!AQ49:'SmtRes'!AQ51,"=1",SmtRes!DG49:'SmtRes'!DG51)</f>
        <v>0</v>
      </c>
      <c r="R39" s="2">
        <f>SUMIF(SmtRes!AQ49:'SmtRes'!AQ51,"=1",SmtRes!DH49:'SmtRes'!DH51)</f>
        <v>0</v>
      </c>
      <c r="S39" s="2">
        <f>SUMIF(SmtRes!AQ49:'SmtRes'!AQ51,"=1",SmtRes!DI49:'SmtRes'!DI51)</f>
        <v>11024.75</v>
      </c>
      <c r="T39" s="2">
        <f t="shared" si="15"/>
        <v>0</v>
      </c>
      <c r="U39" s="2">
        <f>SUMIF(SmtRes!AQ49:'SmtRes'!AQ51,"=1",SmtRes!CV49:'SmtRes'!CV51)</f>
        <v>36.478000000000002</v>
      </c>
      <c r="V39" s="2">
        <f>SUMIF(SmtRes!AQ49:'SmtRes'!AQ51,"=1",SmtRes!CW49:'SmtRes'!CW51)</f>
        <v>0</v>
      </c>
      <c r="W39" s="2">
        <f t="shared" si="16"/>
        <v>0</v>
      </c>
      <c r="X39" s="2">
        <f t="shared" si="17"/>
        <v>9128.49</v>
      </c>
      <c r="Y39" s="2">
        <f t="shared" si="18"/>
        <v>4310.68</v>
      </c>
      <c r="Z39" s="2"/>
      <c r="AA39" s="2">
        <v>55860754</v>
      </c>
      <c r="AB39" s="2">
        <f t="shared" si="19"/>
        <v>2191.5634500000001</v>
      </c>
      <c r="AC39" s="2">
        <f>ROUND((SUM(SmtRes!BQ49:'SmtRes'!BQ51)),6)</f>
        <v>71.42</v>
      </c>
      <c r="AD39" s="2">
        <f>ROUND((((0)-(0))+AE39),6)</f>
        <v>0</v>
      </c>
      <c r="AE39" s="2">
        <f>ROUND((0),6)</f>
        <v>0</v>
      </c>
      <c r="AF39" s="2">
        <f>ROUND((SUM(SmtRes!BT49:'SmtRes'!BT51)),6)</f>
        <v>2120.14345</v>
      </c>
      <c r="AG39" s="2">
        <f t="shared" si="20"/>
        <v>0</v>
      </c>
      <c r="AH39" s="2">
        <f>(SUM(SmtRes!BU49:'SmtRes'!BU51))</f>
        <v>7.0149999999999988</v>
      </c>
      <c r="AI39" s="2">
        <f>(0)</f>
        <v>0</v>
      </c>
      <c r="AJ39" s="2">
        <f t="shared" si="21"/>
        <v>0</v>
      </c>
      <c r="AK39" s="2">
        <v>1915.0230000000001</v>
      </c>
      <c r="AL39" s="2">
        <v>71.42</v>
      </c>
      <c r="AM39" s="2">
        <v>0</v>
      </c>
      <c r="AN39" s="2">
        <v>0</v>
      </c>
      <c r="AO39" s="2">
        <v>1843.6030000000001</v>
      </c>
      <c r="AP39" s="2">
        <v>0</v>
      </c>
      <c r="AQ39" s="2">
        <v>6.1</v>
      </c>
      <c r="AR39" s="2">
        <v>0</v>
      </c>
      <c r="AS39" s="2">
        <v>0</v>
      </c>
      <c r="AT39" s="2">
        <v>82.8</v>
      </c>
      <c r="AU39" s="2">
        <v>39.1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0</v>
      </c>
      <c r="BI39" s="2">
        <v>1</v>
      </c>
      <c r="BJ39" s="2" t="s">
        <v>110</v>
      </c>
      <c r="BK39" s="2"/>
      <c r="BL39" s="2"/>
      <c r="BM39" s="2">
        <v>1001</v>
      </c>
      <c r="BN39" s="2">
        <v>0</v>
      </c>
      <c r="BO39" s="2" t="s">
        <v>3</v>
      </c>
      <c r="BP39" s="2">
        <v>0</v>
      </c>
      <c r="BQ39" s="2">
        <v>2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92</v>
      </c>
      <c r="CA39" s="2">
        <v>46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111</v>
      </c>
      <c r="CO39" s="2">
        <v>0</v>
      </c>
      <c r="CP39" s="2">
        <f t="shared" si="22"/>
        <v>11333.01</v>
      </c>
      <c r="CQ39" s="2">
        <f>SUMIF(SmtRes!AQ49:'SmtRes'!AQ51,"=1",SmtRes!AA49:'SmtRes'!AA51)</f>
        <v>29.64</v>
      </c>
      <c r="CR39" s="2">
        <f>SUMIF(SmtRes!AQ49:'SmtRes'!AQ51,"=1",SmtRes!AB49:'SmtRes'!AB51)</f>
        <v>0</v>
      </c>
      <c r="CS39" s="2">
        <f>SUMIF(SmtRes!AQ49:'SmtRes'!AQ51,"=1",SmtRes!AC49:'SmtRes'!AC51)</f>
        <v>0</v>
      </c>
      <c r="CT39" s="2">
        <f>SUMIF(SmtRes!AQ49:'SmtRes'!AQ51,"=1",SmtRes!AD49:'SmtRes'!AD51)</f>
        <v>302.23</v>
      </c>
      <c r="CU39" s="2">
        <f t="shared" si="23"/>
        <v>0</v>
      </c>
      <c r="CV39" s="2">
        <f>SUMIF(SmtRes!AQ49:'SmtRes'!AQ51,"=1",SmtRes!BU49:'SmtRes'!BU51)</f>
        <v>7.0149999999999988</v>
      </c>
      <c r="CW39" s="2">
        <f>SUMIF(SmtRes!AQ49:'SmtRes'!AQ51,"=1",SmtRes!BV49:'SmtRes'!BV51)</f>
        <v>0</v>
      </c>
      <c r="CX39" s="2">
        <f t="shared" si="24"/>
        <v>0</v>
      </c>
      <c r="CY39" s="2">
        <f t="shared" si="25"/>
        <v>9128.4929999999986</v>
      </c>
      <c r="CZ39" s="2">
        <f t="shared" si="26"/>
        <v>4310.6772500000006</v>
      </c>
      <c r="DA39" s="2"/>
      <c r="DB39" s="2"/>
      <c r="DC39" s="2" t="s">
        <v>3</v>
      </c>
      <c r="DD39" s="2" t="s">
        <v>3</v>
      </c>
      <c r="DE39" s="2" t="s">
        <v>98</v>
      </c>
      <c r="DF39" s="2" t="s">
        <v>98</v>
      </c>
      <c r="DG39" s="2" t="s">
        <v>99</v>
      </c>
      <c r="DH39" s="2" t="s">
        <v>3</v>
      </c>
      <c r="DI39" s="2" t="s">
        <v>99</v>
      </c>
      <c r="DJ39" s="2" t="s">
        <v>98</v>
      </c>
      <c r="DK39" s="2" t="s">
        <v>3</v>
      </c>
      <c r="DL39" s="2" t="s">
        <v>100</v>
      </c>
      <c r="DM39" s="2" t="s">
        <v>101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1005</v>
      </c>
      <c r="DV39" s="2" t="s">
        <v>20</v>
      </c>
      <c r="DW39" s="2" t="s">
        <v>20</v>
      </c>
      <c r="DX39" s="2">
        <v>100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54458899</v>
      </c>
      <c r="EF39" s="2">
        <v>2</v>
      </c>
      <c r="EG39" s="2" t="s">
        <v>22</v>
      </c>
      <c r="EH39" s="2">
        <v>1</v>
      </c>
      <c r="EI39" s="2" t="s">
        <v>112</v>
      </c>
      <c r="EJ39" s="2">
        <v>1</v>
      </c>
      <c r="EK39" s="2">
        <v>1001</v>
      </c>
      <c r="EL39" s="2" t="s">
        <v>113</v>
      </c>
      <c r="EM39" s="2" t="s">
        <v>114</v>
      </c>
      <c r="EN39" s="2"/>
      <c r="EO39" s="2" t="s">
        <v>115</v>
      </c>
      <c r="EP39" s="2"/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82.8</v>
      </c>
      <c r="FY39" s="2">
        <v>39.1</v>
      </c>
      <c r="FZ39" s="2"/>
      <c r="GA39" s="2" t="s">
        <v>3</v>
      </c>
      <c r="GB39" s="2"/>
      <c r="GC39" s="2"/>
      <c r="GD39" s="2">
        <v>1</v>
      </c>
      <c r="GE39" s="2"/>
      <c r="GF39" s="2">
        <v>-1234430088</v>
      </c>
      <c r="GG39" s="2">
        <v>2</v>
      </c>
      <c r="GH39" s="2">
        <v>0</v>
      </c>
      <c r="GI39" s="2">
        <v>-2</v>
      </c>
      <c r="GJ39" s="2">
        <v>0</v>
      </c>
      <c r="GK39" s="2">
        <v>0</v>
      </c>
      <c r="GL39" s="2">
        <f t="shared" si="27"/>
        <v>0</v>
      </c>
      <c r="GM39" s="2">
        <f t="shared" si="28"/>
        <v>24772.18</v>
      </c>
      <c r="GN39" s="2">
        <f t="shared" si="29"/>
        <v>24772.18</v>
      </c>
      <c r="GO39" s="2">
        <f t="shared" si="30"/>
        <v>0</v>
      </c>
      <c r="GP39" s="2">
        <f t="shared" si="31"/>
        <v>0</v>
      </c>
      <c r="GQ39" s="2"/>
      <c r="GR39" s="2">
        <v>0</v>
      </c>
      <c r="GS39" s="2">
        <v>7</v>
      </c>
      <c r="GT39" s="2">
        <v>0</v>
      </c>
      <c r="GU39" s="2" t="s">
        <v>3</v>
      </c>
      <c r="GV39" s="2">
        <f t="shared" si="32"/>
        <v>0</v>
      </c>
      <c r="GW39" s="2">
        <v>1</v>
      </c>
      <c r="GX39" s="2">
        <f t="shared" si="33"/>
        <v>0</v>
      </c>
      <c r="GY39" s="2"/>
      <c r="GZ39" s="2"/>
      <c r="HA39" s="2">
        <v>0</v>
      </c>
      <c r="HB39" s="2">
        <v>0</v>
      </c>
      <c r="HC39" s="2">
        <f t="shared" si="34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116</v>
      </c>
      <c r="HO39" s="2" t="s">
        <v>117</v>
      </c>
      <c r="HP39" s="2" t="s">
        <v>113</v>
      </c>
      <c r="HQ39" s="2" t="s">
        <v>113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18</v>
      </c>
      <c r="B40" s="2">
        <v>1</v>
      </c>
      <c r="C40" s="2">
        <v>51</v>
      </c>
      <c r="D40" s="2"/>
      <c r="E40" s="2" t="s">
        <v>118</v>
      </c>
      <c r="F40" s="2" t="s">
        <v>119</v>
      </c>
      <c r="G40" s="2" t="s">
        <v>120</v>
      </c>
      <c r="H40" s="2" t="s">
        <v>41</v>
      </c>
      <c r="I40" s="2">
        <f>I39*J40</f>
        <v>1.8199999999999998</v>
      </c>
      <c r="J40" s="2">
        <v>0.35</v>
      </c>
      <c r="K40" s="2">
        <v>0.35</v>
      </c>
      <c r="L40" s="2"/>
      <c r="M40" s="2"/>
      <c r="N40" s="2"/>
      <c r="O40" s="2">
        <f t="shared" si="14"/>
        <v>14592.91</v>
      </c>
      <c r="P40" s="2">
        <f>ROUND(CQ40*I40,2)</f>
        <v>14592.91</v>
      </c>
      <c r="Q40" s="2">
        <f>ROUND(CR40*I40,2)</f>
        <v>0</v>
      </c>
      <c r="R40" s="2">
        <f>ROUND(CS40*I40,2)</f>
        <v>0</v>
      </c>
      <c r="S40" s="2">
        <f>ROUND(CT40*I40,2)</f>
        <v>0</v>
      </c>
      <c r="T40" s="2">
        <f t="shared" si="15"/>
        <v>0</v>
      </c>
      <c r="U40" s="2">
        <f>ROUND(CV40*I40,7)</f>
        <v>0</v>
      </c>
      <c r="V40" s="2">
        <f>ROUND(CW40*I40,7)</f>
        <v>0</v>
      </c>
      <c r="W40" s="2">
        <f t="shared" si="16"/>
        <v>0</v>
      </c>
      <c r="X40" s="2">
        <f t="shared" si="17"/>
        <v>0</v>
      </c>
      <c r="Y40" s="2">
        <f t="shared" si="18"/>
        <v>0</v>
      </c>
      <c r="Z40" s="2"/>
      <c r="AA40" s="2">
        <v>55860754</v>
      </c>
      <c r="AB40" s="2">
        <f t="shared" si="19"/>
        <v>5275.05</v>
      </c>
      <c r="AC40" s="2">
        <f>ROUND((ES40),6)</f>
        <v>5275.05</v>
      </c>
      <c r="AD40" s="2">
        <f>ROUND((((ET40)-(EU40))+AE40),6)</f>
        <v>0</v>
      </c>
      <c r="AE40" s="2">
        <f>ROUND((EU40),6)</f>
        <v>0</v>
      </c>
      <c r="AF40" s="2">
        <f>ROUND((EV40),6)</f>
        <v>0</v>
      </c>
      <c r="AG40" s="2">
        <f t="shared" si="20"/>
        <v>0</v>
      </c>
      <c r="AH40" s="2">
        <f>(EW40)</f>
        <v>0</v>
      </c>
      <c r="AI40" s="2">
        <f>(EX40)</f>
        <v>0</v>
      </c>
      <c r="AJ40" s="2">
        <f t="shared" si="21"/>
        <v>0</v>
      </c>
      <c r="AK40" s="2">
        <v>5275.05</v>
      </c>
      <c r="AL40" s="2">
        <v>5275.05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92</v>
      </c>
      <c r="AU40" s="2">
        <v>46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1.52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3</v>
      </c>
      <c r="BI40" s="2">
        <v>1</v>
      </c>
      <c r="BJ40" s="2" t="s">
        <v>121</v>
      </c>
      <c r="BK40" s="2"/>
      <c r="BL40" s="2"/>
      <c r="BM40" s="2">
        <v>1001</v>
      </c>
      <c r="BN40" s="2">
        <v>0</v>
      </c>
      <c r="BO40" s="2" t="s">
        <v>119</v>
      </c>
      <c r="BP40" s="2">
        <v>1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92</v>
      </c>
      <c r="CA40" s="2">
        <v>46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 t="shared" si="22"/>
        <v>14592.91</v>
      </c>
      <c r="CQ40" s="2">
        <f>ROUND(AL40*BC40,2)</f>
        <v>8018.08</v>
      </c>
      <c r="CR40" s="2">
        <f>ROUND(AM40*BB40,2)</f>
        <v>0</v>
      </c>
      <c r="CS40" s="2">
        <f>ROUND(AN40*BS40,2)</f>
        <v>0</v>
      </c>
      <c r="CT40" s="2">
        <f>ROUND(AO40*BA40,2)</f>
        <v>0</v>
      </c>
      <c r="CU40" s="2">
        <f t="shared" si="23"/>
        <v>0</v>
      </c>
      <c r="CV40" s="2">
        <f>AH40</f>
        <v>0</v>
      </c>
      <c r="CW40" s="2">
        <f>AI40</f>
        <v>0</v>
      </c>
      <c r="CX40" s="2">
        <f t="shared" si="24"/>
        <v>0</v>
      </c>
      <c r="CY40" s="2">
        <f t="shared" si="25"/>
        <v>0</v>
      </c>
      <c r="CZ40" s="2">
        <f t="shared" si="26"/>
        <v>0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1009</v>
      </c>
      <c r="DV40" s="2" t="s">
        <v>41</v>
      </c>
      <c r="DW40" s="2" t="s">
        <v>41</v>
      </c>
      <c r="DX40" s="2">
        <v>1000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54458899</v>
      </c>
      <c r="EF40" s="2">
        <v>2</v>
      </c>
      <c r="EG40" s="2" t="s">
        <v>22</v>
      </c>
      <c r="EH40" s="2">
        <v>1</v>
      </c>
      <c r="EI40" s="2" t="s">
        <v>112</v>
      </c>
      <c r="EJ40" s="2">
        <v>1</v>
      </c>
      <c r="EK40" s="2">
        <v>1001</v>
      </c>
      <c r="EL40" s="2" t="s">
        <v>113</v>
      </c>
      <c r="EM40" s="2" t="s">
        <v>114</v>
      </c>
      <c r="EN40" s="2"/>
      <c r="EO40" s="2" t="s">
        <v>3</v>
      </c>
      <c r="EP40" s="2"/>
      <c r="EQ40" s="2">
        <v>0</v>
      </c>
      <c r="ER40" s="2">
        <v>5275.05</v>
      </c>
      <c r="ES40" s="2">
        <v>5275.05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92</v>
      </c>
      <c r="FY40" s="2">
        <v>46</v>
      </c>
      <c r="FZ40" s="2"/>
      <c r="GA40" s="2" t="s">
        <v>3</v>
      </c>
      <c r="GB40" s="2"/>
      <c r="GC40" s="2"/>
      <c r="GD40" s="2">
        <v>1</v>
      </c>
      <c r="GE40" s="2"/>
      <c r="GF40" s="2">
        <v>1213244805</v>
      </c>
      <c r="GG40" s="2">
        <v>2</v>
      </c>
      <c r="GH40" s="2">
        <v>1</v>
      </c>
      <c r="GI40" s="2">
        <v>2</v>
      </c>
      <c r="GJ40" s="2">
        <v>0</v>
      </c>
      <c r="GK40" s="2">
        <v>0</v>
      </c>
      <c r="GL40" s="2">
        <f t="shared" si="27"/>
        <v>0</v>
      </c>
      <c r="GM40" s="2">
        <f t="shared" si="28"/>
        <v>14592.91</v>
      </c>
      <c r="GN40" s="2">
        <f t="shared" si="29"/>
        <v>14592.91</v>
      </c>
      <c r="GO40" s="2">
        <f t="shared" si="30"/>
        <v>0</v>
      </c>
      <c r="GP40" s="2">
        <f t="shared" si="31"/>
        <v>0</v>
      </c>
      <c r="GQ40" s="2"/>
      <c r="GR40" s="2">
        <v>0</v>
      </c>
      <c r="GS40" s="2">
        <v>0</v>
      </c>
      <c r="GT40" s="2">
        <v>0</v>
      </c>
      <c r="GU40" s="2" t="s">
        <v>3</v>
      </c>
      <c r="GV40" s="2">
        <f t="shared" si="32"/>
        <v>0</v>
      </c>
      <c r="GW40" s="2">
        <v>1</v>
      </c>
      <c r="GX40" s="2">
        <f t="shared" si="33"/>
        <v>0</v>
      </c>
      <c r="GY40" s="2"/>
      <c r="GZ40" s="2"/>
      <c r="HA40" s="2">
        <v>0</v>
      </c>
      <c r="HB40" s="2">
        <v>0</v>
      </c>
      <c r="HC40" s="2">
        <f t="shared" si="34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116</v>
      </c>
      <c r="HO40" s="2" t="s">
        <v>117</v>
      </c>
      <c r="HP40" s="2" t="s">
        <v>113</v>
      </c>
      <c r="HQ40" s="2" t="s">
        <v>113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ht="409.5" x14ac:dyDescent="0.2">
      <c r="A41" s="2">
        <v>17</v>
      </c>
      <c r="B41" s="2">
        <v>1</v>
      </c>
      <c r="C41" s="2">
        <f>ROW(SmtRes!A59)</f>
        <v>59</v>
      </c>
      <c r="D41" s="2">
        <f>ROW(EtalonRes!A64)</f>
        <v>64</v>
      </c>
      <c r="E41" s="2" t="s">
        <v>122</v>
      </c>
      <c r="F41" s="2" t="s">
        <v>73</v>
      </c>
      <c r="G41" s="2" t="s">
        <v>123</v>
      </c>
      <c r="H41" s="2" t="s">
        <v>20</v>
      </c>
      <c r="I41" s="2">
        <f>ROUND(520/100,7)</f>
        <v>5.2</v>
      </c>
      <c r="J41" s="2">
        <v>0</v>
      </c>
      <c r="K41" s="2">
        <f>ROUND(520/100,7)</f>
        <v>5.2</v>
      </c>
      <c r="L41" s="2"/>
      <c r="M41" s="2"/>
      <c r="N41" s="2"/>
      <c r="O41" s="2">
        <f t="shared" si="14"/>
        <v>79624.649999999994</v>
      </c>
      <c r="P41" s="2">
        <f>SUMIF(SmtRes!AQ52:'SmtRes'!AQ59,"=1",SmtRes!DF52:'SmtRes'!DF59)</f>
        <v>1474.5</v>
      </c>
      <c r="Q41" s="2">
        <f>SUMIF(SmtRes!AQ52:'SmtRes'!AQ59,"=1",SmtRes!DG52:'SmtRes'!DG59)</f>
        <v>19011.850000000002</v>
      </c>
      <c r="R41" s="2">
        <f>SUMIF(SmtRes!AQ52:'SmtRes'!AQ59,"=1",SmtRes!DH52:'SmtRes'!DH59)</f>
        <v>6216.3899999999994</v>
      </c>
      <c r="S41" s="2">
        <f>SUMIF(SmtRes!AQ52:'SmtRes'!AQ59,"=1",SmtRes!DI52:'SmtRes'!DI59)</f>
        <v>52921.91</v>
      </c>
      <c r="T41" s="2">
        <f t="shared" si="15"/>
        <v>0</v>
      </c>
      <c r="U41" s="2">
        <f>SUMIF(SmtRes!AQ52:'SmtRes'!AQ59,"=1",SmtRes!CV52:'SmtRes'!CV59)</f>
        <v>145.31399999999999</v>
      </c>
      <c r="V41" s="2">
        <f>SUMIF(SmtRes!AQ52:'SmtRes'!AQ59,"=1",SmtRes!CW52:'SmtRes'!CW59)</f>
        <v>12.61</v>
      </c>
      <c r="W41" s="2">
        <f t="shared" si="16"/>
        <v>0</v>
      </c>
      <c r="X41" s="2">
        <f t="shared" si="17"/>
        <v>58014.67</v>
      </c>
      <c r="Y41" s="2">
        <f t="shared" si="18"/>
        <v>28652.51</v>
      </c>
      <c r="Z41" s="2"/>
      <c r="AA41" s="2">
        <v>55860754</v>
      </c>
      <c r="AB41" s="2">
        <f t="shared" si="19"/>
        <v>14067.061675000001</v>
      </c>
      <c r="AC41" s="2">
        <f>ROUND((SUM(SmtRes!BQ52:'SmtRes'!BQ59)),6)</f>
        <v>255.97550000000001</v>
      </c>
      <c r="AD41" s="2">
        <f>ROUND((((SUM(SmtRes!BR52:'SmtRes'!BR59))-(SUM(SmtRes!BS52:'SmtRes'!BS59)))+AE41),6)</f>
        <v>3633.7966249999999</v>
      </c>
      <c r="AE41" s="2">
        <f>ROUND((SUM(SmtRes!BS52:'SmtRes'!BS59)),6)</f>
        <v>1195.46075</v>
      </c>
      <c r="AF41" s="2">
        <f>ROUND((SUM(SmtRes!BT52:'SmtRes'!BT59)),6)</f>
        <v>10177.28955</v>
      </c>
      <c r="AG41" s="2">
        <f t="shared" si="20"/>
        <v>0</v>
      </c>
      <c r="AH41" s="2">
        <f>(SUM(SmtRes!BU52:'SmtRes'!BU59))</f>
        <v>27.945</v>
      </c>
      <c r="AI41" s="2">
        <f>(SUM(SmtRes!BV52:'SmtRes'!BV59))</f>
        <v>2.4249999999999998</v>
      </c>
      <c r="AJ41" s="2">
        <f t="shared" si="21"/>
        <v>0</v>
      </c>
      <c r="AK41" s="2">
        <v>12969.198400000001</v>
      </c>
      <c r="AL41" s="2">
        <v>255.97550000000001</v>
      </c>
      <c r="AM41" s="2">
        <v>2907.0373000000004</v>
      </c>
      <c r="AN41" s="2">
        <v>956.36860000000001</v>
      </c>
      <c r="AO41" s="2">
        <v>8849.8170000000009</v>
      </c>
      <c r="AP41" s="2">
        <v>0</v>
      </c>
      <c r="AQ41" s="2">
        <v>24.3</v>
      </c>
      <c r="AR41" s="2">
        <v>1.94</v>
      </c>
      <c r="AS41" s="2">
        <v>0</v>
      </c>
      <c r="AT41" s="2">
        <v>98.1</v>
      </c>
      <c r="AU41" s="2">
        <v>48.45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0</v>
      </c>
      <c r="BI41" s="2">
        <v>1</v>
      </c>
      <c r="BJ41" s="2" t="s">
        <v>75</v>
      </c>
      <c r="BK41" s="2"/>
      <c r="BL41" s="2"/>
      <c r="BM41" s="2">
        <v>12001</v>
      </c>
      <c r="BN41" s="2">
        <v>0</v>
      </c>
      <c r="BO41" s="2" t="s">
        <v>3</v>
      </c>
      <c r="BP41" s="2">
        <v>0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109</v>
      </c>
      <c r="CA41" s="2">
        <v>57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7" t="s">
        <v>447</v>
      </c>
      <c r="CO41" s="2">
        <v>0</v>
      </c>
      <c r="CP41" s="2">
        <f t="shared" si="22"/>
        <v>79624.650000000009</v>
      </c>
      <c r="CQ41" s="2">
        <f>SUMIF(SmtRes!AQ52:'SmtRes'!AQ59,"=1",SmtRes!AA52:'SmtRes'!AA59)</f>
        <v>68.150000000000006</v>
      </c>
      <c r="CR41" s="2">
        <f>SUMIF(SmtRes!AQ52:'SmtRes'!AQ59,"=1",SmtRes!AB52:'SmtRes'!AB59)</f>
        <v>2809.21</v>
      </c>
      <c r="CS41" s="2">
        <f>SUMIF(SmtRes!AQ52:'SmtRes'!AQ59,"=1",SmtRes!AC52:'SmtRes'!AC59)</f>
        <v>1009.44</v>
      </c>
      <c r="CT41" s="2">
        <f>SUMIF(SmtRes!AQ52:'SmtRes'!AQ59,"=1",SmtRes!AD52:'SmtRes'!AD59)</f>
        <v>364.19</v>
      </c>
      <c r="CU41" s="2">
        <f t="shared" si="23"/>
        <v>0</v>
      </c>
      <c r="CV41" s="2">
        <f>SUMIF(SmtRes!AQ52:'SmtRes'!AQ59,"=1",SmtRes!BU52:'SmtRes'!BU59)</f>
        <v>27.945</v>
      </c>
      <c r="CW41" s="2">
        <f>SUMIF(SmtRes!AQ52:'SmtRes'!AQ59,"=1",SmtRes!BV52:'SmtRes'!BV59)</f>
        <v>2.4249999999999998</v>
      </c>
      <c r="CX41" s="2">
        <f t="shared" si="24"/>
        <v>0</v>
      </c>
      <c r="CY41" s="2">
        <f t="shared" si="25"/>
        <v>58014.672299999998</v>
      </c>
      <c r="CZ41" s="2">
        <f t="shared" si="26"/>
        <v>28652.506350000003</v>
      </c>
      <c r="DA41" s="2"/>
      <c r="DB41" s="2"/>
      <c r="DC41" s="2" t="s">
        <v>3</v>
      </c>
      <c r="DD41" s="2" t="s">
        <v>3</v>
      </c>
      <c r="DE41" s="2" t="s">
        <v>98</v>
      </c>
      <c r="DF41" s="2" t="s">
        <v>98</v>
      </c>
      <c r="DG41" s="2" t="s">
        <v>99</v>
      </c>
      <c r="DH41" s="2" t="s">
        <v>3</v>
      </c>
      <c r="DI41" s="2" t="s">
        <v>99</v>
      </c>
      <c r="DJ41" s="2" t="s">
        <v>98</v>
      </c>
      <c r="DK41" s="2" t="s">
        <v>3</v>
      </c>
      <c r="DL41" s="2" t="s">
        <v>100</v>
      </c>
      <c r="DM41" s="2" t="s">
        <v>101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1005</v>
      </c>
      <c r="DV41" s="2" t="s">
        <v>20</v>
      </c>
      <c r="DW41" s="2" t="s">
        <v>20</v>
      </c>
      <c r="DX41" s="2">
        <v>100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54458927</v>
      </c>
      <c r="EF41" s="2">
        <v>2</v>
      </c>
      <c r="EG41" s="2" t="s">
        <v>22</v>
      </c>
      <c r="EH41" s="2">
        <v>12</v>
      </c>
      <c r="EI41" s="2" t="s">
        <v>79</v>
      </c>
      <c r="EJ41" s="2">
        <v>1</v>
      </c>
      <c r="EK41" s="2">
        <v>12001</v>
      </c>
      <c r="EL41" s="2" t="s">
        <v>79</v>
      </c>
      <c r="EM41" s="2" t="s">
        <v>80</v>
      </c>
      <c r="EN41" s="2"/>
      <c r="EO41" s="2" t="s">
        <v>102</v>
      </c>
      <c r="EP41" s="2"/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1.94</v>
      </c>
      <c r="EY41" s="2">
        <v>0</v>
      </c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98.1</v>
      </c>
      <c r="FY41" s="2">
        <v>48.45</v>
      </c>
      <c r="FZ41" s="2"/>
      <c r="GA41" s="2" t="s">
        <v>3</v>
      </c>
      <c r="GB41" s="2"/>
      <c r="GC41" s="2"/>
      <c r="GD41" s="2">
        <v>1</v>
      </c>
      <c r="GE41" s="2"/>
      <c r="GF41" s="2">
        <v>-1636040862</v>
      </c>
      <c r="GG41" s="2">
        <v>2</v>
      </c>
      <c r="GH41" s="2">
        <v>1</v>
      </c>
      <c r="GI41" s="2">
        <v>-2</v>
      </c>
      <c r="GJ41" s="2">
        <v>0</v>
      </c>
      <c r="GK41" s="2">
        <v>0</v>
      </c>
      <c r="GL41" s="2">
        <f t="shared" si="27"/>
        <v>0</v>
      </c>
      <c r="GM41" s="2">
        <f t="shared" si="28"/>
        <v>166291.82999999999</v>
      </c>
      <c r="GN41" s="2">
        <f t="shared" si="29"/>
        <v>166291.82999999999</v>
      </c>
      <c r="GO41" s="2">
        <f t="shared" si="30"/>
        <v>0</v>
      </c>
      <c r="GP41" s="2">
        <f t="shared" si="31"/>
        <v>0</v>
      </c>
      <c r="GQ41" s="2"/>
      <c r="GR41" s="2">
        <v>0</v>
      </c>
      <c r="GS41" s="2">
        <v>0</v>
      </c>
      <c r="GT41" s="2">
        <v>0</v>
      </c>
      <c r="GU41" s="2" t="s">
        <v>3</v>
      </c>
      <c r="GV41" s="2">
        <f t="shared" si="32"/>
        <v>0</v>
      </c>
      <c r="GW41" s="2">
        <v>1</v>
      </c>
      <c r="GX41" s="2">
        <f t="shared" si="33"/>
        <v>0</v>
      </c>
      <c r="GY41" s="2"/>
      <c r="GZ41" s="2"/>
      <c r="HA41" s="2">
        <v>0</v>
      </c>
      <c r="HB41" s="2">
        <v>0</v>
      </c>
      <c r="HC41" s="2">
        <f t="shared" si="34"/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82</v>
      </c>
      <c r="HO41" s="2" t="s">
        <v>83</v>
      </c>
      <c r="HP41" s="2" t="s">
        <v>79</v>
      </c>
      <c r="HQ41" s="2" t="s">
        <v>79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x14ac:dyDescent="0.2">
      <c r="A42" s="2">
        <v>18</v>
      </c>
      <c r="B42" s="2">
        <v>1</v>
      </c>
      <c r="C42" s="2">
        <v>58</v>
      </c>
      <c r="D42" s="2"/>
      <c r="E42" s="2" t="s">
        <v>124</v>
      </c>
      <c r="F42" s="2" t="s">
        <v>125</v>
      </c>
      <c r="G42" s="2" t="s">
        <v>126</v>
      </c>
      <c r="H42" s="2" t="s">
        <v>92</v>
      </c>
      <c r="I42" s="2">
        <f>I41*J42</f>
        <v>7.9560000000000004</v>
      </c>
      <c r="J42" s="2">
        <v>1.53</v>
      </c>
      <c r="K42" s="2">
        <v>1.53</v>
      </c>
      <c r="L42" s="2"/>
      <c r="M42" s="2"/>
      <c r="N42" s="2"/>
      <c r="O42" s="2">
        <f t="shared" si="14"/>
        <v>44335.37</v>
      </c>
      <c r="P42" s="2">
        <f>ROUND(CQ42*I42,2)</f>
        <v>44335.37</v>
      </c>
      <c r="Q42" s="2">
        <f>ROUND(CR42*I42,2)</f>
        <v>0</v>
      </c>
      <c r="R42" s="2">
        <f>ROUND(CS42*I42,2)</f>
        <v>0</v>
      </c>
      <c r="S42" s="2">
        <f>ROUND(CT42*I42,2)</f>
        <v>0</v>
      </c>
      <c r="T42" s="2">
        <f t="shared" si="15"/>
        <v>0</v>
      </c>
      <c r="U42" s="2">
        <f>ROUND(CV42*I42,7)</f>
        <v>0</v>
      </c>
      <c r="V42" s="2">
        <f>ROUND(CW42*I42,7)</f>
        <v>0</v>
      </c>
      <c r="W42" s="2">
        <f t="shared" si="16"/>
        <v>0</v>
      </c>
      <c r="X42" s="2">
        <f t="shared" si="17"/>
        <v>0</v>
      </c>
      <c r="Y42" s="2">
        <f t="shared" si="18"/>
        <v>0</v>
      </c>
      <c r="Z42" s="2"/>
      <c r="AA42" s="2">
        <v>55860754</v>
      </c>
      <c r="AB42" s="2">
        <f t="shared" si="19"/>
        <v>5572.57</v>
      </c>
      <c r="AC42" s="2">
        <f>ROUND((ES42),6)</f>
        <v>5572.57</v>
      </c>
      <c r="AD42" s="2">
        <f>ROUND((((ET42)-(EU42))+AE42),6)</f>
        <v>0</v>
      </c>
      <c r="AE42" s="2">
        <f>ROUND((EU42),6)</f>
        <v>0</v>
      </c>
      <c r="AF42" s="2">
        <f>ROUND((EV42),6)</f>
        <v>0</v>
      </c>
      <c r="AG42" s="2">
        <f t="shared" si="20"/>
        <v>0</v>
      </c>
      <c r="AH42" s="2">
        <f>(EW42)</f>
        <v>0</v>
      </c>
      <c r="AI42" s="2">
        <f>(EX42)</f>
        <v>0</v>
      </c>
      <c r="AJ42" s="2">
        <f t="shared" si="21"/>
        <v>0</v>
      </c>
      <c r="AK42" s="2">
        <v>5572.57</v>
      </c>
      <c r="AL42" s="2">
        <v>5572.57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109</v>
      </c>
      <c r="AU42" s="2">
        <v>57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3</v>
      </c>
      <c r="BI42" s="2">
        <v>1</v>
      </c>
      <c r="BJ42" s="2" t="s">
        <v>127</v>
      </c>
      <c r="BK42" s="2"/>
      <c r="BL42" s="2"/>
      <c r="BM42" s="2">
        <v>12001</v>
      </c>
      <c r="BN42" s="2">
        <v>0</v>
      </c>
      <c r="BO42" s="2" t="s">
        <v>3</v>
      </c>
      <c r="BP42" s="2">
        <v>0</v>
      </c>
      <c r="BQ42" s="2">
        <v>2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109</v>
      </c>
      <c r="CA42" s="2">
        <v>57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3</v>
      </c>
      <c r="CO42" s="2">
        <v>0</v>
      </c>
      <c r="CP42" s="2">
        <f t="shared" si="22"/>
        <v>44335.37</v>
      </c>
      <c r="CQ42" s="2">
        <f>ROUND(AL42*BC42,2)</f>
        <v>5572.57</v>
      </c>
      <c r="CR42" s="2">
        <f>ROUND(AM42*BB42,2)</f>
        <v>0</v>
      </c>
      <c r="CS42" s="2">
        <f>ROUND(AN42*BS42,2)</f>
        <v>0</v>
      </c>
      <c r="CT42" s="2">
        <f>ROUND(AO42*BA42,2)</f>
        <v>0</v>
      </c>
      <c r="CU42" s="2">
        <f t="shared" si="23"/>
        <v>0</v>
      </c>
      <c r="CV42" s="2">
        <f>AH42</f>
        <v>0</v>
      </c>
      <c r="CW42" s="2">
        <f>AI42</f>
        <v>0</v>
      </c>
      <c r="CX42" s="2">
        <f t="shared" si="24"/>
        <v>0</v>
      </c>
      <c r="CY42" s="2">
        <f t="shared" si="25"/>
        <v>0</v>
      </c>
      <c r="CZ42" s="2">
        <f t="shared" si="26"/>
        <v>0</v>
      </c>
      <c r="DA42" s="2"/>
      <c r="DB42" s="2"/>
      <c r="DC42" s="2" t="s">
        <v>3</v>
      </c>
      <c r="DD42" s="2" t="s">
        <v>3</v>
      </c>
      <c r="DE42" s="2" t="s">
        <v>3</v>
      </c>
      <c r="DF42" s="2" t="s">
        <v>3</v>
      </c>
      <c r="DG42" s="2" t="s">
        <v>3</v>
      </c>
      <c r="DH42" s="2" t="s">
        <v>3</v>
      </c>
      <c r="DI42" s="2" t="s">
        <v>3</v>
      </c>
      <c r="DJ42" s="2" t="s">
        <v>3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1007</v>
      </c>
      <c r="DV42" s="2" t="s">
        <v>92</v>
      </c>
      <c r="DW42" s="2" t="s">
        <v>92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54458927</v>
      </c>
      <c r="EF42" s="2">
        <v>2</v>
      </c>
      <c r="EG42" s="2" t="s">
        <v>22</v>
      </c>
      <c r="EH42" s="2">
        <v>12</v>
      </c>
      <c r="EI42" s="2" t="s">
        <v>79</v>
      </c>
      <c r="EJ42" s="2">
        <v>1</v>
      </c>
      <c r="EK42" s="2">
        <v>12001</v>
      </c>
      <c r="EL42" s="2" t="s">
        <v>79</v>
      </c>
      <c r="EM42" s="2" t="s">
        <v>80</v>
      </c>
      <c r="EN42" s="2"/>
      <c r="EO42" s="2" t="s">
        <v>3</v>
      </c>
      <c r="EP42" s="2"/>
      <c r="EQ42" s="2">
        <v>0</v>
      </c>
      <c r="ER42" s="2">
        <v>5572.57</v>
      </c>
      <c r="ES42" s="2">
        <v>5572.57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v>0</v>
      </c>
      <c r="FS42" s="2">
        <v>0</v>
      </c>
      <c r="FT42" s="2"/>
      <c r="FU42" s="2"/>
      <c r="FV42" s="2"/>
      <c r="FW42" s="2"/>
      <c r="FX42" s="2">
        <v>109</v>
      </c>
      <c r="FY42" s="2">
        <v>57</v>
      </c>
      <c r="FZ42" s="2"/>
      <c r="GA42" s="2" t="s">
        <v>3</v>
      </c>
      <c r="GB42" s="2"/>
      <c r="GC42" s="2"/>
      <c r="GD42" s="2">
        <v>1</v>
      </c>
      <c r="GE42" s="2">
        <v>3659.62</v>
      </c>
      <c r="GF42" s="2">
        <v>619531173</v>
      </c>
      <c r="GG42" s="2">
        <v>2</v>
      </c>
      <c r="GH42" s="2">
        <v>1</v>
      </c>
      <c r="GI42" s="2">
        <v>-2</v>
      </c>
      <c r="GJ42" s="2">
        <v>0</v>
      </c>
      <c r="GK42" s="2">
        <v>0</v>
      </c>
      <c r="GL42" s="2">
        <f t="shared" si="27"/>
        <v>0</v>
      </c>
      <c r="GM42" s="2">
        <f t="shared" si="28"/>
        <v>44335.37</v>
      </c>
      <c r="GN42" s="2">
        <f t="shared" si="29"/>
        <v>44335.37</v>
      </c>
      <c r="GO42" s="2">
        <f t="shared" si="30"/>
        <v>0</v>
      </c>
      <c r="GP42" s="2">
        <f t="shared" si="31"/>
        <v>0</v>
      </c>
      <c r="GQ42" s="2"/>
      <c r="GR42" s="2">
        <v>3</v>
      </c>
      <c r="GS42" s="2">
        <v>0</v>
      </c>
      <c r="GT42" s="2">
        <v>0</v>
      </c>
      <c r="GU42" s="2" t="s">
        <v>3</v>
      </c>
      <c r="GV42" s="2">
        <f t="shared" si="32"/>
        <v>0</v>
      </c>
      <c r="GW42" s="2">
        <v>1</v>
      </c>
      <c r="GX42" s="2">
        <f t="shared" si="33"/>
        <v>0</v>
      </c>
      <c r="GY42" s="2"/>
      <c r="GZ42" s="2"/>
      <c r="HA42" s="2">
        <v>0</v>
      </c>
      <c r="HB42" s="2">
        <v>0</v>
      </c>
      <c r="HC42" s="2">
        <f t="shared" si="34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82</v>
      </c>
      <c r="HO42" s="2" t="s">
        <v>83</v>
      </c>
      <c r="HP42" s="2" t="s">
        <v>79</v>
      </c>
      <c r="HQ42" s="2" t="s">
        <v>79</v>
      </c>
      <c r="HR42" s="2"/>
      <c r="HS42" s="2">
        <v>0</v>
      </c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ht="409.5" x14ac:dyDescent="0.2">
      <c r="A43" s="2">
        <v>17</v>
      </c>
      <c r="B43" s="2">
        <v>1</v>
      </c>
      <c r="C43" s="2">
        <f>ROW(SmtRes!A64)</f>
        <v>64</v>
      </c>
      <c r="D43" s="2">
        <f>ROW(EtalonRes!A69)</f>
        <v>69</v>
      </c>
      <c r="E43" s="2" t="s">
        <v>128</v>
      </c>
      <c r="F43" s="2" t="s">
        <v>85</v>
      </c>
      <c r="G43" s="2" t="s">
        <v>129</v>
      </c>
      <c r="H43" s="2" t="s">
        <v>20</v>
      </c>
      <c r="I43" s="2">
        <f>ROUND(520/100,7)</f>
        <v>5.2</v>
      </c>
      <c r="J43" s="2">
        <v>0</v>
      </c>
      <c r="K43" s="2">
        <f>ROUND(520/100,7)</f>
        <v>5.2</v>
      </c>
      <c r="L43" s="2"/>
      <c r="M43" s="2"/>
      <c r="N43" s="2"/>
      <c r="O43" s="2">
        <f t="shared" si="14"/>
        <v>166709.15</v>
      </c>
      <c r="P43" s="2">
        <f>SUMIF(SmtRes!AQ60:'SmtRes'!AQ64,"=1",SmtRes!DF60:'SmtRes'!DF64)</f>
        <v>0</v>
      </c>
      <c r="Q43" s="2">
        <f>SUMIF(SmtRes!AQ60:'SmtRes'!AQ64,"=1",SmtRes!DG60:'SmtRes'!DG64)</f>
        <v>18917.18</v>
      </c>
      <c r="R43" s="2">
        <f>SUMIF(SmtRes!AQ60:'SmtRes'!AQ64,"=1",SmtRes!DH60:'SmtRes'!DH64)</f>
        <v>6231.32</v>
      </c>
      <c r="S43" s="2">
        <f>SUMIF(SmtRes!AQ60:'SmtRes'!AQ64,"=1",SmtRes!DI60:'SmtRes'!DI64)</f>
        <v>141560.65</v>
      </c>
      <c r="T43" s="2">
        <f t="shared" si="15"/>
        <v>0</v>
      </c>
      <c r="U43" s="2">
        <f>SUMIF(SmtRes!AQ60:'SmtRes'!AQ64,"=1",SmtRes!CV60:'SmtRes'!CV64)</f>
        <v>388.7</v>
      </c>
      <c r="V43" s="2">
        <f>SUMIF(SmtRes!AQ60:'SmtRes'!AQ64,"=1",SmtRes!CW60:'SmtRes'!CW64)</f>
        <v>12.674999999999999</v>
      </c>
      <c r="W43" s="2">
        <f t="shared" si="16"/>
        <v>0</v>
      </c>
      <c r="X43" s="2">
        <f t="shared" si="17"/>
        <v>144983.92000000001</v>
      </c>
      <c r="Y43" s="2">
        <f t="shared" si="18"/>
        <v>71605.210000000006</v>
      </c>
      <c r="Z43" s="2"/>
      <c r="AA43" s="2">
        <v>55860754</v>
      </c>
      <c r="AB43" s="2">
        <f t="shared" si="19"/>
        <v>30861.122500000001</v>
      </c>
      <c r="AC43" s="2">
        <f>ROUND((0),6)</f>
        <v>0</v>
      </c>
      <c r="AD43" s="2">
        <f>ROUND((((SUM(SmtRes!BR60:'SmtRes'!BR64))-(SUM(SmtRes!BS60:'SmtRes'!BS64)))+AE43),6)</f>
        <v>3637.92</v>
      </c>
      <c r="AE43" s="2">
        <f>ROUND((SUM(SmtRes!BS60:'SmtRes'!BS64)),6)</f>
        <v>1198.3318750000001</v>
      </c>
      <c r="AF43" s="2">
        <f>ROUND((SUM(SmtRes!BT60:'SmtRes'!BT64)),6)</f>
        <v>27223.202499999999</v>
      </c>
      <c r="AG43" s="2">
        <f t="shared" si="20"/>
        <v>0</v>
      </c>
      <c r="AH43" s="2">
        <f>(SUM(SmtRes!BU60:'SmtRes'!BU64))</f>
        <v>74.75</v>
      </c>
      <c r="AI43" s="2">
        <f>(SUM(SmtRes!BV60:'SmtRes'!BV64))</f>
        <v>2.4375</v>
      </c>
      <c r="AJ43" s="2">
        <f t="shared" si="21"/>
        <v>0</v>
      </c>
      <c r="AK43" s="2">
        <v>423.7131</v>
      </c>
      <c r="AL43" s="2">
        <v>0</v>
      </c>
      <c r="AM43" s="2">
        <v>44.7744</v>
      </c>
      <c r="AN43" s="2">
        <v>14.748699999999999</v>
      </c>
      <c r="AO43" s="2">
        <v>364.19</v>
      </c>
      <c r="AP43" s="2">
        <v>0</v>
      </c>
      <c r="AQ43" s="2">
        <v>1</v>
      </c>
      <c r="AR43" s="2">
        <v>0.03</v>
      </c>
      <c r="AS43" s="2">
        <v>0</v>
      </c>
      <c r="AT43" s="2">
        <v>98.1</v>
      </c>
      <c r="AU43" s="2">
        <v>48.45</v>
      </c>
      <c r="AV43" s="2">
        <v>1</v>
      </c>
      <c r="AW43" s="2">
        <v>1</v>
      </c>
      <c r="AX43" s="2"/>
      <c r="AY43" s="2"/>
      <c r="AZ43" s="2">
        <v>1</v>
      </c>
      <c r="BA43" s="2">
        <v>1</v>
      </c>
      <c r="BB43" s="2">
        <v>1</v>
      </c>
      <c r="BC43" s="2">
        <v>1</v>
      </c>
      <c r="BD43" s="2" t="s">
        <v>3</v>
      </c>
      <c r="BE43" s="2" t="s">
        <v>3</v>
      </c>
      <c r="BF43" s="2" t="s">
        <v>3</v>
      </c>
      <c r="BG43" s="2" t="s">
        <v>3</v>
      </c>
      <c r="BH43" s="2">
        <v>0</v>
      </c>
      <c r="BI43" s="2">
        <v>1</v>
      </c>
      <c r="BJ43" s="2" t="s">
        <v>87</v>
      </c>
      <c r="BK43" s="2"/>
      <c r="BL43" s="2"/>
      <c r="BM43" s="2">
        <v>12001</v>
      </c>
      <c r="BN43" s="2">
        <v>0</v>
      </c>
      <c r="BO43" s="2" t="s">
        <v>3</v>
      </c>
      <c r="BP43" s="2">
        <v>0</v>
      </c>
      <c r="BQ43" s="2">
        <v>2</v>
      </c>
      <c r="BR43" s="2">
        <v>0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 t="s">
        <v>3</v>
      </c>
      <c r="BZ43" s="2">
        <v>109</v>
      </c>
      <c r="CA43" s="2">
        <v>57</v>
      </c>
      <c r="CB43" s="2" t="s">
        <v>3</v>
      </c>
      <c r="CC43" s="2"/>
      <c r="CD43" s="2"/>
      <c r="CE43" s="2">
        <v>0</v>
      </c>
      <c r="CF43" s="2">
        <v>0</v>
      </c>
      <c r="CG43" s="2">
        <v>0</v>
      </c>
      <c r="CH43" s="2"/>
      <c r="CI43" s="2"/>
      <c r="CJ43" s="2"/>
      <c r="CK43" s="2"/>
      <c r="CL43" s="2"/>
      <c r="CM43" s="2">
        <v>0</v>
      </c>
      <c r="CN43" s="7" t="s">
        <v>447</v>
      </c>
      <c r="CO43" s="2">
        <v>0</v>
      </c>
      <c r="CP43" s="2">
        <f t="shared" si="22"/>
        <v>166709.15</v>
      </c>
      <c r="CQ43" s="2">
        <f>SUMIF(SmtRes!AQ60:'SmtRes'!AQ64,"=1",SmtRes!AA60:'SmtRes'!AA64)</f>
        <v>0</v>
      </c>
      <c r="CR43" s="2">
        <f>SUMIF(SmtRes!AQ60:'SmtRes'!AQ64,"=1",SmtRes!AB60:'SmtRes'!AB64)</f>
        <v>2787.7200000000003</v>
      </c>
      <c r="CS43" s="2">
        <f>SUMIF(SmtRes!AQ60:'SmtRes'!AQ64,"=1",SmtRes!AC60:'SmtRes'!AC64)</f>
        <v>1009.44</v>
      </c>
      <c r="CT43" s="2">
        <f>SUMIF(SmtRes!AQ60:'SmtRes'!AQ64,"=1",SmtRes!AD60:'SmtRes'!AD64)</f>
        <v>364.19</v>
      </c>
      <c r="CU43" s="2">
        <f t="shared" si="23"/>
        <v>0</v>
      </c>
      <c r="CV43" s="2">
        <f>SUMIF(SmtRes!AQ60:'SmtRes'!AQ64,"=1",SmtRes!BU60:'SmtRes'!BU64)</f>
        <v>74.75</v>
      </c>
      <c r="CW43" s="2">
        <f>SUMIF(SmtRes!AQ60:'SmtRes'!AQ64,"=1",SmtRes!BV60:'SmtRes'!BV64)</f>
        <v>2.4375</v>
      </c>
      <c r="CX43" s="2">
        <f t="shared" si="24"/>
        <v>0</v>
      </c>
      <c r="CY43" s="2">
        <f t="shared" si="25"/>
        <v>144983.92257</v>
      </c>
      <c r="CZ43" s="2">
        <f t="shared" si="26"/>
        <v>71605.209465000007</v>
      </c>
      <c r="DA43" s="2"/>
      <c r="DB43" s="2"/>
      <c r="DC43" s="2" t="s">
        <v>3</v>
      </c>
      <c r="DD43" s="2" t="s">
        <v>130</v>
      </c>
      <c r="DE43" s="2" t="s">
        <v>131</v>
      </c>
      <c r="DF43" s="2" t="s">
        <v>131</v>
      </c>
      <c r="DG43" s="2" t="s">
        <v>132</v>
      </c>
      <c r="DH43" s="2" t="s">
        <v>3</v>
      </c>
      <c r="DI43" s="2" t="s">
        <v>132</v>
      </c>
      <c r="DJ43" s="2" t="s">
        <v>131</v>
      </c>
      <c r="DK43" s="2" t="s">
        <v>3</v>
      </c>
      <c r="DL43" s="2" t="s">
        <v>100</v>
      </c>
      <c r="DM43" s="2" t="s">
        <v>101</v>
      </c>
      <c r="DN43" s="2">
        <v>0</v>
      </c>
      <c r="DO43" s="2">
        <v>0</v>
      </c>
      <c r="DP43" s="2">
        <v>1</v>
      </c>
      <c r="DQ43" s="2">
        <v>1</v>
      </c>
      <c r="DR43" s="2"/>
      <c r="DS43" s="2"/>
      <c r="DT43" s="2"/>
      <c r="DU43" s="2">
        <v>1005</v>
      </c>
      <c r="DV43" s="2" t="s">
        <v>20</v>
      </c>
      <c r="DW43" s="2" t="s">
        <v>20</v>
      </c>
      <c r="DX43" s="2">
        <v>100</v>
      </c>
      <c r="DY43" s="2"/>
      <c r="DZ43" s="2" t="s">
        <v>3</v>
      </c>
      <c r="EA43" s="2" t="s">
        <v>3</v>
      </c>
      <c r="EB43" s="2" t="s">
        <v>3</v>
      </c>
      <c r="EC43" s="2" t="s">
        <v>3</v>
      </c>
      <c r="ED43" s="2"/>
      <c r="EE43" s="2">
        <v>54458927</v>
      </c>
      <c r="EF43" s="2">
        <v>2</v>
      </c>
      <c r="EG43" s="2" t="s">
        <v>22</v>
      </c>
      <c r="EH43" s="2">
        <v>12</v>
      </c>
      <c r="EI43" s="2" t="s">
        <v>79</v>
      </c>
      <c r="EJ43" s="2">
        <v>1</v>
      </c>
      <c r="EK43" s="2">
        <v>12001</v>
      </c>
      <c r="EL43" s="2" t="s">
        <v>79</v>
      </c>
      <c r="EM43" s="2" t="s">
        <v>80</v>
      </c>
      <c r="EN43" s="2"/>
      <c r="EO43" s="2" t="s">
        <v>102</v>
      </c>
      <c r="EP43" s="2"/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0.03</v>
      </c>
      <c r="EY43" s="2">
        <v>0</v>
      </c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>
        <v>0</v>
      </c>
      <c r="FR43" s="2">
        <v>0</v>
      </c>
      <c r="FS43" s="2">
        <v>0</v>
      </c>
      <c r="FT43" s="2"/>
      <c r="FU43" s="2"/>
      <c r="FV43" s="2"/>
      <c r="FW43" s="2"/>
      <c r="FX43" s="2">
        <v>98.1</v>
      </c>
      <c r="FY43" s="2">
        <v>48.45</v>
      </c>
      <c r="FZ43" s="2"/>
      <c r="GA43" s="2" t="s">
        <v>3</v>
      </c>
      <c r="GB43" s="2"/>
      <c r="GC43" s="2"/>
      <c r="GD43" s="2">
        <v>1</v>
      </c>
      <c r="GE43" s="2"/>
      <c r="GF43" s="2">
        <v>-425021162</v>
      </c>
      <c r="GG43" s="2">
        <v>2</v>
      </c>
      <c r="GH43" s="2">
        <v>1</v>
      </c>
      <c r="GI43" s="2">
        <v>-2</v>
      </c>
      <c r="GJ43" s="2">
        <v>0</v>
      </c>
      <c r="GK43" s="2">
        <v>0</v>
      </c>
      <c r="GL43" s="2">
        <f t="shared" si="27"/>
        <v>0</v>
      </c>
      <c r="GM43" s="2">
        <f t="shared" si="28"/>
        <v>383298.28</v>
      </c>
      <c r="GN43" s="2">
        <f t="shared" si="29"/>
        <v>383298.28</v>
      </c>
      <c r="GO43" s="2">
        <f t="shared" si="30"/>
        <v>0</v>
      </c>
      <c r="GP43" s="2">
        <f t="shared" si="31"/>
        <v>0</v>
      </c>
      <c r="GQ43" s="2"/>
      <c r="GR43" s="2">
        <v>0</v>
      </c>
      <c r="GS43" s="2">
        <v>0</v>
      </c>
      <c r="GT43" s="2">
        <v>0</v>
      </c>
      <c r="GU43" s="2" t="s">
        <v>3</v>
      </c>
      <c r="GV43" s="2">
        <f t="shared" si="32"/>
        <v>0</v>
      </c>
      <c r="GW43" s="2">
        <v>1</v>
      </c>
      <c r="GX43" s="2">
        <f t="shared" si="33"/>
        <v>0</v>
      </c>
      <c r="GY43" s="2"/>
      <c r="GZ43" s="2"/>
      <c r="HA43" s="2">
        <v>0</v>
      </c>
      <c r="HB43" s="2">
        <v>0</v>
      </c>
      <c r="HC43" s="2">
        <f t="shared" si="34"/>
        <v>0</v>
      </c>
      <c r="HD43" s="2"/>
      <c r="HE43" s="2" t="s">
        <v>3</v>
      </c>
      <c r="HF43" s="2" t="s">
        <v>3</v>
      </c>
      <c r="HG43" s="2"/>
      <c r="HH43" s="2"/>
      <c r="HI43" s="2"/>
      <c r="HJ43" s="2"/>
      <c r="HK43" s="2"/>
      <c r="HL43" s="2"/>
      <c r="HM43" s="2" t="s">
        <v>3</v>
      </c>
      <c r="HN43" s="2" t="s">
        <v>82</v>
      </c>
      <c r="HO43" s="2" t="s">
        <v>83</v>
      </c>
      <c r="HP43" s="2" t="s">
        <v>79</v>
      </c>
      <c r="HQ43" s="2" t="s">
        <v>79</v>
      </c>
      <c r="HR43" s="2"/>
      <c r="HS43" s="2">
        <v>0</v>
      </c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>
        <v>0</v>
      </c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ht="409.5" x14ac:dyDescent="0.2">
      <c r="A44" s="2">
        <v>18</v>
      </c>
      <c r="B44" s="2">
        <v>1</v>
      </c>
      <c r="C44" s="2">
        <v>64</v>
      </c>
      <c r="D44" s="2"/>
      <c r="E44" s="2" t="s">
        <v>133</v>
      </c>
      <c r="F44" s="2" t="s">
        <v>125</v>
      </c>
      <c r="G44" s="2" t="s">
        <v>126</v>
      </c>
      <c r="H44" s="2" t="s">
        <v>92</v>
      </c>
      <c r="I44" s="2">
        <f>I43*J44</f>
        <v>34.475999999999999</v>
      </c>
      <c r="J44" s="2">
        <v>6.63</v>
      </c>
      <c r="K44" s="2">
        <v>0.10199999999999999</v>
      </c>
      <c r="L44" s="2"/>
      <c r="M44" s="2"/>
      <c r="N44" s="2"/>
      <c r="O44" s="2">
        <f t="shared" si="14"/>
        <v>192119.92</v>
      </c>
      <c r="P44" s="2">
        <f>ROUND(CQ44*I44,2)</f>
        <v>192119.92</v>
      </c>
      <c r="Q44" s="2">
        <f>ROUND(CR44*I44,2)</f>
        <v>0</v>
      </c>
      <c r="R44" s="2">
        <f>ROUND(CS44*I44,2)</f>
        <v>0</v>
      </c>
      <c r="S44" s="2">
        <f>ROUND(CT44*I44,2)</f>
        <v>0</v>
      </c>
      <c r="T44" s="2">
        <f t="shared" si="15"/>
        <v>0</v>
      </c>
      <c r="U44" s="2">
        <f>ROUND(CV44*I44,7)</f>
        <v>0</v>
      </c>
      <c r="V44" s="2">
        <f>ROUND(CW44*I44,7)</f>
        <v>0</v>
      </c>
      <c r="W44" s="2">
        <f t="shared" si="16"/>
        <v>0</v>
      </c>
      <c r="X44" s="2">
        <f t="shared" si="17"/>
        <v>0</v>
      </c>
      <c r="Y44" s="2">
        <f t="shared" si="18"/>
        <v>0</v>
      </c>
      <c r="Z44" s="2"/>
      <c r="AA44" s="2">
        <v>55860754</v>
      </c>
      <c r="AB44" s="2">
        <f t="shared" si="19"/>
        <v>5572.57</v>
      </c>
      <c r="AC44" s="2">
        <f>ROUND((ES44),6)</f>
        <v>5572.57</v>
      </c>
      <c r="AD44" s="2">
        <f>ROUND((((ET44)-(EU44))+AE44),6)</f>
        <v>0</v>
      </c>
      <c r="AE44" s="2">
        <f>ROUND((EU44),6)</f>
        <v>0</v>
      </c>
      <c r="AF44" s="2">
        <f>ROUND((EV44),6)</f>
        <v>0</v>
      </c>
      <c r="AG44" s="2">
        <f t="shared" si="20"/>
        <v>0</v>
      </c>
      <c r="AH44" s="2">
        <f>(EW44)</f>
        <v>0</v>
      </c>
      <c r="AI44" s="2">
        <f>(EX44)</f>
        <v>0</v>
      </c>
      <c r="AJ44" s="2">
        <f t="shared" si="21"/>
        <v>0</v>
      </c>
      <c r="AK44" s="2">
        <v>5572.57</v>
      </c>
      <c r="AL44" s="2">
        <v>5572.57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109</v>
      </c>
      <c r="AU44" s="2">
        <v>57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3</v>
      </c>
      <c r="BI44" s="2">
        <v>1</v>
      </c>
      <c r="BJ44" s="2" t="s">
        <v>127</v>
      </c>
      <c r="BK44" s="2"/>
      <c r="BL44" s="2"/>
      <c r="BM44" s="2">
        <v>12001</v>
      </c>
      <c r="BN44" s="2">
        <v>0</v>
      </c>
      <c r="BO44" s="2" t="s">
        <v>3</v>
      </c>
      <c r="BP44" s="2">
        <v>0</v>
      </c>
      <c r="BQ44" s="2">
        <v>2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109</v>
      </c>
      <c r="CA44" s="2">
        <v>57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7" t="s">
        <v>447</v>
      </c>
      <c r="CO44" s="2">
        <v>0</v>
      </c>
      <c r="CP44" s="2">
        <f t="shared" si="22"/>
        <v>192119.92</v>
      </c>
      <c r="CQ44" s="2">
        <f>ROUND(AL44*BC44,2)</f>
        <v>5572.57</v>
      </c>
      <c r="CR44" s="2">
        <f>ROUND(AM44*BB44,2)</f>
        <v>0</v>
      </c>
      <c r="CS44" s="2">
        <f>ROUND(AN44*BS44,2)</f>
        <v>0</v>
      </c>
      <c r="CT44" s="2">
        <f>ROUND(AO44*BA44,2)</f>
        <v>0</v>
      </c>
      <c r="CU44" s="2">
        <f t="shared" si="23"/>
        <v>0</v>
      </c>
      <c r="CV44" s="2">
        <f>AH44</f>
        <v>0</v>
      </c>
      <c r="CW44" s="2">
        <f>AI44</f>
        <v>0</v>
      </c>
      <c r="CX44" s="2">
        <f t="shared" si="24"/>
        <v>0</v>
      </c>
      <c r="CY44" s="2">
        <f t="shared" si="25"/>
        <v>0</v>
      </c>
      <c r="CZ44" s="2">
        <f t="shared" si="26"/>
        <v>0</v>
      </c>
      <c r="DA44" s="2"/>
      <c r="DB44" s="2"/>
      <c r="DC44" s="2" t="s">
        <v>3</v>
      </c>
      <c r="DD44" s="2" t="s">
        <v>3</v>
      </c>
      <c r="DE44" s="2" t="s">
        <v>3</v>
      </c>
      <c r="DF44" s="2" t="s">
        <v>3</v>
      </c>
      <c r="DG44" s="2" t="s">
        <v>3</v>
      </c>
      <c r="DH44" s="2" t="s">
        <v>3</v>
      </c>
      <c r="DI44" s="2" t="s">
        <v>3</v>
      </c>
      <c r="DJ44" s="2" t="s">
        <v>3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1007</v>
      </c>
      <c r="DV44" s="2" t="s">
        <v>92</v>
      </c>
      <c r="DW44" s="2" t="s">
        <v>92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54458927</v>
      </c>
      <c r="EF44" s="2">
        <v>2</v>
      </c>
      <c r="EG44" s="2" t="s">
        <v>22</v>
      </c>
      <c r="EH44" s="2">
        <v>12</v>
      </c>
      <c r="EI44" s="2" t="s">
        <v>79</v>
      </c>
      <c r="EJ44" s="2">
        <v>1</v>
      </c>
      <c r="EK44" s="2">
        <v>12001</v>
      </c>
      <c r="EL44" s="2" t="s">
        <v>79</v>
      </c>
      <c r="EM44" s="2" t="s">
        <v>80</v>
      </c>
      <c r="EN44" s="2"/>
      <c r="EO44" s="2" t="s">
        <v>102</v>
      </c>
      <c r="EP44" s="2"/>
      <c r="EQ44" s="2">
        <v>0</v>
      </c>
      <c r="ER44" s="2">
        <v>5572.57</v>
      </c>
      <c r="ES44" s="2">
        <v>5572.57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v>0</v>
      </c>
      <c r="FS44" s="2">
        <v>0</v>
      </c>
      <c r="FT44" s="2"/>
      <c r="FU44" s="2"/>
      <c r="FV44" s="2"/>
      <c r="FW44" s="2"/>
      <c r="FX44" s="2">
        <v>109</v>
      </c>
      <c r="FY44" s="2">
        <v>57</v>
      </c>
      <c r="FZ44" s="2"/>
      <c r="GA44" s="2" t="s">
        <v>3</v>
      </c>
      <c r="GB44" s="2"/>
      <c r="GC44" s="2"/>
      <c r="GD44" s="2">
        <v>1</v>
      </c>
      <c r="GE44" s="2">
        <v>3659.62</v>
      </c>
      <c r="GF44" s="2">
        <v>619531173</v>
      </c>
      <c r="GG44" s="2">
        <v>2</v>
      </c>
      <c r="GH44" s="2">
        <v>1</v>
      </c>
      <c r="GI44" s="2">
        <v>-2</v>
      </c>
      <c r="GJ44" s="2">
        <v>0</v>
      </c>
      <c r="GK44" s="2">
        <v>0</v>
      </c>
      <c r="GL44" s="2">
        <f t="shared" si="27"/>
        <v>0</v>
      </c>
      <c r="GM44" s="2">
        <f t="shared" si="28"/>
        <v>192119.92</v>
      </c>
      <c r="GN44" s="2">
        <f t="shared" si="29"/>
        <v>192119.92</v>
      </c>
      <c r="GO44" s="2">
        <f t="shared" si="30"/>
        <v>0</v>
      </c>
      <c r="GP44" s="2">
        <f t="shared" si="31"/>
        <v>0</v>
      </c>
      <c r="GQ44" s="2"/>
      <c r="GR44" s="2">
        <v>3</v>
      </c>
      <c r="GS44" s="2">
        <v>0</v>
      </c>
      <c r="GT44" s="2">
        <v>0</v>
      </c>
      <c r="GU44" s="2" t="s">
        <v>3</v>
      </c>
      <c r="GV44" s="2">
        <f t="shared" si="32"/>
        <v>0</v>
      </c>
      <c r="GW44" s="2">
        <v>1</v>
      </c>
      <c r="GX44" s="2">
        <f t="shared" si="33"/>
        <v>0</v>
      </c>
      <c r="GY44" s="2"/>
      <c r="GZ44" s="2"/>
      <c r="HA44" s="2">
        <v>0</v>
      </c>
      <c r="HB44" s="2">
        <v>0</v>
      </c>
      <c r="HC44" s="2">
        <f t="shared" si="34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130</v>
      </c>
      <c r="HN44" s="2" t="s">
        <v>82</v>
      </c>
      <c r="HO44" s="2" t="s">
        <v>83</v>
      </c>
      <c r="HP44" s="2" t="s">
        <v>79</v>
      </c>
      <c r="HQ44" s="2" t="s">
        <v>79</v>
      </c>
      <c r="HR44" s="2"/>
      <c r="HS44" s="2">
        <v>0</v>
      </c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ht="409.5" x14ac:dyDescent="0.2">
      <c r="A45" s="2">
        <v>17</v>
      </c>
      <c r="B45" s="2">
        <v>1</v>
      </c>
      <c r="C45" s="2">
        <f>ROW(SmtRes!A70)</f>
        <v>70</v>
      </c>
      <c r="D45" s="2">
        <f>ROW(EtalonRes!A75)</f>
        <v>75</v>
      </c>
      <c r="E45" s="2" t="s">
        <v>134</v>
      </c>
      <c r="F45" s="2" t="s">
        <v>135</v>
      </c>
      <c r="G45" s="2" t="s">
        <v>136</v>
      </c>
      <c r="H45" s="2" t="s">
        <v>41</v>
      </c>
      <c r="I45" s="2">
        <f>ROUND(1.4*520/1000,7)</f>
        <v>0.72799999999999998</v>
      </c>
      <c r="J45" s="2">
        <v>0</v>
      </c>
      <c r="K45" s="2">
        <f>ROUND(1.4*520/1000,7)</f>
        <v>0.72799999999999998</v>
      </c>
      <c r="L45" s="2"/>
      <c r="M45" s="2"/>
      <c r="N45" s="2"/>
      <c r="O45" s="2">
        <f t="shared" si="14"/>
        <v>5905.03</v>
      </c>
      <c r="P45" s="2">
        <f>SUMIF(SmtRes!AQ65:'SmtRes'!AQ70,"=1",SmtRes!DF65:'SmtRes'!DF70)</f>
        <v>1773.57</v>
      </c>
      <c r="Q45" s="2">
        <f>SUMIF(SmtRes!AQ65:'SmtRes'!AQ70,"=1",SmtRes!DG65:'SmtRes'!DG70)</f>
        <v>358.67</v>
      </c>
      <c r="R45" s="2">
        <f>SUMIF(SmtRes!AQ65:'SmtRes'!AQ70,"=1",SmtRes!DH65:'SmtRes'!DH70)</f>
        <v>147.97</v>
      </c>
      <c r="S45" s="2">
        <f>SUMIF(SmtRes!AQ65:'SmtRes'!AQ70,"=1",SmtRes!DI65:'SmtRes'!DI70)</f>
        <v>3624.82</v>
      </c>
      <c r="T45" s="2">
        <f t="shared" si="15"/>
        <v>0</v>
      </c>
      <c r="U45" s="2">
        <f>SUMIF(SmtRes!AQ65:'SmtRes'!AQ70,"=1",SmtRes!CV65:'SmtRes'!CV70)</f>
        <v>9.7115200000000002</v>
      </c>
      <c r="V45" s="2">
        <f>SUMIF(SmtRes!AQ65:'SmtRes'!AQ70,"=1",SmtRes!CW65:'SmtRes'!CW70)</f>
        <v>0.31850000000000001</v>
      </c>
      <c r="W45" s="2">
        <f t="shared" si="16"/>
        <v>0</v>
      </c>
      <c r="X45" s="2">
        <f t="shared" si="17"/>
        <v>3463.42</v>
      </c>
      <c r="Y45" s="2">
        <f t="shared" si="18"/>
        <v>1859.99</v>
      </c>
      <c r="Z45" s="2"/>
      <c r="AA45" s="2">
        <v>55860754</v>
      </c>
      <c r="AB45" s="2">
        <f t="shared" si="19"/>
        <v>7957.7774550000004</v>
      </c>
      <c r="AC45" s="2">
        <f>ROUND((SUM(SmtRes!BQ65:'SmtRes'!BQ70)),6)</f>
        <v>2485.9480800000001</v>
      </c>
      <c r="AD45" s="2">
        <f>ROUND((((SUM(SmtRes!BR65:'SmtRes'!BR70))-(SUM(SmtRes!BS65:'SmtRes'!BS70)))+AE45),6)</f>
        <v>492.674375</v>
      </c>
      <c r="AE45" s="2">
        <f>ROUND((SUM(SmtRes!BS65:'SmtRes'!BS70)),6)</f>
        <v>203.24937499999999</v>
      </c>
      <c r="AF45" s="2">
        <f>ROUND((SUM(SmtRes!BT65:'SmtRes'!BT70)),6)</f>
        <v>4979.1549999999997</v>
      </c>
      <c r="AG45" s="2">
        <f t="shared" si="20"/>
        <v>0</v>
      </c>
      <c r="AH45" s="2">
        <f>(SUM(SmtRes!BU65:'SmtRes'!BU70))</f>
        <v>13.339999999999998</v>
      </c>
      <c r="AI45" s="2">
        <f>(SUM(SmtRes!BV65:'SmtRes'!BV70))</f>
        <v>0.4375</v>
      </c>
      <c r="AJ45" s="2">
        <f t="shared" si="21"/>
        <v>0</v>
      </c>
      <c r="AK45" s="2">
        <v>7372.3870800000004</v>
      </c>
      <c r="AL45" s="2">
        <v>2485.9480800000001</v>
      </c>
      <c r="AM45" s="2">
        <v>394.1395</v>
      </c>
      <c r="AN45" s="2">
        <v>162.59950000000001</v>
      </c>
      <c r="AO45" s="2">
        <v>4329.7</v>
      </c>
      <c r="AP45" s="2">
        <v>0</v>
      </c>
      <c r="AQ45" s="2">
        <v>11.6</v>
      </c>
      <c r="AR45" s="2">
        <v>0.35</v>
      </c>
      <c r="AS45" s="2">
        <v>0</v>
      </c>
      <c r="AT45" s="2">
        <v>91.8</v>
      </c>
      <c r="AU45" s="2">
        <v>49.3</v>
      </c>
      <c r="AV45" s="2">
        <v>1</v>
      </c>
      <c r="AW45" s="2">
        <v>1</v>
      </c>
      <c r="AX45" s="2"/>
      <c r="AY45" s="2"/>
      <c r="AZ45" s="2">
        <v>1</v>
      </c>
      <c r="BA45" s="2">
        <v>1</v>
      </c>
      <c r="BB45" s="2">
        <v>1</v>
      </c>
      <c r="BC45" s="2">
        <v>1</v>
      </c>
      <c r="BD45" s="2" t="s">
        <v>3</v>
      </c>
      <c r="BE45" s="2" t="s">
        <v>3</v>
      </c>
      <c r="BF45" s="2" t="s">
        <v>3</v>
      </c>
      <c r="BG45" s="2" t="s">
        <v>3</v>
      </c>
      <c r="BH45" s="2">
        <v>0</v>
      </c>
      <c r="BI45" s="2">
        <v>1</v>
      </c>
      <c r="BJ45" s="2" t="s">
        <v>137</v>
      </c>
      <c r="BK45" s="2"/>
      <c r="BL45" s="2"/>
      <c r="BM45" s="2">
        <v>6001</v>
      </c>
      <c r="BN45" s="2">
        <v>0</v>
      </c>
      <c r="BO45" s="2" t="s">
        <v>3</v>
      </c>
      <c r="BP45" s="2">
        <v>0</v>
      </c>
      <c r="BQ45" s="2">
        <v>2</v>
      </c>
      <c r="BR45" s="2">
        <v>0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 t="s">
        <v>3</v>
      </c>
      <c r="BZ45" s="2">
        <v>102</v>
      </c>
      <c r="CA45" s="2">
        <v>58</v>
      </c>
      <c r="CB45" s="2" t="s">
        <v>3</v>
      </c>
      <c r="CC45" s="2"/>
      <c r="CD45" s="2"/>
      <c r="CE45" s="2">
        <v>0</v>
      </c>
      <c r="CF45" s="2">
        <v>0</v>
      </c>
      <c r="CG45" s="2">
        <v>0</v>
      </c>
      <c r="CH45" s="2"/>
      <c r="CI45" s="2"/>
      <c r="CJ45" s="2"/>
      <c r="CK45" s="2"/>
      <c r="CL45" s="2"/>
      <c r="CM45" s="2">
        <v>0</v>
      </c>
      <c r="CN45" s="7" t="s">
        <v>447</v>
      </c>
      <c r="CO45" s="2">
        <v>0</v>
      </c>
      <c r="CP45" s="2">
        <f t="shared" si="22"/>
        <v>5905.03</v>
      </c>
      <c r="CQ45" s="2">
        <f>SUMIF(SmtRes!AQ65:'SmtRes'!AQ70,"=1",SmtRes!AA65:'SmtRes'!AA70)</f>
        <v>87008.18</v>
      </c>
      <c r="CR45" s="2">
        <f>SUMIF(SmtRes!AQ65:'SmtRes'!AQ70,"=1",SmtRes!AB65:'SmtRes'!AB70)</f>
        <v>2400.6800000000003</v>
      </c>
      <c r="CS45" s="2">
        <f>SUMIF(SmtRes!AQ65:'SmtRes'!AQ70,"=1",SmtRes!AC65:'SmtRes'!AC70)</f>
        <v>949</v>
      </c>
      <c r="CT45" s="2">
        <f>SUMIF(SmtRes!AQ65:'SmtRes'!AQ70,"=1",SmtRes!AD65:'SmtRes'!AD70)</f>
        <v>373.25</v>
      </c>
      <c r="CU45" s="2">
        <f t="shared" si="23"/>
        <v>0</v>
      </c>
      <c r="CV45" s="2">
        <f>SUMIF(SmtRes!AQ65:'SmtRes'!AQ70,"=1",SmtRes!BU65:'SmtRes'!BU70)</f>
        <v>13.339999999999998</v>
      </c>
      <c r="CW45" s="2">
        <f>SUMIF(SmtRes!AQ65:'SmtRes'!AQ70,"=1",SmtRes!BV65:'SmtRes'!BV70)</f>
        <v>0.4375</v>
      </c>
      <c r="CX45" s="2">
        <f t="shared" si="24"/>
        <v>0</v>
      </c>
      <c r="CY45" s="2">
        <f t="shared" si="25"/>
        <v>3463.4212199999997</v>
      </c>
      <c r="CZ45" s="2">
        <f t="shared" si="26"/>
        <v>1859.9854699999999</v>
      </c>
      <c r="DA45" s="2"/>
      <c r="DB45" s="2"/>
      <c r="DC45" s="2" t="s">
        <v>3</v>
      </c>
      <c r="DD45" s="2" t="s">
        <v>3</v>
      </c>
      <c r="DE45" s="2" t="s">
        <v>98</v>
      </c>
      <c r="DF45" s="2" t="s">
        <v>98</v>
      </c>
      <c r="DG45" s="2" t="s">
        <v>99</v>
      </c>
      <c r="DH45" s="2" t="s">
        <v>3</v>
      </c>
      <c r="DI45" s="2" t="s">
        <v>99</v>
      </c>
      <c r="DJ45" s="2" t="s">
        <v>98</v>
      </c>
      <c r="DK45" s="2" t="s">
        <v>3</v>
      </c>
      <c r="DL45" s="2" t="s">
        <v>100</v>
      </c>
      <c r="DM45" s="2" t="s">
        <v>101</v>
      </c>
      <c r="DN45" s="2">
        <v>0</v>
      </c>
      <c r="DO45" s="2">
        <v>0</v>
      </c>
      <c r="DP45" s="2">
        <v>1</v>
      </c>
      <c r="DQ45" s="2">
        <v>1</v>
      </c>
      <c r="DR45" s="2"/>
      <c r="DS45" s="2"/>
      <c r="DT45" s="2"/>
      <c r="DU45" s="2">
        <v>1009</v>
      </c>
      <c r="DV45" s="2" t="s">
        <v>41</v>
      </c>
      <c r="DW45" s="2" t="s">
        <v>41</v>
      </c>
      <c r="DX45" s="2">
        <v>1000</v>
      </c>
      <c r="DY45" s="2"/>
      <c r="DZ45" s="2" t="s">
        <v>3</v>
      </c>
      <c r="EA45" s="2" t="s">
        <v>3</v>
      </c>
      <c r="EB45" s="2" t="s">
        <v>3</v>
      </c>
      <c r="EC45" s="2" t="s">
        <v>3</v>
      </c>
      <c r="ED45" s="2"/>
      <c r="EE45" s="2">
        <v>54458912</v>
      </c>
      <c r="EF45" s="2">
        <v>2</v>
      </c>
      <c r="EG45" s="2" t="s">
        <v>22</v>
      </c>
      <c r="EH45" s="2">
        <v>6</v>
      </c>
      <c r="EI45" s="2" t="s">
        <v>138</v>
      </c>
      <c r="EJ45" s="2">
        <v>1</v>
      </c>
      <c r="EK45" s="2">
        <v>6001</v>
      </c>
      <c r="EL45" s="2" t="s">
        <v>138</v>
      </c>
      <c r="EM45" s="2" t="s">
        <v>139</v>
      </c>
      <c r="EN45" s="2"/>
      <c r="EO45" s="2" t="s">
        <v>102</v>
      </c>
      <c r="EP45" s="2"/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0.35</v>
      </c>
      <c r="EY45" s="2">
        <v>0</v>
      </c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>
        <v>0</v>
      </c>
      <c r="FR45" s="2">
        <v>0</v>
      </c>
      <c r="FS45" s="2">
        <v>0</v>
      </c>
      <c r="FT45" s="2"/>
      <c r="FU45" s="2"/>
      <c r="FV45" s="2"/>
      <c r="FW45" s="2"/>
      <c r="FX45" s="2">
        <v>91.8</v>
      </c>
      <c r="FY45" s="2">
        <v>49.3</v>
      </c>
      <c r="FZ45" s="2"/>
      <c r="GA45" s="2" t="s">
        <v>3</v>
      </c>
      <c r="GB45" s="2"/>
      <c r="GC45" s="2"/>
      <c r="GD45" s="2">
        <v>1</v>
      </c>
      <c r="GE45" s="2"/>
      <c r="GF45" s="2">
        <v>-336085037</v>
      </c>
      <c r="GG45" s="2">
        <v>2</v>
      </c>
      <c r="GH45" s="2">
        <v>1</v>
      </c>
      <c r="GI45" s="2">
        <v>-2</v>
      </c>
      <c r="GJ45" s="2">
        <v>0</v>
      </c>
      <c r="GK45" s="2">
        <v>0</v>
      </c>
      <c r="GL45" s="2">
        <f t="shared" si="27"/>
        <v>0</v>
      </c>
      <c r="GM45" s="2">
        <f t="shared" si="28"/>
        <v>11228.44</v>
      </c>
      <c r="GN45" s="2">
        <f t="shared" si="29"/>
        <v>11228.44</v>
      </c>
      <c r="GO45" s="2">
        <f t="shared" si="30"/>
        <v>0</v>
      </c>
      <c r="GP45" s="2">
        <f t="shared" si="31"/>
        <v>0</v>
      </c>
      <c r="GQ45" s="2"/>
      <c r="GR45" s="2">
        <v>0</v>
      </c>
      <c r="GS45" s="2">
        <v>0</v>
      </c>
      <c r="GT45" s="2">
        <v>0</v>
      </c>
      <c r="GU45" s="2" t="s">
        <v>3</v>
      </c>
      <c r="GV45" s="2">
        <f t="shared" si="32"/>
        <v>0</v>
      </c>
      <c r="GW45" s="2">
        <v>1</v>
      </c>
      <c r="GX45" s="2">
        <f t="shared" si="33"/>
        <v>0</v>
      </c>
      <c r="GY45" s="2"/>
      <c r="GZ45" s="2"/>
      <c r="HA45" s="2">
        <v>0</v>
      </c>
      <c r="HB45" s="2">
        <v>0</v>
      </c>
      <c r="HC45" s="2">
        <f t="shared" si="34"/>
        <v>0</v>
      </c>
      <c r="HD45" s="2"/>
      <c r="HE45" s="2" t="s">
        <v>3</v>
      </c>
      <c r="HF45" s="2" t="s">
        <v>3</v>
      </c>
      <c r="HG45" s="2"/>
      <c r="HH45" s="2"/>
      <c r="HI45" s="2"/>
      <c r="HJ45" s="2"/>
      <c r="HK45" s="2"/>
      <c r="HL45" s="2"/>
      <c r="HM45" s="2" t="s">
        <v>3</v>
      </c>
      <c r="HN45" s="2" t="s">
        <v>140</v>
      </c>
      <c r="HO45" s="2" t="s">
        <v>141</v>
      </c>
      <c r="HP45" s="2" t="s">
        <v>138</v>
      </c>
      <c r="HQ45" s="2" t="s">
        <v>138</v>
      </c>
      <c r="HR45" s="2"/>
      <c r="HS45" s="2">
        <v>0</v>
      </c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>
        <v>0</v>
      </c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x14ac:dyDescent="0.2">
      <c r="A46" s="2">
        <v>18</v>
      </c>
      <c r="B46" s="2">
        <v>1</v>
      </c>
      <c r="C46" s="2">
        <v>69</v>
      </c>
      <c r="D46" s="2"/>
      <c r="E46" s="2" t="s">
        <v>142</v>
      </c>
      <c r="F46" s="2" t="s">
        <v>143</v>
      </c>
      <c r="G46" s="2" t="s">
        <v>144</v>
      </c>
      <c r="H46" s="2" t="s">
        <v>145</v>
      </c>
      <c r="I46" s="2">
        <f>I45*J46</f>
        <v>520</v>
      </c>
      <c r="J46" s="2">
        <v>714.28571428571433</v>
      </c>
      <c r="K46" s="2">
        <v>714.2857143</v>
      </c>
      <c r="L46" s="2"/>
      <c r="M46" s="2"/>
      <c r="N46" s="2"/>
      <c r="O46" s="2">
        <f t="shared" si="14"/>
        <v>36405.199999999997</v>
      </c>
      <c r="P46" s="2">
        <f>ROUND(CQ46*I46,2)</f>
        <v>36405.199999999997</v>
      </c>
      <c r="Q46" s="2">
        <f>ROUND(CR46*I46,2)</f>
        <v>0</v>
      </c>
      <c r="R46" s="2">
        <f>ROUND(CS46*I46,2)</f>
        <v>0</v>
      </c>
      <c r="S46" s="2">
        <f>ROUND(CT46*I46,2)</f>
        <v>0</v>
      </c>
      <c r="T46" s="2">
        <f t="shared" si="15"/>
        <v>0</v>
      </c>
      <c r="U46" s="2">
        <f>ROUND(CV46*I46,7)</f>
        <v>0</v>
      </c>
      <c r="V46" s="2">
        <f>ROUND(CW46*I46,7)</f>
        <v>0</v>
      </c>
      <c r="W46" s="2">
        <f t="shared" si="16"/>
        <v>0</v>
      </c>
      <c r="X46" s="2">
        <f t="shared" si="17"/>
        <v>0</v>
      </c>
      <c r="Y46" s="2">
        <f t="shared" si="18"/>
        <v>0</v>
      </c>
      <c r="Z46" s="2"/>
      <c r="AA46" s="2">
        <v>55860754</v>
      </c>
      <c r="AB46" s="2">
        <f t="shared" si="19"/>
        <v>66.680000000000007</v>
      </c>
      <c r="AC46" s="2">
        <f>ROUND((ES46),6)</f>
        <v>66.680000000000007</v>
      </c>
      <c r="AD46" s="2">
        <f>ROUND((((ET46)-(EU46))+AE46),6)</f>
        <v>0</v>
      </c>
      <c r="AE46" s="2">
        <f>ROUND((EU46),6)</f>
        <v>0</v>
      </c>
      <c r="AF46" s="2">
        <f>ROUND((EV46),6)</f>
        <v>0</v>
      </c>
      <c r="AG46" s="2">
        <f t="shared" si="20"/>
        <v>0</v>
      </c>
      <c r="AH46" s="2">
        <f>(EW46)</f>
        <v>0</v>
      </c>
      <c r="AI46" s="2">
        <f>(EX46)</f>
        <v>0</v>
      </c>
      <c r="AJ46" s="2">
        <f t="shared" si="21"/>
        <v>0</v>
      </c>
      <c r="AK46" s="2">
        <v>66.680000000000007</v>
      </c>
      <c r="AL46" s="2">
        <v>66.680000000000007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102</v>
      </c>
      <c r="AU46" s="2">
        <v>58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1.05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3</v>
      </c>
      <c r="BI46" s="2">
        <v>1</v>
      </c>
      <c r="BJ46" s="2" t="s">
        <v>146</v>
      </c>
      <c r="BK46" s="2"/>
      <c r="BL46" s="2"/>
      <c r="BM46" s="2">
        <v>6001</v>
      </c>
      <c r="BN46" s="2">
        <v>0</v>
      </c>
      <c r="BO46" s="2" t="s">
        <v>143</v>
      </c>
      <c r="BP46" s="2">
        <v>1</v>
      </c>
      <c r="BQ46" s="2">
        <v>2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102</v>
      </c>
      <c r="CA46" s="2">
        <v>58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3</v>
      </c>
      <c r="CO46" s="2">
        <v>0</v>
      </c>
      <c r="CP46" s="2">
        <f t="shared" si="22"/>
        <v>36405.199999999997</v>
      </c>
      <c r="CQ46" s="2">
        <f>ROUND(AL46*BC46,2)</f>
        <v>70.010000000000005</v>
      </c>
      <c r="CR46" s="2">
        <f>ROUND(AM46*BB46,2)</f>
        <v>0</v>
      </c>
      <c r="CS46" s="2">
        <f>ROUND(AN46*BS46,2)</f>
        <v>0</v>
      </c>
      <c r="CT46" s="2">
        <f>ROUND(AO46*BA46,2)</f>
        <v>0</v>
      </c>
      <c r="CU46" s="2">
        <f t="shared" si="23"/>
        <v>0</v>
      </c>
      <c r="CV46" s="2">
        <f>AH46</f>
        <v>0</v>
      </c>
      <c r="CW46" s="2">
        <f>AI46</f>
        <v>0</v>
      </c>
      <c r="CX46" s="2">
        <f t="shared" si="24"/>
        <v>0</v>
      </c>
      <c r="CY46" s="2">
        <f t="shared" si="25"/>
        <v>0</v>
      </c>
      <c r="CZ46" s="2">
        <f t="shared" si="26"/>
        <v>0</v>
      </c>
      <c r="DA46" s="2"/>
      <c r="DB46" s="2"/>
      <c r="DC46" s="2" t="s">
        <v>3</v>
      </c>
      <c r="DD46" s="2" t="s">
        <v>3</v>
      </c>
      <c r="DE46" s="2" t="s">
        <v>3</v>
      </c>
      <c r="DF46" s="2" t="s">
        <v>3</v>
      </c>
      <c r="DG46" s="2" t="s">
        <v>3</v>
      </c>
      <c r="DH46" s="2" t="s">
        <v>3</v>
      </c>
      <c r="DI46" s="2" t="s">
        <v>3</v>
      </c>
      <c r="DJ46" s="2" t="s">
        <v>3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1005</v>
      </c>
      <c r="DV46" s="2" t="s">
        <v>145</v>
      </c>
      <c r="DW46" s="2" t="s">
        <v>145</v>
      </c>
      <c r="DX46" s="2">
        <v>1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54458912</v>
      </c>
      <c r="EF46" s="2">
        <v>2</v>
      </c>
      <c r="EG46" s="2" t="s">
        <v>22</v>
      </c>
      <c r="EH46" s="2">
        <v>6</v>
      </c>
      <c r="EI46" s="2" t="s">
        <v>138</v>
      </c>
      <c r="EJ46" s="2">
        <v>1</v>
      </c>
      <c r="EK46" s="2">
        <v>6001</v>
      </c>
      <c r="EL46" s="2" t="s">
        <v>138</v>
      </c>
      <c r="EM46" s="2" t="s">
        <v>139</v>
      </c>
      <c r="EN46" s="2"/>
      <c r="EO46" s="2" t="s">
        <v>3</v>
      </c>
      <c r="EP46" s="2"/>
      <c r="EQ46" s="2">
        <v>0</v>
      </c>
      <c r="ER46" s="2">
        <v>66.680000000000007</v>
      </c>
      <c r="ES46" s="2">
        <v>66.680000000000007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v>0</v>
      </c>
      <c r="FS46" s="2">
        <v>0</v>
      </c>
      <c r="FT46" s="2"/>
      <c r="FU46" s="2"/>
      <c r="FV46" s="2"/>
      <c r="FW46" s="2"/>
      <c r="FX46" s="2">
        <v>102</v>
      </c>
      <c r="FY46" s="2">
        <v>58</v>
      </c>
      <c r="FZ46" s="2"/>
      <c r="GA46" s="2" t="s">
        <v>3</v>
      </c>
      <c r="GB46" s="2"/>
      <c r="GC46" s="2"/>
      <c r="GD46" s="2">
        <v>1</v>
      </c>
      <c r="GE46" s="2"/>
      <c r="GF46" s="2">
        <v>-1502076881</v>
      </c>
      <c r="GG46" s="2">
        <v>2</v>
      </c>
      <c r="GH46" s="2">
        <v>1</v>
      </c>
      <c r="GI46" s="2">
        <v>2</v>
      </c>
      <c r="GJ46" s="2">
        <v>0</v>
      </c>
      <c r="GK46" s="2">
        <v>0</v>
      </c>
      <c r="GL46" s="2">
        <f t="shared" si="27"/>
        <v>0</v>
      </c>
      <c r="GM46" s="2">
        <f t="shared" si="28"/>
        <v>36405.199999999997</v>
      </c>
      <c r="GN46" s="2">
        <f t="shared" si="29"/>
        <v>36405.199999999997</v>
      </c>
      <c r="GO46" s="2">
        <f t="shared" si="30"/>
        <v>0</v>
      </c>
      <c r="GP46" s="2">
        <f t="shared" si="31"/>
        <v>0</v>
      </c>
      <c r="GQ46" s="2"/>
      <c r="GR46" s="2">
        <v>0</v>
      </c>
      <c r="GS46" s="2">
        <v>0</v>
      </c>
      <c r="GT46" s="2">
        <v>0</v>
      </c>
      <c r="GU46" s="2" t="s">
        <v>3</v>
      </c>
      <c r="GV46" s="2">
        <f t="shared" si="32"/>
        <v>0</v>
      </c>
      <c r="GW46" s="2">
        <v>1</v>
      </c>
      <c r="GX46" s="2">
        <f t="shared" si="33"/>
        <v>0</v>
      </c>
      <c r="GY46" s="2"/>
      <c r="GZ46" s="2"/>
      <c r="HA46" s="2">
        <v>0</v>
      </c>
      <c r="HB46" s="2">
        <v>0</v>
      </c>
      <c r="HC46" s="2">
        <f t="shared" si="34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140</v>
      </c>
      <c r="HO46" s="2" t="s">
        <v>141</v>
      </c>
      <c r="HP46" s="2" t="s">
        <v>138</v>
      </c>
      <c r="HQ46" s="2" t="s">
        <v>138</v>
      </c>
      <c r="HR46" s="2"/>
      <c r="HS46" s="2">
        <v>0</v>
      </c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ht="409.5" x14ac:dyDescent="0.2">
      <c r="A47" s="2">
        <v>17</v>
      </c>
      <c r="B47" s="2">
        <v>1</v>
      </c>
      <c r="C47" s="2">
        <f>ROW(SmtRes!A74)</f>
        <v>74</v>
      </c>
      <c r="D47" s="2">
        <f>ROW(EtalonRes!A79)</f>
        <v>79</v>
      </c>
      <c r="E47" s="2" t="s">
        <v>147</v>
      </c>
      <c r="F47" s="2" t="s">
        <v>148</v>
      </c>
      <c r="G47" s="2" t="s">
        <v>149</v>
      </c>
      <c r="H47" s="2" t="s">
        <v>20</v>
      </c>
      <c r="I47" s="2">
        <f>ROUND(520/100,7)</f>
        <v>5.2</v>
      </c>
      <c r="J47" s="2">
        <v>0</v>
      </c>
      <c r="K47" s="2">
        <f>ROUND(520/100,7)</f>
        <v>5.2</v>
      </c>
      <c r="L47" s="2"/>
      <c r="M47" s="2"/>
      <c r="N47" s="2"/>
      <c r="O47" s="2">
        <f t="shared" si="14"/>
        <v>6456.15</v>
      </c>
      <c r="P47" s="2">
        <f>SUMIF(SmtRes!AQ71:'SmtRes'!AQ74,"=1",SmtRes!DF71:'SmtRes'!DF74)</f>
        <v>0</v>
      </c>
      <c r="Q47" s="2">
        <f>SUMIF(SmtRes!AQ71:'SmtRes'!AQ74,"=1",SmtRes!DG71:'SmtRes'!DG74)</f>
        <v>177</v>
      </c>
      <c r="R47" s="2">
        <f>SUMIF(SmtRes!AQ71:'SmtRes'!AQ74,"=1",SmtRes!DH71:'SmtRes'!DH74)</f>
        <v>105.3</v>
      </c>
      <c r="S47" s="2">
        <f>SUMIF(SmtRes!AQ71:'SmtRes'!AQ74,"=1",SmtRes!DI71:'SmtRes'!DI74)</f>
        <v>6173.85</v>
      </c>
      <c r="T47" s="2">
        <f t="shared" si="15"/>
        <v>0</v>
      </c>
      <c r="U47" s="2">
        <f>SUMIF(SmtRes!AQ71:'SmtRes'!AQ74,"=1",SmtRes!CV71:'SmtRes'!CV74)</f>
        <v>16.744</v>
      </c>
      <c r="V47" s="2">
        <f>SUMIF(SmtRes!AQ71:'SmtRes'!AQ74,"=1",SmtRes!CW71:'SmtRes'!CW74)</f>
        <v>0.26</v>
      </c>
      <c r="W47" s="2">
        <f t="shared" si="16"/>
        <v>0</v>
      </c>
      <c r="X47" s="2">
        <f t="shared" si="17"/>
        <v>6159.85</v>
      </c>
      <c r="Y47" s="2">
        <f t="shared" si="18"/>
        <v>3042.25</v>
      </c>
      <c r="Z47" s="2"/>
      <c r="AA47" s="2">
        <v>55860754</v>
      </c>
      <c r="AB47" s="2">
        <f t="shared" si="19"/>
        <v>1221.3159000000001</v>
      </c>
      <c r="AC47" s="2">
        <f>ROUND((0),6)</f>
        <v>0</v>
      </c>
      <c r="AD47" s="2">
        <f>ROUND((((SUM(SmtRes!BR71:'SmtRes'!BR74))-(SUM(SmtRes!BS71:'SmtRes'!BS74)))+AE47),6)</f>
        <v>34.037500000000001</v>
      </c>
      <c r="AE47" s="2">
        <f>ROUND((SUM(SmtRes!BS71:'SmtRes'!BS74)),6)</f>
        <v>20.249500000000001</v>
      </c>
      <c r="AF47" s="2">
        <f>ROUND((SUM(SmtRes!BT71:'SmtRes'!BT74)),6)</f>
        <v>1187.2783999999999</v>
      </c>
      <c r="AG47" s="2">
        <f t="shared" si="20"/>
        <v>0</v>
      </c>
      <c r="AH47" s="2">
        <f>(SUM(SmtRes!BU71:'SmtRes'!BU74))</f>
        <v>3.2199999999999998</v>
      </c>
      <c r="AI47" s="2">
        <f>(SUM(SmtRes!BV71:'SmtRes'!BV74))</f>
        <v>0.05</v>
      </c>
      <c r="AJ47" s="2">
        <f t="shared" si="21"/>
        <v>0</v>
      </c>
      <c r="AK47" s="2">
        <v>1075.8455999999999</v>
      </c>
      <c r="AL47" s="2">
        <v>0</v>
      </c>
      <c r="AM47" s="2">
        <v>27.23</v>
      </c>
      <c r="AN47" s="2">
        <v>16.1996</v>
      </c>
      <c r="AO47" s="2">
        <v>1032.4159999999999</v>
      </c>
      <c r="AP47" s="2">
        <v>0</v>
      </c>
      <c r="AQ47" s="2">
        <v>2.8</v>
      </c>
      <c r="AR47" s="2">
        <v>0.04</v>
      </c>
      <c r="AS47" s="2">
        <v>0</v>
      </c>
      <c r="AT47" s="2">
        <v>98.1</v>
      </c>
      <c r="AU47" s="2">
        <v>48.45</v>
      </c>
      <c r="AV47" s="2">
        <v>1</v>
      </c>
      <c r="AW47" s="2">
        <v>1</v>
      </c>
      <c r="AX47" s="2"/>
      <c r="AY47" s="2"/>
      <c r="AZ47" s="2">
        <v>1</v>
      </c>
      <c r="BA47" s="2">
        <v>1</v>
      </c>
      <c r="BB47" s="2">
        <v>1</v>
      </c>
      <c r="BC47" s="2">
        <v>1</v>
      </c>
      <c r="BD47" s="2" t="s">
        <v>3</v>
      </c>
      <c r="BE47" s="2" t="s">
        <v>3</v>
      </c>
      <c r="BF47" s="2" t="s">
        <v>3</v>
      </c>
      <c r="BG47" s="2" t="s">
        <v>3</v>
      </c>
      <c r="BH47" s="2">
        <v>0</v>
      </c>
      <c r="BI47" s="2">
        <v>1</v>
      </c>
      <c r="BJ47" s="2" t="s">
        <v>150</v>
      </c>
      <c r="BK47" s="2"/>
      <c r="BL47" s="2"/>
      <c r="BM47" s="2">
        <v>12001</v>
      </c>
      <c r="BN47" s="2">
        <v>0</v>
      </c>
      <c r="BO47" s="2" t="s">
        <v>3</v>
      </c>
      <c r="BP47" s="2">
        <v>0</v>
      </c>
      <c r="BQ47" s="2">
        <v>2</v>
      </c>
      <c r="BR47" s="2">
        <v>0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 t="s">
        <v>3</v>
      </c>
      <c r="BZ47" s="2">
        <v>109</v>
      </c>
      <c r="CA47" s="2">
        <v>57</v>
      </c>
      <c r="CB47" s="2" t="s">
        <v>3</v>
      </c>
      <c r="CC47" s="2"/>
      <c r="CD47" s="2"/>
      <c r="CE47" s="2">
        <v>0</v>
      </c>
      <c r="CF47" s="2">
        <v>0</v>
      </c>
      <c r="CG47" s="2">
        <v>0</v>
      </c>
      <c r="CH47" s="2"/>
      <c r="CI47" s="2"/>
      <c r="CJ47" s="2"/>
      <c r="CK47" s="2"/>
      <c r="CL47" s="2"/>
      <c r="CM47" s="2">
        <v>0</v>
      </c>
      <c r="CN47" s="7" t="s">
        <v>447</v>
      </c>
      <c r="CO47" s="2">
        <v>0</v>
      </c>
      <c r="CP47" s="2">
        <f t="shared" si="22"/>
        <v>6456.1500000000005</v>
      </c>
      <c r="CQ47" s="2">
        <f>SUMIF(SmtRes!AQ71:'SmtRes'!AQ74,"=1",SmtRes!AA71:'SmtRes'!AA74)</f>
        <v>0</v>
      </c>
      <c r="CR47" s="2">
        <f>SUMIF(SmtRes!AQ71:'SmtRes'!AQ74,"=1",SmtRes!AB71:'SmtRes'!AB74)</f>
        <v>680.75</v>
      </c>
      <c r="CS47" s="2">
        <f>SUMIF(SmtRes!AQ71:'SmtRes'!AQ74,"=1",SmtRes!AC71:'SmtRes'!AC74)</f>
        <v>404.99</v>
      </c>
      <c r="CT47" s="2">
        <f>SUMIF(SmtRes!AQ71:'SmtRes'!AQ74,"=1",SmtRes!AD71:'SmtRes'!AD74)</f>
        <v>368.72</v>
      </c>
      <c r="CU47" s="2">
        <f t="shared" si="23"/>
        <v>0</v>
      </c>
      <c r="CV47" s="2">
        <f>SUMIF(SmtRes!AQ71:'SmtRes'!AQ74,"=1",SmtRes!BU71:'SmtRes'!BU74)</f>
        <v>3.2199999999999998</v>
      </c>
      <c r="CW47" s="2">
        <f>SUMIF(SmtRes!AQ71:'SmtRes'!AQ74,"=1",SmtRes!BV71:'SmtRes'!BV74)</f>
        <v>0.05</v>
      </c>
      <c r="CX47" s="2">
        <f t="shared" si="24"/>
        <v>0</v>
      </c>
      <c r="CY47" s="2">
        <f t="shared" si="25"/>
        <v>6159.8461500000003</v>
      </c>
      <c r="CZ47" s="2">
        <f t="shared" si="26"/>
        <v>3042.2481750000006</v>
      </c>
      <c r="DA47" s="2"/>
      <c r="DB47" s="2"/>
      <c r="DC47" s="2" t="s">
        <v>3</v>
      </c>
      <c r="DD47" s="2" t="s">
        <v>3</v>
      </c>
      <c r="DE47" s="2" t="s">
        <v>98</v>
      </c>
      <c r="DF47" s="2" t="s">
        <v>98</v>
      </c>
      <c r="DG47" s="2" t="s">
        <v>99</v>
      </c>
      <c r="DH47" s="2" t="s">
        <v>3</v>
      </c>
      <c r="DI47" s="2" t="s">
        <v>99</v>
      </c>
      <c r="DJ47" s="2" t="s">
        <v>98</v>
      </c>
      <c r="DK47" s="2" t="s">
        <v>3</v>
      </c>
      <c r="DL47" s="2" t="s">
        <v>100</v>
      </c>
      <c r="DM47" s="2" t="s">
        <v>101</v>
      </c>
      <c r="DN47" s="2">
        <v>0</v>
      </c>
      <c r="DO47" s="2">
        <v>0</v>
      </c>
      <c r="DP47" s="2">
        <v>1</v>
      </c>
      <c r="DQ47" s="2">
        <v>1</v>
      </c>
      <c r="DR47" s="2"/>
      <c r="DS47" s="2"/>
      <c r="DT47" s="2"/>
      <c r="DU47" s="2">
        <v>1005</v>
      </c>
      <c r="DV47" s="2" t="s">
        <v>20</v>
      </c>
      <c r="DW47" s="2" t="s">
        <v>20</v>
      </c>
      <c r="DX47" s="2">
        <v>100</v>
      </c>
      <c r="DY47" s="2"/>
      <c r="DZ47" s="2" t="s">
        <v>3</v>
      </c>
      <c r="EA47" s="2" t="s">
        <v>3</v>
      </c>
      <c r="EB47" s="2" t="s">
        <v>3</v>
      </c>
      <c r="EC47" s="2" t="s">
        <v>3</v>
      </c>
      <c r="ED47" s="2"/>
      <c r="EE47" s="2">
        <v>54458927</v>
      </c>
      <c r="EF47" s="2">
        <v>2</v>
      </c>
      <c r="EG47" s="2" t="s">
        <v>22</v>
      </c>
      <c r="EH47" s="2">
        <v>12</v>
      </c>
      <c r="EI47" s="2" t="s">
        <v>79</v>
      </c>
      <c r="EJ47" s="2">
        <v>1</v>
      </c>
      <c r="EK47" s="2">
        <v>12001</v>
      </c>
      <c r="EL47" s="2" t="s">
        <v>79</v>
      </c>
      <c r="EM47" s="2" t="s">
        <v>80</v>
      </c>
      <c r="EN47" s="2"/>
      <c r="EO47" s="2" t="s">
        <v>102</v>
      </c>
      <c r="EP47" s="2"/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0.04</v>
      </c>
      <c r="EY47" s="2">
        <v>0</v>
      </c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>
        <v>0</v>
      </c>
      <c r="FR47" s="2">
        <v>0</v>
      </c>
      <c r="FS47" s="2">
        <v>0</v>
      </c>
      <c r="FT47" s="2"/>
      <c r="FU47" s="2"/>
      <c r="FV47" s="2"/>
      <c r="FW47" s="2"/>
      <c r="FX47" s="2">
        <v>98.1</v>
      </c>
      <c r="FY47" s="2">
        <v>48.45</v>
      </c>
      <c r="FZ47" s="2"/>
      <c r="GA47" s="2" t="s">
        <v>3</v>
      </c>
      <c r="GB47" s="2"/>
      <c r="GC47" s="2"/>
      <c r="GD47" s="2">
        <v>1</v>
      </c>
      <c r="GE47" s="2"/>
      <c r="GF47" s="2">
        <v>-1014986394</v>
      </c>
      <c r="GG47" s="2">
        <v>2</v>
      </c>
      <c r="GH47" s="2">
        <v>1</v>
      </c>
      <c r="GI47" s="2">
        <v>-2</v>
      </c>
      <c r="GJ47" s="2">
        <v>0</v>
      </c>
      <c r="GK47" s="2">
        <v>0</v>
      </c>
      <c r="GL47" s="2">
        <f t="shared" si="27"/>
        <v>0</v>
      </c>
      <c r="GM47" s="2">
        <f t="shared" si="28"/>
        <v>15658.25</v>
      </c>
      <c r="GN47" s="2">
        <f t="shared" si="29"/>
        <v>15658.25</v>
      </c>
      <c r="GO47" s="2">
        <f t="shared" si="30"/>
        <v>0</v>
      </c>
      <c r="GP47" s="2">
        <f t="shared" si="31"/>
        <v>0</v>
      </c>
      <c r="GQ47" s="2"/>
      <c r="GR47" s="2">
        <v>0</v>
      </c>
      <c r="GS47" s="2">
        <v>0</v>
      </c>
      <c r="GT47" s="2">
        <v>0</v>
      </c>
      <c r="GU47" s="2" t="s">
        <v>3</v>
      </c>
      <c r="GV47" s="2">
        <f t="shared" si="32"/>
        <v>0</v>
      </c>
      <c r="GW47" s="2">
        <v>1</v>
      </c>
      <c r="GX47" s="2">
        <f t="shared" si="33"/>
        <v>0</v>
      </c>
      <c r="GY47" s="2"/>
      <c r="GZ47" s="2"/>
      <c r="HA47" s="2">
        <v>0</v>
      </c>
      <c r="HB47" s="2">
        <v>0</v>
      </c>
      <c r="HC47" s="2">
        <f t="shared" si="34"/>
        <v>0</v>
      </c>
      <c r="HD47" s="2"/>
      <c r="HE47" s="2" t="s">
        <v>3</v>
      </c>
      <c r="HF47" s="2" t="s">
        <v>3</v>
      </c>
      <c r="HG47" s="2"/>
      <c r="HH47" s="2"/>
      <c r="HI47" s="2"/>
      <c r="HJ47" s="2"/>
      <c r="HK47" s="2"/>
      <c r="HL47" s="2"/>
      <c r="HM47" s="2" t="s">
        <v>3</v>
      </c>
      <c r="HN47" s="2" t="s">
        <v>82</v>
      </c>
      <c r="HO47" s="2" t="s">
        <v>83</v>
      </c>
      <c r="HP47" s="2" t="s">
        <v>79</v>
      </c>
      <c r="HQ47" s="2" t="s">
        <v>79</v>
      </c>
      <c r="HR47" s="2"/>
      <c r="HS47" s="2">
        <v>0</v>
      </c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>
        <v>0</v>
      </c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">
        <v>18</v>
      </c>
      <c r="B48" s="2">
        <v>1</v>
      </c>
      <c r="C48" s="2">
        <v>74</v>
      </c>
      <c r="D48" s="2"/>
      <c r="E48" s="2" t="s">
        <v>151</v>
      </c>
      <c r="F48" s="2" t="s">
        <v>152</v>
      </c>
      <c r="G48" s="2" t="s">
        <v>153</v>
      </c>
      <c r="H48" s="2" t="s">
        <v>154</v>
      </c>
      <c r="I48" s="2">
        <f>I47*J48</f>
        <v>234</v>
      </c>
      <c r="J48" s="2">
        <v>45</v>
      </c>
      <c r="K48" s="2">
        <v>45</v>
      </c>
      <c r="L48" s="2"/>
      <c r="M48" s="2"/>
      <c r="N48" s="2"/>
      <c r="O48" s="2">
        <f t="shared" si="14"/>
        <v>7001.28</v>
      </c>
      <c r="P48" s="2">
        <f>ROUND(CQ48*I48,2)</f>
        <v>7001.28</v>
      </c>
      <c r="Q48" s="2">
        <f>ROUND(CR48*I48,2)</f>
        <v>0</v>
      </c>
      <c r="R48" s="2">
        <f>ROUND(CS48*I48,2)</f>
        <v>0</v>
      </c>
      <c r="S48" s="2">
        <f>ROUND(CT48*I48,2)</f>
        <v>0</v>
      </c>
      <c r="T48" s="2">
        <f t="shared" si="15"/>
        <v>0</v>
      </c>
      <c r="U48" s="2">
        <f>ROUND(CV48*I48,7)</f>
        <v>0</v>
      </c>
      <c r="V48" s="2">
        <f>ROUND(CW48*I48,7)</f>
        <v>0</v>
      </c>
      <c r="W48" s="2">
        <f t="shared" si="16"/>
        <v>0</v>
      </c>
      <c r="X48" s="2">
        <f t="shared" si="17"/>
        <v>0</v>
      </c>
      <c r="Y48" s="2">
        <f t="shared" si="18"/>
        <v>0</v>
      </c>
      <c r="Z48" s="2"/>
      <c r="AA48" s="2">
        <v>55860754</v>
      </c>
      <c r="AB48" s="2">
        <f t="shared" si="19"/>
        <v>29.92</v>
      </c>
      <c r="AC48" s="2">
        <f>ROUND((ES48),6)</f>
        <v>29.92</v>
      </c>
      <c r="AD48" s="2">
        <f>ROUND((((ET48)-(EU48))+AE48),6)</f>
        <v>0</v>
      </c>
      <c r="AE48" s="2">
        <f>ROUND((EU48),6)</f>
        <v>0</v>
      </c>
      <c r="AF48" s="2">
        <f>ROUND((EV48),6)</f>
        <v>0</v>
      </c>
      <c r="AG48" s="2">
        <f t="shared" si="20"/>
        <v>0</v>
      </c>
      <c r="AH48" s="2">
        <f>(EW48)</f>
        <v>0</v>
      </c>
      <c r="AI48" s="2">
        <f>(EX48)</f>
        <v>0</v>
      </c>
      <c r="AJ48" s="2">
        <f t="shared" si="21"/>
        <v>0</v>
      </c>
      <c r="AK48" s="2">
        <v>29.92</v>
      </c>
      <c r="AL48" s="2">
        <v>29.92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109</v>
      </c>
      <c r="AU48" s="2">
        <v>57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1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1</v>
      </c>
      <c r="BJ48" s="2" t="s">
        <v>155</v>
      </c>
      <c r="BK48" s="2"/>
      <c r="BL48" s="2"/>
      <c r="BM48" s="2">
        <v>12001</v>
      </c>
      <c r="BN48" s="2">
        <v>0</v>
      </c>
      <c r="BO48" s="2" t="s">
        <v>3</v>
      </c>
      <c r="BP48" s="2">
        <v>0</v>
      </c>
      <c r="BQ48" s="2">
        <v>2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109</v>
      </c>
      <c r="CA48" s="2">
        <v>57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/>
      <c r="CI48" s="2"/>
      <c r="CJ48" s="2"/>
      <c r="CK48" s="2"/>
      <c r="CL48" s="2"/>
      <c r="CM48" s="2">
        <v>0</v>
      </c>
      <c r="CN48" s="2" t="s">
        <v>3</v>
      </c>
      <c r="CO48" s="2">
        <v>0</v>
      </c>
      <c r="CP48" s="2">
        <f t="shared" si="22"/>
        <v>7001.28</v>
      </c>
      <c r="CQ48" s="2">
        <f>ROUND(AL48*BC48,2)</f>
        <v>29.92</v>
      </c>
      <c r="CR48" s="2">
        <f>ROUND(AM48*BB48,2)</f>
        <v>0</v>
      </c>
      <c r="CS48" s="2">
        <f>ROUND(AN48*BS48,2)</f>
        <v>0</v>
      </c>
      <c r="CT48" s="2">
        <f>ROUND(AO48*BA48,2)</f>
        <v>0</v>
      </c>
      <c r="CU48" s="2">
        <f t="shared" si="23"/>
        <v>0</v>
      </c>
      <c r="CV48" s="2">
        <f>AH48</f>
        <v>0</v>
      </c>
      <c r="CW48" s="2">
        <f>AI48</f>
        <v>0</v>
      </c>
      <c r="CX48" s="2">
        <f t="shared" si="24"/>
        <v>0</v>
      </c>
      <c r="CY48" s="2">
        <f t="shared" si="25"/>
        <v>0</v>
      </c>
      <c r="CZ48" s="2">
        <f t="shared" si="26"/>
        <v>0</v>
      </c>
      <c r="DA48" s="2"/>
      <c r="DB48" s="2"/>
      <c r="DC48" s="2" t="s">
        <v>3</v>
      </c>
      <c r="DD48" s="2" t="s">
        <v>3</v>
      </c>
      <c r="DE48" s="2" t="s">
        <v>3</v>
      </c>
      <c r="DF48" s="2" t="s">
        <v>3</v>
      </c>
      <c r="DG48" s="2" t="s">
        <v>3</v>
      </c>
      <c r="DH48" s="2" t="s">
        <v>3</v>
      </c>
      <c r="DI48" s="2" t="s">
        <v>3</v>
      </c>
      <c r="DJ48" s="2" t="s">
        <v>3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1009</v>
      </c>
      <c r="DV48" s="2" t="s">
        <v>154</v>
      </c>
      <c r="DW48" s="2" t="s">
        <v>154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54458927</v>
      </c>
      <c r="EF48" s="2">
        <v>2</v>
      </c>
      <c r="EG48" s="2" t="s">
        <v>22</v>
      </c>
      <c r="EH48" s="2">
        <v>12</v>
      </c>
      <c r="EI48" s="2" t="s">
        <v>79</v>
      </c>
      <c r="EJ48" s="2">
        <v>1</v>
      </c>
      <c r="EK48" s="2">
        <v>12001</v>
      </c>
      <c r="EL48" s="2" t="s">
        <v>79</v>
      </c>
      <c r="EM48" s="2" t="s">
        <v>80</v>
      </c>
      <c r="EN48" s="2"/>
      <c r="EO48" s="2" t="s">
        <v>3</v>
      </c>
      <c r="EP48" s="2"/>
      <c r="EQ48" s="2">
        <v>0</v>
      </c>
      <c r="ER48" s="2">
        <v>29.92</v>
      </c>
      <c r="ES48" s="2">
        <v>29.92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v>0</v>
      </c>
      <c r="FS48" s="2">
        <v>0</v>
      </c>
      <c r="FT48" s="2"/>
      <c r="FU48" s="2"/>
      <c r="FV48" s="2"/>
      <c r="FW48" s="2"/>
      <c r="FX48" s="2">
        <v>109</v>
      </c>
      <c r="FY48" s="2">
        <v>57</v>
      </c>
      <c r="FZ48" s="2"/>
      <c r="GA48" s="2" t="s">
        <v>3</v>
      </c>
      <c r="GB48" s="2"/>
      <c r="GC48" s="2"/>
      <c r="GD48" s="2">
        <v>1</v>
      </c>
      <c r="GE48" s="2"/>
      <c r="GF48" s="2">
        <v>-1937539334</v>
      </c>
      <c r="GG48" s="2">
        <v>2</v>
      </c>
      <c r="GH48" s="2">
        <v>1</v>
      </c>
      <c r="GI48" s="2">
        <v>-2</v>
      </c>
      <c r="GJ48" s="2">
        <v>0</v>
      </c>
      <c r="GK48" s="2">
        <v>0</v>
      </c>
      <c r="GL48" s="2">
        <f t="shared" si="27"/>
        <v>0</v>
      </c>
      <c r="GM48" s="2">
        <f t="shared" si="28"/>
        <v>7001.28</v>
      </c>
      <c r="GN48" s="2">
        <f t="shared" si="29"/>
        <v>7001.28</v>
      </c>
      <c r="GO48" s="2">
        <f t="shared" si="30"/>
        <v>0</v>
      </c>
      <c r="GP48" s="2">
        <f t="shared" si="31"/>
        <v>0</v>
      </c>
      <c r="GQ48" s="2"/>
      <c r="GR48" s="2">
        <v>0</v>
      </c>
      <c r="GS48" s="2">
        <v>0</v>
      </c>
      <c r="GT48" s="2">
        <v>0</v>
      </c>
      <c r="GU48" s="2" t="s">
        <v>3</v>
      </c>
      <c r="GV48" s="2">
        <f t="shared" si="32"/>
        <v>0</v>
      </c>
      <c r="GW48" s="2">
        <v>1</v>
      </c>
      <c r="GX48" s="2">
        <f t="shared" si="33"/>
        <v>0</v>
      </c>
      <c r="GY48" s="2"/>
      <c r="GZ48" s="2"/>
      <c r="HA48" s="2">
        <v>0</v>
      </c>
      <c r="HB48" s="2">
        <v>0</v>
      </c>
      <c r="HC48" s="2">
        <f t="shared" si="34"/>
        <v>0</v>
      </c>
      <c r="HD48" s="2"/>
      <c r="HE48" s="2" t="s">
        <v>3</v>
      </c>
      <c r="HF48" s="2" t="s">
        <v>3</v>
      </c>
      <c r="HG48" s="2"/>
      <c r="HH48" s="2"/>
      <c r="HI48" s="2"/>
      <c r="HJ48" s="2"/>
      <c r="HK48" s="2"/>
      <c r="HL48" s="2"/>
      <c r="HM48" s="2" t="s">
        <v>3</v>
      </c>
      <c r="HN48" s="2" t="s">
        <v>82</v>
      </c>
      <c r="HO48" s="2" t="s">
        <v>83</v>
      </c>
      <c r="HP48" s="2" t="s">
        <v>79</v>
      </c>
      <c r="HQ48" s="2" t="s">
        <v>79</v>
      </c>
      <c r="HR48" s="2"/>
      <c r="HS48" s="2">
        <v>0</v>
      </c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ht="409.5" x14ac:dyDescent="0.2">
      <c r="A49" s="2">
        <v>17</v>
      </c>
      <c r="B49" s="2">
        <v>1</v>
      </c>
      <c r="C49" s="2">
        <f>ROW(SmtRes!A82)</f>
        <v>82</v>
      </c>
      <c r="D49" s="2">
        <f>ROW(EtalonRes!A87)</f>
        <v>87</v>
      </c>
      <c r="E49" s="2" t="s">
        <v>156</v>
      </c>
      <c r="F49" s="2" t="s">
        <v>157</v>
      </c>
      <c r="G49" s="2" t="s">
        <v>158</v>
      </c>
      <c r="H49" s="2" t="s">
        <v>20</v>
      </c>
      <c r="I49" s="2">
        <f>ROUND(520/100,7)</f>
        <v>5.2</v>
      </c>
      <c r="J49" s="2">
        <v>0</v>
      </c>
      <c r="K49" s="2">
        <f>ROUND(520/100,7)</f>
        <v>5.2</v>
      </c>
      <c r="L49" s="2"/>
      <c r="M49" s="2"/>
      <c r="N49" s="2"/>
      <c r="O49" s="2">
        <f t="shared" si="14"/>
        <v>45474.34</v>
      </c>
      <c r="P49" s="2">
        <f>SUMIF(SmtRes!AQ75:'SmtRes'!AQ82,"=1",SmtRes!DF75:'SmtRes'!DF82)</f>
        <v>8503.68</v>
      </c>
      <c r="Q49" s="2">
        <f>SUMIF(SmtRes!AQ75:'SmtRes'!AQ82,"=1",SmtRes!DG75:'SmtRes'!DG82)</f>
        <v>2027.77</v>
      </c>
      <c r="R49" s="2">
        <f>SUMIF(SmtRes!AQ75:'SmtRes'!AQ82,"=1",SmtRes!DH75:'SmtRes'!DH82)</f>
        <v>944.13</v>
      </c>
      <c r="S49" s="2">
        <f>SUMIF(SmtRes!AQ75:'SmtRes'!AQ82,"=1",SmtRes!DI75:'SmtRes'!DI82)</f>
        <v>33998.76</v>
      </c>
      <c r="T49" s="2">
        <f t="shared" si="15"/>
        <v>0</v>
      </c>
      <c r="U49" s="2">
        <f>SUMIF(SmtRes!AQ75:'SmtRes'!AQ82,"=1",SmtRes!CV75:'SmtRes'!CV82)</f>
        <v>85.872799999999998</v>
      </c>
      <c r="V49" s="2">
        <f>SUMIF(SmtRes!AQ75:'SmtRes'!AQ82,"=1",SmtRes!CW75:'SmtRes'!CW82)</f>
        <v>1.885</v>
      </c>
      <c r="W49" s="2">
        <f t="shared" si="16"/>
        <v>0</v>
      </c>
      <c r="X49" s="2">
        <f t="shared" si="17"/>
        <v>34278.980000000003</v>
      </c>
      <c r="Y49" s="2">
        <f t="shared" si="18"/>
        <v>16929.830000000002</v>
      </c>
      <c r="Z49" s="2"/>
      <c r="AA49" s="2">
        <v>55860754</v>
      </c>
      <c r="AB49" s="2">
        <f t="shared" si="19"/>
        <v>8167.0950800000001</v>
      </c>
      <c r="AC49" s="2">
        <f>ROUND((SUM(SmtRes!BQ75:'SmtRes'!BQ82)),6)</f>
        <v>1238.9172000000001</v>
      </c>
      <c r="AD49" s="2">
        <f>ROUND((((SUM(SmtRes!BR75:'SmtRes'!BR82))-(SUM(SmtRes!BS75:'SmtRes'!BS82)))+AE49),6)</f>
        <v>389.95499999999998</v>
      </c>
      <c r="AE49" s="2">
        <f>ROUND((SUM(SmtRes!BS75:'SmtRes'!BS82)),6)</f>
        <v>181.563875</v>
      </c>
      <c r="AF49" s="2">
        <f>ROUND((SUM(SmtRes!BT75:'SmtRes'!BT82)),6)</f>
        <v>6538.2228800000003</v>
      </c>
      <c r="AG49" s="2">
        <f t="shared" si="20"/>
        <v>0</v>
      </c>
      <c r="AH49" s="2">
        <f>(SUM(SmtRes!BU75:'SmtRes'!BU82))</f>
        <v>16.513999999999999</v>
      </c>
      <c r="AI49" s="2">
        <f>(SUM(SmtRes!BV75:'SmtRes'!BV82))</f>
        <v>0.36249999999999999</v>
      </c>
      <c r="AJ49" s="2">
        <f t="shared" si="21"/>
        <v>0</v>
      </c>
      <c r="AK49" s="2">
        <v>7381.5434999999998</v>
      </c>
      <c r="AL49" s="2">
        <v>1238.9172000000001</v>
      </c>
      <c r="AM49" s="2">
        <v>311.964</v>
      </c>
      <c r="AN49" s="2">
        <v>145.25110000000001</v>
      </c>
      <c r="AO49" s="2">
        <v>5685.4111999999996</v>
      </c>
      <c r="AP49" s="2">
        <v>0</v>
      </c>
      <c r="AQ49" s="2">
        <v>14.36</v>
      </c>
      <c r="AR49" s="2">
        <v>0.29000000000000004</v>
      </c>
      <c r="AS49" s="2">
        <v>0</v>
      </c>
      <c r="AT49" s="2">
        <v>98.1</v>
      </c>
      <c r="AU49" s="2">
        <v>48.45</v>
      </c>
      <c r="AV49" s="2">
        <v>1</v>
      </c>
      <c r="AW49" s="2">
        <v>1</v>
      </c>
      <c r="AX49" s="2"/>
      <c r="AY49" s="2"/>
      <c r="AZ49" s="2">
        <v>1</v>
      </c>
      <c r="BA49" s="2">
        <v>1</v>
      </c>
      <c r="BB49" s="2">
        <v>1</v>
      </c>
      <c r="BC49" s="2">
        <v>1</v>
      </c>
      <c r="BD49" s="2" t="s">
        <v>3</v>
      </c>
      <c r="BE49" s="2" t="s">
        <v>3</v>
      </c>
      <c r="BF49" s="2" t="s">
        <v>3</v>
      </c>
      <c r="BG49" s="2" t="s">
        <v>3</v>
      </c>
      <c r="BH49" s="2">
        <v>0</v>
      </c>
      <c r="BI49" s="2">
        <v>1</v>
      </c>
      <c r="BJ49" s="2" t="s">
        <v>159</v>
      </c>
      <c r="BK49" s="2"/>
      <c r="BL49" s="2"/>
      <c r="BM49" s="2">
        <v>12001</v>
      </c>
      <c r="BN49" s="2">
        <v>0</v>
      </c>
      <c r="BO49" s="2" t="s">
        <v>3</v>
      </c>
      <c r="BP49" s="2">
        <v>0</v>
      </c>
      <c r="BQ49" s="2">
        <v>2</v>
      </c>
      <c r="BR49" s="2">
        <v>0</v>
      </c>
      <c r="BS49" s="2">
        <v>1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 t="s">
        <v>3</v>
      </c>
      <c r="BZ49" s="2">
        <v>109</v>
      </c>
      <c r="CA49" s="2">
        <v>57</v>
      </c>
      <c r="CB49" s="2" t="s">
        <v>3</v>
      </c>
      <c r="CC49" s="2"/>
      <c r="CD49" s="2"/>
      <c r="CE49" s="2">
        <v>0</v>
      </c>
      <c r="CF49" s="2">
        <v>0</v>
      </c>
      <c r="CG49" s="2">
        <v>0</v>
      </c>
      <c r="CH49" s="2"/>
      <c r="CI49" s="2"/>
      <c r="CJ49" s="2"/>
      <c r="CK49" s="2"/>
      <c r="CL49" s="2"/>
      <c r="CM49" s="2">
        <v>0</v>
      </c>
      <c r="CN49" s="7" t="s">
        <v>447</v>
      </c>
      <c r="CO49" s="2">
        <v>0</v>
      </c>
      <c r="CP49" s="2">
        <f t="shared" si="22"/>
        <v>45474.340000000004</v>
      </c>
      <c r="CQ49" s="2">
        <f>SUMIF(SmtRes!AQ75:'SmtRes'!AQ82,"=1",SmtRes!AA75:'SmtRes'!AA82)</f>
        <v>54.62</v>
      </c>
      <c r="CR49" s="2">
        <f>SUMIF(SmtRes!AQ75:'SmtRes'!AQ82,"=1",SmtRes!AB75:'SmtRes'!AB82)</f>
        <v>3498.6800000000003</v>
      </c>
      <c r="CS49" s="2">
        <f>SUMIF(SmtRes!AQ75:'SmtRes'!AQ82,"=1",SmtRes!AC75:'SmtRes'!AC82)</f>
        <v>1493.01</v>
      </c>
      <c r="CT49" s="2">
        <f>SUMIF(SmtRes!AQ75:'SmtRes'!AQ82,"=1",SmtRes!AD75:'SmtRes'!AD82)</f>
        <v>395.92</v>
      </c>
      <c r="CU49" s="2">
        <f t="shared" si="23"/>
        <v>0</v>
      </c>
      <c r="CV49" s="2">
        <f>SUMIF(SmtRes!AQ75:'SmtRes'!AQ82,"=1",SmtRes!BU75:'SmtRes'!BU82)</f>
        <v>16.513999999999999</v>
      </c>
      <c r="CW49" s="2">
        <f>SUMIF(SmtRes!AQ75:'SmtRes'!AQ82,"=1",SmtRes!BV75:'SmtRes'!BV82)</f>
        <v>0.36249999999999999</v>
      </c>
      <c r="CX49" s="2">
        <f t="shared" si="24"/>
        <v>0</v>
      </c>
      <c r="CY49" s="2">
        <f t="shared" si="25"/>
        <v>34278.975089999993</v>
      </c>
      <c r="CZ49" s="2">
        <f t="shared" si="26"/>
        <v>16929.830205000002</v>
      </c>
      <c r="DA49" s="2"/>
      <c r="DB49" s="2"/>
      <c r="DC49" s="2" t="s">
        <v>3</v>
      </c>
      <c r="DD49" s="2" t="s">
        <v>3</v>
      </c>
      <c r="DE49" s="2" t="s">
        <v>98</v>
      </c>
      <c r="DF49" s="2" t="s">
        <v>98</v>
      </c>
      <c r="DG49" s="2" t="s">
        <v>99</v>
      </c>
      <c r="DH49" s="2" t="s">
        <v>3</v>
      </c>
      <c r="DI49" s="2" t="s">
        <v>99</v>
      </c>
      <c r="DJ49" s="2" t="s">
        <v>98</v>
      </c>
      <c r="DK49" s="2" t="s">
        <v>3</v>
      </c>
      <c r="DL49" s="2" t="s">
        <v>100</v>
      </c>
      <c r="DM49" s="2" t="s">
        <v>101</v>
      </c>
      <c r="DN49" s="2">
        <v>0</v>
      </c>
      <c r="DO49" s="2">
        <v>0</v>
      </c>
      <c r="DP49" s="2">
        <v>1</v>
      </c>
      <c r="DQ49" s="2">
        <v>1</v>
      </c>
      <c r="DR49" s="2"/>
      <c r="DS49" s="2"/>
      <c r="DT49" s="2"/>
      <c r="DU49" s="2">
        <v>1005</v>
      </c>
      <c r="DV49" s="2" t="s">
        <v>20</v>
      </c>
      <c r="DW49" s="2" t="s">
        <v>20</v>
      </c>
      <c r="DX49" s="2">
        <v>100</v>
      </c>
      <c r="DY49" s="2"/>
      <c r="DZ49" s="2" t="s">
        <v>3</v>
      </c>
      <c r="EA49" s="2" t="s">
        <v>3</v>
      </c>
      <c r="EB49" s="2" t="s">
        <v>3</v>
      </c>
      <c r="EC49" s="2" t="s">
        <v>3</v>
      </c>
      <c r="ED49" s="2"/>
      <c r="EE49" s="2">
        <v>54458927</v>
      </c>
      <c r="EF49" s="2">
        <v>2</v>
      </c>
      <c r="EG49" s="2" t="s">
        <v>22</v>
      </c>
      <c r="EH49" s="2">
        <v>12</v>
      </c>
      <c r="EI49" s="2" t="s">
        <v>79</v>
      </c>
      <c r="EJ49" s="2">
        <v>1</v>
      </c>
      <c r="EK49" s="2">
        <v>12001</v>
      </c>
      <c r="EL49" s="2" t="s">
        <v>79</v>
      </c>
      <c r="EM49" s="2" t="s">
        <v>80</v>
      </c>
      <c r="EN49" s="2"/>
      <c r="EO49" s="2" t="s">
        <v>102</v>
      </c>
      <c r="EP49" s="2"/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0.28999999999999998</v>
      </c>
      <c r="EY49" s="2">
        <v>0</v>
      </c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>
        <v>0</v>
      </c>
      <c r="FR49" s="2">
        <v>0</v>
      </c>
      <c r="FS49" s="2">
        <v>0</v>
      </c>
      <c r="FT49" s="2"/>
      <c r="FU49" s="2"/>
      <c r="FV49" s="2"/>
      <c r="FW49" s="2"/>
      <c r="FX49" s="2">
        <v>98.1</v>
      </c>
      <c r="FY49" s="2">
        <v>48.45</v>
      </c>
      <c r="FZ49" s="2"/>
      <c r="GA49" s="2" t="s">
        <v>3</v>
      </c>
      <c r="GB49" s="2"/>
      <c r="GC49" s="2"/>
      <c r="GD49" s="2">
        <v>1</v>
      </c>
      <c r="GE49" s="2"/>
      <c r="GF49" s="2">
        <v>-1060157470</v>
      </c>
      <c r="GG49" s="2">
        <v>2</v>
      </c>
      <c r="GH49" s="2">
        <v>1</v>
      </c>
      <c r="GI49" s="2">
        <v>-2</v>
      </c>
      <c r="GJ49" s="2">
        <v>0</v>
      </c>
      <c r="GK49" s="2">
        <v>0</v>
      </c>
      <c r="GL49" s="2">
        <f t="shared" si="27"/>
        <v>0</v>
      </c>
      <c r="GM49" s="2">
        <f t="shared" si="28"/>
        <v>96683.15</v>
      </c>
      <c r="GN49" s="2">
        <f t="shared" si="29"/>
        <v>96683.15</v>
      </c>
      <c r="GO49" s="2">
        <f t="shared" si="30"/>
        <v>0</v>
      </c>
      <c r="GP49" s="2">
        <f t="shared" si="31"/>
        <v>0</v>
      </c>
      <c r="GQ49" s="2"/>
      <c r="GR49" s="2">
        <v>0</v>
      </c>
      <c r="GS49" s="2">
        <v>0</v>
      </c>
      <c r="GT49" s="2">
        <v>0</v>
      </c>
      <c r="GU49" s="2" t="s">
        <v>3</v>
      </c>
      <c r="GV49" s="2">
        <f t="shared" si="32"/>
        <v>0</v>
      </c>
      <c r="GW49" s="2">
        <v>1</v>
      </c>
      <c r="GX49" s="2">
        <f t="shared" si="33"/>
        <v>0</v>
      </c>
      <c r="GY49" s="2"/>
      <c r="GZ49" s="2"/>
      <c r="HA49" s="2">
        <v>0</v>
      </c>
      <c r="HB49" s="2">
        <v>0</v>
      </c>
      <c r="HC49" s="2">
        <f t="shared" si="34"/>
        <v>0</v>
      </c>
      <c r="HD49" s="2"/>
      <c r="HE49" s="2" t="s">
        <v>3</v>
      </c>
      <c r="HF49" s="2" t="s">
        <v>3</v>
      </c>
      <c r="HG49" s="2"/>
      <c r="HH49" s="2"/>
      <c r="HI49" s="2"/>
      <c r="HJ49" s="2"/>
      <c r="HK49" s="2"/>
      <c r="HL49" s="2"/>
      <c r="HM49" s="2" t="s">
        <v>3</v>
      </c>
      <c r="HN49" s="2" t="s">
        <v>82</v>
      </c>
      <c r="HO49" s="2" t="s">
        <v>83</v>
      </c>
      <c r="HP49" s="2" t="s">
        <v>79</v>
      </c>
      <c r="HQ49" s="2" t="s">
        <v>79</v>
      </c>
      <c r="HR49" s="2"/>
      <c r="HS49" s="2">
        <v>0</v>
      </c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>
        <v>0</v>
      </c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x14ac:dyDescent="0.2">
      <c r="A50" s="2">
        <v>18</v>
      </c>
      <c r="B50" s="2">
        <v>1</v>
      </c>
      <c r="C50" s="2">
        <v>82</v>
      </c>
      <c r="D50" s="2"/>
      <c r="E50" s="2" t="s">
        <v>160</v>
      </c>
      <c r="F50" s="2" t="s">
        <v>161</v>
      </c>
      <c r="G50" s="2" t="s">
        <v>448</v>
      </c>
      <c r="H50" s="2" t="s">
        <v>145</v>
      </c>
      <c r="I50" s="2">
        <f>I49*J50</f>
        <v>592.79999999999995</v>
      </c>
      <c r="J50" s="2">
        <v>113.99999999999999</v>
      </c>
      <c r="K50" s="2">
        <v>114</v>
      </c>
      <c r="L50" s="2"/>
      <c r="M50" s="2"/>
      <c r="N50" s="2"/>
      <c r="O50" s="2">
        <f t="shared" si="14"/>
        <v>346295.98</v>
      </c>
      <c r="P50" s="2">
        <f>ROUND(CQ50*I50,2)</f>
        <v>346295.98</v>
      </c>
      <c r="Q50" s="2">
        <f>ROUND(CR50*I50,2)</f>
        <v>0</v>
      </c>
      <c r="R50" s="2">
        <f>ROUND(CS50*I50,2)</f>
        <v>0</v>
      </c>
      <c r="S50" s="2">
        <f>ROUND(CT50*I50,2)</f>
        <v>0</v>
      </c>
      <c r="T50" s="2">
        <f t="shared" si="15"/>
        <v>0</v>
      </c>
      <c r="U50" s="2">
        <f>ROUND(CV50*I50,7)</f>
        <v>0</v>
      </c>
      <c r="V50" s="2">
        <f>ROUND(CW50*I50,7)</f>
        <v>0</v>
      </c>
      <c r="W50" s="2">
        <f t="shared" si="16"/>
        <v>0</v>
      </c>
      <c r="X50" s="2">
        <f t="shared" si="17"/>
        <v>0</v>
      </c>
      <c r="Y50" s="2">
        <f t="shared" si="18"/>
        <v>0</v>
      </c>
      <c r="Z50" s="2"/>
      <c r="AA50" s="2">
        <v>55860754</v>
      </c>
      <c r="AB50" s="2">
        <f t="shared" si="19"/>
        <v>584.16999999999996</v>
      </c>
      <c r="AC50" s="2">
        <f>ROUND((ES50),6)</f>
        <v>584.16999999999996</v>
      </c>
      <c r="AD50" s="2">
        <f>ROUND((((ET50)-(EU50))+AE50),6)</f>
        <v>0</v>
      </c>
      <c r="AE50" s="2">
        <f>ROUND((EU50),6)</f>
        <v>0</v>
      </c>
      <c r="AF50" s="2">
        <f>ROUND((EV50),6)</f>
        <v>0</v>
      </c>
      <c r="AG50" s="2">
        <f t="shared" si="20"/>
        <v>0</v>
      </c>
      <c r="AH50" s="2">
        <f>(EW50)</f>
        <v>0</v>
      </c>
      <c r="AI50" s="2">
        <f>(EX50)</f>
        <v>0</v>
      </c>
      <c r="AJ50" s="2">
        <f t="shared" si="21"/>
        <v>0</v>
      </c>
      <c r="AK50" s="2">
        <v>584.16999999999996</v>
      </c>
      <c r="AL50" s="2">
        <v>584.16999999999996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109</v>
      </c>
      <c r="AU50" s="2">
        <v>57</v>
      </c>
      <c r="AV50" s="2">
        <v>1</v>
      </c>
      <c r="AW50" s="2">
        <v>1</v>
      </c>
      <c r="AX50" s="2"/>
      <c r="AY50" s="2"/>
      <c r="AZ50" s="2">
        <v>1</v>
      </c>
      <c r="BA50" s="2">
        <v>1</v>
      </c>
      <c r="BB50" s="2">
        <v>1</v>
      </c>
      <c r="BC50" s="2">
        <v>1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3</v>
      </c>
      <c r="BI50" s="2">
        <v>1</v>
      </c>
      <c r="BJ50" s="2" t="s">
        <v>162</v>
      </c>
      <c r="BK50" s="2"/>
      <c r="BL50" s="2"/>
      <c r="BM50" s="2">
        <v>12001</v>
      </c>
      <c r="BN50" s="2">
        <v>0</v>
      </c>
      <c r="BO50" s="2" t="s">
        <v>3</v>
      </c>
      <c r="BP50" s="2">
        <v>0</v>
      </c>
      <c r="BQ50" s="2">
        <v>2</v>
      </c>
      <c r="BR50" s="2">
        <v>0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109</v>
      </c>
      <c r="CA50" s="2">
        <v>57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/>
      <c r="CI50" s="2"/>
      <c r="CJ50" s="2"/>
      <c r="CK50" s="2"/>
      <c r="CL50" s="2"/>
      <c r="CM50" s="2">
        <v>0</v>
      </c>
      <c r="CN50" s="2" t="s">
        <v>3</v>
      </c>
      <c r="CO50" s="2">
        <v>0</v>
      </c>
      <c r="CP50" s="2">
        <f t="shared" si="22"/>
        <v>346295.98</v>
      </c>
      <c r="CQ50" s="2">
        <f>ROUND(AL50*BC50,2)</f>
        <v>584.16999999999996</v>
      </c>
      <c r="CR50" s="2">
        <f>ROUND(AM50*BB50,2)</f>
        <v>0</v>
      </c>
      <c r="CS50" s="2">
        <f>ROUND(AN50*BS50,2)</f>
        <v>0</v>
      </c>
      <c r="CT50" s="2">
        <f>ROUND(AO50*BA50,2)</f>
        <v>0</v>
      </c>
      <c r="CU50" s="2">
        <f t="shared" si="23"/>
        <v>0</v>
      </c>
      <c r="CV50" s="2">
        <f>AH50</f>
        <v>0</v>
      </c>
      <c r="CW50" s="2">
        <f>AI50</f>
        <v>0</v>
      </c>
      <c r="CX50" s="2">
        <f t="shared" si="24"/>
        <v>0</v>
      </c>
      <c r="CY50" s="2">
        <f t="shared" si="25"/>
        <v>0</v>
      </c>
      <c r="CZ50" s="2">
        <f t="shared" si="26"/>
        <v>0</v>
      </c>
      <c r="DA50" s="2"/>
      <c r="DB50" s="2"/>
      <c r="DC50" s="2" t="s">
        <v>3</v>
      </c>
      <c r="DD50" s="2" t="s">
        <v>3</v>
      </c>
      <c r="DE50" s="2" t="s">
        <v>3</v>
      </c>
      <c r="DF50" s="2" t="s">
        <v>3</v>
      </c>
      <c r="DG50" s="2" t="s">
        <v>3</v>
      </c>
      <c r="DH50" s="2" t="s">
        <v>3</v>
      </c>
      <c r="DI50" s="2" t="s">
        <v>3</v>
      </c>
      <c r="DJ50" s="2" t="s">
        <v>3</v>
      </c>
      <c r="DK50" s="2" t="s">
        <v>3</v>
      </c>
      <c r="DL50" s="2" t="s">
        <v>3</v>
      </c>
      <c r="DM50" s="2" t="s">
        <v>3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1005</v>
      </c>
      <c r="DV50" s="2" t="s">
        <v>145</v>
      </c>
      <c r="DW50" s="2" t="s">
        <v>145</v>
      </c>
      <c r="DX50" s="2">
        <v>1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54458927</v>
      </c>
      <c r="EF50" s="2">
        <v>2</v>
      </c>
      <c r="EG50" s="2" t="s">
        <v>22</v>
      </c>
      <c r="EH50" s="2">
        <v>12</v>
      </c>
      <c r="EI50" s="2" t="s">
        <v>79</v>
      </c>
      <c r="EJ50" s="2">
        <v>1</v>
      </c>
      <c r="EK50" s="2">
        <v>12001</v>
      </c>
      <c r="EL50" s="2" t="s">
        <v>79</v>
      </c>
      <c r="EM50" s="2" t="s">
        <v>80</v>
      </c>
      <c r="EN50" s="2"/>
      <c r="EO50" s="2" t="s">
        <v>3</v>
      </c>
      <c r="EP50" s="2"/>
      <c r="EQ50" s="2">
        <v>0</v>
      </c>
      <c r="ER50" s="2">
        <v>584.16999999999996</v>
      </c>
      <c r="ES50" s="2">
        <v>584.16999999999996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v>0</v>
      </c>
      <c r="FS50" s="2">
        <v>0</v>
      </c>
      <c r="FT50" s="2"/>
      <c r="FU50" s="2"/>
      <c r="FV50" s="2"/>
      <c r="FW50" s="2"/>
      <c r="FX50" s="2">
        <v>109</v>
      </c>
      <c r="FY50" s="2">
        <v>57</v>
      </c>
      <c r="FZ50" s="2"/>
      <c r="GA50" s="2" t="s">
        <v>3</v>
      </c>
      <c r="GB50" s="2"/>
      <c r="GC50" s="2"/>
      <c r="GD50" s="2">
        <v>1</v>
      </c>
      <c r="GE50" s="2">
        <v>302.55</v>
      </c>
      <c r="GF50" s="2">
        <v>959419674</v>
      </c>
      <c r="GG50" s="2">
        <v>2</v>
      </c>
      <c r="GH50" s="2">
        <v>1</v>
      </c>
      <c r="GI50" s="2">
        <v>-2</v>
      </c>
      <c r="GJ50" s="2">
        <v>0</v>
      </c>
      <c r="GK50" s="2">
        <v>0</v>
      </c>
      <c r="GL50" s="2">
        <f t="shared" si="27"/>
        <v>0</v>
      </c>
      <c r="GM50" s="2">
        <f t="shared" si="28"/>
        <v>346295.98</v>
      </c>
      <c r="GN50" s="2">
        <f t="shared" si="29"/>
        <v>346295.98</v>
      </c>
      <c r="GO50" s="2">
        <f t="shared" si="30"/>
        <v>0</v>
      </c>
      <c r="GP50" s="2">
        <f t="shared" si="31"/>
        <v>0</v>
      </c>
      <c r="GQ50" s="2"/>
      <c r="GR50" s="2">
        <v>3</v>
      </c>
      <c r="GS50" s="2">
        <v>0</v>
      </c>
      <c r="GT50" s="2">
        <v>0</v>
      </c>
      <c r="GU50" s="2" t="s">
        <v>3</v>
      </c>
      <c r="GV50" s="2">
        <f t="shared" si="32"/>
        <v>0</v>
      </c>
      <c r="GW50" s="2">
        <v>1</v>
      </c>
      <c r="GX50" s="2">
        <f t="shared" si="33"/>
        <v>0</v>
      </c>
      <c r="GY50" s="2"/>
      <c r="GZ50" s="2"/>
      <c r="HA50" s="2">
        <v>0</v>
      </c>
      <c r="HB50" s="2">
        <v>0</v>
      </c>
      <c r="HC50" s="2">
        <f t="shared" si="34"/>
        <v>0</v>
      </c>
      <c r="HD50" s="2"/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82</v>
      </c>
      <c r="HO50" s="2" t="s">
        <v>83</v>
      </c>
      <c r="HP50" s="2" t="s">
        <v>79</v>
      </c>
      <c r="HQ50" s="2" t="s">
        <v>79</v>
      </c>
      <c r="HR50" s="2"/>
      <c r="HS50" s="2">
        <v>0</v>
      </c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 s="2">
        <v>18</v>
      </c>
      <c r="B51" s="2">
        <v>1</v>
      </c>
      <c r="C51" s="2">
        <v>81</v>
      </c>
      <c r="D51" s="2"/>
      <c r="E51" s="2" t="s">
        <v>163</v>
      </c>
      <c r="F51" s="2" t="s">
        <v>164</v>
      </c>
      <c r="G51" s="2" t="s">
        <v>165</v>
      </c>
      <c r="H51" s="2" t="s">
        <v>145</v>
      </c>
      <c r="I51" s="2">
        <f>I49*J51</f>
        <v>603.20000000000005</v>
      </c>
      <c r="J51" s="2">
        <v>116</v>
      </c>
      <c r="K51" s="2">
        <v>116</v>
      </c>
      <c r="L51" s="2"/>
      <c r="M51" s="2"/>
      <c r="N51" s="2"/>
      <c r="O51" s="2">
        <f t="shared" si="14"/>
        <v>204502.9</v>
      </c>
      <c r="P51" s="2">
        <f>ROUND(CQ51*I51,2)</f>
        <v>204502.9</v>
      </c>
      <c r="Q51" s="2">
        <f>ROUND(CR51*I51,2)</f>
        <v>0</v>
      </c>
      <c r="R51" s="2">
        <f>ROUND(CS51*I51,2)</f>
        <v>0</v>
      </c>
      <c r="S51" s="2">
        <f>ROUND(CT51*I51,2)</f>
        <v>0</v>
      </c>
      <c r="T51" s="2">
        <f t="shared" si="15"/>
        <v>0</v>
      </c>
      <c r="U51" s="2">
        <f>ROUND(CV51*I51,7)</f>
        <v>0</v>
      </c>
      <c r="V51" s="2">
        <f>ROUND(CW51*I51,7)</f>
        <v>0</v>
      </c>
      <c r="W51" s="2">
        <f t="shared" si="16"/>
        <v>0</v>
      </c>
      <c r="X51" s="2">
        <f t="shared" si="17"/>
        <v>0</v>
      </c>
      <c r="Y51" s="2">
        <f t="shared" si="18"/>
        <v>0</v>
      </c>
      <c r="Z51" s="2"/>
      <c r="AA51" s="2">
        <v>55860754</v>
      </c>
      <c r="AB51" s="2">
        <f t="shared" si="19"/>
        <v>339.03</v>
      </c>
      <c r="AC51" s="2">
        <f>ROUND((ES51),6)</f>
        <v>339.03</v>
      </c>
      <c r="AD51" s="2">
        <f>ROUND((((ET51)-(EU51))+AE51),6)</f>
        <v>0</v>
      </c>
      <c r="AE51" s="2">
        <f>ROUND((EU51),6)</f>
        <v>0</v>
      </c>
      <c r="AF51" s="2">
        <f>ROUND((EV51),6)</f>
        <v>0</v>
      </c>
      <c r="AG51" s="2">
        <f t="shared" si="20"/>
        <v>0</v>
      </c>
      <c r="AH51" s="2">
        <f>(EW51)</f>
        <v>0</v>
      </c>
      <c r="AI51" s="2">
        <f>(EX51)</f>
        <v>0</v>
      </c>
      <c r="AJ51" s="2">
        <f t="shared" si="21"/>
        <v>0</v>
      </c>
      <c r="AK51" s="2">
        <v>339.03</v>
      </c>
      <c r="AL51" s="2">
        <v>339.03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109</v>
      </c>
      <c r="AU51" s="2">
        <v>57</v>
      </c>
      <c r="AV51" s="2">
        <v>1</v>
      </c>
      <c r="AW51" s="2">
        <v>1</v>
      </c>
      <c r="AX51" s="2"/>
      <c r="AY51" s="2"/>
      <c r="AZ51" s="2">
        <v>1</v>
      </c>
      <c r="BA51" s="2">
        <v>1</v>
      </c>
      <c r="BB51" s="2">
        <v>1</v>
      </c>
      <c r="BC51" s="2">
        <v>1</v>
      </c>
      <c r="BD51" s="2" t="s">
        <v>3</v>
      </c>
      <c r="BE51" s="2" t="s">
        <v>3</v>
      </c>
      <c r="BF51" s="2" t="s">
        <v>3</v>
      </c>
      <c r="BG51" s="2" t="s">
        <v>3</v>
      </c>
      <c r="BH51" s="2">
        <v>3</v>
      </c>
      <c r="BI51" s="2">
        <v>1</v>
      </c>
      <c r="BJ51" s="2" t="s">
        <v>166</v>
      </c>
      <c r="BK51" s="2"/>
      <c r="BL51" s="2"/>
      <c r="BM51" s="2">
        <v>12001</v>
      </c>
      <c r="BN51" s="2">
        <v>0</v>
      </c>
      <c r="BO51" s="2" t="s">
        <v>3</v>
      </c>
      <c r="BP51" s="2">
        <v>0</v>
      </c>
      <c r="BQ51" s="2">
        <v>2</v>
      </c>
      <c r="BR51" s="2">
        <v>0</v>
      </c>
      <c r="BS51" s="2">
        <v>1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 t="s">
        <v>3</v>
      </c>
      <c r="BZ51" s="2">
        <v>109</v>
      </c>
      <c r="CA51" s="2">
        <v>57</v>
      </c>
      <c r="CB51" s="2" t="s">
        <v>3</v>
      </c>
      <c r="CC51" s="2"/>
      <c r="CD51" s="2"/>
      <c r="CE51" s="2">
        <v>0</v>
      </c>
      <c r="CF51" s="2">
        <v>0</v>
      </c>
      <c r="CG51" s="2">
        <v>0</v>
      </c>
      <c r="CH51" s="2"/>
      <c r="CI51" s="2"/>
      <c r="CJ51" s="2"/>
      <c r="CK51" s="2"/>
      <c r="CL51" s="2"/>
      <c r="CM51" s="2">
        <v>0</v>
      </c>
      <c r="CN51" s="2" t="s">
        <v>3</v>
      </c>
      <c r="CO51" s="2">
        <v>0</v>
      </c>
      <c r="CP51" s="2">
        <f t="shared" si="22"/>
        <v>204502.9</v>
      </c>
      <c r="CQ51" s="2">
        <f>ROUND(AL51*BC51,2)</f>
        <v>339.03</v>
      </c>
      <c r="CR51" s="2">
        <f>ROUND(AM51*BB51,2)</f>
        <v>0</v>
      </c>
      <c r="CS51" s="2">
        <f>ROUND(AN51*BS51,2)</f>
        <v>0</v>
      </c>
      <c r="CT51" s="2">
        <f>ROUND(AO51*BA51,2)</f>
        <v>0</v>
      </c>
      <c r="CU51" s="2">
        <f t="shared" si="23"/>
        <v>0</v>
      </c>
      <c r="CV51" s="2">
        <f>AH51</f>
        <v>0</v>
      </c>
      <c r="CW51" s="2">
        <f>AI51</f>
        <v>0</v>
      </c>
      <c r="CX51" s="2">
        <f t="shared" si="24"/>
        <v>0</v>
      </c>
      <c r="CY51" s="2">
        <f t="shared" si="25"/>
        <v>0</v>
      </c>
      <c r="CZ51" s="2">
        <f t="shared" si="26"/>
        <v>0</v>
      </c>
      <c r="DA51" s="2"/>
      <c r="DB51" s="2"/>
      <c r="DC51" s="2" t="s">
        <v>3</v>
      </c>
      <c r="DD51" s="2" t="s">
        <v>3</v>
      </c>
      <c r="DE51" s="2" t="s">
        <v>3</v>
      </c>
      <c r="DF51" s="2" t="s">
        <v>3</v>
      </c>
      <c r="DG51" s="2" t="s">
        <v>3</v>
      </c>
      <c r="DH51" s="2" t="s">
        <v>3</v>
      </c>
      <c r="DI51" s="2" t="s">
        <v>3</v>
      </c>
      <c r="DJ51" s="2" t="s">
        <v>3</v>
      </c>
      <c r="DK51" s="2" t="s">
        <v>3</v>
      </c>
      <c r="DL51" s="2" t="s">
        <v>3</v>
      </c>
      <c r="DM51" s="2" t="s">
        <v>3</v>
      </c>
      <c r="DN51" s="2">
        <v>0</v>
      </c>
      <c r="DO51" s="2">
        <v>0</v>
      </c>
      <c r="DP51" s="2">
        <v>1</v>
      </c>
      <c r="DQ51" s="2">
        <v>1</v>
      </c>
      <c r="DR51" s="2"/>
      <c r="DS51" s="2"/>
      <c r="DT51" s="2"/>
      <c r="DU51" s="2">
        <v>1005</v>
      </c>
      <c r="DV51" s="2" t="s">
        <v>145</v>
      </c>
      <c r="DW51" s="2" t="s">
        <v>145</v>
      </c>
      <c r="DX51" s="2">
        <v>1</v>
      </c>
      <c r="DY51" s="2"/>
      <c r="DZ51" s="2" t="s">
        <v>3</v>
      </c>
      <c r="EA51" s="2" t="s">
        <v>3</v>
      </c>
      <c r="EB51" s="2" t="s">
        <v>3</v>
      </c>
      <c r="EC51" s="2" t="s">
        <v>3</v>
      </c>
      <c r="ED51" s="2"/>
      <c r="EE51" s="2">
        <v>54458927</v>
      </c>
      <c r="EF51" s="2">
        <v>2</v>
      </c>
      <c r="EG51" s="2" t="s">
        <v>22</v>
      </c>
      <c r="EH51" s="2">
        <v>12</v>
      </c>
      <c r="EI51" s="2" t="s">
        <v>79</v>
      </c>
      <c r="EJ51" s="2">
        <v>1</v>
      </c>
      <c r="EK51" s="2">
        <v>12001</v>
      </c>
      <c r="EL51" s="2" t="s">
        <v>79</v>
      </c>
      <c r="EM51" s="2" t="s">
        <v>80</v>
      </c>
      <c r="EN51" s="2"/>
      <c r="EO51" s="2" t="s">
        <v>3</v>
      </c>
      <c r="EP51" s="2"/>
      <c r="EQ51" s="2">
        <v>0</v>
      </c>
      <c r="ER51" s="2">
        <v>339.03</v>
      </c>
      <c r="ES51" s="2">
        <v>339.03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>
        <v>0</v>
      </c>
      <c r="FR51" s="2">
        <v>0</v>
      </c>
      <c r="FS51" s="2">
        <v>0</v>
      </c>
      <c r="FT51" s="2"/>
      <c r="FU51" s="2"/>
      <c r="FV51" s="2"/>
      <c r="FW51" s="2"/>
      <c r="FX51" s="2">
        <v>109</v>
      </c>
      <c r="FY51" s="2">
        <v>57</v>
      </c>
      <c r="FZ51" s="2"/>
      <c r="GA51" s="2" t="s">
        <v>3</v>
      </c>
      <c r="GB51" s="2"/>
      <c r="GC51" s="2"/>
      <c r="GD51" s="2">
        <v>1</v>
      </c>
      <c r="GE51" s="2">
        <v>192.8</v>
      </c>
      <c r="GF51" s="2">
        <v>2131258565</v>
      </c>
      <c r="GG51" s="2">
        <v>2</v>
      </c>
      <c r="GH51" s="2">
        <v>1</v>
      </c>
      <c r="GI51" s="2">
        <v>-2</v>
      </c>
      <c r="GJ51" s="2">
        <v>0</v>
      </c>
      <c r="GK51" s="2">
        <v>0</v>
      </c>
      <c r="GL51" s="2">
        <f t="shared" si="27"/>
        <v>0</v>
      </c>
      <c r="GM51" s="2">
        <f t="shared" si="28"/>
        <v>204502.9</v>
      </c>
      <c r="GN51" s="2">
        <f t="shared" si="29"/>
        <v>204502.9</v>
      </c>
      <c r="GO51" s="2">
        <f t="shared" si="30"/>
        <v>0</v>
      </c>
      <c r="GP51" s="2">
        <f t="shared" si="31"/>
        <v>0</v>
      </c>
      <c r="GQ51" s="2"/>
      <c r="GR51" s="2">
        <v>3</v>
      </c>
      <c r="GS51" s="2">
        <v>0</v>
      </c>
      <c r="GT51" s="2">
        <v>0</v>
      </c>
      <c r="GU51" s="2" t="s">
        <v>3</v>
      </c>
      <c r="GV51" s="2">
        <f t="shared" si="32"/>
        <v>0</v>
      </c>
      <c r="GW51" s="2">
        <v>1</v>
      </c>
      <c r="GX51" s="2">
        <f t="shared" si="33"/>
        <v>0</v>
      </c>
      <c r="GY51" s="2"/>
      <c r="GZ51" s="2"/>
      <c r="HA51" s="2">
        <v>0</v>
      </c>
      <c r="HB51" s="2">
        <v>0</v>
      </c>
      <c r="HC51" s="2">
        <f t="shared" si="34"/>
        <v>0</v>
      </c>
      <c r="HD51" s="2"/>
      <c r="HE51" s="2" t="s">
        <v>3</v>
      </c>
      <c r="HF51" s="2" t="s">
        <v>3</v>
      </c>
      <c r="HG51" s="2"/>
      <c r="HH51" s="2"/>
      <c r="HI51" s="2"/>
      <c r="HJ51" s="2"/>
      <c r="HK51" s="2"/>
      <c r="HL51" s="2"/>
      <c r="HM51" s="2" t="s">
        <v>3</v>
      </c>
      <c r="HN51" s="2" t="s">
        <v>82</v>
      </c>
      <c r="HO51" s="2" t="s">
        <v>83</v>
      </c>
      <c r="HP51" s="2" t="s">
        <v>79</v>
      </c>
      <c r="HQ51" s="2" t="s">
        <v>79</v>
      </c>
      <c r="HR51" s="2"/>
      <c r="HS51" s="2">
        <v>0</v>
      </c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>
        <v>0</v>
      </c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x14ac:dyDescent="0.2">
      <c r="A52" s="2">
        <v>17</v>
      </c>
      <c r="B52" s="2">
        <v>1</v>
      </c>
      <c r="C52" s="2">
        <f>ROW(SmtRes!A85)</f>
        <v>85</v>
      </c>
      <c r="D52" s="2">
        <f>ROW(EtalonRes!A90)</f>
        <v>90</v>
      </c>
      <c r="E52" s="2" t="s">
        <v>167</v>
      </c>
      <c r="F52" s="2" t="s">
        <v>168</v>
      </c>
      <c r="G52" s="2" t="s">
        <v>169</v>
      </c>
      <c r="H52" s="2" t="s">
        <v>170</v>
      </c>
      <c r="I52" s="2">
        <f>ROUND(102/100,7)</f>
        <v>1.02</v>
      </c>
      <c r="J52" s="2">
        <v>0</v>
      </c>
      <c r="K52" s="2">
        <f>ROUND(102/100,7)</f>
        <v>1.02</v>
      </c>
      <c r="L52" s="2"/>
      <c r="M52" s="2"/>
      <c r="N52" s="2"/>
      <c r="O52" s="2">
        <f t="shared" si="14"/>
        <v>3059.03</v>
      </c>
      <c r="P52" s="2">
        <f>SUMIF(SmtRes!AQ83:'SmtRes'!AQ85,"=1",SmtRes!DF83:'SmtRes'!DF85)</f>
        <v>0</v>
      </c>
      <c r="Q52" s="2">
        <f>SUMIF(SmtRes!AQ83:'SmtRes'!AQ85,"=1",SmtRes!DG83:'SmtRes'!DG85)</f>
        <v>1.26</v>
      </c>
      <c r="R52" s="2">
        <f>SUMIF(SmtRes!AQ83:'SmtRes'!AQ85,"=1",SmtRes!DH83:'SmtRes'!DH85)</f>
        <v>0</v>
      </c>
      <c r="S52" s="2">
        <f>SUMIF(SmtRes!AQ83:'SmtRes'!AQ85,"=1",SmtRes!DI83:'SmtRes'!DI85)</f>
        <v>3057.77</v>
      </c>
      <c r="T52" s="2">
        <f t="shared" si="15"/>
        <v>0</v>
      </c>
      <c r="U52" s="2">
        <f>SUMIF(SmtRes!AQ83:'SmtRes'!AQ85,"=1",SmtRes!CV83:'SmtRes'!CV85)</f>
        <v>9.282</v>
      </c>
      <c r="V52" s="2">
        <f>SUMIF(SmtRes!AQ83:'SmtRes'!AQ85,"=1",SmtRes!CW83:'SmtRes'!CW85)</f>
        <v>0</v>
      </c>
      <c r="W52" s="2">
        <f t="shared" si="16"/>
        <v>0</v>
      </c>
      <c r="X52" s="2">
        <f t="shared" si="17"/>
        <v>2751.99</v>
      </c>
      <c r="Y52" s="2">
        <f t="shared" si="18"/>
        <v>1406.57</v>
      </c>
      <c r="Z52" s="2"/>
      <c r="AA52" s="2">
        <v>55860754</v>
      </c>
      <c r="AB52" s="2">
        <f t="shared" si="19"/>
        <v>2998.6073999999999</v>
      </c>
      <c r="AC52" s="2">
        <f>ROUND((0),6)</f>
        <v>0</v>
      </c>
      <c r="AD52" s="2">
        <f>ROUND((((SUM(SmtRes!BR83:'SmtRes'!BR85))-(0))+AE52),6)</f>
        <v>0.7944</v>
      </c>
      <c r="AE52" s="2">
        <f>ROUND((0),6)</f>
        <v>0</v>
      </c>
      <c r="AF52" s="2">
        <f>ROUND((SUM(SmtRes!BT83:'SmtRes'!BT85)),6)</f>
        <v>2997.8130000000001</v>
      </c>
      <c r="AG52" s="2">
        <f t="shared" si="20"/>
        <v>0</v>
      </c>
      <c r="AH52" s="2">
        <f>(SUM(SmtRes!BU83:'SmtRes'!BU85))</f>
        <v>9.1</v>
      </c>
      <c r="AI52" s="2">
        <f>(0)</f>
        <v>0</v>
      </c>
      <c r="AJ52" s="2">
        <f t="shared" si="21"/>
        <v>0</v>
      </c>
      <c r="AK52" s="2">
        <v>2998.6074000000003</v>
      </c>
      <c r="AL52" s="2">
        <v>0</v>
      </c>
      <c r="AM52" s="2">
        <v>0.7944</v>
      </c>
      <c r="AN52" s="2">
        <v>0</v>
      </c>
      <c r="AO52" s="2">
        <v>2997.8130000000001</v>
      </c>
      <c r="AP52" s="2">
        <v>0</v>
      </c>
      <c r="AQ52" s="2">
        <v>9.1</v>
      </c>
      <c r="AR52" s="2">
        <v>0</v>
      </c>
      <c r="AS52" s="2">
        <v>0</v>
      </c>
      <c r="AT52" s="2">
        <v>90</v>
      </c>
      <c r="AU52" s="2">
        <v>46</v>
      </c>
      <c r="AV52" s="2">
        <v>1</v>
      </c>
      <c r="AW52" s="2">
        <v>1</v>
      </c>
      <c r="AX52" s="2"/>
      <c r="AY52" s="2"/>
      <c r="AZ52" s="2">
        <v>1</v>
      </c>
      <c r="BA52" s="2">
        <v>1</v>
      </c>
      <c r="BB52" s="2">
        <v>1</v>
      </c>
      <c r="BC52" s="2">
        <v>1</v>
      </c>
      <c r="BD52" s="2" t="s">
        <v>3</v>
      </c>
      <c r="BE52" s="2" t="s">
        <v>3</v>
      </c>
      <c r="BF52" s="2" t="s">
        <v>3</v>
      </c>
      <c r="BG52" s="2" t="s">
        <v>3</v>
      </c>
      <c r="BH52" s="2">
        <v>0</v>
      </c>
      <c r="BI52" s="2">
        <v>1</v>
      </c>
      <c r="BJ52" s="2" t="s">
        <v>171</v>
      </c>
      <c r="BK52" s="2"/>
      <c r="BL52" s="2"/>
      <c r="BM52" s="2">
        <v>58001</v>
      </c>
      <c r="BN52" s="2">
        <v>0</v>
      </c>
      <c r="BO52" s="2" t="s">
        <v>3</v>
      </c>
      <c r="BP52" s="2">
        <v>0</v>
      </c>
      <c r="BQ52" s="2">
        <v>6</v>
      </c>
      <c r="BR52" s="2">
        <v>0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 t="s">
        <v>3</v>
      </c>
      <c r="BZ52" s="2">
        <v>90</v>
      </c>
      <c r="CA52" s="2">
        <v>46</v>
      </c>
      <c r="CB52" s="2" t="s">
        <v>3</v>
      </c>
      <c r="CC52" s="2"/>
      <c r="CD52" s="2"/>
      <c r="CE52" s="2">
        <v>0</v>
      </c>
      <c r="CF52" s="2">
        <v>0</v>
      </c>
      <c r="CG52" s="2">
        <v>0</v>
      </c>
      <c r="CH52" s="2"/>
      <c r="CI52" s="2"/>
      <c r="CJ52" s="2"/>
      <c r="CK52" s="2"/>
      <c r="CL52" s="2"/>
      <c r="CM52" s="2">
        <v>0</v>
      </c>
      <c r="CN52" s="2" t="s">
        <v>3</v>
      </c>
      <c r="CO52" s="2">
        <v>0</v>
      </c>
      <c r="CP52" s="2">
        <f t="shared" si="22"/>
        <v>3059.03</v>
      </c>
      <c r="CQ52" s="2">
        <f>SUMIF(SmtRes!AQ83:'SmtRes'!AQ85,"=1",SmtRes!AA83:'SmtRes'!AA85)</f>
        <v>0</v>
      </c>
      <c r="CR52" s="2">
        <f>SUMIF(SmtRes!AQ83:'SmtRes'!AQ85,"=1",SmtRes!AB83:'SmtRes'!AB85)</f>
        <v>10.33</v>
      </c>
      <c r="CS52" s="2">
        <f>SUMIF(SmtRes!AQ83:'SmtRes'!AQ85,"=1",SmtRes!AC83:'SmtRes'!AC85)</f>
        <v>0</v>
      </c>
      <c r="CT52" s="2">
        <f>SUMIF(SmtRes!AQ83:'SmtRes'!AQ85,"=1",SmtRes!AD83:'SmtRes'!AD85)</f>
        <v>329.43</v>
      </c>
      <c r="CU52" s="2">
        <f t="shared" si="23"/>
        <v>0</v>
      </c>
      <c r="CV52" s="2">
        <f>SUMIF(SmtRes!AQ83:'SmtRes'!AQ85,"=1",SmtRes!BU83:'SmtRes'!BU85)</f>
        <v>9.1</v>
      </c>
      <c r="CW52" s="2">
        <f>SUMIF(SmtRes!AQ83:'SmtRes'!AQ85,"=1",SmtRes!BV83:'SmtRes'!BV85)</f>
        <v>0</v>
      </c>
      <c r="CX52" s="2">
        <f t="shared" si="24"/>
        <v>0</v>
      </c>
      <c r="CY52" s="2">
        <f t="shared" si="25"/>
        <v>2751.9929999999999</v>
      </c>
      <c r="CZ52" s="2">
        <f t="shared" si="26"/>
        <v>1406.5742</v>
      </c>
      <c r="DA52" s="2"/>
      <c r="DB52" s="2"/>
      <c r="DC52" s="2" t="s">
        <v>3</v>
      </c>
      <c r="DD52" s="2" t="s">
        <v>3</v>
      </c>
      <c r="DE52" s="2" t="s">
        <v>3</v>
      </c>
      <c r="DF52" s="2" t="s">
        <v>3</v>
      </c>
      <c r="DG52" s="2" t="s">
        <v>3</v>
      </c>
      <c r="DH52" s="2" t="s">
        <v>3</v>
      </c>
      <c r="DI52" s="2" t="s">
        <v>3</v>
      </c>
      <c r="DJ52" s="2" t="s">
        <v>3</v>
      </c>
      <c r="DK52" s="2" t="s">
        <v>3</v>
      </c>
      <c r="DL52" s="2" t="s">
        <v>3</v>
      </c>
      <c r="DM52" s="2" t="s">
        <v>3</v>
      </c>
      <c r="DN52" s="2">
        <v>0</v>
      </c>
      <c r="DO52" s="2">
        <v>0</v>
      </c>
      <c r="DP52" s="2">
        <v>1</v>
      </c>
      <c r="DQ52" s="2">
        <v>1</v>
      </c>
      <c r="DR52" s="2"/>
      <c r="DS52" s="2"/>
      <c r="DT52" s="2"/>
      <c r="DU52" s="2">
        <v>1003</v>
      </c>
      <c r="DV52" s="2" t="s">
        <v>170</v>
      </c>
      <c r="DW52" s="2" t="s">
        <v>170</v>
      </c>
      <c r="DX52" s="2">
        <v>100</v>
      </c>
      <c r="DY52" s="2"/>
      <c r="DZ52" s="2" t="s">
        <v>3</v>
      </c>
      <c r="EA52" s="2" t="s">
        <v>3</v>
      </c>
      <c r="EB52" s="2" t="s">
        <v>3</v>
      </c>
      <c r="EC52" s="2" t="s">
        <v>3</v>
      </c>
      <c r="ED52" s="2"/>
      <c r="EE52" s="2">
        <v>54459004</v>
      </c>
      <c r="EF52" s="2">
        <v>6</v>
      </c>
      <c r="EG52" s="2" t="s">
        <v>32</v>
      </c>
      <c r="EH52" s="2">
        <v>92</v>
      </c>
      <c r="EI52" s="2" t="s">
        <v>33</v>
      </c>
      <c r="EJ52" s="2">
        <v>1</v>
      </c>
      <c r="EK52" s="2">
        <v>58001</v>
      </c>
      <c r="EL52" s="2" t="s">
        <v>33</v>
      </c>
      <c r="EM52" s="2" t="s">
        <v>34</v>
      </c>
      <c r="EN52" s="2"/>
      <c r="EO52" s="2" t="s">
        <v>3</v>
      </c>
      <c r="EP52" s="2"/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>
        <v>0</v>
      </c>
      <c r="FR52" s="2">
        <v>0</v>
      </c>
      <c r="FS52" s="2">
        <v>0</v>
      </c>
      <c r="FT52" s="2"/>
      <c r="FU52" s="2"/>
      <c r="FV52" s="2"/>
      <c r="FW52" s="2"/>
      <c r="FX52" s="2">
        <v>90</v>
      </c>
      <c r="FY52" s="2">
        <v>46</v>
      </c>
      <c r="FZ52" s="2"/>
      <c r="GA52" s="2" t="s">
        <v>3</v>
      </c>
      <c r="GB52" s="2"/>
      <c r="GC52" s="2"/>
      <c r="GD52" s="2">
        <v>1</v>
      </c>
      <c r="GE52" s="2"/>
      <c r="GF52" s="2">
        <v>1251586012</v>
      </c>
      <c r="GG52" s="2">
        <v>2</v>
      </c>
      <c r="GH52" s="2">
        <v>1</v>
      </c>
      <c r="GI52" s="2">
        <v>-2</v>
      </c>
      <c r="GJ52" s="2">
        <v>0</v>
      </c>
      <c r="GK52" s="2">
        <v>0</v>
      </c>
      <c r="GL52" s="2">
        <f t="shared" si="27"/>
        <v>0</v>
      </c>
      <c r="GM52" s="2">
        <f t="shared" si="28"/>
        <v>7217.59</v>
      </c>
      <c r="GN52" s="2">
        <f t="shared" si="29"/>
        <v>7217.59</v>
      </c>
      <c r="GO52" s="2">
        <f t="shared" si="30"/>
        <v>0</v>
      </c>
      <c r="GP52" s="2">
        <f t="shared" si="31"/>
        <v>0</v>
      </c>
      <c r="GQ52" s="2"/>
      <c r="GR52" s="2">
        <v>0</v>
      </c>
      <c r="GS52" s="2">
        <v>0</v>
      </c>
      <c r="GT52" s="2">
        <v>0</v>
      </c>
      <c r="GU52" s="2" t="s">
        <v>3</v>
      </c>
      <c r="GV52" s="2">
        <f t="shared" si="32"/>
        <v>0</v>
      </c>
      <c r="GW52" s="2">
        <v>1</v>
      </c>
      <c r="GX52" s="2">
        <f t="shared" si="33"/>
        <v>0</v>
      </c>
      <c r="GY52" s="2"/>
      <c r="GZ52" s="2"/>
      <c r="HA52" s="2">
        <v>0</v>
      </c>
      <c r="HB52" s="2">
        <v>0</v>
      </c>
      <c r="HC52" s="2">
        <f t="shared" si="34"/>
        <v>0</v>
      </c>
      <c r="HD52" s="2"/>
      <c r="HE52" s="2" t="s">
        <v>3</v>
      </c>
      <c r="HF52" s="2" t="s">
        <v>3</v>
      </c>
      <c r="HG52" s="2"/>
      <c r="HH52" s="2"/>
      <c r="HI52" s="2"/>
      <c r="HJ52" s="2"/>
      <c r="HK52" s="2"/>
      <c r="HL52" s="2"/>
      <c r="HM52" s="2" t="s">
        <v>3</v>
      </c>
      <c r="HN52" s="2" t="s">
        <v>35</v>
      </c>
      <c r="HO52" s="2" t="s">
        <v>36</v>
      </c>
      <c r="HP52" s="2" t="s">
        <v>37</v>
      </c>
      <c r="HQ52" s="2" t="s">
        <v>37</v>
      </c>
      <c r="HR52" s="2"/>
      <c r="HS52" s="2">
        <v>0</v>
      </c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>
        <v>0</v>
      </c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 s="2">
        <v>18</v>
      </c>
      <c r="B53" s="2">
        <v>1</v>
      </c>
      <c r="C53" s="2">
        <v>85</v>
      </c>
      <c r="D53" s="2"/>
      <c r="E53" s="2" t="s">
        <v>172</v>
      </c>
      <c r="F53" s="2" t="s">
        <v>39</v>
      </c>
      <c r="G53" s="2" t="s">
        <v>40</v>
      </c>
      <c r="H53" s="2" t="s">
        <v>41</v>
      </c>
      <c r="I53" s="2">
        <f>I52*J53</f>
        <v>0.12239999999999999</v>
      </c>
      <c r="J53" s="2">
        <v>0.12</v>
      </c>
      <c r="K53" s="2">
        <v>0.12</v>
      </c>
      <c r="L53" s="2"/>
      <c r="M53" s="2"/>
      <c r="N53" s="2"/>
      <c r="O53" s="2">
        <f t="shared" si="14"/>
        <v>0</v>
      </c>
      <c r="P53" s="2">
        <f>ROUND(CQ53*I53,2)</f>
        <v>0</v>
      </c>
      <c r="Q53" s="2">
        <f>ROUND(CR53*I53,2)</f>
        <v>0</v>
      </c>
      <c r="R53" s="2">
        <f>ROUND(CS53*I53,2)</f>
        <v>0</v>
      </c>
      <c r="S53" s="2">
        <f>ROUND(CT53*I53,2)</f>
        <v>0</v>
      </c>
      <c r="T53" s="2">
        <f t="shared" si="15"/>
        <v>0</v>
      </c>
      <c r="U53" s="2">
        <f>ROUND(CV53*I53,7)</f>
        <v>0</v>
      </c>
      <c r="V53" s="2">
        <f>ROUND(CW53*I53,7)</f>
        <v>0</v>
      </c>
      <c r="W53" s="2">
        <f t="shared" si="16"/>
        <v>0</v>
      </c>
      <c r="X53" s="2">
        <f t="shared" si="17"/>
        <v>0</v>
      </c>
      <c r="Y53" s="2">
        <f t="shared" si="18"/>
        <v>0</v>
      </c>
      <c r="Z53" s="2"/>
      <c r="AA53" s="2">
        <v>55860754</v>
      </c>
      <c r="AB53" s="2">
        <f t="shared" si="19"/>
        <v>0</v>
      </c>
      <c r="AC53" s="2">
        <f>ROUND((ES53),6)</f>
        <v>0</v>
      </c>
      <c r="AD53" s="2">
        <f>ROUND((((ET53)-(EU53))+AE53),6)</f>
        <v>0</v>
      </c>
      <c r="AE53" s="2">
        <f>ROUND((EU53),6)</f>
        <v>0</v>
      </c>
      <c r="AF53" s="2">
        <f>ROUND((EV53),6)</f>
        <v>0</v>
      </c>
      <c r="AG53" s="2">
        <f t="shared" si="20"/>
        <v>0</v>
      </c>
      <c r="AH53" s="2">
        <f>(EW53)</f>
        <v>0</v>
      </c>
      <c r="AI53" s="2">
        <f>(EX53)</f>
        <v>0</v>
      </c>
      <c r="AJ53" s="2">
        <f t="shared" si="21"/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90</v>
      </c>
      <c r="AU53" s="2">
        <v>46</v>
      </c>
      <c r="AV53" s="2">
        <v>1</v>
      </c>
      <c r="AW53" s="2">
        <v>1</v>
      </c>
      <c r="AX53" s="2"/>
      <c r="AY53" s="2"/>
      <c r="AZ53" s="2">
        <v>1</v>
      </c>
      <c r="BA53" s="2">
        <v>1</v>
      </c>
      <c r="BB53" s="2">
        <v>1</v>
      </c>
      <c r="BC53" s="2">
        <v>1</v>
      </c>
      <c r="BD53" s="2" t="s">
        <v>3</v>
      </c>
      <c r="BE53" s="2" t="s">
        <v>3</v>
      </c>
      <c r="BF53" s="2" t="s">
        <v>3</v>
      </c>
      <c r="BG53" s="2" t="s">
        <v>3</v>
      </c>
      <c r="BH53" s="2">
        <v>3</v>
      </c>
      <c r="BI53" s="2">
        <v>1</v>
      </c>
      <c r="BJ53" s="2" t="s">
        <v>3</v>
      </c>
      <c r="BK53" s="2"/>
      <c r="BL53" s="2"/>
      <c r="BM53" s="2">
        <v>58001</v>
      </c>
      <c r="BN53" s="2">
        <v>0</v>
      </c>
      <c r="BO53" s="2" t="s">
        <v>3</v>
      </c>
      <c r="BP53" s="2">
        <v>0</v>
      </c>
      <c r="BQ53" s="2">
        <v>6</v>
      </c>
      <c r="BR53" s="2">
        <v>0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 t="s">
        <v>3</v>
      </c>
      <c r="BZ53" s="2">
        <v>90</v>
      </c>
      <c r="CA53" s="2">
        <v>46</v>
      </c>
      <c r="CB53" s="2" t="s">
        <v>3</v>
      </c>
      <c r="CC53" s="2"/>
      <c r="CD53" s="2"/>
      <c r="CE53" s="2">
        <v>0</v>
      </c>
      <c r="CF53" s="2">
        <v>0</v>
      </c>
      <c r="CG53" s="2">
        <v>0</v>
      </c>
      <c r="CH53" s="2"/>
      <c r="CI53" s="2"/>
      <c r="CJ53" s="2"/>
      <c r="CK53" s="2"/>
      <c r="CL53" s="2"/>
      <c r="CM53" s="2">
        <v>0</v>
      </c>
      <c r="CN53" s="2" t="s">
        <v>3</v>
      </c>
      <c r="CO53" s="2">
        <v>0</v>
      </c>
      <c r="CP53" s="2">
        <f t="shared" si="22"/>
        <v>0</v>
      </c>
      <c r="CQ53" s="2">
        <f>ROUND(AL53*BC53,2)</f>
        <v>0</v>
      </c>
      <c r="CR53" s="2">
        <f>ROUND(AM53*BB53,2)</f>
        <v>0</v>
      </c>
      <c r="CS53" s="2">
        <f>ROUND(AN53*BS53,2)</f>
        <v>0</v>
      </c>
      <c r="CT53" s="2">
        <f>ROUND(AO53*BA53,2)</f>
        <v>0</v>
      </c>
      <c r="CU53" s="2">
        <f t="shared" si="23"/>
        <v>0</v>
      </c>
      <c r="CV53" s="2">
        <f>AH53</f>
        <v>0</v>
      </c>
      <c r="CW53" s="2">
        <f>AI53</f>
        <v>0</v>
      </c>
      <c r="CX53" s="2">
        <f t="shared" si="24"/>
        <v>0</v>
      </c>
      <c r="CY53" s="2">
        <f t="shared" si="25"/>
        <v>0</v>
      </c>
      <c r="CZ53" s="2">
        <f t="shared" si="26"/>
        <v>0</v>
      </c>
      <c r="DA53" s="2"/>
      <c r="DB53" s="2"/>
      <c r="DC53" s="2" t="s">
        <v>3</v>
      </c>
      <c r="DD53" s="2" t="s">
        <v>3</v>
      </c>
      <c r="DE53" s="2" t="s">
        <v>3</v>
      </c>
      <c r="DF53" s="2" t="s">
        <v>3</v>
      </c>
      <c r="DG53" s="2" t="s">
        <v>3</v>
      </c>
      <c r="DH53" s="2" t="s">
        <v>3</v>
      </c>
      <c r="DI53" s="2" t="s">
        <v>3</v>
      </c>
      <c r="DJ53" s="2" t="s">
        <v>3</v>
      </c>
      <c r="DK53" s="2" t="s">
        <v>3</v>
      </c>
      <c r="DL53" s="2" t="s">
        <v>3</v>
      </c>
      <c r="DM53" s="2" t="s">
        <v>3</v>
      </c>
      <c r="DN53" s="2">
        <v>0</v>
      </c>
      <c r="DO53" s="2">
        <v>0</v>
      </c>
      <c r="DP53" s="2">
        <v>1</v>
      </c>
      <c r="DQ53" s="2">
        <v>1</v>
      </c>
      <c r="DR53" s="2"/>
      <c r="DS53" s="2"/>
      <c r="DT53" s="2"/>
      <c r="DU53" s="2">
        <v>1009</v>
      </c>
      <c r="DV53" s="2" t="s">
        <v>41</v>
      </c>
      <c r="DW53" s="2" t="s">
        <v>41</v>
      </c>
      <c r="DX53" s="2">
        <v>1000</v>
      </c>
      <c r="DY53" s="2"/>
      <c r="DZ53" s="2" t="s">
        <v>3</v>
      </c>
      <c r="EA53" s="2" t="s">
        <v>3</v>
      </c>
      <c r="EB53" s="2" t="s">
        <v>3</v>
      </c>
      <c r="EC53" s="2" t="s">
        <v>3</v>
      </c>
      <c r="ED53" s="2"/>
      <c r="EE53" s="2">
        <v>54459004</v>
      </c>
      <c r="EF53" s="2">
        <v>6</v>
      </c>
      <c r="EG53" s="2" t="s">
        <v>32</v>
      </c>
      <c r="EH53" s="2">
        <v>92</v>
      </c>
      <c r="EI53" s="2" t="s">
        <v>33</v>
      </c>
      <c r="EJ53" s="2">
        <v>1</v>
      </c>
      <c r="EK53" s="2">
        <v>58001</v>
      </c>
      <c r="EL53" s="2" t="s">
        <v>33</v>
      </c>
      <c r="EM53" s="2" t="s">
        <v>34</v>
      </c>
      <c r="EN53" s="2"/>
      <c r="EO53" s="2" t="s">
        <v>3</v>
      </c>
      <c r="EP53" s="2"/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>
        <v>0</v>
      </c>
      <c r="FR53" s="2">
        <v>0</v>
      </c>
      <c r="FS53" s="2">
        <v>0</v>
      </c>
      <c r="FT53" s="2"/>
      <c r="FU53" s="2"/>
      <c r="FV53" s="2"/>
      <c r="FW53" s="2"/>
      <c r="FX53" s="2">
        <v>90</v>
      </c>
      <c r="FY53" s="2">
        <v>46</v>
      </c>
      <c r="FZ53" s="2"/>
      <c r="GA53" s="2" t="s">
        <v>3</v>
      </c>
      <c r="GB53" s="2"/>
      <c r="GC53" s="2"/>
      <c r="GD53" s="2">
        <v>1</v>
      </c>
      <c r="GE53" s="2"/>
      <c r="GF53" s="2">
        <v>2102561428</v>
      </c>
      <c r="GG53" s="2">
        <v>2</v>
      </c>
      <c r="GH53" s="2">
        <v>1</v>
      </c>
      <c r="GI53" s="2">
        <v>-2</v>
      </c>
      <c r="GJ53" s="2">
        <v>0</v>
      </c>
      <c r="GK53" s="2">
        <v>0</v>
      </c>
      <c r="GL53" s="2">
        <f t="shared" si="27"/>
        <v>0</v>
      </c>
      <c r="GM53" s="2">
        <f t="shared" si="28"/>
        <v>0</v>
      </c>
      <c r="GN53" s="2">
        <f t="shared" si="29"/>
        <v>0</v>
      </c>
      <c r="GO53" s="2">
        <f t="shared" si="30"/>
        <v>0</v>
      </c>
      <c r="GP53" s="2">
        <f t="shared" si="31"/>
        <v>0</v>
      </c>
      <c r="GQ53" s="2"/>
      <c r="GR53" s="2">
        <v>0</v>
      </c>
      <c r="GS53" s="2">
        <v>0</v>
      </c>
      <c r="GT53" s="2">
        <v>0</v>
      </c>
      <c r="GU53" s="2" t="s">
        <v>3</v>
      </c>
      <c r="GV53" s="2">
        <f t="shared" si="32"/>
        <v>0</v>
      </c>
      <c r="GW53" s="2">
        <v>1</v>
      </c>
      <c r="GX53" s="2">
        <f t="shared" si="33"/>
        <v>0</v>
      </c>
      <c r="GY53" s="2"/>
      <c r="GZ53" s="2"/>
      <c r="HA53" s="2">
        <v>0</v>
      </c>
      <c r="HB53" s="2">
        <v>0</v>
      </c>
      <c r="HC53" s="2">
        <f t="shared" si="34"/>
        <v>0</v>
      </c>
      <c r="HD53" s="2"/>
      <c r="HE53" s="2" t="s">
        <v>3</v>
      </c>
      <c r="HF53" s="2" t="s">
        <v>3</v>
      </c>
      <c r="HG53" s="2"/>
      <c r="HH53" s="2"/>
      <c r="HI53" s="2"/>
      <c r="HJ53" s="2"/>
      <c r="HK53" s="2"/>
      <c r="HL53" s="2"/>
      <c r="HM53" s="2" t="s">
        <v>3</v>
      </c>
      <c r="HN53" s="2" t="s">
        <v>35</v>
      </c>
      <c r="HO53" s="2" t="s">
        <v>36</v>
      </c>
      <c r="HP53" s="2" t="s">
        <v>37</v>
      </c>
      <c r="HQ53" s="2" t="s">
        <v>37</v>
      </c>
      <c r="HR53" s="2"/>
      <c r="HS53" s="2">
        <v>0</v>
      </c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>
        <v>0</v>
      </c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x14ac:dyDescent="0.2">
      <c r="A54" s="2">
        <v>17</v>
      </c>
      <c r="B54" s="2">
        <v>1</v>
      </c>
      <c r="C54" s="2">
        <f>ROW(SmtRes!A87)</f>
        <v>87</v>
      </c>
      <c r="D54" s="2">
        <f>ROW(EtalonRes!A92)</f>
        <v>92</v>
      </c>
      <c r="E54" s="2" t="s">
        <v>173</v>
      </c>
      <c r="F54" s="2" t="s">
        <v>69</v>
      </c>
      <c r="G54" s="2" t="s">
        <v>174</v>
      </c>
      <c r="H54" s="2" t="s">
        <v>20</v>
      </c>
      <c r="I54" s="2">
        <f>ROUND(102*0.5/100,7)</f>
        <v>0.51</v>
      </c>
      <c r="J54" s="2">
        <v>0</v>
      </c>
      <c r="K54" s="2">
        <f>ROUND(102*0.5/100,7)</f>
        <v>0.51</v>
      </c>
      <c r="L54" s="2"/>
      <c r="M54" s="2"/>
      <c r="N54" s="2"/>
      <c r="O54" s="2">
        <f t="shared" si="14"/>
        <v>2472.63</v>
      </c>
      <c r="P54" s="2">
        <f>SUMIF(SmtRes!AQ86:'SmtRes'!AQ87,"=1",SmtRes!DF86:'SmtRes'!DF87)</f>
        <v>0</v>
      </c>
      <c r="Q54" s="2">
        <f>SUMIF(SmtRes!AQ86:'SmtRes'!AQ87,"=1",SmtRes!DG86:'SmtRes'!DG87)</f>
        <v>56.66</v>
      </c>
      <c r="R54" s="2">
        <f>SUMIF(SmtRes!AQ86:'SmtRes'!AQ87,"=1",SmtRes!DH86:'SmtRes'!DH87)</f>
        <v>0</v>
      </c>
      <c r="S54" s="2">
        <f>SUMIF(SmtRes!AQ86:'SmtRes'!AQ87,"=1",SmtRes!DI86:'SmtRes'!DI87)</f>
        <v>2415.9699999999998</v>
      </c>
      <c r="T54" s="2">
        <f t="shared" si="15"/>
        <v>0</v>
      </c>
      <c r="U54" s="2">
        <f>SUMIF(SmtRes!AQ86:'SmtRes'!AQ87,"=1",SmtRes!CV86:'SmtRes'!CV87)</f>
        <v>7.3338000000000001</v>
      </c>
      <c r="V54" s="2">
        <f>SUMIF(SmtRes!AQ86:'SmtRes'!AQ87,"=1",SmtRes!CW86:'SmtRes'!CW87)</f>
        <v>0</v>
      </c>
      <c r="W54" s="2">
        <f t="shared" si="16"/>
        <v>0</v>
      </c>
      <c r="X54" s="2">
        <f t="shared" si="17"/>
        <v>2198.5300000000002</v>
      </c>
      <c r="Y54" s="2">
        <f t="shared" si="18"/>
        <v>1256.3</v>
      </c>
      <c r="Z54" s="2"/>
      <c r="AA54" s="2">
        <v>55860754</v>
      </c>
      <c r="AB54" s="2">
        <f t="shared" si="19"/>
        <v>4808.4224000000004</v>
      </c>
      <c r="AC54" s="2">
        <f>ROUND((0),6)</f>
        <v>0</v>
      </c>
      <c r="AD54" s="2">
        <f>ROUND((((SUM(SmtRes!BR86:'SmtRes'!BR87))-(0))+AE54),6)</f>
        <v>71.218999999999994</v>
      </c>
      <c r="AE54" s="2">
        <f>ROUND((0),6)</f>
        <v>0</v>
      </c>
      <c r="AF54" s="2">
        <f>ROUND((SUM(SmtRes!BT86:'SmtRes'!BT87)),6)</f>
        <v>4737.2034000000003</v>
      </c>
      <c r="AG54" s="2">
        <f t="shared" si="20"/>
        <v>0</v>
      </c>
      <c r="AH54" s="2">
        <f>(SUM(SmtRes!BU86:'SmtRes'!BU87))</f>
        <v>14.38</v>
      </c>
      <c r="AI54" s="2">
        <f>(0)</f>
        <v>0</v>
      </c>
      <c r="AJ54" s="2">
        <f t="shared" si="21"/>
        <v>0</v>
      </c>
      <c r="AK54" s="2">
        <v>4808.4224000000004</v>
      </c>
      <c r="AL54" s="2">
        <v>0</v>
      </c>
      <c r="AM54" s="2">
        <v>71.218999999999994</v>
      </c>
      <c r="AN54" s="2">
        <v>0</v>
      </c>
      <c r="AO54" s="2">
        <v>4737.2034000000003</v>
      </c>
      <c r="AP54" s="2">
        <v>0</v>
      </c>
      <c r="AQ54" s="2">
        <v>14.38</v>
      </c>
      <c r="AR54" s="2">
        <v>0</v>
      </c>
      <c r="AS54" s="2">
        <v>0</v>
      </c>
      <c r="AT54" s="2">
        <v>91</v>
      </c>
      <c r="AU54" s="2">
        <v>52</v>
      </c>
      <c r="AV54" s="2">
        <v>1</v>
      </c>
      <c r="AW54" s="2">
        <v>1</v>
      </c>
      <c r="AX54" s="2"/>
      <c r="AY54" s="2"/>
      <c r="AZ54" s="2">
        <v>1</v>
      </c>
      <c r="BA54" s="2">
        <v>1</v>
      </c>
      <c r="BB54" s="2">
        <v>1</v>
      </c>
      <c r="BC54" s="2">
        <v>1</v>
      </c>
      <c r="BD54" s="2" t="s">
        <v>3</v>
      </c>
      <c r="BE54" s="2" t="s">
        <v>3</v>
      </c>
      <c r="BF54" s="2" t="s">
        <v>3</v>
      </c>
      <c r="BG54" s="2" t="s">
        <v>3</v>
      </c>
      <c r="BH54" s="2">
        <v>0</v>
      </c>
      <c r="BI54" s="2">
        <v>1</v>
      </c>
      <c r="BJ54" s="2" t="s">
        <v>71</v>
      </c>
      <c r="BK54" s="2"/>
      <c r="BL54" s="2"/>
      <c r="BM54" s="2">
        <v>46003</v>
      </c>
      <c r="BN54" s="2">
        <v>0</v>
      </c>
      <c r="BO54" s="2" t="s">
        <v>3</v>
      </c>
      <c r="BP54" s="2">
        <v>0</v>
      </c>
      <c r="BQ54" s="2">
        <v>2</v>
      </c>
      <c r="BR54" s="2">
        <v>0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 t="s">
        <v>3</v>
      </c>
      <c r="BZ54" s="2">
        <v>91</v>
      </c>
      <c r="CA54" s="2">
        <v>52</v>
      </c>
      <c r="CB54" s="2" t="s">
        <v>3</v>
      </c>
      <c r="CC54" s="2"/>
      <c r="CD54" s="2"/>
      <c r="CE54" s="2">
        <v>0</v>
      </c>
      <c r="CF54" s="2">
        <v>0</v>
      </c>
      <c r="CG54" s="2">
        <v>0</v>
      </c>
      <c r="CH54" s="2"/>
      <c r="CI54" s="2"/>
      <c r="CJ54" s="2"/>
      <c r="CK54" s="2"/>
      <c r="CL54" s="2"/>
      <c r="CM54" s="2">
        <v>0</v>
      </c>
      <c r="CN54" s="2" t="s">
        <v>3</v>
      </c>
      <c r="CO54" s="2">
        <v>0</v>
      </c>
      <c r="CP54" s="2">
        <f t="shared" si="22"/>
        <v>2472.6299999999997</v>
      </c>
      <c r="CQ54" s="2">
        <f>SUMIF(SmtRes!AQ86:'SmtRes'!AQ87,"=1",SmtRes!AA86:'SmtRes'!AA87)</f>
        <v>0</v>
      </c>
      <c r="CR54" s="2">
        <f>SUMIF(SmtRes!AQ86:'SmtRes'!AQ87,"=1",SmtRes!AB86:'SmtRes'!AB87)</f>
        <v>17.86</v>
      </c>
      <c r="CS54" s="2">
        <f>SUMIF(SmtRes!AQ86:'SmtRes'!AQ87,"=1",SmtRes!AC86:'SmtRes'!AC87)</f>
        <v>0</v>
      </c>
      <c r="CT54" s="2">
        <f>SUMIF(SmtRes!AQ86:'SmtRes'!AQ87,"=1",SmtRes!AD86:'SmtRes'!AD87)</f>
        <v>329.43</v>
      </c>
      <c r="CU54" s="2">
        <f t="shared" si="23"/>
        <v>0</v>
      </c>
      <c r="CV54" s="2">
        <f>SUMIF(SmtRes!AQ86:'SmtRes'!AQ87,"=1",SmtRes!BU86:'SmtRes'!BU87)</f>
        <v>14.38</v>
      </c>
      <c r="CW54" s="2">
        <f>SUMIF(SmtRes!AQ86:'SmtRes'!AQ87,"=1",SmtRes!BV86:'SmtRes'!BV87)</f>
        <v>0</v>
      </c>
      <c r="CX54" s="2">
        <f t="shared" si="24"/>
        <v>0</v>
      </c>
      <c r="CY54" s="2">
        <f t="shared" si="25"/>
        <v>2198.5326999999997</v>
      </c>
      <c r="CZ54" s="2">
        <f t="shared" si="26"/>
        <v>1256.3044</v>
      </c>
      <c r="DA54" s="2"/>
      <c r="DB54" s="2"/>
      <c r="DC54" s="2" t="s">
        <v>3</v>
      </c>
      <c r="DD54" s="2" t="s">
        <v>3</v>
      </c>
      <c r="DE54" s="2" t="s">
        <v>3</v>
      </c>
      <c r="DF54" s="2" t="s">
        <v>3</v>
      </c>
      <c r="DG54" s="2" t="s">
        <v>3</v>
      </c>
      <c r="DH54" s="2" t="s">
        <v>3</v>
      </c>
      <c r="DI54" s="2" t="s">
        <v>3</v>
      </c>
      <c r="DJ54" s="2" t="s">
        <v>3</v>
      </c>
      <c r="DK54" s="2" t="s">
        <v>3</v>
      </c>
      <c r="DL54" s="2" t="s">
        <v>3</v>
      </c>
      <c r="DM54" s="2" t="s">
        <v>3</v>
      </c>
      <c r="DN54" s="2">
        <v>0</v>
      </c>
      <c r="DO54" s="2">
        <v>0</v>
      </c>
      <c r="DP54" s="2">
        <v>1</v>
      </c>
      <c r="DQ54" s="2">
        <v>1</v>
      </c>
      <c r="DR54" s="2"/>
      <c r="DS54" s="2"/>
      <c r="DT54" s="2"/>
      <c r="DU54" s="2">
        <v>1005</v>
      </c>
      <c r="DV54" s="2" t="s">
        <v>20</v>
      </c>
      <c r="DW54" s="2" t="s">
        <v>20</v>
      </c>
      <c r="DX54" s="2">
        <v>100</v>
      </c>
      <c r="DY54" s="2"/>
      <c r="DZ54" s="2" t="s">
        <v>3</v>
      </c>
      <c r="EA54" s="2" t="s">
        <v>3</v>
      </c>
      <c r="EB54" s="2" t="s">
        <v>3</v>
      </c>
      <c r="EC54" s="2" t="s">
        <v>3</v>
      </c>
      <c r="ED54" s="2"/>
      <c r="EE54" s="2">
        <v>54459166</v>
      </c>
      <c r="EF54" s="2">
        <v>2</v>
      </c>
      <c r="EG54" s="2" t="s">
        <v>22</v>
      </c>
      <c r="EH54" s="2">
        <v>40</v>
      </c>
      <c r="EI54" s="2" t="s">
        <v>23</v>
      </c>
      <c r="EJ54" s="2">
        <v>1</v>
      </c>
      <c r="EK54" s="2">
        <v>46003</v>
      </c>
      <c r="EL54" s="2" t="s">
        <v>24</v>
      </c>
      <c r="EM54" s="2" t="s">
        <v>25</v>
      </c>
      <c r="EN54" s="2"/>
      <c r="EO54" s="2" t="s">
        <v>3</v>
      </c>
      <c r="EP54" s="2"/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>
        <v>0</v>
      </c>
      <c r="FR54" s="2">
        <v>0</v>
      </c>
      <c r="FS54" s="2">
        <v>0</v>
      </c>
      <c r="FT54" s="2"/>
      <c r="FU54" s="2"/>
      <c r="FV54" s="2"/>
      <c r="FW54" s="2"/>
      <c r="FX54" s="2">
        <v>91</v>
      </c>
      <c r="FY54" s="2">
        <v>52</v>
      </c>
      <c r="FZ54" s="2"/>
      <c r="GA54" s="2" t="s">
        <v>3</v>
      </c>
      <c r="GB54" s="2"/>
      <c r="GC54" s="2"/>
      <c r="GD54" s="2">
        <v>1</v>
      </c>
      <c r="GE54" s="2"/>
      <c r="GF54" s="2">
        <v>-1096207971</v>
      </c>
      <c r="GG54" s="2">
        <v>2</v>
      </c>
      <c r="GH54" s="2">
        <v>1</v>
      </c>
      <c r="GI54" s="2">
        <v>-2</v>
      </c>
      <c r="GJ54" s="2">
        <v>0</v>
      </c>
      <c r="GK54" s="2">
        <v>0</v>
      </c>
      <c r="GL54" s="2">
        <f t="shared" si="27"/>
        <v>0</v>
      </c>
      <c r="GM54" s="2">
        <f t="shared" si="28"/>
        <v>5927.46</v>
      </c>
      <c r="GN54" s="2">
        <f t="shared" si="29"/>
        <v>5927.46</v>
      </c>
      <c r="GO54" s="2">
        <f t="shared" si="30"/>
        <v>0</v>
      </c>
      <c r="GP54" s="2">
        <f t="shared" si="31"/>
        <v>0</v>
      </c>
      <c r="GQ54" s="2"/>
      <c r="GR54" s="2">
        <v>0</v>
      </c>
      <c r="GS54" s="2">
        <v>0</v>
      </c>
      <c r="GT54" s="2">
        <v>0</v>
      </c>
      <c r="GU54" s="2" t="s">
        <v>3</v>
      </c>
      <c r="GV54" s="2">
        <f t="shared" si="32"/>
        <v>0</v>
      </c>
      <c r="GW54" s="2">
        <v>1</v>
      </c>
      <c r="GX54" s="2">
        <f t="shared" si="33"/>
        <v>0</v>
      </c>
      <c r="GY54" s="2"/>
      <c r="GZ54" s="2"/>
      <c r="HA54" s="2">
        <v>0</v>
      </c>
      <c r="HB54" s="2">
        <v>0</v>
      </c>
      <c r="HC54" s="2">
        <f t="shared" si="34"/>
        <v>0</v>
      </c>
      <c r="HD54" s="2"/>
      <c r="HE54" s="2" t="s">
        <v>3</v>
      </c>
      <c r="HF54" s="2" t="s">
        <v>3</v>
      </c>
      <c r="HG54" s="2"/>
      <c r="HH54" s="2"/>
      <c r="HI54" s="2"/>
      <c r="HJ54" s="2"/>
      <c r="HK54" s="2"/>
      <c r="HL54" s="2"/>
      <c r="HM54" s="2" t="s">
        <v>3</v>
      </c>
      <c r="HN54" s="2" t="s">
        <v>26</v>
      </c>
      <c r="HO54" s="2" t="s">
        <v>27</v>
      </c>
      <c r="HP54" s="2" t="s">
        <v>24</v>
      </c>
      <c r="HQ54" s="2" t="s">
        <v>24</v>
      </c>
      <c r="HR54" s="2"/>
      <c r="HS54" s="2">
        <v>0</v>
      </c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>
        <v>0</v>
      </c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x14ac:dyDescent="0.2">
      <c r="A55" s="2">
        <v>17</v>
      </c>
      <c r="B55" s="2">
        <v>1</v>
      </c>
      <c r="C55" s="2">
        <f>ROW(SmtRes!A95)</f>
        <v>95</v>
      </c>
      <c r="D55" s="2">
        <f>ROW(EtalonRes!A100)</f>
        <v>100</v>
      </c>
      <c r="E55" s="2" t="s">
        <v>175</v>
      </c>
      <c r="F55" s="2" t="s">
        <v>176</v>
      </c>
      <c r="G55" s="2" t="s">
        <v>177</v>
      </c>
      <c r="H55" s="2" t="s">
        <v>170</v>
      </c>
      <c r="I55" s="2">
        <f>ROUND(102/100,7)</f>
        <v>1.02</v>
      </c>
      <c r="J55" s="2">
        <v>0</v>
      </c>
      <c r="K55" s="2">
        <f>ROUND(102/100,7)</f>
        <v>1.02</v>
      </c>
      <c r="L55" s="2"/>
      <c r="M55" s="2"/>
      <c r="N55" s="2"/>
      <c r="O55" s="2">
        <f t="shared" si="14"/>
        <v>20224.12</v>
      </c>
      <c r="P55" s="2">
        <f>SUMIF(SmtRes!AQ88:'SmtRes'!AQ95,"=1",SmtRes!DF88:'SmtRes'!DF95)</f>
        <v>4797.59</v>
      </c>
      <c r="Q55" s="2">
        <f>SUMIF(SmtRes!AQ88:'SmtRes'!AQ95,"=1",SmtRes!DG88:'SmtRes'!DG95)</f>
        <v>962.75999999999988</v>
      </c>
      <c r="R55" s="2">
        <f>SUMIF(SmtRes!AQ88:'SmtRes'!AQ95,"=1",SmtRes!DH88:'SmtRes'!DH95)</f>
        <v>455.93</v>
      </c>
      <c r="S55" s="2">
        <f>SUMIF(SmtRes!AQ88:'SmtRes'!AQ95,"=1",SmtRes!DI88:'SmtRes'!DI95)</f>
        <v>14007.84</v>
      </c>
      <c r="T55" s="2">
        <f t="shared" si="15"/>
        <v>0</v>
      </c>
      <c r="U55" s="2">
        <f>SUMIF(SmtRes!AQ88:'SmtRes'!AQ95,"=1",SmtRes!CV88:'SmtRes'!CV95)</f>
        <v>36.21</v>
      </c>
      <c r="V55" s="2">
        <f>SUMIF(SmtRes!AQ88:'SmtRes'!AQ95,"=1",SmtRes!CW88:'SmtRes'!CW95)</f>
        <v>0.87719999999999998</v>
      </c>
      <c r="W55" s="2">
        <f t="shared" si="16"/>
        <v>0</v>
      </c>
      <c r="X55" s="2">
        <f t="shared" si="17"/>
        <v>15765.51</v>
      </c>
      <c r="Y55" s="2">
        <f t="shared" si="18"/>
        <v>8244.35</v>
      </c>
      <c r="Z55" s="2"/>
      <c r="AA55" s="2">
        <v>55860754</v>
      </c>
      <c r="AB55" s="2">
        <f t="shared" si="19"/>
        <v>18950.406299999999</v>
      </c>
      <c r="AC55" s="2">
        <f>ROUND((SUM(SmtRes!BQ88:'SmtRes'!BQ95)),6)</f>
        <v>4273.3458000000001</v>
      </c>
      <c r="AD55" s="2">
        <f>ROUND((((SUM(SmtRes!BR88:'SmtRes'!BR95))-(SUM(SmtRes!BS88:'SmtRes'!BS95)))+AE55),6)</f>
        <v>943.88549999999998</v>
      </c>
      <c r="AE55" s="2">
        <f>ROUND((SUM(SmtRes!BS88:'SmtRes'!BS95)),6)</f>
        <v>446.99560000000002</v>
      </c>
      <c r="AF55" s="2">
        <f>ROUND((SUM(SmtRes!BT88:'SmtRes'!BT95)),6)</f>
        <v>13733.174999999999</v>
      </c>
      <c r="AG55" s="2">
        <f t="shared" si="20"/>
        <v>0</v>
      </c>
      <c r="AH55" s="2">
        <f>(SUM(SmtRes!BU88:'SmtRes'!BU95))</f>
        <v>35.5</v>
      </c>
      <c r="AI55" s="2">
        <f>(SUM(SmtRes!BV88:'SmtRes'!BV95))</f>
        <v>0.86</v>
      </c>
      <c r="AJ55" s="2">
        <f t="shared" si="21"/>
        <v>0</v>
      </c>
      <c r="AK55" s="2">
        <v>19397.401900000001</v>
      </c>
      <c r="AL55" s="2">
        <v>4273.3458000000001</v>
      </c>
      <c r="AM55" s="2">
        <v>943.88549999999998</v>
      </c>
      <c r="AN55" s="2">
        <v>446.99559999999997</v>
      </c>
      <c r="AO55" s="2">
        <v>13733.175000000001</v>
      </c>
      <c r="AP55" s="2">
        <v>0</v>
      </c>
      <c r="AQ55" s="2">
        <v>35.5</v>
      </c>
      <c r="AR55" s="2">
        <v>0.86</v>
      </c>
      <c r="AS55" s="2">
        <v>0</v>
      </c>
      <c r="AT55" s="2">
        <v>109</v>
      </c>
      <c r="AU55" s="2">
        <v>57</v>
      </c>
      <c r="AV55" s="2">
        <v>1</v>
      </c>
      <c r="AW55" s="2">
        <v>1</v>
      </c>
      <c r="AX55" s="2"/>
      <c r="AY55" s="2"/>
      <c r="AZ55" s="2">
        <v>1</v>
      </c>
      <c r="BA55" s="2">
        <v>1</v>
      </c>
      <c r="BB55" s="2">
        <v>1</v>
      </c>
      <c r="BC55" s="2">
        <v>1</v>
      </c>
      <c r="BD55" s="2" t="s">
        <v>3</v>
      </c>
      <c r="BE55" s="2" t="s">
        <v>3</v>
      </c>
      <c r="BF55" s="2" t="s">
        <v>3</v>
      </c>
      <c r="BG55" s="2" t="s">
        <v>3</v>
      </c>
      <c r="BH55" s="2">
        <v>0</v>
      </c>
      <c r="BI55" s="2">
        <v>1</v>
      </c>
      <c r="BJ55" s="2" t="s">
        <v>178</v>
      </c>
      <c r="BK55" s="2"/>
      <c r="BL55" s="2"/>
      <c r="BM55" s="2">
        <v>12001</v>
      </c>
      <c r="BN55" s="2">
        <v>0</v>
      </c>
      <c r="BO55" s="2" t="s">
        <v>3</v>
      </c>
      <c r="BP55" s="2">
        <v>0</v>
      </c>
      <c r="BQ55" s="2">
        <v>2</v>
      </c>
      <c r="BR55" s="2">
        <v>0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 t="s">
        <v>3</v>
      </c>
      <c r="BZ55" s="2">
        <v>109</v>
      </c>
      <c r="CA55" s="2">
        <v>57</v>
      </c>
      <c r="CB55" s="2" t="s">
        <v>3</v>
      </c>
      <c r="CC55" s="2"/>
      <c r="CD55" s="2"/>
      <c r="CE55" s="2">
        <v>0</v>
      </c>
      <c r="CF55" s="2">
        <v>0</v>
      </c>
      <c r="CG55" s="2">
        <v>0</v>
      </c>
      <c r="CH55" s="2"/>
      <c r="CI55" s="2"/>
      <c r="CJ55" s="2"/>
      <c r="CK55" s="2"/>
      <c r="CL55" s="2"/>
      <c r="CM55" s="2">
        <v>0</v>
      </c>
      <c r="CN55" s="2" t="s">
        <v>3</v>
      </c>
      <c r="CO55" s="2">
        <v>0</v>
      </c>
      <c r="CP55" s="2">
        <f t="shared" si="22"/>
        <v>20224.120000000003</v>
      </c>
      <c r="CQ55" s="2">
        <f>SUMIF(SmtRes!AQ88:'SmtRes'!AQ95,"=1",SmtRes!AA88:'SmtRes'!AA95)</f>
        <v>5797.58</v>
      </c>
      <c r="CR55" s="2">
        <f>SUMIF(SmtRes!AQ88:'SmtRes'!AQ95,"=1",SmtRes!AB88:'SmtRes'!AB95)</f>
        <v>3498.6800000000003</v>
      </c>
      <c r="CS55" s="2">
        <f>SUMIF(SmtRes!AQ88:'SmtRes'!AQ95,"=1",SmtRes!AC88:'SmtRes'!AC95)</f>
        <v>1493.01</v>
      </c>
      <c r="CT55" s="2">
        <f>SUMIF(SmtRes!AQ88:'SmtRes'!AQ95,"=1",SmtRes!AD88:'SmtRes'!AD95)</f>
        <v>386.85</v>
      </c>
      <c r="CU55" s="2">
        <f t="shared" si="23"/>
        <v>0</v>
      </c>
      <c r="CV55" s="2">
        <f>SUMIF(SmtRes!AQ88:'SmtRes'!AQ95,"=1",SmtRes!BU88:'SmtRes'!BU95)</f>
        <v>35.5</v>
      </c>
      <c r="CW55" s="2">
        <f>SUMIF(SmtRes!AQ88:'SmtRes'!AQ95,"=1",SmtRes!BV88:'SmtRes'!BV95)</f>
        <v>0.86</v>
      </c>
      <c r="CX55" s="2">
        <f t="shared" si="24"/>
        <v>0</v>
      </c>
      <c r="CY55" s="2">
        <f t="shared" si="25"/>
        <v>15765.5093</v>
      </c>
      <c r="CZ55" s="2">
        <f t="shared" si="26"/>
        <v>8244.3489000000009</v>
      </c>
      <c r="DA55" s="2"/>
      <c r="DB55" s="2"/>
      <c r="DC55" s="2" t="s">
        <v>3</v>
      </c>
      <c r="DD55" s="2" t="s">
        <v>3</v>
      </c>
      <c r="DE55" s="2" t="s">
        <v>3</v>
      </c>
      <c r="DF55" s="2" t="s">
        <v>3</v>
      </c>
      <c r="DG55" s="2" t="s">
        <v>3</v>
      </c>
      <c r="DH55" s="2" t="s">
        <v>3</v>
      </c>
      <c r="DI55" s="2" t="s">
        <v>3</v>
      </c>
      <c r="DJ55" s="2" t="s">
        <v>3</v>
      </c>
      <c r="DK55" s="2" t="s">
        <v>3</v>
      </c>
      <c r="DL55" s="2" t="s">
        <v>3</v>
      </c>
      <c r="DM55" s="2" t="s">
        <v>3</v>
      </c>
      <c r="DN55" s="2">
        <v>0</v>
      </c>
      <c r="DO55" s="2">
        <v>0</v>
      </c>
      <c r="DP55" s="2">
        <v>1</v>
      </c>
      <c r="DQ55" s="2">
        <v>1</v>
      </c>
      <c r="DR55" s="2"/>
      <c r="DS55" s="2"/>
      <c r="DT55" s="2"/>
      <c r="DU55" s="2">
        <v>1003</v>
      </c>
      <c r="DV55" s="2" t="s">
        <v>170</v>
      </c>
      <c r="DW55" s="2" t="s">
        <v>170</v>
      </c>
      <c r="DX55" s="2">
        <v>100</v>
      </c>
      <c r="DY55" s="2"/>
      <c r="DZ55" s="2" t="s">
        <v>3</v>
      </c>
      <c r="EA55" s="2" t="s">
        <v>3</v>
      </c>
      <c r="EB55" s="2" t="s">
        <v>3</v>
      </c>
      <c r="EC55" s="2" t="s">
        <v>3</v>
      </c>
      <c r="ED55" s="2"/>
      <c r="EE55" s="2">
        <v>54458927</v>
      </c>
      <c r="EF55" s="2">
        <v>2</v>
      </c>
      <c r="EG55" s="2" t="s">
        <v>22</v>
      </c>
      <c r="EH55" s="2">
        <v>12</v>
      </c>
      <c r="EI55" s="2" t="s">
        <v>79</v>
      </c>
      <c r="EJ55" s="2">
        <v>1</v>
      </c>
      <c r="EK55" s="2">
        <v>12001</v>
      </c>
      <c r="EL55" s="2" t="s">
        <v>79</v>
      </c>
      <c r="EM55" s="2" t="s">
        <v>80</v>
      </c>
      <c r="EN55" s="2"/>
      <c r="EO55" s="2" t="s">
        <v>3</v>
      </c>
      <c r="EP55" s="2"/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0.86</v>
      </c>
      <c r="EY55" s="2">
        <v>0</v>
      </c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>
        <v>0</v>
      </c>
      <c r="FR55" s="2">
        <v>0</v>
      </c>
      <c r="FS55" s="2">
        <v>0</v>
      </c>
      <c r="FT55" s="2"/>
      <c r="FU55" s="2"/>
      <c r="FV55" s="2"/>
      <c r="FW55" s="2"/>
      <c r="FX55" s="2">
        <v>109</v>
      </c>
      <c r="FY55" s="2">
        <v>57</v>
      </c>
      <c r="FZ55" s="2"/>
      <c r="GA55" s="2" t="s">
        <v>3</v>
      </c>
      <c r="GB55" s="2"/>
      <c r="GC55" s="2"/>
      <c r="GD55" s="2">
        <v>1</v>
      </c>
      <c r="GE55" s="2"/>
      <c r="GF55" s="2">
        <v>1790471324</v>
      </c>
      <c r="GG55" s="2">
        <v>2</v>
      </c>
      <c r="GH55" s="2">
        <v>1</v>
      </c>
      <c r="GI55" s="2">
        <v>-2</v>
      </c>
      <c r="GJ55" s="2">
        <v>0</v>
      </c>
      <c r="GK55" s="2">
        <v>0</v>
      </c>
      <c r="GL55" s="2">
        <f t="shared" si="27"/>
        <v>0</v>
      </c>
      <c r="GM55" s="2">
        <f t="shared" si="28"/>
        <v>44233.98</v>
      </c>
      <c r="GN55" s="2">
        <f t="shared" si="29"/>
        <v>44233.98</v>
      </c>
      <c r="GO55" s="2">
        <f t="shared" si="30"/>
        <v>0</v>
      </c>
      <c r="GP55" s="2">
        <f t="shared" si="31"/>
        <v>0</v>
      </c>
      <c r="GQ55" s="2"/>
      <c r="GR55" s="2">
        <v>0</v>
      </c>
      <c r="GS55" s="2">
        <v>0</v>
      </c>
      <c r="GT55" s="2">
        <v>0</v>
      </c>
      <c r="GU55" s="2" t="s">
        <v>3</v>
      </c>
      <c r="GV55" s="2">
        <f t="shared" si="32"/>
        <v>0</v>
      </c>
      <c r="GW55" s="2">
        <v>1</v>
      </c>
      <c r="GX55" s="2">
        <f t="shared" si="33"/>
        <v>0</v>
      </c>
      <c r="GY55" s="2"/>
      <c r="GZ55" s="2"/>
      <c r="HA55" s="2">
        <v>0</v>
      </c>
      <c r="HB55" s="2">
        <v>0</v>
      </c>
      <c r="HC55" s="2">
        <f t="shared" si="34"/>
        <v>0</v>
      </c>
      <c r="HD55" s="2"/>
      <c r="HE55" s="2" t="s">
        <v>3</v>
      </c>
      <c r="HF55" s="2" t="s">
        <v>3</v>
      </c>
      <c r="HG55" s="2"/>
      <c r="HH55" s="2"/>
      <c r="HI55" s="2"/>
      <c r="HJ55" s="2"/>
      <c r="HK55" s="2"/>
      <c r="HL55" s="2"/>
      <c r="HM55" s="2" t="s">
        <v>3</v>
      </c>
      <c r="HN55" s="2" t="s">
        <v>82</v>
      </c>
      <c r="HO55" s="2" t="s">
        <v>83</v>
      </c>
      <c r="HP55" s="2" t="s">
        <v>79</v>
      </c>
      <c r="HQ55" s="2" t="s">
        <v>79</v>
      </c>
      <c r="HR55" s="2"/>
      <c r="HS55" s="2">
        <v>0</v>
      </c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>
        <v>0</v>
      </c>
      <c r="IL55" s="2"/>
      <c r="IM55" s="2"/>
      <c r="IN55" s="2"/>
      <c r="IO55" s="2"/>
      <c r="IP55" s="2"/>
      <c r="IQ55" s="2"/>
      <c r="IR55" s="2"/>
      <c r="IS55" s="2"/>
      <c r="IT55" s="2"/>
      <c r="IU55" s="2"/>
    </row>
    <row r="56" spans="1:255" x14ac:dyDescent="0.2">
      <c r="A56" s="2">
        <v>18</v>
      </c>
      <c r="B56" s="2">
        <v>1</v>
      </c>
      <c r="C56" s="2">
        <v>95</v>
      </c>
      <c r="D56" s="2"/>
      <c r="E56" s="2" t="s">
        <v>179</v>
      </c>
      <c r="F56" s="2" t="s">
        <v>161</v>
      </c>
      <c r="G56" s="2" t="s">
        <v>448</v>
      </c>
      <c r="H56" s="2" t="s">
        <v>145</v>
      </c>
      <c r="I56" s="2">
        <f>I55*J56</f>
        <v>257.04000000000002</v>
      </c>
      <c r="J56" s="2">
        <v>252.00000000000003</v>
      </c>
      <c r="K56" s="2">
        <v>252</v>
      </c>
      <c r="L56" s="2"/>
      <c r="M56" s="2"/>
      <c r="N56" s="2"/>
      <c r="O56" s="2">
        <f t="shared" si="14"/>
        <v>150155.06</v>
      </c>
      <c r="P56" s="2">
        <f>ROUND(CQ56*I56,2)</f>
        <v>150155.06</v>
      </c>
      <c r="Q56" s="2">
        <f>ROUND(CR56*I56,2)</f>
        <v>0</v>
      </c>
      <c r="R56" s="2">
        <f>ROUND(CS56*I56,2)</f>
        <v>0</v>
      </c>
      <c r="S56" s="2">
        <f>ROUND(CT56*I56,2)</f>
        <v>0</v>
      </c>
      <c r="T56" s="2">
        <f t="shared" si="15"/>
        <v>0</v>
      </c>
      <c r="U56" s="2">
        <f>ROUND(CV56*I56,7)</f>
        <v>0</v>
      </c>
      <c r="V56" s="2">
        <f>ROUND(CW56*I56,7)</f>
        <v>0</v>
      </c>
      <c r="W56" s="2">
        <f t="shared" si="16"/>
        <v>0</v>
      </c>
      <c r="X56" s="2">
        <f t="shared" si="17"/>
        <v>0</v>
      </c>
      <c r="Y56" s="2">
        <f t="shared" si="18"/>
        <v>0</v>
      </c>
      <c r="Z56" s="2"/>
      <c r="AA56" s="2">
        <v>55860754</v>
      </c>
      <c r="AB56" s="2">
        <f t="shared" si="19"/>
        <v>584.16999999999996</v>
      </c>
      <c r="AC56" s="2">
        <f>ROUND((ES56),6)</f>
        <v>584.16999999999996</v>
      </c>
      <c r="AD56" s="2">
        <f>ROUND((((ET56)-(EU56))+AE56),6)</f>
        <v>0</v>
      </c>
      <c r="AE56" s="2">
        <f>ROUND((EU56),6)</f>
        <v>0</v>
      </c>
      <c r="AF56" s="2">
        <f>ROUND((EV56),6)</f>
        <v>0</v>
      </c>
      <c r="AG56" s="2">
        <f t="shared" si="20"/>
        <v>0</v>
      </c>
      <c r="AH56" s="2">
        <f>(EW56)</f>
        <v>0</v>
      </c>
      <c r="AI56" s="2">
        <f>(EX56)</f>
        <v>0</v>
      </c>
      <c r="AJ56" s="2">
        <f t="shared" si="21"/>
        <v>0</v>
      </c>
      <c r="AK56" s="2">
        <v>584.16999999999996</v>
      </c>
      <c r="AL56" s="2">
        <v>584.16999999999996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109</v>
      </c>
      <c r="AU56" s="2">
        <v>57</v>
      </c>
      <c r="AV56" s="2">
        <v>1</v>
      </c>
      <c r="AW56" s="2">
        <v>1</v>
      </c>
      <c r="AX56" s="2"/>
      <c r="AY56" s="2"/>
      <c r="AZ56" s="2">
        <v>1</v>
      </c>
      <c r="BA56" s="2">
        <v>1</v>
      </c>
      <c r="BB56" s="2">
        <v>1</v>
      </c>
      <c r="BC56" s="2">
        <v>1</v>
      </c>
      <c r="BD56" s="2" t="s">
        <v>3</v>
      </c>
      <c r="BE56" s="2" t="s">
        <v>3</v>
      </c>
      <c r="BF56" s="2" t="s">
        <v>3</v>
      </c>
      <c r="BG56" s="2" t="s">
        <v>3</v>
      </c>
      <c r="BH56" s="2">
        <v>3</v>
      </c>
      <c r="BI56" s="2">
        <v>1</v>
      </c>
      <c r="BJ56" s="2" t="s">
        <v>162</v>
      </c>
      <c r="BK56" s="2"/>
      <c r="BL56" s="2"/>
      <c r="BM56" s="2">
        <v>12001</v>
      </c>
      <c r="BN56" s="2">
        <v>0</v>
      </c>
      <c r="BO56" s="2" t="s">
        <v>3</v>
      </c>
      <c r="BP56" s="2">
        <v>0</v>
      </c>
      <c r="BQ56" s="2">
        <v>2</v>
      </c>
      <c r="BR56" s="2">
        <v>0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 t="s">
        <v>3</v>
      </c>
      <c r="BZ56" s="2">
        <v>109</v>
      </c>
      <c r="CA56" s="2">
        <v>57</v>
      </c>
      <c r="CB56" s="2" t="s">
        <v>3</v>
      </c>
      <c r="CC56" s="2"/>
      <c r="CD56" s="2"/>
      <c r="CE56" s="2">
        <v>0</v>
      </c>
      <c r="CF56" s="2">
        <v>0</v>
      </c>
      <c r="CG56" s="2">
        <v>0</v>
      </c>
      <c r="CH56" s="2"/>
      <c r="CI56" s="2"/>
      <c r="CJ56" s="2"/>
      <c r="CK56" s="2"/>
      <c r="CL56" s="2"/>
      <c r="CM56" s="2">
        <v>0</v>
      </c>
      <c r="CN56" s="2" t="s">
        <v>3</v>
      </c>
      <c r="CO56" s="2">
        <v>0</v>
      </c>
      <c r="CP56" s="2">
        <f t="shared" si="22"/>
        <v>150155.06</v>
      </c>
      <c r="CQ56" s="2">
        <f>ROUND(AL56*BC56,2)</f>
        <v>584.16999999999996</v>
      </c>
      <c r="CR56" s="2">
        <f>ROUND(AM56*BB56,2)</f>
        <v>0</v>
      </c>
      <c r="CS56" s="2">
        <f>ROUND(AN56*BS56,2)</f>
        <v>0</v>
      </c>
      <c r="CT56" s="2">
        <f>ROUND(AO56*BA56,2)</f>
        <v>0</v>
      </c>
      <c r="CU56" s="2">
        <f t="shared" si="23"/>
        <v>0</v>
      </c>
      <c r="CV56" s="2">
        <f>AH56</f>
        <v>0</v>
      </c>
      <c r="CW56" s="2">
        <f>AI56</f>
        <v>0</v>
      </c>
      <c r="CX56" s="2">
        <f t="shared" si="24"/>
        <v>0</v>
      </c>
      <c r="CY56" s="2">
        <f t="shared" si="25"/>
        <v>0</v>
      </c>
      <c r="CZ56" s="2">
        <f t="shared" si="26"/>
        <v>0</v>
      </c>
      <c r="DA56" s="2"/>
      <c r="DB56" s="2"/>
      <c r="DC56" s="2" t="s">
        <v>3</v>
      </c>
      <c r="DD56" s="2" t="s">
        <v>3</v>
      </c>
      <c r="DE56" s="2" t="s">
        <v>3</v>
      </c>
      <c r="DF56" s="2" t="s">
        <v>3</v>
      </c>
      <c r="DG56" s="2" t="s">
        <v>3</v>
      </c>
      <c r="DH56" s="2" t="s">
        <v>3</v>
      </c>
      <c r="DI56" s="2" t="s">
        <v>3</v>
      </c>
      <c r="DJ56" s="2" t="s">
        <v>3</v>
      </c>
      <c r="DK56" s="2" t="s">
        <v>3</v>
      </c>
      <c r="DL56" s="2" t="s">
        <v>3</v>
      </c>
      <c r="DM56" s="2" t="s">
        <v>3</v>
      </c>
      <c r="DN56" s="2">
        <v>0</v>
      </c>
      <c r="DO56" s="2">
        <v>0</v>
      </c>
      <c r="DP56" s="2">
        <v>1</v>
      </c>
      <c r="DQ56" s="2">
        <v>1</v>
      </c>
      <c r="DR56" s="2"/>
      <c r="DS56" s="2"/>
      <c r="DT56" s="2"/>
      <c r="DU56" s="2">
        <v>1005</v>
      </c>
      <c r="DV56" s="2" t="s">
        <v>145</v>
      </c>
      <c r="DW56" s="2" t="s">
        <v>145</v>
      </c>
      <c r="DX56" s="2">
        <v>1</v>
      </c>
      <c r="DY56" s="2"/>
      <c r="DZ56" s="2" t="s">
        <v>3</v>
      </c>
      <c r="EA56" s="2" t="s">
        <v>3</v>
      </c>
      <c r="EB56" s="2" t="s">
        <v>3</v>
      </c>
      <c r="EC56" s="2" t="s">
        <v>3</v>
      </c>
      <c r="ED56" s="2"/>
      <c r="EE56" s="2">
        <v>54458927</v>
      </c>
      <c r="EF56" s="2">
        <v>2</v>
      </c>
      <c r="EG56" s="2" t="s">
        <v>22</v>
      </c>
      <c r="EH56" s="2">
        <v>12</v>
      </c>
      <c r="EI56" s="2" t="s">
        <v>79</v>
      </c>
      <c r="EJ56" s="2">
        <v>1</v>
      </c>
      <c r="EK56" s="2">
        <v>12001</v>
      </c>
      <c r="EL56" s="2" t="s">
        <v>79</v>
      </c>
      <c r="EM56" s="2" t="s">
        <v>80</v>
      </c>
      <c r="EN56" s="2"/>
      <c r="EO56" s="2" t="s">
        <v>3</v>
      </c>
      <c r="EP56" s="2"/>
      <c r="EQ56" s="2">
        <v>0</v>
      </c>
      <c r="ER56" s="2">
        <v>584.16999999999996</v>
      </c>
      <c r="ES56" s="2">
        <v>584.16999999999996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>
        <v>0</v>
      </c>
      <c r="FR56" s="2">
        <v>0</v>
      </c>
      <c r="FS56" s="2">
        <v>0</v>
      </c>
      <c r="FT56" s="2"/>
      <c r="FU56" s="2"/>
      <c r="FV56" s="2"/>
      <c r="FW56" s="2"/>
      <c r="FX56" s="2">
        <v>109</v>
      </c>
      <c r="FY56" s="2">
        <v>57</v>
      </c>
      <c r="FZ56" s="2"/>
      <c r="GA56" s="2" t="s">
        <v>3</v>
      </c>
      <c r="GB56" s="2"/>
      <c r="GC56" s="2"/>
      <c r="GD56" s="2">
        <v>1</v>
      </c>
      <c r="GE56" s="2">
        <v>302.55</v>
      </c>
      <c r="GF56" s="2">
        <v>959419674</v>
      </c>
      <c r="GG56" s="2">
        <v>2</v>
      </c>
      <c r="GH56" s="2">
        <v>1</v>
      </c>
      <c r="GI56" s="2">
        <v>-2</v>
      </c>
      <c r="GJ56" s="2">
        <v>0</v>
      </c>
      <c r="GK56" s="2">
        <v>0</v>
      </c>
      <c r="GL56" s="2">
        <f t="shared" si="27"/>
        <v>0</v>
      </c>
      <c r="GM56" s="2">
        <f t="shared" si="28"/>
        <v>150155.06</v>
      </c>
      <c r="GN56" s="2">
        <f t="shared" si="29"/>
        <v>150155.06</v>
      </c>
      <c r="GO56" s="2">
        <f t="shared" si="30"/>
        <v>0</v>
      </c>
      <c r="GP56" s="2">
        <f t="shared" si="31"/>
        <v>0</v>
      </c>
      <c r="GQ56" s="2"/>
      <c r="GR56" s="2">
        <v>3</v>
      </c>
      <c r="GS56" s="2">
        <v>0</v>
      </c>
      <c r="GT56" s="2">
        <v>0</v>
      </c>
      <c r="GU56" s="2" t="s">
        <v>3</v>
      </c>
      <c r="GV56" s="2">
        <f t="shared" si="32"/>
        <v>0</v>
      </c>
      <c r="GW56" s="2">
        <v>1</v>
      </c>
      <c r="GX56" s="2">
        <f t="shared" si="33"/>
        <v>0</v>
      </c>
      <c r="GY56" s="2"/>
      <c r="GZ56" s="2"/>
      <c r="HA56" s="2">
        <v>0</v>
      </c>
      <c r="HB56" s="2">
        <v>0</v>
      </c>
      <c r="HC56" s="2">
        <f t="shared" si="34"/>
        <v>0</v>
      </c>
      <c r="HD56" s="2"/>
      <c r="HE56" s="2" t="s">
        <v>3</v>
      </c>
      <c r="HF56" s="2" t="s">
        <v>3</v>
      </c>
      <c r="HG56" s="2"/>
      <c r="HH56" s="2"/>
      <c r="HI56" s="2"/>
      <c r="HJ56" s="2"/>
      <c r="HK56" s="2"/>
      <c r="HL56" s="2"/>
      <c r="HM56" s="2" t="s">
        <v>3</v>
      </c>
      <c r="HN56" s="2" t="s">
        <v>82</v>
      </c>
      <c r="HO56" s="2" t="s">
        <v>83</v>
      </c>
      <c r="HP56" s="2" t="s">
        <v>79</v>
      </c>
      <c r="HQ56" s="2" t="s">
        <v>79</v>
      </c>
      <c r="HR56" s="2"/>
      <c r="HS56" s="2">
        <v>0</v>
      </c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>
        <v>0</v>
      </c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ht="409.5" x14ac:dyDescent="0.2">
      <c r="A57" s="2">
        <v>17</v>
      </c>
      <c r="B57" s="2">
        <v>1</v>
      </c>
      <c r="C57" s="2">
        <f>ROW(SmtRes!A102)</f>
        <v>102</v>
      </c>
      <c r="D57" s="2">
        <f>ROW(EtalonRes!A107)</f>
        <v>107</v>
      </c>
      <c r="E57" s="2" t="s">
        <v>180</v>
      </c>
      <c r="F57" s="2" t="s">
        <v>181</v>
      </c>
      <c r="G57" s="2" t="s">
        <v>182</v>
      </c>
      <c r="H57" s="2" t="s">
        <v>20</v>
      </c>
      <c r="I57" s="2">
        <f>ROUND(57.2/100,7)</f>
        <v>0.57199999999999995</v>
      </c>
      <c r="J57" s="2">
        <v>0</v>
      </c>
      <c r="K57" s="2">
        <f>ROUND(57.2/100,7)</f>
        <v>0.57199999999999995</v>
      </c>
      <c r="L57" s="2"/>
      <c r="M57" s="2"/>
      <c r="N57" s="2"/>
      <c r="O57" s="2">
        <f t="shared" si="14"/>
        <v>52170.89</v>
      </c>
      <c r="P57" s="2">
        <f>SUMIF(SmtRes!AQ96:'SmtRes'!AQ102,"=1",SmtRes!DF96:'SmtRes'!DF102)</f>
        <v>28886.39</v>
      </c>
      <c r="Q57" s="2">
        <f>SUMIF(SmtRes!AQ96:'SmtRes'!AQ102,"=1",SmtRes!DG96:'SmtRes'!DG102)</f>
        <v>191.07999999999998</v>
      </c>
      <c r="R57" s="2">
        <f>SUMIF(SmtRes!AQ96:'SmtRes'!AQ102,"=1",SmtRes!DH96:'SmtRes'!DH102)</f>
        <v>98.06</v>
      </c>
      <c r="S57" s="2">
        <f>SUMIF(SmtRes!AQ96:'SmtRes'!AQ102,"=1",SmtRes!DI96:'SmtRes'!DI102)</f>
        <v>22995.360000000001</v>
      </c>
      <c r="T57" s="2">
        <f t="shared" si="15"/>
        <v>0</v>
      </c>
      <c r="U57" s="2">
        <f>SUMIF(SmtRes!AQ96:'SmtRes'!AQ102,"=1",SmtRes!CV96:'SmtRes'!CV102)</f>
        <v>63.938160000000003</v>
      </c>
      <c r="V57" s="2">
        <f>SUMIF(SmtRes!AQ96:'SmtRes'!AQ102,"=1",SmtRes!CW96:'SmtRes'!CW102)</f>
        <v>0.19305</v>
      </c>
      <c r="W57" s="2">
        <f t="shared" si="16"/>
        <v>0</v>
      </c>
      <c r="X57" s="2">
        <f t="shared" si="17"/>
        <v>22654.65</v>
      </c>
      <c r="Y57" s="2">
        <f t="shared" si="18"/>
        <v>11188.76</v>
      </c>
      <c r="Z57" s="2"/>
      <c r="AA57" s="2">
        <v>55860754</v>
      </c>
      <c r="AB57" s="2">
        <f t="shared" si="19"/>
        <v>94659.234664999996</v>
      </c>
      <c r="AC57" s="2">
        <f>ROUND((SUM(SmtRes!BQ96:'SmtRes'!BQ102)),6)</f>
        <v>54123.492039999997</v>
      </c>
      <c r="AD57" s="2">
        <f>ROUND((((SUM(SmtRes!BR96:'SmtRes'!BR102))-(SUM(SmtRes!BS96:'SmtRes'!BS102)))+AE57),6)</f>
        <v>334.06562500000001</v>
      </c>
      <c r="AE57" s="2">
        <f>ROUND((SUM(SmtRes!BS96:'SmtRes'!BS102)),6)</f>
        <v>171.43912499999999</v>
      </c>
      <c r="AF57" s="2">
        <f>ROUND((SUM(SmtRes!BT96:'SmtRes'!BT102)),6)</f>
        <v>40201.677000000003</v>
      </c>
      <c r="AG57" s="2">
        <f t="shared" si="20"/>
        <v>0</v>
      </c>
      <c r="AH57" s="2">
        <f>(SUM(SmtRes!BU96:'SmtRes'!BU102))</f>
        <v>111.78</v>
      </c>
      <c r="AI57" s="2">
        <f>(SUM(SmtRes!BV96:'SmtRes'!BV102))</f>
        <v>0.33750000000000002</v>
      </c>
      <c r="AJ57" s="2">
        <f t="shared" si="21"/>
        <v>0</v>
      </c>
      <c r="AK57" s="2">
        <v>89485.875839999993</v>
      </c>
      <c r="AL57" s="2">
        <v>54123.492039999997</v>
      </c>
      <c r="AM57" s="2">
        <v>267.25250000000005</v>
      </c>
      <c r="AN57" s="2">
        <v>137.15130000000002</v>
      </c>
      <c r="AO57" s="2">
        <v>34957.979999999996</v>
      </c>
      <c r="AP57" s="2">
        <v>0</v>
      </c>
      <c r="AQ57" s="2">
        <v>97.2</v>
      </c>
      <c r="AR57" s="2">
        <v>0.27</v>
      </c>
      <c r="AS57" s="2">
        <v>0</v>
      </c>
      <c r="AT57" s="2">
        <v>98.1</v>
      </c>
      <c r="AU57" s="2">
        <v>48.45</v>
      </c>
      <c r="AV57" s="2">
        <v>1</v>
      </c>
      <c r="AW57" s="2">
        <v>1</v>
      </c>
      <c r="AX57" s="2"/>
      <c r="AY57" s="2"/>
      <c r="AZ57" s="2">
        <v>1</v>
      </c>
      <c r="BA57" s="2">
        <v>1</v>
      </c>
      <c r="BB57" s="2">
        <v>1</v>
      </c>
      <c r="BC57" s="2">
        <v>1</v>
      </c>
      <c r="BD57" s="2" t="s">
        <v>3</v>
      </c>
      <c r="BE57" s="2" t="s">
        <v>3</v>
      </c>
      <c r="BF57" s="2" t="s">
        <v>3</v>
      </c>
      <c r="BG57" s="2" t="s">
        <v>3</v>
      </c>
      <c r="BH57" s="2">
        <v>0</v>
      </c>
      <c r="BI57" s="2">
        <v>1</v>
      </c>
      <c r="BJ57" s="2" t="s">
        <v>183</v>
      </c>
      <c r="BK57" s="2"/>
      <c r="BL57" s="2"/>
      <c r="BM57" s="2">
        <v>12001</v>
      </c>
      <c r="BN57" s="2">
        <v>0</v>
      </c>
      <c r="BO57" s="2" t="s">
        <v>3</v>
      </c>
      <c r="BP57" s="2">
        <v>0</v>
      </c>
      <c r="BQ57" s="2">
        <v>2</v>
      </c>
      <c r="BR57" s="2">
        <v>0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 t="s">
        <v>3</v>
      </c>
      <c r="BZ57" s="2">
        <v>109</v>
      </c>
      <c r="CA57" s="2">
        <v>57</v>
      </c>
      <c r="CB57" s="2" t="s">
        <v>3</v>
      </c>
      <c r="CC57" s="2"/>
      <c r="CD57" s="2"/>
      <c r="CE57" s="2">
        <v>0</v>
      </c>
      <c r="CF57" s="2">
        <v>0</v>
      </c>
      <c r="CG57" s="2">
        <v>0</v>
      </c>
      <c r="CH57" s="2"/>
      <c r="CI57" s="2"/>
      <c r="CJ57" s="2"/>
      <c r="CK57" s="2"/>
      <c r="CL57" s="2"/>
      <c r="CM57" s="2">
        <v>0</v>
      </c>
      <c r="CN57" s="7" t="s">
        <v>447</v>
      </c>
      <c r="CO57" s="2">
        <v>0</v>
      </c>
      <c r="CP57" s="2">
        <f t="shared" si="22"/>
        <v>52170.89</v>
      </c>
      <c r="CQ57" s="2">
        <f>SUMIF(SmtRes!AQ96:'SmtRes'!AQ102,"=1",SmtRes!AA96:'SmtRes'!AA102)</f>
        <v>231913.45</v>
      </c>
      <c r="CR57" s="2">
        <f>SUMIF(SmtRes!AQ96:'SmtRes'!AQ102,"=1",SmtRes!AB96:'SmtRes'!AB102)</f>
        <v>1778.75</v>
      </c>
      <c r="CS57" s="2">
        <f>SUMIF(SmtRes!AQ96:'SmtRes'!AQ102,"=1",SmtRes!AC96:'SmtRes'!AC102)</f>
        <v>949</v>
      </c>
      <c r="CT57" s="2">
        <f>SUMIF(SmtRes!AQ96:'SmtRes'!AQ102,"=1",SmtRes!AD96:'SmtRes'!AD102)</f>
        <v>359.65</v>
      </c>
      <c r="CU57" s="2">
        <f t="shared" si="23"/>
        <v>0</v>
      </c>
      <c r="CV57" s="2">
        <f>SUMIF(SmtRes!AQ96:'SmtRes'!AQ102,"=1",SmtRes!BU96:'SmtRes'!BU102)</f>
        <v>111.78</v>
      </c>
      <c r="CW57" s="2">
        <f>SUMIF(SmtRes!AQ96:'SmtRes'!AQ102,"=1",SmtRes!BV96:'SmtRes'!BV102)</f>
        <v>0.33750000000000002</v>
      </c>
      <c r="CX57" s="2">
        <f t="shared" si="24"/>
        <v>0</v>
      </c>
      <c r="CY57" s="2">
        <f t="shared" si="25"/>
        <v>22654.64502</v>
      </c>
      <c r="CZ57" s="2">
        <f t="shared" si="26"/>
        <v>11188.761990000003</v>
      </c>
      <c r="DA57" s="2"/>
      <c r="DB57" s="2"/>
      <c r="DC57" s="2" t="s">
        <v>3</v>
      </c>
      <c r="DD57" s="2" t="s">
        <v>3</v>
      </c>
      <c r="DE57" s="2" t="s">
        <v>98</v>
      </c>
      <c r="DF57" s="2" t="s">
        <v>98</v>
      </c>
      <c r="DG57" s="2" t="s">
        <v>99</v>
      </c>
      <c r="DH57" s="2" t="s">
        <v>3</v>
      </c>
      <c r="DI57" s="2" t="s">
        <v>99</v>
      </c>
      <c r="DJ57" s="2" t="s">
        <v>98</v>
      </c>
      <c r="DK57" s="2" t="s">
        <v>3</v>
      </c>
      <c r="DL57" s="2" t="s">
        <v>100</v>
      </c>
      <c r="DM57" s="2" t="s">
        <v>101</v>
      </c>
      <c r="DN57" s="2">
        <v>0</v>
      </c>
      <c r="DO57" s="2">
        <v>0</v>
      </c>
      <c r="DP57" s="2">
        <v>1</v>
      </c>
      <c r="DQ57" s="2">
        <v>1</v>
      </c>
      <c r="DR57" s="2"/>
      <c r="DS57" s="2"/>
      <c r="DT57" s="2"/>
      <c r="DU57" s="2">
        <v>1005</v>
      </c>
      <c r="DV57" s="2" t="s">
        <v>20</v>
      </c>
      <c r="DW57" s="2" t="s">
        <v>20</v>
      </c>
      <c r="DX57" s="2">
        <v>100</v>
      </c>
      <c r="DY57" s="2"/>
      <c r="DZ57" s="2" t="s">
        <v>3</v>
      </c>
      <c r="EA57" s="2" t="s">
        <v>3</v>
      </c>
      <c r="EB57" s="2" t="s">
        <v>3</v>
      </c>
      <c r="EC57" s="2" t="s">
        <v>3</v>
      </c>
      <c r="ED57" s="2"/>
      <c r="EE57" s="2">
        <v>54458927</v>
      </c>
      <c r="EF57" s="2">
        <v>2</v>
      </c>
      <c r="EG57" s="2" t="s">
        <v>22</v>
      </c>
      <c r="EH57" s="2">
        <v>12</v>
      </c>
      <c r="EI57" s="2" t="s">
        <v>79</v>
      </c>
      <c r="EJ57" s="2">
        <v>1</v>
      </c>
      <c r="EK57" s="2">
        <v>12001</v>
      </c>
      <c r="EL57" s="2" t="s">
        <v>79</v>
      </c>
      <c r="EM57" s="2" t="s">
        <v>80</v>
      </c>
      <c r="EN57" s="2"/>
      <c r="EO57" s="2" t="s">
        <v>102</v>
      </c>
      <c r="EP57" s="2"/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0.27</v>
      </c>
      <c r="EY57" s="2">
        <v>0</v>
      </c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>
        <v>0</v>
      </c>
      <c r="FR57" s="2">
        <v>0</v>
      </c>
      <c r="FS57" s="2">
        <v>0</v>
      </c>
      <c r="FT57" s="2"/>
      <c r="FU57" s="2"/>
      <c r="FV57" s="2"/>
      <c r="FW57" s="2"/>
      <c r="FX57" s="2">
        <v>98.1</v>
      </c>
      <c r="FY57" s="2">
        <v>48.45</v>
      </c>
      <c r="FZ57" s="2"/>
      <c r="GA57" s="2" t="s">
        <v>3</v>
      </c>
      <c r="GB57" s="2"/>
      <c r="GC57" s="2"/>
      <c r="GD57" s="2">
        <v>1</v>
      </c>
      <c r="GE57" s="2"/>
      <c r="GF57" s="2">
        <v>-2080349521</v>
      </c>
      <c r="GG57" s="2">
        <v>2</v>
      </c>
      <c r="GH57" s="2">
        <v>1</v>
      </c>
      <c r="GI57" s="2">
        <v>-2</v>
      </c>
      <c r="GJ57" s="2">
        <v>0</v>
      </c>
      <c r="GK57" s="2">
        <v>0</v>
      </c>
      <c r="GL57" s="2">
        <f t="shared" si="27"/>
        <v>0</v>
      </c>
      <c r="GM57" s="2">
        <f t="shared" si="28"/>
        <v>86014.3</v>
      </c>
      <c r="GN57" s="2">
        <f t="shared" si="29"/>
        <v>86014.3</v>
      </c>
      <c r="GO57" s="2">
        <f t="shared" si="30"/>
        <v>0</v>
      </c>
      <c r="GP57" s="2">
        <f t="shared" si="31"/>
        <v>0</v>
      </c>
      <c r="GQ57" s="2"/>
      <c r="GR57" s="2">
        <v>0</v>
      </c>
      <c r="GS57" s="2">
        <v>0</v>
      </c>
      <c r="GT57" s="2">
        <v>0</v>
      </c>
      <c r="GU57" s="2" t="s">
        <v>3</v>
      </c>
      <c r="GV57" s="2">
        <f t="shared" si="32"/>
        <v>0</v>
      </c>
      <c r="GW57" s="2">
        <v>1</v>
      </c>
      <c r="GX57" s="2">
        <f t="shared" si="33"/>
        <v>0</v>
      </c>
      <c r="GY57" s="2"/>
      <c r="GZ57" s="2"/>
      <c r="HA57" s="2">
        <v>0</v>
      </c>
      <c r="HB57" s="2">
        <v>0</v>
      </c>
      <c r="HC57" s="2">
        <f t="shared" si="34"/>
        <v>0</v>
      </c>
      <c r="HD57" s="2"/>
      <c r="HE57" s="2" t="s">
        <v>3</v>
      </c>
      <c r="HF57" s="2" t="s">
        <v>3</v>
      </c>
      <c r="HG57" s="2"/>
      <c r="HH57" s="2"/>
      <c r="HI57" s="2"/>
      <c r="HJ57" s="2"/>
      <c r="HK57" s="2"/>
      <c r="HL57" s="2"/>
      <c r="HM57" s="2" t="s">
        <v>3</v>
      </c>
      <c r="HN57" s="2" t="s">
        <v>82</v>
      </c>
      <c r="HO57" s="2" t="s">
        <v>83</v>
      </c>
      <c r="HP57" s="2" t="s">
        <v>79</v>
      </c>
      <c r="HQ57" s="2" t="s">
        <v>79</v>
      </c>
      <c r="HR57" s="2"/>
      <c r="HS57" s="2">
        <v>0</v>
      </c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>
        <v>0</v>
      </c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x14ac:dyDescent="0.2">
      <c r="A58" s="2">
        <v>17</v>
      </c>
      <c r="B58" s="2">
        <v>1</v>
      </c>
      <c r="C58" s="2"/>
      <c r="D58" s="2"/>
      <c r="E58" s="2" t="s">
        <v>184</v>
      </c>
      <c r="F58" s="2" t="s">
        <v>185</v>
      </c>
      <c r="G58" s="2" t="s">
        <v>186</v>
      </c>
      <c r="H58" s="2" t="s">
        <v>187</v>
      </c>
      <c r="I58" s="2">
        <f>ROUND(34.99242,7)</f>
        <v>34.992420000000003</v>
      </c>
      <c r="J58" s="2">
        <v>0</v>
      </c>
      <c r="K58" s="2">
        <f>ROUND(34.99242,7)</f>
        <v>34.992420000000003</v>
      </c>
      <c r="L58" s="2"/>
      <c r="M58" s="2"/>
      <c r="N58" s="2"/>
      <c r="O58" s="2">
        <f>0</f>
        <v>0</v>
      </c>
      <c r="P58" s="2">
        <f>0</f>
        <v>0</v>
      </c>
      <c r="Q58" s="2">
        <f>0</f>
        <v>0</v>
      </c>
      <c r="R58" s="2">
        <f>0</f>
        <v>0</v>
      </c>
      <c r="S58" s="2">
        <f>0</f>
        <v>0</v>
      </c>
      <c r="T58" s="2">
        <f>0</f>
        <v>0</v>
      </c>
      <c r="U58" s="2">
        <f>0</f>
        <v>0</v>
      </c>
      <c r="V58" s="2">
        <f>0</f>
        <v>0</v>
      </c>
      <c r="W58" s="2">
        <f>0</f>
        <v>0</v>
      </c>
      <c r="X58" s="2">
        <f>0</f>
        <v>0</v>
      </c>
      <c r="Y58" s="2">
        <f>0</f>
        <v>0</v>
      </c>
      <c r="Z58" s="2"/>
      <c r="AA58" s="2">
        <v>55860754</v>
      </c>
      <c r="AB58" s="2">
        <f>ROUND((AK58),6)</f>
        <v>984.54</v>
      </c>
      <c r="AC58" s="2">
        <f>0</f>
        <v>0</v>
      </c>
      <c r="AD58" s="2">
        <f>0</f>
        <v>0</v>
      </c>
      <c r="AE58" s="2">
        <f>0</f>
        <v>0</v>
      </c>
      <c r="AF58" s="2">
        <f>0</f>
        <v>0</v>
      </c>
      <c r="AG58" s="2">
        <f>0</f>
        <v>0</v>
      </c>
      <c r="AH58" s="2">
        <f>0</f>
        <v>0</v>
      </c>
      <c r="AI58" s="2">
        <f>0</f>
        <v>0</v>
      </c>
      <c r="AJ58" s="2">
        <f>0</f>
        <v>0</v>
      </c>
      <c r="AK58" s="2">
        <v>984.54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1</v>
      </c>
      <c r="AW58" s="2">
        <v>1</v>
      </c>
      <c r="AX58" s="2"/>
      <c r="AY58" s="2"/>
      <c r="AZ58" s="2">
        <v>1</v>
      </c>
      <c r="BA58" s="2">
        <v>1</v>
      </c>
      <c r="BB58" s="2">
        <v>1</v>
      </c>
      <c r="BC58" s="2">
        <v>1</v>
      </c>
      <c r="BD58" s="2" t="s">
        <v>3</v>
      </c>
      <c r="BE58" s="2" t="s">
        <v>3</v>
      </c>
      <c r="BF58" s="2" t="s">
        <v>3</v>
      </c>
      <c r="BG58" s="2" t="s">
        <v>3</v>
      </c>
      <c r="BH58" s="2">
        <v>0</v>
      </c>
      <c r="BI58" s="2">
        <v>1</v>
      </c>
      <c r="BJ58" s="2" t="s">
        <v>185</v>
      </c>
      <c r="BK58" s="2"/>
      <c r="BL58" s="2"/>
      <c r="BM58" s="2">
        <v>700007</v>
      </c>
      <c r="BN58" s="2">
        <v>0</v>
      </c>
      <c r="BO58" s="2" t="s">
        <v>3</v>
      </c>
      <c r="BP58" s="2">
        <v>0</v>
      </c>
      <c r="BQ58" s="2">
        <v>19</v>
      </c>
      <c r="BR58" s="2">
        <v>0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 t="s">
        <v>3</v>
      </c>
      <c r="BZ58" s="2">
        <v>90</v>
      </c>
      <c r="CA58" s="2">
        <v>42</v>
      </c>
      <c r="CB58" s="2" t="s">
        <v>3</v>
      </c>
      <c r="CC58" s="2"/>
      <c r="CD58" s="2"/>
      <c r="CE58" s="2">
        <v>0</v>
      </c>
      <c r="CF58" s="2">
        <v>0</v>
      </c>
      <c r="CG58" s="2">
        <v>0</v>
      </c>
      <c r="CH58" s="2"/>
      <c r="CI58" s="2"/>
      <c r="CJ58" s="2"/>
      <c r="CK58" s="2"/>
      <c r="CL58" s="2"/>
      <c r="CM58" s="2">
        <v>0</v>
      </c>
      <c r="CN58" s="2" t="s">
        <v>3</v>
      </c>
      <c r="CO58" s="2">
        <v>0</v>
      </c>
      <c r="CP58" s="2">
        <f>AB58*AZ58</f>
        <v>984.54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/>
      <c r="DB58" s="2"/>
      <c r="DC58" s="2" t="s">
        <v>3</v>
      </c>
      <c r="DD58" s="2" t="s">
        <v>3</v>
      </c>
      <c r="DE58" s="2" t="s">
        <v>3</v>
      </c>
      <c r="DF58" s="2" t="s">
        <v>3</v>
      </c>
      <c r="DG58" s="2" t="s">
        <v>3</v>
      </c>
      <c r="DH58" s="2" t="s">
        <v>3</v>
      </c>
      <c r="DI58" s="2" t="s">
        <v>3</v>
      </c>
      <c r="DJ58" s="2" t="s">
        <v>3</v>
      </c>
      <c r="DK58" s="2" t="s">
        <v>3</v>
      </c>
      <c r="DL58" s="2" t="s">
        <v>3</v>
      </c>
      <c r="DM58" s="2" t="s">
        <v>3</v>
      </c>
      <c r="DN58" s="2">
        <v>0</v>
      </c>
      <c r="DO58" s="2">
        <v>0</v>
      </c>
      <c r="DP58" s="2">
        <v>1</v>
      </c>
      <c r="DQ58" s="2">
        <v>1</v>
      </c>
      <c r="DR58" s="2"/>
      <c r="DS58" s="2"/>
      <c r="DT58" s="2"/>
      <c r="DU58" s="2">
        <v>1013</v>
      </c>
      <c r="DV58" s="2" t="s">
        <v>187</v>
      </c>
      <c r="DW58" s="2" t="s">
        <v>187</v>
      </c>
      <c r="DX58" s="2">
        <v>1</v>
      </c>
      <c r="DY58" s="2"/>
      <c r="DZ58" s="2" t="s">
        <v>3</v>
      </c>
      <c r="EA58" s="2" t="s">
        <v>3</v>
      </c>
      <c r="EB58" s="2" t="s">
        <v>3</v>
      </c>
      <c r="EC58" s="2" t="s">
        <v>3</v>
      </c>
      <c r="ED58" s="2"/>
      <c r="EE58" s="2">
        <v>54459364</v>
      </c>
      <c r="EF58" s="2">
        <v>19</v>
      </c>
      <c r="EG58" s="2" t="s">
        <v>188</v>
      </c>
      <c r="EH58" s="2">
        <v>106</v>
      </c>
      <c r="EI58" s="2" t="s">
        <v>188</v>
      </c>
      <c r="EJ58" s="2">
        <v>1</v>
      </c>
      <c r="EK58" s="2">
        <v>700007</v>
      </c>
      <c r="EL58" s="2" t="s">
        <v>188</v>
      </c>
      <c r="EM58" s="2" t="s">
        <v>189</v>
      </c>
      <c r="EN58" s="2"/>
      <c r="EO58" s="2" t="s">
        <v>3</v>
      </c>
      <c r="EP58" s="2"/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>
        <v>0</v>
      </c>
      <c r="FR58" s="2">
        <v>0</v>
      </c>
      <c r="FS58" s="2">
        <v>0</v>
      </c>
      <c r="FT58" s="2"/>
      <c r="FU58" s="2"/>
      <c r="FV58" s="2"/>
      <c r="FW58" s="2"/>
      <c r="FX58" s="2">
        <v>0</v>
      </c>
      <c r="FY58" s="2">
        <v>0</v>
      </c>
      <c r="FZ58" s="2"/>
      <c r="GA58" s="2" t="s">
        <v>3</v>
      </c>
      <c r="GB58" s="2"/>
      <c r="GC58" s="2"/>
      <c r="GD58" s="2">
        <v>1</v>
      </c>
      <c r="GE58" s="2"/>
      <c r="GF58" s="2">
        <v>1428810939</v>
      </c>
      <c r="GG58" s="2">
        <v>2</v>
      </c>
      <c r="GH58" s="2">
        <v>1</v>
      </c>
      <c r="GI58" s="2">
        <v>-2</v>
      </c>
      <c r="GJ58" s="2">
        <v>2</v>
      </c>
      <c r="GK58" s="2">
        <v>0</v>
      </c>
      <c r="GL58" s="2">
        <f t="shared" si="27"/>
        <v>0</v>
      </c>
      <c r="GM58" s="2">
        <f>ROUND(CP58*I58,2)</f>
        <v>34451.440000000002</v>
      </c>
      <c r="GN58" s="2">
        <f t="shared" si="29"/>
        <v>34451.440000000002</v>
      </c>
      <c r="GO58" s="2">
        <f t="shared" si="30"/>
        <v>0</v>
      </c>
      <c r="GP58" s="2">
        <f t="shared" si="31"/>
        <v>0</v>
      </c>
      <c r="GQ58" s="2"/>
      <c r="GR58" s="2">
        <v>0</v>
      </c>
      <c r="GS58" s="2">
        <v>3</v>
      </c>
      <c r="GT58" s="2">
        <v>0</v>
      </c>
      <c r="GU58" s="2" t="s">
        <v>3</v>
      </c>
      <c r="GV58" s="2">
        <f>0</f>
        <v>0</v>
      </c>
      <c r="GW58" s="2">
        <v>1</v>
      </c>
      <c r="GX58" s="2">
        <f>0</f>
        <v>0</v>
      </c>
      <c r="GY58" s="2"/>
      <c r="GZ58" s="2"/>
      <c r="HA58" s="2">
        <v>0</v>
      </c>
      <c r="HB58" s="2">
        <v>0</v>
      </c>
      <c r="HC58" s="2">
        <v>0</v>
      </c>
      <c r="HD58" s="2">
        <f>GM58</f>
        <v>34451.440000000002</v>
      </c>
      <c r="HE58" s="2" t="s">
        <v>3</v>
      </c>
      <c r="HF58" s="2" t="s">
        <v>3</v>
      </c>
      <c r="HG58" s="2"/>
      <c r="HH58" s="2"/>
      <c r="HI58" s="2"/>
      <c r="HJ58" s="2"/>
      <c r="HK58" s="2"/>
      <c r="HL58" s="2"/>
      <c r="HM58" s="2" t="s">
        <v>3</v>
      </c>
      <c r="HN58" s="2" t="s">
        <v>190</v>
      </c>
      <c r="HO58" s="2" t="s">
        <v>191</v>
      </c>
      <c r="HP58" s="2" t="s">
        <v>188</v>
      </c>
      <c r="HQ58" s="2" t="s">
        <v>188</v>
      </c>
      <c r="HR58" s="2"/>
      <c r="HS58" s="2">
        <v>0</v>
      </c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>
        <v>0</v>
      </c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x14ac:dyDescent="0.2">
      <c r="A59" s="2">
        <v>17</v>
      </c>
      <c r="B59" s="2">
        <v>1</v>
      </c>
      <c r="C59" s="2"/>
      <c r="D59" s="2"/>
      <c r="E59" s="2" t="s">
        <v>192</v>
      </c>
      <c r="F59" s="2" t="s">
        <v>193</v>
      </c>
      <c r="G59" s="2" t="s">
        <v>194</v>
      </c>
      <c r="H59" s="2" t="s">
        <v>187</v>
      </c>
      <c r="I59" s="2">
        <f>ROUND(I58,7)</f>
        <v>34.992420000000003</v>
      </c>
      <c r="J59" s="2">
        <v>0</v>
      </c>
      <c r="K59" s="2">
        <f>ROUND(I58,7)</f>
        <v>34.992420000000003</v>
      </c>
      <c r="L59" s="2"/>
      <c r="M59" s="2"/>
      <c r="N59" s="2"/>
      <c r="O59" s="2">
        <f>0</f>
        <v>0</v>
      </c>
      <c r="P59" s="2">
        <f>0</f>
        <v>0</v>
      </c>
      <c r="Q59" s="2">
        <f>0</f>
        <v>0</v>
      </c>
      <c r="R59" s="2">
        <f>0</f>
        <v>0</v>
      </c>
      <c r="S59" s="2">
        <f>0</f>
        <v>0</v>
      </c>
      <c r="T59" s="2">
        <f>0</f>
        <v>0</v>
      </c>
      <c r="U59" s="2">
        <f>0</f>
        <v>0</v>
      </c>
      <c r="V59" s="2">
        <f>0</f>
        <v>0</v>
      </c>
      <c r="W59" s="2">
        <f>0</f>
        <v>0</v>
      </c>
      <c r="X59" s="2">
        <f>0</f>
        <v>0</v>
      </c>
      <c r="Y59" s="2">
        <f>0</f>
        <v>0</v>
      </c>
      <c r="Z59" s="2"/>
      <c r="AA59" s="2">
        <v>55860754</v>
      </c>
      <c r="AB59" s="2">
        <f>ROUND((AK59),6)</f>
        <v>240.53</v>
      </c>
      <c r="AC59" s="2">
        <f>0</f>
        <v>0</v>
      </c>
      <c r="AD59" s="2">
        <f>0</f>
        <v>0</v>
      </c>
      <c r="AE59" s="2">
        <f>0</f>
        <v>0</v>
      </c>
      <c r="AF59" s="2">
        <f>0</f>
        <v>0</v>
      </c>
      <c r="AG59" s="2">
        <f>0</f>
        <v>0</v>
      </c>
      <c r="AH59" s="2">
        <f>0</f>
        <v>0</v>
      </c>
      <c r="AI59" s="2">
        <f>0</f>
        <v>0</v>
      </c>
      <c r="AJ59" s="2">
        <f>0</f>
        <v>0</v>
      </c>
      <c r="AK59" s="2">
        <v>240.53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1</v>
      </c>
      <c r="AW59" s="2">
        <v>1</v>
      </c>
      <c r="AX59" s="2"/>
      <c r="AY59" s="2"/>
      <c r="AZ59" s="2">
        <v>1</v>
      </c>
      <c r="BA59" s="2">
        <v>1</v>
      </c>
      <c r="BB59" s="2">
        <v>1</v>
      </c>
      <c r="BC59" s="2">
        <v>1</v>
      </c>
      <c r="BD59" s="2" t="s">
        <v>3</v>
      </c>
      <c r="BE59" s="2" t="s">
        <v>3</v>
      </c>
      <c r="BF59" s="2" t="s">
        <v>3</v>
      </c>
      <c r="BG59" s="2" t="s">
        <v>3</v>
      </c>
      <c r="BH59" s="2">
        <v>0</v>
      </c>
      <c r="BI59" s="2">
        <v>1</v>
      </c>
      <c r="BJ59" s="2" t="s">
        <v>193</v>
      </c>
      <c r="BK59" s="2"/>
      <c r="BL59" s="2"/>
      <c r="BM59" s="2">
        <v>700008</v>
      </c>
      <c r="BN59" s="2">
        <v>0</v>
      </c>
      <c r="BO59" s="2" t="s">
        <v>3</v>
      </c>
      <c r="BP59" s="2">
        <v>0</v>
      </c>
      <c r="BQ59" s="2">
        <v>10</v>
      </c>
      <c r="BR59" s="2">
        <v>0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 t="s">
        <v>3</v>
      </c>
      <c r="BZ59" s="2">
        <v>94</v>
      </c>
      <c r="CA59" s="2">
        <v>61</v>
      </c>
      <c r="CB59" s="2" t="s">
        <v>3</v>
      </c>
      <c r="CC59" s="2"/>
      <c r="CD59" s="2"/>
      <c r="CE59" s="2">
        <v>0</v>
      </c>
      <c r="CF59" s="2">
        <v>0</v>
      </c>
      <c r="CG59" s="2">
        <v>0</v>
      </c>
      <c r="CH59" s="2"/>
      <c r="CI59" s="2"/>
      <c r="CJ59" s="2"/>
      <c r="CK59" s="2"/>
      <c r="CL59" s="2"/>
      <c r="CM59" s="2">
        <v>0</v>
      </c>
      <c r="CN59" s="2" t="s">
        <v>3</v>
      </c>
      <c r="CO59" s="2">
        <v>0</v>
      </c>
      <c r="CP59" s="2">
        <f>AB59*AZ59</f>
        <v>240.53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/>
      <c r="DB59" s="2"/>
      <c r="DC59" s="2" t="s">
        <v>3</v>
      </c>
      <c r="DD59" s="2" t="s">
        <v>3</v>
      </c>
      <c r="DE59" s="2" t="s">
        <v>3</v>
      </c>
      <c r="DF59" s="2" t="s">
        <v>3</v>
      </c>
      <c r="DG59" s="2" t="s">
        <v>3</v>
      </c>
      <c r="DH59" s="2" t="s">
        <v>3</v>
      </c>
      <c r="DI59" s="2" t="s">
        <v>3</v>
      </c>
      <c r="DJ59" s="2" t="s">
        <v>3</v>
      </c>
      <c r="DK59" s="2" t="s">
        <v>3</v>
      </c>
      <c r="DL59" s="2" t="s">
        <v>3</v>
      </c>
      <c r="DM59" s="2" t="s">
        <v>3</v>
      </c>
      <c r="DN59" s="2">
        <v>0</v>
      </c>
      <c r="DO59" s="2">
        <v>0</v>
      </c>
      <c r="DP59" s="2">
        <v>1</v>
      </c>
      <c r="DQ59" s="2">
        <v>1</v>
      </c>
      <c r="DR59" s="2"/>
      <c r="DS59" s="2"/>
      <c r="DT59" s="2"/>
      <c r="DU59" s="2">
        <v>1013</v>
      </c>
      <c r="DV59" s="2" t="s">
        <v>187</v>
      </c>
      <c r="DW59" s="2" t="s">
        <v>187</v>
      </c>
      <c r="DX59" s="2">
        <v>1</v>
      </c>
      <c r="DY59" s="2"/>
      <c r="DZ59" s="2" t="s">
        <v>3</v>
      </c>
      <c r="EA59" s="2" t="s">
        <v>3</v>
      </c>
      <c r="EB59" s="2" t="s">
        <v>3</v>
      </c>
      <c r="EC59" s="2" t="s">
        <v>3</v>
      </c>
      <c r="ED59" s="2"/>
      <c r="EE59" s="2">
        <v>54459365</v>
      </c>
      <c r="EF59" s="2">
        <v>10</v>
      </c>
      <c r="EG59" s="2" t="s">
        <v>195</v>
      </c>
      <c r="EH59" s="2">
        <v>107</v>
      </c>
      <c r="EI59" s="2" t="s">
        <v>196</v>
      </c>
      <c r="EJ59" s="2">
        <v>1</v>
      </c>
      <c r="EK59" s="2">
        <v>700008</v>
      </c>
      <c r="EL59" s="2" t="s">
        <v>197</v>
      </c>
      <c r="EM59" s="2" t="s">
        <v>198</v>
      </c>
      <c r="EN59" s="2"/>
      <c r="EO59" s="2" t="s">
        <v>3</v>
      </c>
      <c r="EP59" s="2"/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>
        <v>0</v>
      </c>
      <c r="FR59" s="2">
        <v>0</v>
      </c>
      <c r="FS59" s="2">
        <v>0</v>
      </c>
      <c r="FT59" s="2"/>
      <c r="FU59" s="2"/>
      <c r="FV59" s="2"/>
      <c r="FW59" s="2"/>
      <c r="FX59" s="2">
        <v>0</v>
      </c>
      <c r="FY59" s="2">
        <v>0</v>
      </c>
      <c r="FZ59" s="2"/>
      <c r="GA59" s="2" t="s">
        <v>3</v>
      </c>
      <c r="GB59" s="2"/>
      <c r="GC59" s="2"/>
      <c r="GD59" s="2">
        <v>1</v>
      </c>
      <c r="GE59" s="2"/>
      <c r="GF59" s="2">
        <v>-707423805</v>
      </c>
      <c r="GG59" s="2">
        <v>2</v>
      </c>
      <c r="GH59" s="2">
        <v>1</v>
      </c>
      <c r="GI59" s="2">
        <v>-2</v>
      </c>
      <c r="GJ59" s="2">
        <v>2</v>
      </c>
      <c r="GK59" s="2">
        <v>0</v>
      </c>
      <c r="GL59" s="2">
        <f t="shared" si="27"/>
        <v>0</v>
      </c>
      <c r="GM59" s="2">
        <f>ROUND(CP59*I59,2)</f>
        <v>8416.73</v>
      </c>
      <c r="GN59" s="2">
        <f t="shared" si="29"/>
        <v>8416.73</v>
      </c>
      <c r="GO59" s="2">
        <f t="shared" si="30"/>
        <v>0</v>
      </c>
      <c r="GP59" s="2">
        <f t="shared" si="31"/>
        <v>0</v>
      </c>
      <c r="GQ59" s="2"/>
      <c r="GR59" s="2">
        <v>0</v>
      </c>
      <c r="GS59" s="2">
        <v>3</v>
      </c>
      <c r="GT59" s="2">
        <v>0</v>
      </c>
      <c r="GU59" s="2" t="s">
        <v>3</v>
      </c>
      <c r="GV59" s="2">
        <f>0</f>
        <v>0</v>
      </c>
      <c r="GW59" s="2">
        <v>1</v>
      </c>
      <c r="GX59" s="2">
        <f>0</f>
        <v>0</v>
      </c>
      <c r="GY59" s="2"/>
      <c r="GZ59" s="2"/>
      <c r="HA59" s="2">
        <v>0</v>
      </c>
      <c r="HB59" s="2">
        <v>0</v>
      </c>
      <c r="HC59" s="2">
        <v>0</v>
      </c>
      <c r="HD59" s="2">
        <f>GM59</f>
        <v>8416.73</v>
      </c>
      <c r="HE59" s="2" t="s">
        <v>3</v>
      </c>
      <c r="HF59" s="2" t="s">
        <v>3</v>
      </c>
      <c r="HG59" s="2"/>
      <c r="HH59" s="2"/>
      <c r="HI59" s="2"/>
      <c r="HJ59" s="2"/>
      <c r="HK59" s="2"/>
      <c r="HL59" s="2"/>
      <c r="HM59" s="2" t="s">
        <v>3</v>
      </c>
      <c r="HN59" s="2" t="s">
        <v>199</v>
      </c>
      <c r="HO59" s="2" t="s">
        <v>200</v>
      </c>
      <c r="HP59" s="2" t="s">
        <v>196</v>
      </c>
      <c r="HQ59" s="2" t="s">
        <v>196</v>
      </c>
      <c r="HR59" s="2"/>
      <c r="HS59" s="2">
        <v>0</v>
      </c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>
        <v>0</v>
      </c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1" spans="1:255" x14ac:dyDescent="0.2">
      <c r="A61" s="3">
        <v>51</v>
      </c>
      <c r="B61" s="3">
        <f>B20</f>
        <v>1</v>
      </c>
      <c r="C61" s="3">
        <f>A20</f>
        <v>3</v>
      </c>
      <c r="D61" s="3">
        <f>ROW(A20)</f>
        <v>20</v>
      </c>
      <c r="E61" s="3"/>
      <c r="F61" s="3" t="str">
        <f>IF(F20&lt;&gt;"",F20,"")</f>
        <v>02-01-01</v>
      </c>
      <c r="G61" s="3" t="str">
        <f>IF(G20&lt;&gt;"",G20,"")</f>
        <v>Новая локальная смета</v>
      </c>
      <c r="H61" s="3">
        <v>0</v>
      </c>
      <c r="I61" s="3"/>
      <c r="J61" s="3"/>
      <c r="K61" s="3"/>
      <c r="L61" s="3"/>
      <c r="M61" s="3"/>
      <c r="N61" s="3"/>
      <c r="O61" s="3">
        <f t="shared" ref="O61:T61" si="36">ROUND(AB61,2)</f>
        <v>2412905.04</v>
      </c>
      <c r="P61" s="3">
        <f t="shared" si="36"/>
        <v>1378946.16</v>
      </c>
      <c r="Q61" s="3">
        <f t="shared" si="36"/>
        <v>196393.94</v>
      </c>
      <c r="R61" s="3">
        <f t="shared" si="36"/>
        <v>66499.55</v>
      </c>
      <c r="S61" s="3">
        <f t="shared" si="36"/>
        <v>771065.39</v>
      </c>
      <c r="T61" s="3">
        <f t="shared" si="36"/>
        <v>0</v>
      </c>
      <c r="U61" s="3">
        <f>AH61</f>
        <v>2205.5652800000003</v>
      </c>
      <c r="V61" s="3">
        <f>AI61</f>
        <v>134.36314999999996</v>
      </c>
      <c r="W61" s="3">
        <f>ROUND(AJ61,2)</f>
        <v>0</v>
      </c>
      <c r="X61" s="3">
        <f>ROUND(AK61,2)</f>
        <v>837034.22</v>
      </c>
      <c r="Y61" s="3">
        <f>ROUND(AL61,2)</f>
        <v>425575.27</v>
      </c>
      <c r="Z61" s="3"/>
      <c r="AA61" s="3"/>
      <c r="AB61" s="3">
        <f>ROUND(SUMIF(AA24:AA59,"=55860754",O24:O59),2)</f>
        <v>2412905.04</v>
      </c>
      <c r="AC61" s="3">
        <f>ROUND(SUMIF(AA24:AA59,"=55860754",P24:P59),2)</f>
        <v>1378946.16</v>
      </c>
      <c r="AD61" s="3">
        <f>ROUND(SUMIF(AA24:AA59,"=55860754",Q24:Q59),2)</f>
        <v>196393.94</v>
      </c>
      <c r="AE61" s="3">
        <f>ROUND(SUMIF(AA24:AA59,"=55860754",R24:R59),2)</f>
        <v>66499.55</v>
      </c>
      <c r="AF61" s="3">
        <f>ROUND(SUMIF(AA24:AA59,"=55860754",S24:S59),2)</f>
        <v>771065.39</v>
      </c>
      <c r="AG61" s="3">
        <f>ROUND(SUMIF(AA24:AA59,"=55860754",T24:T59),2)</f>
        <v>0</v>
      </c>
      <c r="AH61" s="3">
        <f>SUMIF(AA24:AA59,"=55860754",U24:U59)</f>
        <v>2205.5652800000003</v>
      </c>
      <c r="AI61" s="3">
        <f>SUMIF(AA24:AA59,"=55860754",V24:V59)</f>
        <v>134.36314999999996</v>
      </c>
      <c r="AJ61" s="3">
        <f>ROUND(SUMIF(AA24:AA59,"=55860754",W24:W59),2)</f>
        <v>0</v>
      </c>
      <c r="AK61" s="3">
        <f>ROUND(SUMIF(AA24:AA59,"=55860754",X24:X59),2)</f>
        <v>837034.22</v>
      </c>
      <c r="AL61" s="3">
        <f>ROUND(SUMIF(AA24:AA59,"=55860754",Y24:Y59),2)</f>
        <v>425575.27</v>
      </c>
      <c r="AM61" s="3"/>
      <c r="AN61" s="3"/>
      <c r="AO61" s="3">
        <f t="shared" ref="AO61:BD61" si="37">ROUND(BX61,2)</f>
        <v>0</v>
      </c>
      <c r="AP61" s="3">
        <f t="shared" si="37"/>
        <v>0</v>
      </c>
      <c r="AQ61" s="3">
        <f t="shared" si="37"/>
        <v>0</v>
      </c>
      <c r="AR61" s="3">
        <f t="shared" si="37"/>
        <v>3718382.7</v>
      </c>
      <c r="AS61" s="3">
        <f t="shared" si="37"/>
        <v>3718382.7</v>
      </c>
      <c r="AT61" s="3">
        <f t="shared" si="37"/>
        <v>0</v>
      </c>
      <c r="AU61" s="3">
        <f t="shared" si="37"/>
        <v>0</v>
      </c>
      <c r="AV61" s="3">
        <f t="shared" si="37"/>
        <v>1378946.16</v>
      </c>
      <c r="AW61" s="3">
        <f t="shared" si="37"/>
        <v>1378946.16</v>
      </c>
      <c r="AX61" s="3">
        <f t="shared" si="37"/>
        <v>0</v>
      </c>
      <c r="AY61" s="3">
        <f t="shared" si="37"/>
        <v>1378946.16</v>
      </c>
      <c r="AZ61" s="3">
        <f t="shared" si="37"/>
        <v>0</v>
      </c>
      <c r="BA61" s="3">
        <f t="shared" si="37"/>
        <v>0</v>
      </c>
      <c r="BB61" s="3">
        <f t="shared" si="37"/>
        <v>0</v>
      </c>
      <c r="BC61" s="3">
        <f t="shared" si="37"/>
        <v>0</v>
      </c>
      <c r="BD61" s="3">
        <f t="shared" si="37"/>
        <v>42868.17</v>
      </c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>
        <f>ROUND(SUMIF(AA24:AA59,"=55860754",FQ24:FQ59),2)</f>
        <v>0</v>
      </c>
      <c r="BY61" s="3">
        <f>ROUND(SUMIF(AA24:AA59,"=55860754",FR24:FR59),2)</f>
        <v>0</v>
      </c>
      <c r="BZ61" s="3">
        <f>ROUND(SUMIF(AA24:AA59,"=55860754",GL24:GL59),2)</f>
        <v>0</v>
      </c>
      <c r="CA61" s="3">
        <f>ROUND(SUMIF(AA24:AA59,"=55860754",GM24:GM59),2)</f>
        <v>3718382.7</v>
      </c>
      <c r="CB61" s="3">
        <f>ROUND(SUMIF(AA24:AA59,"=55860754",GN24:GN59),2)</f>
        <v>3718382.7</v>
      </c>
      <c r="CC61" s="3">
        <f>ROUND(SUMIF(AA24:AA59,"=55860754",GO24:GO59),2)</f>
        <v>0</v>
      </c>
      <c r="CD61" s="3">
        <f>ROUND(SUMIF(AA24:AA59,"=55860754",GP24:GP59),2)</f>
        <v>0</v>
      </c>
      <c r="CE61" s="3">
        <f>AC61-BX61</f>
        <v>1378946.16</v>
      </c>
      <c r="CF61" s="3">
        <f>AC61-BY61</f>
        <v>1378946.16</v>
      </c>
      <c r="CG61" s="3">
        <f>BX61-BZ61</f>
        <v>0</v>
      </c>
      <c r="CH61" s="3">
        <f>AC61-BX61-BY61+BZ61</f>
        <v>1378946.16</v>
      </c>
      <c r="CI61" s="3">
        <f>BY61-BZ61</f>
        <v>0</v>
      </c>
      <c r="CJ61" s="3">
        <f>ROUND(SUMIF(AA24:AA59,"=55860754",GX24:GX59),2)</f>
        <v>0</v>
      </c>
      <c r="CK61" s="3">
        <f>ROUND(SUMIF(AA24:AA59,"=55860754",GY24:GY59),2)</f>
        <v>0</v>
      </c>
      <c r="CL61" s="3">
        <f>ROUND(SUMIF(AA24:AA59,"=55860754",GZ24:GZ59),2)</f>
        <v>0</v>
      </c>
      <c r="CM61" s="3">
        <f>ROUND(SUMIF(AA24:AA59,"=55860754",HD24:HD59),2)</f>
        <v>42868.17</v>
      </c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>
        <v>0</v>
      </c>
    </row>
    <row r="63" spans="1:255" x14ac:dyDescent="0.2">
      <c r="A63" s="5">
        <v>50</v>
      </c>
      <c r="B63" s="5">
        <v>0</v>
      </c>
      <c r="C63" s="5">
        <v>0</v>
      </c>
      <c r="D63" s="5">
        <v>1</v>
      </c>
      <c r="E63" s="5">
        <v>201</v>
      </c>
      <c r="F63" s="5">
        <f>ROUND(Source!O61,O63)</f>
        <v>2412905.04</v>
      </c>
      <c r="G63" s="5" t="s">
        <v>201</v>
      </c>
      <c r="H63" s="5" t="s">
        <v>202</v>
      </c>
      <c r="I63" s="5"/>
      <c r="J63" s="5"/>
      <c r="K63" s="5">
        <v>201</v>
      </c>
      <c r="L63" s="5">
        <v>1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2455773.21</v>
      </c>
      <c r="X63" s="5">
        <v>1</v>
      </c>
      <c r="Y63" s="5">
        <v>2455773.21</v>
      </c>
      <c r="Z63" s="5"/>
      <c r="AA63" s="5"/>
      <c r="AB63" s="5"/>
    </row>
    <row r="64" spans="1:255" x14ac:dyDescent="0.2">
      <c r="A64" s="5">
        <v>50</v>
      </c>
      <c r="B64" s="5">
        <v>0</v>
      </c>
      <c r="C64" s="5">
        <v>0</v>
      </c>
      <c r="D64" s="5">
        <v>1</v>
      </c>
      <c r="E64" s="5">
        <v>202</v>
      </c>
      <c r="F64" s="5">
        <f>ROUND(Source!P61,O64)</f>
        <v>1378946.16</v>
      </c>
      <c r="G64" s="5" t="s">
        <v>203</v>
      </c>
      <c r="H64" s="5" t="s">
        <v>204</v>
      </c>
      <c r="I64" s="5"/>
      <c r="J64" s="5"/>
      <c r="K64" s="5">
        <v>202</v>
      </c>
      <c r="L64" s="5">
        <v>2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1378946.16</v>
      </c>
      <c r="X64" s="5">
        <v>1</v>
      </c>
      <c r="Y64" s="5">
        <v>1378946.16</v>
      </c>
      <c r="Z64" s="5"/>
      <c r="AA64" s="5"/>
      <c r="AB64" s="5"/>
    </row>
    <row r="65" spans="1:28" x14ac:dyDescent="0.2">
      <c r="A65" s="5">
        <v>50</v>
      </c>
      <c r="B65" s="5">
        <v>0</v>
      </c>
      <c r="C65" s="5">
        <v>0</v>
      </c>
      <c r="D65" s="5">
        <v>1</v>
      </c>
      <c r="E65" s="5">
        <v>222</v>
      </c>
      <c r="F65" s="5">
        <f>ROUND(Source!AO61,O65)</f>
        <v>0</v>
      </c>
      <c r="G65" s="5" t="s">
        <v>205</v>
      </c>
      <c r="H65" s="5" t="s">
        <v>206</v>
      </c>
      <c r="I65" s="5"/>
      <c r="J65" s="5"/>
      <c r="K65" s="5">
        <v>222</v>
      </c>
      <c r="L65" s="5">
        <v>3</v>
      </c>
      <c r="M65" s="5">
        <v>3</v>
      </c>
      <c r="N65" s="5" t="s">
        <v>3</v>
      </c>
      <c r="O65" s="5">
        <v>2</v>
      </c>
      <c r="P65" s="5"/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/>
      <c r="AA65" s="5"/>
      <c r="AB65" s="5"/>
    </row>
    <row r="66" spans="1:28" x14ac:dyDescent="0.2">
      <c r="A66" s="5">
        <v>50</v>
      </c>
      <c r="B66" s="5">
        <v>0</v>
      </c>
      <c r="C66" s="5">
        <v>0</v>
      </c>
      <c r="D66" s="5">
        <v>1</v>
      </c>
      <c r="E66" s="5">
        <v>225</v>
      </c>
      <c r="F66" s="5">
        <f>ROUND(Source!AV61,O66)</f>
        <v>1378946.16</v>
      </c>
      <c r="G66" s="5" t="s">
        <v>207</v>
      </c>
      <c r="H66" s="5" t="s">
        <v>208</v>
      </c>
      <c r="I66" s="5"/>
      <c r="J66" s="5"/>
      <c r="K66" s="5">
        <v>225</v>
      </c>
      <c r="L66" s="5">
        <v>4</v>
      </c>
      <c r="M66" s="5">
        <v>3</v>
      </c>
      <c r="N66" s="5" t="s">
        <v>3</v>
      </c>
      <c r="O66" s="5">
        <v>2</v>
      </c>
      <c r="P66" s="5"/>
      <c r="Q66" s="5"/>
      <c r="R66" s="5"/>
      <c r="S66" s="5"/>
      <c r="T66" s="5"/>
      <c r="U66" s="5"/>
      <c r="V66" s="5"/>
      <c r="W66" s="5">
        <v>1378946.16</v>
      </c>
      <c r="X66" s="5">
        <v>1</v>
      </c>
      <c r="Y66" s="5">
        <v>1378946.16</v>
      </c>
      <c r="Z66" s="5"/>
      <c r="AA66" s="5"/>
      <c r="AB66" s="5"/>
    </row>
    <row r="67" spans="1:28" x14ac:dyDescent="0.2">
      <c r="A67" s="5">
        <v>50</v>
      </c>
      <c r="B67" s="5">
        <v>0</v>
      </c>
      <c r="C67" s="5">
        <v>0</v>
      </c>
      <c r="D67" s="5">
        <v>1</v>
      </c>
      <c r="E67" s="5">
        <v>226</v>
      </c>
      <c r="F67" s="5">
        <f>ROUND(Source!AW61,O67)</f>
        <v>1378946.16</v>
      </c>
      <c r="G67" s="5" t="s">
        <v>209</v>
      </c>
      <c r="H67" s="5" t="s">
        <v>210</v>
      </c>
      <c r="I67" s="5"/>
      <c r="J67" s="5"/>
      <c r="K67" s="5">
        <v>226</v>
      </c>
      <c r="L67" s="5">
        <v>5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1378946.16</v>
      </c>
      <c r="X67" s="5">
        <v>1</v>
      </c>
      <c r="Y67" s="5">
        <v>1378946.16</v>
      </c>
      <c r="Z67" s="5"/>
      <c r="AA67" s="5"/>
      <c r="AB67" s="5"/>
    </row>
    <row r="68" spans="1:28" x14ac:dyDescent="0.2">
      <c r="A68" s="5">
        <v>50</v>
      </c>
      <c r="B68" s="5">
        <v>0</v>
      </c>
      <c r="C68" s="5">
        <v>0</v>
      </c>
      <c r="D68" s="5">
        <v>1</v>
      </c>
      <c r="E68" s="5">
        <v>227</v>
      </c>
      <c r="F68" s="5">
        <f>ROUND(Source!AX61,O68)</f>
        <v>0</v>
      </c>
      <c r="G68" s="5" t="s">
        <v>211</v>
      </c>
      <c r="H68" s="5" t="s">
        <v>212</v>
      </c>
      <c r="I68" s="5"/>
      <c r="J68" s="5"/>
      <c r="K68" s="5">
        <v>227</v>
      </c>
      <c r="L68" s="5">
        <v>6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/>
      <c r="AA68" s="5"/>
      <c r="AB68" s="5"/>
    </row>
    <row r="69" spans="1:28" x14ac:dyDescent="0.2">
      <c r="A69" s="5">
        <v>50</v>
      </c>
      <c r="B69" s="5">
        <v>0</v>
      </c>
      <c r="C69" s="5">
        <v>0</v>
      </c>
      <c r="D69" s="5">
        <v>1</v>
      </c>
      <c r="E69" s="5">
        <v>228</v>
      </c>
      <c r="F69" s="5">
        <f>ROUND(Source!AY61,O69)</f>
        <v>1378946.16</v>
      </c>
      <c r="G69" s="5" t="s">
        <v>213</v>
      </c>
      <c r="H69" s="5" t="s">
        <v>214</v>
      </c>
      <c r="I69" s="5"/>
      <c r="J69" s="5"/>
      <c r="K69" s="5">
        <v>228</v>
      </c>
      <c r="L69" s="5">
        <v>7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1378946.16</v>
      </c>
      <c r="X69" s="5">
        <v>1</v>
      </c>
      <c r="Y69" s="5">
        <v>1378946.16</v>
      </c>
      <c r="Z69" s="5"/>
      <c r="AA69" s="5"/>
      <c r="AB69" s="5"/>
    </row>
    <row r="70" spans="1:28" x14ac:dyDescent="0.2">
      <c r="A70" s="5">
        <v>50</v>
      </c>
      <c r="B70" s="5">
        <v>0</v>
      </c>
      <c r="C70" s="5">
        <v>0</v>
      </c>
      <c r="D70" s="5">
        <v>1</v>
      </c>
      <c r="E70" s="5">
        <v>216</v>
      </c>
      <c r="F70" s="5">
        <f>ROUND(Source!AP61,O70)</f>
        <v>0</v>
      </c>
      <c r="G70" s="5" t="s">
        <v>215</v>
      </c>
      <c r="H70" s="5" t="s">
        <v>216</v>
      </c>
      <c r="I70" s="5"/>
      <c r="J70" s="5"/>
      <c r="K70" s="5">
        <v>216</v>
      </c>
      <c r="L70" s="5">
        <v>8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0</v>
      </c>
      <c r="X70" s="5">
        <v>1</v>
      </c>
      <c r="Y70" s="5">
        <v>0</v>
      </c>
      <c r="Z70" s="5"/>
      <c r="AA70" s="5"/>
      <c r="AB70" s="5"/>
    </row>
    <row r="71" spans="1:28" x14ac:dyDescent="0.2">
      <c r="A71" s="5">
        <v>50</v>
      </c>
      <c r="B71" s="5">
        <v>0</v>
      </c>
      <c r="C71" s="5">
        <v>0</v>
      </c>
      <c r="D71" s="5">
        <v>1</v>
      </c>
      <c r="E71" s="5">
        <v>223</v>
      </c>
      <c r="F71" s="5">
        <f>ROUND(Source!AQ61,O71)</f>
        <v>0</v>
      </c>
      <c r="G71" s="5" t="s">
        <v>217</v>
      </c>
      <c r="H71" s="5" t="s">
        <v>218</v>
      </c>
      <c r="I71" s="5"/>
      <c r="J71" s="5"/>
      <c r="K71" s="5">
        <v>223</v>
      </c>
      <c r="L71" s="5">
        <v>9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0</v>
      </c>
      <c r="X71" s="5">
        <v>1</v>
      </c>
      <c r="Y71" s="5">
        <v>0</v>
      </c>
      <c r="Z71" s="5"/>
      <c r="AA71" s="5"/>
      <c r="AB71" s="5"/>
    </row>
    <row r="72" spans="1:28" x14ac:dyDescent="0.2">
      <c r="A72" s="5">
        <v>50</v>
      </c>
      <c r="B72" s="5">
        <v>0</v>
      </c>
      <c r="C72" s="5">
        <v>0</v>
      </c>
      <c r="D72" s="5">
        <v>1</v>
      </c>
      <c r="E72" s="5">
        <v>229</v>
      </c>
      <c r="F72" s="5">
        <f>ROUND(Source!AZ61,O72)</f>
        <v>0</v>
      </c>
      <c r="G72" s="5" t="s">
        <v>219</v>
      </c>
      <c r="H72" s="5" t="s">
        <v>220</v>
      </c>
      <c r="I72" s="5"/>
      <c r="J72" s="5"/>
      <c r="K72" s="5">
        <v>229</v>
      </c>
      <c r="L72" s="5">
        <v>10</v>
      </c>
      <c r="M72" s="5">
        <v>3</v>
      </c>
      <c r="N72" s="5" t="s">
        <v>3</v>
      </c>
      <c r="O72" s="5">
        <v>2</v>
      </c>
      <c r="P72" s="5"/>
      <c r="Q72" s="5"/>
      <c r="R72" s="5"/>
      <c r="S72" s="5"/>
      <c r="T72" s="5"/>
      <c r="U72" s="5"/>
      <c r="V72" s="5"/>
      <c r="W72" s="5">
        <v>0</v>
      </c>
      <c r="X72" s="5">
        <v>1</v>
      </c>
      <c r="Y72" s="5">
        <v>0</v>
      </c>
      <c r="Z72" s="5"/>
      <c r="AA72" s="5"/>
      <c r="AB72" s="5"/>
    </row>
    <row r="73" spans="1:28" x14ac:dyDescent="0.2">
      <c r="A73" s="5">
        <v>50</v>
      </c>
      <c r="B73" s="5">
        <v>0</v>
      </c>
      <c r="C73" s="5">
        <v>0</v>
      </c>
      <c r="D73" s="5">
        <v>1</v>
      </c>
      <c r="E73" s="5">
        <v>203</v>
      </c>
      <c r="F73" s="5">
        <f>ROUND(Source!Q61,O73)</f>
        <v>196393.94</v>
      </c>
      <c r="G73" s="5" t="s">
        <v>221</v>
      </c>
      <c r="H73" s="5" t="s">
        <v>222</v>
      </c>
      <c r="I73" s="5"/>
      <c r="J73" s="5"/>
      <c r="K73" s="5">
        <v>203</v>
      </c>
      <c r="L73" s="5">
        <v>11</v>
      </c>
      <c r="M73" s="5">
        <v>3</v>
      </c>
      <c r="N73" s="5" t="s">
        <v>3</v>
      </c>
      <c r="O73" s="5">
        <v>2</v>
      </c>
      <c r="P73" s="5"/>
      <c r="Q73" s="5"/>
      <c r="R73" s="5"/>
      <c r="S73" s="5"/>
      <c r="T73" s="5"/>
      <c r="U73" s="5"/>
      <c r="V73" s="5"/>
      <c r="W73" s="5">
        <v>196393.94</v>
      </c>
      <c r="X73" s="5">
        <v>1</v>
      </c>
      <c r="Y73" s="5">
        <v>196393.94</v>
      </c>
      <c r="Z73" s="5"/>
      <c r="AA73" s="5"/>
      <c r="AB73" s="5"/>
    </row>
    <row r="74" spans="1:28" x14ac:dyDescent="0.2">
      <c r="A74" s="5">
        <v>50</v>
      </c>
      <c r="B74" s="5">
        <v>0</v>
      </c>
      <c r="C74" s="5">
        <v>0</v>
      </c>
      <c r="D74" s="5">
        <v>1</v>
      </c>
      <c r="E74" s="5">
        <v>231</v>
      </c>
      <c r="F74" s="5">
        <f>ROUND(Source!BB61,O74)</f>
        <v>0</v>
      </c>
      <c r="G74" s="5" t="s">
        <v>223</v>
      </c>
      <c r="H74" s="5" t="s">
        <v>224</v>
      </c>
      <c r="I74" s="5"/>
      <c r="J74" s="5"/>
      <c r="K74" s="5">
        <v>231</v>
      </c>
      <c r="L74" s="5">
        <v>12</v>
      </c>
      <c r="M74" s="5">
        <v>3</v>
      </c>
      <c r="N74" s="5" t="s">
        <v>3</v>
      </c>
      <c r="O74" s="5">
        <v>2</v>
      </c>
      <c r="P74" s="5"/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/>
      <c r="AA74" s="5"/>
      <c r="AB74" s="5"/>
    </row>
    <row r="75" spans="1:28" x14ac:dyDescent="0.2">
      <c r="A75" s="5">
        <v>50</v>
      </c>
      <c r="B75" s="5">
        <v>0</v>
      </c>
      <c r="C75" s="5">
        <v>0</v>
      </c>
      <c r="D75" s="5">
        <v>1</v>
      </c>
      <c r="E75" s="5">
        <v>204</v>
      </c>
      <c r="F75" s="5">
        <f>ROUND(Source!R61,O75)</f>
        <v>66499.55</v>
      </c>
      <c r="G75" s="5" t="s">
        <v>225</v>
      </c>
      <c r="H75" s="5" t="s">
        <v>226</v>
      </c>
      <c r="I75" s="5"/>
      <c r="J75" s="5"/>
      <c r="K75" s="5">
        <v>204</v>
      </c>
      <c r="L75" s="5">
        <v>13</v>
      </c>
      <c r="M75" s="5">
        <v>3</v>
      </c>
      <c r="N75" s="5" t="s">
        <v>3</v>
      </c>
      <c r="O75" s="5">
        <v>2</v>
      </c>
      <c r="P75" s="5"/>
      <c r="Q75" s="5"/>
      <c r="R75" s="5"/>
      <c r="S75" s="5"/>
      <c r="T75" s="5"/>
      <c r="U75" s="5"/>
      <c r="V75" s="5"/>
      <c r="W75" s="5">
        <v>66499.549999999988</v>
      </c>
      <c r="X75" s="5">
        <v>1</v>
      </c>
      <c r="Y75" s="5">
        <v>66499.549999999988</v>
      </c>
      <c r="Z75" s="5"/>
      <c r="AA75" s="5"/>
      <c r="AB75" s="5"/>
    </row>
    <row r="76" spans="1:28" x14ac:dyDescent="0.2">
      <c r="A76" s="5">
        <v>50</v>
      </c>
      <c r="B76" s="5">
        <v>0</v>
      </c>
      <c r="C76" s="5">
        <v>0</v>
      </c>
      <c r="D76" s="5">
        <v>1</v>
      </c>
      <c r="E76" s="5">
        <v>205</v>
      </c>
      <c r="F76" s="5">
        <f>ROUND(Source!S61,O76)</f>
        <v>771065.39</v>
      </c>
      <c r="G76" s="5" t="s">
        <v>227</v>
      </c>
      <c r="H76" s="5" t="s">
        <v>228</v>
      </c>
      <c r="I76" s="5"/>
      <c r="J76" s="5"/>
      <c r="K76" s="5">
        <v>205</v>
      </c>
      <c r="L76" s="5">
        <v>14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771065.39</v>
      </c>
      <c r="X76" s="5">
        <v>1</v>
      </c>
      <c r="Y76" s="5">
        <v>771065.39</v>
      </c>
      <c r="Z76" s="5"/>
      <c r="AA76" s="5"/>
      <c r="AB76" s="5"/>
    </row>
    <row r="77" spans="1:28" x14ac:dyDescent="0.2">
      <c r="A77" s="5">
        <v>50</v>
      </c>
      <c r="B77" s="5">
        <v>0</v>
      </c>
      <c r="C77" s="5">
        <v>0</v>
      </c>
      <c r="D77" s="5">
        <v>1</v>
      </c>
      <c r="E77" s="5">
        <v>232</v>
      </c>
      <c r="F77" s="5">
        <f>ROUND(Source!BC61,O77)</f>
        <v>0</v>
      </c>
      <c r="G77" s="5" t="s">
        <v>229</v>
      </c>
      <c r="H77" s="5" t="s">
        <v>230</v>
      </c>
      <c r="I77" s="5"/>
      <c r="J77" s="5"/>
      <c r="K77" s="5">
        <v>232</v>
      </c>
      <c r="L77" s="5">
        <v>15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0</v>
      </c>
      <c r="X77" s="5">
        <v>1</v>
      </c>
      <c r="Y77" s="5">
        <v>0</v>
      </c>
      <c r="Z77" s="5"/>
      <c r="AA77" s="5"/>
      <c r="AB77" s="5"/>
    </row>
    <row r="78" spans="1:28" x14ac:dyDescent="0.2">
      <c r="A78" s="5">
        <v>50</v>
      </c>
      <c r="B78" s="5">
        <v>0</v>
      </c>
      <c r="C78" s="5">
        <v>0</v>
      </c>
      <c r="D78" s="5">
        <v>1</v>
      </c>
      <c r="E78" s="5">
        <v>214</v>
      </c>
      <c r="F78" s="5">
        <f>ROUND(Source!AS61,O78)</f>
        <v>3718382.7</v>
      </c>
      <c r="G78" s="5" t="s">
        <v>231</v>
      </c>
      <c r="H78" s="5" t="s">
        <v>232</v>
      </c>
      <c r="I78" s="5"/>
      <c r="J78" s="5"/>
      <c r="K78" s="5">
        <v>214</v>
      </c>
      <c r="L78" s="5">
        <v>16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3718382.7</v>
      </c>
      <c r="X78" s="5">
        <v>1</v>
      </c>
      <c r="Y78" s="5">
        <v>3718382.7</v>
      </c>
      <c r="Z78" s="5"/>
      <c r="AA78" s="5"/>
      <c r="AB78" s="5"/>
    </row>
    <row r="79" spans="1:28" x14ac:dyDescent="0.2">
      <c r="A79" s="5">
        <v>50</v>
      </c>
      <c r="B79" s="5">
        <v>0</v>
      </c>
      <c r="C79" s="5">
        <v>0</v>
      </c>
      <c r="D79" s="5">
        <v>1</v>
      </c>
      <c r="E79" s="5">
        <v>215</v>
      </c>
      <c r="F79" s="5">
        <f>ROUND(Source!AT61,O79)</f>
        <v>0</v>
      </c>
      <c r="G79" s="5" t="s">
        <v>233</v>
      </c>
      <c r="H79" s="5" t="s">
        <v>234</v>
      </c>
      <c r="I79" s="5"/>
      <c r="J79" s="5"/>
      <c r="K79" s="5">
        <v>215</v>
      </c>
      <c r="L79" s="5">
        <v>17</v>
      </c>
      <c r="M79" s="5">
        <v>3</v>
      </c>
      <c r="N79" s="5" t="s">
        <v>3</v>
      </c>
      <c r="O79" s="5">
        <v>2</v>
      </c>
      <c r="P79" s="5"/>
      <c r="Q79" s="5"/>
      <c r="R79" s="5"/>
      <c r="S79" s="5"/>
      <c r="T79" s="5"/>
      <c r="U79" s="5"/>
      <c r="V79" s="5"/>
      <c r="W79" s="5">
        <v>0</v>
      </c>
      <c r="X79" s="5">
        <v>1</v>
      </c>
      <c r="Y79" s="5">
        <v>0</v>
      </c>
      <c r="Z79" s="5"/>
      <c r="AA79" s="5"/>
      <c r="AB79" s="5"/>
    </row>
    <row r="80" spans="1:28" x14ac:dyDescent="0.2">
      <c r="A80" s="5">
        <v>50</v>
      </c>
      <c r="B80" s="5">
        <v>0</v>
      </c>
      <c r="C80" s="5">
        <v>0</v>
      </c>
      <c r="D80" s="5">
        <v>1</v>
      </c>
      <c r="E80" s="5">
        <v>217</v>
      </c>
      <c r="F80" s="5">
        <f>ROUND(Source!AU61,O80)</f>
        <v>0</v>
      </c>
      <c r="G80" s="5" t="s">
        <v>235</v>
      </c>
      <c r="H80" s="5" t="s">
        <v>236</v>
      </c>
      <c r="I80" s="5"/>
      <c r="J80" s="5"/>
      <c r="K80" s="5">
        <v>217</v>
      </c>
      <c r="L80" s="5">
        <v>18</v>
      </c>
      <c r="M80" s="5">
        <v>3</v>
      </c>
      <c r="N80" s="5" t="s">
        <v>3</v>
      </c>
      <c r="O80" s="5">
        <v>2</v>
      </c>
      <c r="P80" s="5"/>
      <c r="Q80" s="5"/>
      <c r="R80" s="5"/>
      <c r="S80" s="5"/>
      <c r="T80" s="5"/>
      <c r="U80" s="5"/>
      <c r="V80" s="5"/>
      <c r="W80" s="5">
        <v>0</v>
      </c>
      <c r="X80" s="5">
        <v>1</v>
      </c>
      <c r="Y80" s="5">
        <v>0</v>
      </c>
      <c r="Z80" s="5"/>
      <c r="AA80" s="5"/>
      <c r="AB80" s="5"/>
    </row>
    <row r="81" spans="1:28" x14ac:dyDescent="0.2">
      <c r="A81" s="5">
        <v>50</v>
      </c>
      <c r="B81" s="5">
        <v>0</v>
      </c>
      <c r="C81" s="5">
        <v>0</v>
      </c>
      <c r="D81" s="5">
        <v>1</v>
      </c>
      <c r="E81" s="5">
        <v>230</v>
      </c>
      <c r="F81" s="5">
        <f>ROUND(Source!BA61,O81)</f>
        <v>0</v>
      </c>
      <c r="G81" s="5" t="s">
        <v>237</v>
      </c>
      <c r="H81" s="5" t="s">
        <v>238</v>
      </c>
      <c r="I81" s="5"/>
      <c r="J81" s="5"/>
      <c r="K81" s="5">
        <v>230</v>
      </c>
      <c r="L81" s="5">
        <v>19</v>
      </c>
      <c r="M81" s="5">
        <v>3</v>
      </c>
      <c r="N81" s="5" t="s">
        <v>3</v>
      </c>
      <c r="O81" s="5">
        <v>2</v>
      </c>
      <c r="P81" s="5"/>
      <c r="Q81" s="5"/>
      <c r="R81" s="5"/>
      <c r="S81" s="5"/>
      <c r="T81" s="5"/>
      <c r="U81" s="5"/>
      <c r="V81" s="5"/>
      <c r="W81" s="5">
        <v>0</v>
      </c>
      <c r="X81" s="5">
        <v>1</v>
      </c>
      <c r="Y81" s="5">
        <v>0</v>
      </c>
      <c r="Z81" s="5"/>
      <c r="AA81" s="5"/>
      <c r="AB81" s="5"/>
    </row>
    <row r="82" spans="1:28" x14ac:dyDescent="0.2">
      <c r="A82" s="5">
        <v>50</v>
      </c>
      <c r="B82" s="5">
        <v>0</v>
      </c>
      <c r="C82" s="5">
        <v>0</v>
      </c>
      <c r="D82" s="5">
        <v>1</v>
      </c>
      <c r="E82" s="5">
        <v>206</v>
      </c>
      <c r="F82" s="5">
        <f>ROUND(Source!T61,O82)</f>
        <v>0</v>
      </c>
      <c r="G82" s="5" t="s">
        <v>239</v>
      </c>
      <c r="H82" s="5" t="s">
        <v>240</v>
      </c>
      <c r="I82" s="5"/>
      <c r="J82" s="5"/>
      <c r="K82" s="5">
        <v>206</v>
      </c>
      <c r="L82" s="5">
        <v>20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0</v>
      </c>
      <c r="X82" s="5">
        <v>1</v>
      </c>
      <c r="Y82" s="5">
        <v>0</v>
      </c>
      <c r="Z82" s="5"/>
      <c r="AA82" s="5"/>
      <c r="AB82" s="5"/>
    </row>
    <row r="83" spans="1:28" x14ac:dyDescent="0.2">
      <c r="A83" s="5">
        <v>50</v>
      </c>
      <c r="B83" s="5">
        <v>0</v>
      </c>
      <c r="C83" s="5">
        <v>0</v>
      </c>
      <c r="D83" s="5">
        <v>1</v>
      </c>
      <c r="E83" s="5">
        <v>207</v>
      </c>
      <c r="F83" s="5">
        <f>ROUND(Source!U61,O83)</f>
        <v>2205.5652799999998</v>
      </c>
      <c r="G83" s="5" t="s">
        <v>241</v>
      </c>
      <c r="H83" s="5" t="s">
        <v>242</v>
      </c>
      <c r="I83" s="5"/>
      <c r="J83" s="5"/>
      <c r="K83" s="5">
        <v>207</v>
      </c>
      <c r="L83" s="5">
        <v>21</v>
      </c>
      <c r="M83" s="5">
        <v>3</v>
      </c>
      <c r="N83" s="5" t="s">
        <v>3</v>
      </c>
      <c r="O83" s="5">
        <v>7</v>
      </c>
      <c r="P83" s="5"/>
      <c r="Q83" s="5"/>
      <c r="R83" s="5"/>
      <c r="S83" s="5"/>
      <c r="T83" s="5"/>
      <c r="U83" s="5"/>
      <c r="V83" s="5"/>
      <c r="W83" s="5">
        <v>2205.5652799999998</v>
      </c>
      <c r="X83" s="5">
        <v>1</v>
      </c>
      <c r="Y83" s="5">
        <v>2205.5652799999998</v>
      </c>
      <c r="Z83" s="5"/>
      <c r="AA83" s="5"/>
      <c r="AB83" s="5"/>
    </row>
    <row r="84" spans="1:28" x14ac:dyDescent="0.2">
      <c r="A84" s="5">
        <v>50</v>
      </c>
      <c r="B84" s="5">
        <v>0</v>
      </c>
      <c r="C84" s="5">
        <v>0</v>
      </c>
      <c r="D84" s="5">
        <v>1</v>
      </c>
      <c r="E84" s="5">
        <v>208</v>
      </c>
      <c r="F84" s="5">
        <f>ROUND(Source!V61,O84)</f>
        <v>134.36314999999999</v>
      </c>
      <c r="G84" s="5" t="s">
        <v>243</v>
      </c>
      <c r="H84" s="5" t="s">
        <v>244</v>
      </c>
      <c r="I84" s="5"/>
      <c r="J84" s="5"/>
      <c r="K84" s="5">
        <v>208</v>
      </c>
      <c r="L84" s="5">
        <v>22</v>
      </c>
      <c r="M84" s="5">
        <v>3</v>
      </c>
      <c r="N84" s="5" t="s">
        <v>3</v>
      </c>
      <c r="O84" s="5">
        <v>7</v>
      </c>
      <c r="P84" s="5"/>
      <c r="Q84" s="5"/>
      <c r="R84" s="5"/>
      <c r="S84" s="5"/>
      <c r="T84" s="5"/>
      <c r="U84" s="5"/>
      <c r="V84" s="5"/>
      <c r="W84" s="5">
        <v>134.36314999999999</v>
      </c>
      <c r="X84" s="5">
        <v>1</v>
      </c>
      <c r="Y84" s="5">
        <v>134.36314999999999</v>
      </c>
      <c r="Z84" s="5"/>
      <c r="AA84" s="5"/>
      <c r="AB84" s="5"/>
    </row>
    <row r="85" spans="1:28" x14ac:dyDescent="0.2">
      <c r="A85" s="5">
        <v>50</v>
      </c>
      <c r="B85" s="5">
        <v>0</v>
      </c>
      <c r="C85" s="5">
        <v>0</v>
      </c>
      <c r="D85" s="5">
        <v>1</v>
      </c>
      <c r="E85" s="5">
        <v>209</v>
      </c>
      <c r="F85" s="5">
        <f>ROUND(Source!W61,O85)</f>
        <v>0</v>
      </c>
      <c r="G85" s="5" t="s">
        <v>245</v>
      </c>
      <c r="H85" s="5" t="s">
        <v>246</v>
      </c>
      <c r="I85" s="5"/>
      <c r="J85" s="5"/>
      <c r="K85" s="5">
        <v>209</v>
      </c>
      <c r="L85" s="5">
        <v>23</v>
      </c>
      <c r="M85" s="5">
        <v>3</v>
      </c>
      <c r="N85" s="5" t="s">
        <v>3</v>
      </c>
      <c r="O85" s="5">
        <v>2</v>
      </c>
      <c r="P85" s="5"/>
      <c r="Q85" s="5"/>
      <c r="R85" s="5"/>
      <c r="S85" s="5"/>
      <c r="T85" s="5"/>
      <c r="U85" s="5"/>
      <c r="V85" s="5"/>
      <c r="W85" s="5">
        <v>0</v>
      </c>
      <c r="X85" s="5">
        <v>1</v>
      </c>
      <c r="Y85" s="5">
        <v>0</v>
      </c>
      <c r="Z85" s="5"/>
      <c r="AA85" s="5"/>
      <c r="AB85" s="5"/>
    </row>
    <row r="86" spans="1:28" x14ac:dyDescent="0.2">
      <c r="A86" s="5">
        <v>50</v>
      </c>
      <c r="B86" s="5">
        <v>0</v>
      </c>
      <c r="C86" s="5">
        <v>0</v>
      </c>
      <c r="D86" s="5">
        <v>1</v>
      </c>
      <c r="E86" s="5">
        <v>233</v>
      </c>
      <c r="F86" s="5">
        <f>ROUND(Source!BD61,O86)</f>
        <v>42868.17</v>
      </c>
      <c r="G86" s="5" t="s">
        <v>247</v>
      </c>
      <c r="H86" s="5" t="s">
        <v>248</v>
      </c>
      <c r="I86" s="5"/>
      <c r="J86" s="5"/>
      <c r="K86" s="5">
        <v>233</v>
      </c>
      <c r="L86" s="5">
        <v>24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42868.17</v>
      </c>
      <c r="X86" s="5">
        <v>1</v>
      </c>
      <c r="Y86" s="5">
        <v>42868.17</v>
      </c>
      <c r="Z86" s="5"/>
      <c r="AA86" s="5"/>
      <c r="AB86" s="5"/>
    </row>
    <row r="87" spans="1:28" x14ac:dyDescent="0.2">
      <c r="A87" s="5">
        <v>50</v>
      </c>
      <c r="B87" s="5">
        <v>0</v>
      </c>
      <c r="C87" s="5">
        <v>0</v>
      </c>
      <c r="D87" s="5">
        <v>1</v>
      </c>
      <c r="E87" s="5">
        <v>210</v>
      </c>
      <c r="F87" s="5">
        <f>ROUND(Source!X61,O87)</f>
        <v>837034.22</v>
      </c>
      <c r="G87" s="5" t="s">
        <v>249</v>
      </c>
      <c r="H87" s="5" t="s">
        <v>250</v>
      </c>
      <c r="I87" s="5"/>
      <c r="J87" s="5"/>
      <c r="K87" s="5">
        <v>210</v>
      </c>
      <c r="L87" s="5">
        <v>25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837034.22</v>
      </c>
      <c r="X87" s="5">
        <v>1</v>
      </c>
      <c r="Y87" s="5">
        <v>837034.22</v>
      </c>
      <c r="Z87" s="5"/>
      <c r="AA87" s="5"/>
      <c r="AB87" s="5"/>
    </row>
    <row r="88" spans="1:28" x14ac:dyDescent="0.2">
      <c r="A88" s="5">
        <v>50</v>
      </c>
      <c r="B88" s="5">
        <v>0</v>
      </c>
      <c r="C88" s="5">
        <v>0</v>
      </c>
      <c r="D88" s="5">
        <v>1</v>
      </c>
      <c r="E88" s="5">
        <v>211</v>
      </c>
      <c r="F88" s="5">
        <f>ROUND(Source!Y61,O88)</f>
        <v>425575.27</v>
      </c>
      <c r="G88" s="5" t="s">
        <v>251</v>
      </c>
      <c r="H88" s="5" t="s">
        <v>252</v>
      </c>
      <c r="I88" s="5"/>
      <c r="J88" s="5"/>
      <c r="K88" s="5">
        <v>211</v>
      </c>
      <c r="L88" s="5">
        <v>26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425575.27</v>
      </c>
      <c r="X88" s="5">
        <v>1</v>
      </c>
      <c r="Y88" s="5">
        <v>425575.27</v>
      </c>
      <c r="Z88" s="5"/>
      <c r="AA88" s="5"/>
      <c r="AB88" s="5"/>
    </row>
    <row r="89" spans="1:28" x14ac:dyDescent="0.2">
      <c r="A89" s="5">
        <v>50</v>
      </c>
      <c r="B89" s="5">
        <v>0</v>
      </c>
      <c r="C89" s="5">
        <v>0</v>
      </c>
      <c r="D89" s="5">
        <v>1</v>
      </c>
      <c r="E89" s="5">
        <v>224</v>
      </c>
      <c r="F89" s="5">
        <f>ROUND(Source!AR61,O89)</f>
        <v>3718382.7</v>
      </c>
      <c r="G89" s="5" t="s">
        <v>253</v>
      </c>
      <c r="H89" s="5" t="s">
        <v>254</v>
      </c>
      <c r="I89" s="5"/>
      <c r="J89" s="5"/>
      <c r="K89" s="5">
        <v>224</v>
      </c>
      <c r="L89" s="5">
        <v>27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3718382.7</v>
      </c>
      <c r="X89" s="5">
        <v>1</v>
      </c>
      <c r="Y89" s="5">
        <v>3718382.7</v>
      </c>
      <c r="Z89" s="5"/>
      <c r="AA89" s="5"/>
      <c r="AB89" s="5"/>
    </row>
    <row r="90" spans="1:28" x14ac:dyDescent="0.2">
      <c r="A90" s="5">
        <v>50</v>
      </c>
      <c r="B90" s="5">
        <v>1</v>
      </c>
      <c r="C90" s="5">
        <v>0</v>
      </c>
      <c r="D90" s="5">
        <v>2</v>
      </c>
      <c r="E90" s="5">
        <v>0</v>
      </c>
      <c r="F90" s="5">
        <f>ROUND(F89+1.08-0.03,O90)</f>
        <v>3718383.75</v>
      </c>
      <c r="G90" s="5" t="s">
        <v>255</v>
      </c>
      <c r="H90" s="5" t="s">
        <v>256</v>
      </c>
      <c r="I90" s="5"/>
      <c r="J90" s="5"/>
      <c r="K90" s="5">
        <v>212</v>
      </c>
      <c r="L90" s="5">
        <v>28</v>
      </c>
      <c r="M90" s="5">
        <v>0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3718383.75</v>
      </c>
      <c r="X90" s="5">
        <v>1</v>
      </c>
      <c r="Y90" s="5">
        <v>3718383.75</v>
      </c>
      <c r="Z90" s="5"/>
      <c r="AA90" s="5"/>
      <c r="AB90" s="5"/>
    </row>
    <row r="91" spans="1:28" x14ac:dyDescent="0.2">
      <c r="A91" s="5">
        <v>50</v>
      </c>
      <c r="B91" s="5">
        <v>1</v>
      </c>
      <c r="C91" s="5">
        <v>0</v>
      </c>
      <c r="D91" s="5">
        <v>2</v>
      </c>
      <c r="E91" s="5">
        <v>0</v>
      </c>
      <c r="F91" s="5">
        <f>ROUND(F90*0.02,O91)</f>
        <v>74367.679999999993</v>
      </c>
      <c r="G91" s="5" t="s">
        <v>17</v>
      </c>
      <c r="H91" s="5" t="s">
        <v>257</v>
      </c>
      <c r="I91" s="5"/>
      <c r="J91" s="5"/>
      <c r="K91" s="5">
        <v>212</v>
      </c>
      <c r="L91" s="5">
        <v>29</v>
      </c>
      <c r="M91" s="5">
        <v>0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74367.679999999993</v>
      </c>
      <c r="X91" s="5">
        <v>1</v>
      </c>
      <c r="Y91" s="5">
        <v>74367.679999999993</v>
      </c>
      <c r="Z91" s="5"/>
      <c r="AA91" s="5"/>
      <c r="AB91" s="5"/>
    </row>
    <row r="92" spans="1:28" x14ac:dyDescent="0.2">
      <c r="A92" s="5">
        <v>50</v>
      </c>
      <c r="B92" s="5">
        <v>1</v>
      </c>
      <c r="C92" s="5">
        <v>0</v>
      </c>
      <c r="D92" s="5">
        <v>2</v>
      </c>
      <c r="E92" s="5">
        <v>0</v>
      </c>
      <c r="F92" s="5">
        <f>ROUND(F91+F90,O92)</f>
        <v>3792751.43</v>
      </c>
      <c r="G92" s="5" t="s">
        <v>28</v>
      </c>
      <c r="H92" s="5" t="s">
        <v>258</v>
      </c>
      <c r="I92" s="5"/>
      <c r="J92" s="5"/>
      <c r="K92" s="5">
        <v>212</v>
      </c>
      <c r="L92" s="5">
        <v>30</v>
      </c>
      <c r="M92" s="5">
        <v>0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3792751.43</v>
      </c>
      <c r="X92" s="5">
        <v>1</v>
      </c>
      <c r="Y92" s="5">
        <v>3792751.43</v>
      </c>
      <c r="Z92" s="5"/>
      <c r="AA92" s="5"/>
      <c r="AB92" s="5"/>
    </row>
    <row r="93" spans="1:28" x14ac:dyDescent="0.2">
      <c r="A93" s="5">
        <v>50</v>
      </c>
      <c r="B93" s="5">
        <v>1</v>
      </c>
      <c r="C93" s="5">
        <v>0</v>
      </c>
      <c r="D93" s="5">
        <v>2</v>
      </c>
      <c r="E93" s="5">
        <v>0</v>
      </c>
      <c r="F93" s="5">
        <f>ROUND(F92*0.22,O93)</f>
        <v>834405.31</v>
      </c>
      <c r="G93" s="5" t="s">
        <v>259</v>
      </c>
      <c r="H93" s="5" t="s">
        <v>260</v>
      </c>
      <c r="I93" s="5"/>
      <c r="J93" s="5"/>
      <c r="K93" s="5">
        <v>212</v>
      </c>
      <c r="L93" s="5">
        <v>31</v>
      </c>
      <c r="M93" s="5">
        <v>0</v>
      </c>
      <c r="N93" s="5" t="s">
        <v>261</v>
      </c>
      <c r="O93" s="5">
        <v>2</v>
      </c>
      <c r="P93" s="5"/>
      <c r="Q93" s="5"/>
      <c r="R93" s="5"/>
      <c r="S93" s="5"/>
      <c r="T93" s="5"/>
      <c r="U93" s="5"/>
      <c r="V93" s="5"/>
      <c r="W93" s="5">
        <v>834405.31</v>
      </c>
      <c r="X93" s="5">
        <v>1</v>
      </c>
      <c r="Y93" s="5">
        <v>834405.31</v>
      </c>
      <c r="Z93" s="5"/>
      <c r="AA93" s="5"/>
      <c r="AB93" s="5"/>
    </row>
    <row r="94" spans="1:28" x14ac:dyDescent="0.2">
      <c r="A94" s="5">
        <v>50</v>
      </c>
      <c r="B94" s="5">
        <v>1</v>
      </c>
      <c r="C94" s="5">
        <v>0</v>
      </c>
      <c r="D94" s="5">
        <v>2</v>
      </c>
      <c r="E94" s="5">
        <v>213</v>
      </c>
      <c r="F94" s="5">
        <f>ROUND(F92+F93,O94)</f>
        <v>4627156.74</v>
      </c>
      <c r="G94" s="5" t="s">
        <v>262</v>
      </c>
      <c r="H94" s="5" t="s">
        <v>263</v>
      </c>
      <c r="I94" s="5"/>
      <c r="J94" s="5"/>
      <c r="K94" s="5">
        <v>212</v>
      </c>
      <c r="L94" s="5">
        <v>32</v>
      </c>
      <c r="M94" s="5">
        <v>0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4627156.74</v>
      </c>
      <c r="X94" s="5">
        <v>1</v>
      </c>
      <c r="Y94" s="5">
        <v>4627156.74</v>
      </c>
      <c r="Z94" s="5"/>
      <c r="AA94" s="5"/>
      <c r="AB94" s="5"/>
    </row>
    <row r="95" spans="1:28" x14ac:dyDescent="0.2">
      <c r="A95" s="5">
        <v>50</v>
      </c>
      <c r="B95" s="5">
        <v>1</v>
      </c>
      <c r="C95" s="5">
        <v>0</v>
      </c>
      <c r="D95" s="5">
        <v>2</v>
      </c>
      <c r="E95" s="5">
        <v>0</v>
      </c>
      <c r="F95" s="5">
        <v>3792751.43</v>
      </c>
      <c r="G95" s="5" t="s">
        <v>42</v>
      </c>
      <c r="H95" s="5" t="s">
        <v>264</v>
      </c>
      <c r="I95" s="5"/>
      <c r="J95" s="5"/>
      <c r="K95" s="5">
        <v>212</v>
      </c>
      <c r="L95" s="5">
        <v>33</v>
      </c>
      <c r="M95" s="5">
        <v>0</v>
      </c>
      <c r="N95" s="5" t="s">
        <v>3</v>
      </c>
      <c r="O95" s="5">
        <v>-1</v>
      </c>
      <c r="P95" s="5"/>
      <c r="Q95" s="5"/>
      <c r="R95" s="5"/>
      <c r="S95" s="5"/>
      <c r="T95" s="5"/>
      <c r="U95" s="5"/>
      <c r="V95" s="5"/>
      <c r="W95" s="5">
        <v>3792751.43</v>
      </c>
      <c r="X95" s="5">
        <v>1</v>
      </c>
      <c r="Y95" s="5">
        <v>3792751.43</v>
      </c>
      <c r="Z95" s="5"/>
      <c r="AA95" s="5"/>
      <c r="AB95" s="5"/>
    </row>
    <row r="96" spans="1:28" x14ac:dyDescent="0.2">
      <c r="A96" s="5">
        <v>50</v>
      </c>
      <c r="B96" s="5">
        <v>1</v>
      </c>
      <c r="C96" s="5">
        <v>0</v>
      </c>
      <c r="D96" s="5">
        <v>2</v>
      </c>
      <c r="E96" s="5">
        <v>0</v>
      </c>
      <c r="F96" s="5">
        <f>ROUND(F92-F95,O96)</f>
        <v>0</v>
      </c>
      <c r="G96" s="5" t="s">
        <v>47</v>
      </c>
      <c r="H96" s="5" t="s">
        <v>265</v>
      </c>
      <c r="I96" s="5"/>
      <c r="J96" s="5"/>
      <c r="K96" s="5">
        <v>212</v>
      </c>
      <c r="L96" s="5">
        <v>34</v>
      </c>
      <c r="M96" s="5">
        <v>0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0</v>
      </c>
      <c r="X96" s="5">
        <v>1</v>
      </c>
      <c r="Y96" s="5">
        <v>0</v>
      </c>
      <c r="Z96" s="5"/>
      <c r="AA96" s="5"/>
      <c r="AB96" s="5"/>
    </row>
    <row r="98" spans="1:206" x14ac:dyDescent="0.2">
      <c r="A98" s="3">
        <v>51</v>
      </c>
      <c r="B98" s="3">
        <f>B12</f>
        <v>158</v>
      </c>
      <c r="C98" s="3">
        <f>A12</f>
        <v>1</v>
      </c>
      <c r="D98" s="3">
        <f>ROW(A12)</f>
        <v>12</v>
      </c>
      <c r="E98" s="3"/>
      <c r="F98" s="3" t="str">
        <f>IF(F12&lt;&gt;"",F12,"")</f>
        <v>Новый объект_(Копия)</v>
      </c>
      <c r="G98" s="3" t="str">
        <f>IF(G12&lt;&gt;"",G12,"")</f>
        <v>Ремонт кровли ОПС Красные Четаи</v>
      </c>
      <c r="H98" s="3">
        <v>0</v>
      </c>
      <c r="I98" s="3"/>
      <c r="J98" s="3"/>
      <c r="K98" s="3"/>
      <c r="L98" s="3"/>
      <c r="M98" s="3"/>
      <c r="N98" s="3"/>
      <c r="O98" s="3">
        <f t="shared" ref="O98:T98" si="38">ROUND(O61,2)</f>
        <v>2412905.04</v>
      </c>
      <c r="P98" s="3">
        <f t="shared" si="38"/>
        <v>1378946.16</v>
      </c>
      <c r="Q98" s="3">
        <f t="shared" si="38"/>
        <v>196393.94</v>
      </c>
      <c r="R98" s="3">
        <f t="shared" si="38"/>
        <v>66499.55</v>
      </c>
      <c r="S98" s="3">
        <f t="shared" si="38"/>
        <v>771065.39</v>
      </c>
      <c r="T98" s="3">
        <f t="shared" si="38"/>
        <v>0</v>
      </c>
      <c r="U98" s="3">
        <f>U61</f>
        <v>2205.5652800000003</v>
      </c>
      <c r="V98" s="3">
        <f>V61</f>
        <v>134.36314999999996</v>
      </c>
      <c r="W98" s="3">
        <f>ROUND(W61,2)</f>
        <v>0</v>
      </c>
      <c r="X98" s="3">
        <f>ROUND(X61,2)</f>
        <v>837034.22</v>
      </c>
      <c r="Y98" s="3">
        <f>ROUND(Y61,2)</f>
        <v>425575.27</v>
      </c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>
        <f t="shared" ref="AO98:BD98" si="39">ROUND(AO61,2)</f>
        <v>0</v>
      </c>
      <c r="AP98" s="3">
        <f t="shared" si="39"/>
        <v>0</v>
      </c>
      <c r="AQ98" s="3">
        <f t="shared" si="39"/>
        <v>0</v>
      </c>
      <c r="AR98" s="3">
        <f t="shared" si="39"/>
        <v>3718382.7</v>
      </c>
      <c r="AS98" s="3">
        <f t="shared" si="39"/>
        <v>3718382.7</v>
      </c>
      <c r="AT98" s="3">
        <f t="shared" si="39"/>
        <v>0</v>
      </c>
      <c r="AU98" s="3">
        <f t="shared" si="39"/>
        <v>0</v>
      </c>
      <c r="AV98" s="3">
        <f t="shared" si="39"/>
        <v>1378946.16</v>
      </c>
      <c r="AW98" s="3">
        <f t="shared" si="39"/>
        <v>1378946.16</v>
      </c>
      <c r="AX98" s="3">
        <f t="shared" si="39"/>
        <v>0</v>
      </c>
      <c r="AY98" s="3">
        <f t="shared" si="39"/>
        <v>1378946.16</v>
      </c>
      <c r="AZ98" s="3">
        <f t="shared" si="39"/>
        <v>0</v>
      </c>
      <c r="BA98" s="3">
        <f t="shared" si="39"/>
        <v>0</v>
      </c>
      <c r="BB98" s="3">
        <f t="shared" si="39"/>
        <v>0</v>
      </c>
      <c r="BC98" s="3">
        <f t="shared" si="39"/>
        <v>0</v>
      </c>
      <c r="BD98" s="3">
        <f t="shared" si="39"/>
        <v>42868.17</v>
      </c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>
        <v>0</v>
      </c>
    </row>
    <row r="100" spans="1:206" x14ac:dyDescent="0.2">
      <c r="A100" s="5">
        <v>50</v>
      </c>
      <c r="B100" s="5">
        <v>0</v>
      </c>
      <c r="C100" s="5">
        <v>0</v>
      </c>
      <c r="D100" s="5">
        <v>1</v>
      </c>
      <c r="E100" s="5">
        <v>201</v>
      </c>
      <c r="F100" s="5">
        <f>ROUND(Source!O98,O100)</f>
        <v>2412905.04</v>
      </c>
      <c r="G100" s="5" t="s">
        <v>201</v>
      </c>
      <c r="H100" s="5" t="s">
        <v>202</v>
      </c>
      <c r="I100" s="5"/>
      <c r="J100" s="5"/>
      <c r="K100" s="5">
        <v>201</v>
      </c>
      <c r="L100" s="5">
        <v>1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2455773.21</v>
      </c>
      <c r="X100" s="5">
        <v>1</v>
      </c>
      <c r="Y100" s="5">
        <v>2455773.21</v>
      </c>
      <c r="Z100" s="5"/>
      <c r="AA100" s="5"/>
      <c r="AB100" s="5"/>
    </row>
    <row r="101" spans="1:206" x14ac:dyDescent="0.2">
      <c r="A101" s="5">
        <v>50</v>
      </c>
      <c r="B101" s="5">
        <v>0</v>
      </c>
      <c r="C101" s="5">
        <v>0</v>
      </c>
      <c r="D101" s="5">
        <v>1</v>
      </c>
      <c r="E101" s="5">
        <v>202</v>
      </c>
      <c r="F101" s="5">
        <f>ROUND(Source!P98,O101)</f>
        <v>1378946.16</v>
      </c>
      <c r="G101" s="5" t="s">
        <v>203</v>
      </c>
      <c r="H101" s="5" t="s">
        <v>204</v>
      </c>
      <c r="I101" s="5"/>
      <c r="J101" s="5"/>
      <c r="K101" s="5">
        <v>202</v>
      </c>
      <c r="L101" s="5">
        <v>2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1378946.16</v>
      </c>
      <c r="X101" s="5">
        <v>1</v>
      </c>
      <c r="Y101" s="5">
        <v>1378946.16</v>
      </c>
      <c r="Z101" s="5"/>
      <c r="AA101" s="5"/>
      <c r="AB101" s="5"/>
    </row>
    <row r="102" spans="1:206" x14ac:dyDescent="0.2">
      <c r="A102" s="5">
        <v>50</v>
      </c>
      <c r="B102" s="5">
        <v>0</v>
      </c>
      <c r="C102" s="5">
        <v>0</v>
      </c>
      <c r="D102" s="5">
        <v>1</v>
      </c>
      <c r="E102" s="5">
        <v>222</v>
      </c>
      <c r="F102" s="5">
        <f>ROUND(Source!AO98,O102)</f>
        <v>0</v>
      </c>
      <c r="G102" s="5" t="s">
        <v>205</v>
      </c>
      <c r="H102" s="5" t="s">
        <v>206</v>
      </c>
      <c r="I102" s="5"/>
      <c r="J102" s="5"/>
      <c r="K102" s="5">
        <v>222</v>
      </c>
      <c r="L102" s="5">
        <v>3</v>
      </c>
      <c r="M102" s="5">
        <v>3</v>
      </c>
      <c r="N102" s="5" t="s">
        <v>3</v>
      </c>
      <c r="O102" s="5">
        <v>2</v>
      </c>
      <c r="P102" s="5"/>
      <c r="Q102" s="5"/>
      <c r="R102" s="5"/>
      <c r="S102" s="5"/>
      <c r="T102" s="5"/>
      <c r="U102" s="5"/>
      <c r="V102" s="5"/>
      <c r="W102" s="5">
        <v>0</v>
      </c>
      <c r="X102" s="5">
        <v>1</v>
      </c>
      <c r="Y102" s="5">
        <v>0</v>
      </c>
      <c r="Z102" s="5"/>
      <c r="AA102" s="5"/>
      <c r="AB102" s="5"/>
    </row>
    <row r="103" spans="1:206" x14ac:dyDescent="0.2">
      <c r="A103" s="5">
        <v>50</v>
      </c>
      <c r="B103" s="5">
        <v>0</v>
      </c>
      <c r="C103" s="5">
        <v>0</v>
      </c>
      <c r="D103" s="5">
        <v>1</v>
      </c>
      <c r="E103" s="5">
        <v>225</v>
      </c>
      <c r="F103" s="5">
        <f>ROUND(Source!AV98,O103)</f>
        <v>1378946.16</v>
      </c>
      <c r="G103" s="5" t="s">
        <v>207</v>
      </c>
      <c r="H103" s="5" t="s">
        <v>208</v>
      </c>
      <c r="I103" s="5"/>
      <c r="J103" s="5"/>
      <c r="K103" s="5">
        <v>225</v>
      </c>
      <c r="L103" s="5">
        <v>4</v>
      </c>
      <c r="M103" s="5">
        <v>3</v>
      </c>
      <c r="N103" s="5" t="s">
        <v>3</v>
      </c>
      <c r="O103" s="5">
        <v>2</v>
      </c>
      <c r="P103" s="5"/>
      <c r="Q103" s="5"/>
      <c r="R103" s="5"/>
      <c r="S103" s="5"/>
      <c r="T103" s="5"/>
      <c r="U103" s="5"/>
      <c r="V103" s="5"/>
      <c r="W103" s="5">
        <v>1378946.16</v>
      </c>
      <c r="X103" s="5">
        <v>1</v>
      </c>
      <c r="Y103" s="5">
        <v>1378946.16</v>
      </c>
      <c r="Z103" s="5"/>
      <c r="AA103" s="5"/>
      <c r="AB103" s="5"/>
    </row>
    <row r="104" spans="1:206" x14ac:dyDescent="0.2">
      <c r="A104" s="5">
        <v>50</v>
      </c>
      <c r="B104" s="5">
        <v>0</v>
      </c>
      <c r="C104" s="5">
        <v>0</v>
      </c>
      <c r="D104" s="5">
        <v>1</v>
      </c>
      <c r="E104" s="5">
        <v>226</v>
      </c>
      <c r="F104" s="5">
        <f>ROUND(Source!AW98,O104)</f>
        <v>1378946.16</v>
      </c>
      <c r="G104" s="5" t="s">
        <v>209</v>
      </c>
      <c r="H104" s="5" t="s">
        <v>210</v>
      </c>
      <c r="I104" s="5"/>
      <c r="J104" s="5"/>
      <c r="K104" s="5">
        <v>226</v>
      </c>
      <c r="L104" s="5">
        <v>5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1378946.16</v>
      </c>
      <c r="X104" s="5">
        <v>1</v>
      </c>
      <c r="Y104" s="5">
        <v>1378946.16</v>
      </c>
      <c r="Z104" s="5"/>
      <c r="AA104" s="5"/>
      <c r="AB104" s="5"/>
    </row>
    <row r="105" spans="1:206" x14ac:dyDescent="0.2">
      <c r="A105" s="5">
        <v>50</v>
      </c>
      <c r="B105" s="5">
        <v>0</v>
      </c>
      <c r="C105" s="5">
        <v>0</v>
      </c>
      <c r="D105" s="5">
        <v>1</v>
      </c>
      <c r="E105" s="5">
        <v>227</v>
      </c>
      <c r="F105" s="5">
        <f>ROUND(Source!AX98,O105)</f>
        <v>0</v>
      </c>
      <c r="G105" s="5" t="s">
        <v>211</v>
      </c>
      <c r="H105" s="5" t="s">
        <v>212</v>
      </c>
      <c r="I105" s="5"/>
      <c r="J105" s="5"/>
      <c r="K105" s="5">
        <v>227</v>
      </c>
      <c r="L105" s="5">
        <v>6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0</v>
      </c>
      <c r="X105" s="5">
        <v>1</v>
      </c>
      <c r="Y105" s="5">
        <v>0</v>
      </c>
      <c r="Z105" s="5"/>
      <c r="AA105" s="5"/>
      <c r="AB105" s="5"/>
    </row>
    <row r="106" spans="1:206" x14ac:dyDescent="0.2">
      <c r="A106" s="5">
        <v>50</v>
      </c>
      <c r="B106" s="5">
        <v>0</v>
      </c>
      <c r="C106" s="5">
        <v>0</v>
      </c>
      <c r="D106" s="5">
        <v>1</v>
      </c>
      <c r="E106" s="5">
        <v>228</v>
      </c>
      <c r="F106" s="5">
        <f>ROUND(Source!AY98,O106)</f>
        <v>1378946.16</v>
      </c>
      <c r="G106" s="5" t="s">
        <v>213</v>
      </c>
      <c r="H106" s="5" t="s">
        <v>214</v>
      </c>
      <c r="I106" s="5"/>
      <c r="J106" s="5"/>
      <c r="K106" s="5">
        <v>228</v>
      </c>
      <c r="L106" s="5">
        <v>7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1378946.16</v>
      </c>
      <c r="X106" s="5">
        <v>1</v>
      </c>
      <c r="Y106" s="5">
        <v>1378946.16</v>
      </c>
      <c r="Z106" s="5"/>
      <c r="AA106" s="5"/>
      <c r="AB106" s="5"/>
    </row>
    <row r="107" spans="1:206" x14ac:dyDescent="0.2">
      <c r="A107" s="5">
        <v>50</v>
      </c>
      <c r="B107" s="5">
        <v>0</v>
      </c>
      <c r="C107" s="5">
        <v>0</v>
      </c>
      <c r="D107" s="5">
        <v>1</v>
      </c>
      <c r="E107" s="5">
        <v>216</v>
      </c>
      <c r="F107" s="5">
        <f>ROUND(Source!AP98,O107)</f>
        <v>0</v>
      </c>
      <c r="G107" s="5" t="s">
        <v>215</v>
      </c>
      <c r="H107" s="5" t="s">
        <v>216</v>
      </c>
      <c r="I107" s="5"/>
      <c r="J107" s="5"/>
      <c r="K107" s="5">
        <v>216</v>
      </c>
      <c r="L107" s="5">
        <v>8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0</v>
      </c>
      <c r="X107" s="5">
        <v>1</v>
      </c>
      <c r="Y107" s="5">
        <v>0</v>
      </c>
      <c r="Z107" s="5"/>
      <c r="AA107" s="5"/>
      <c r="AB107" s="5"/>
    </row>
    <row r="108" spans="1:206" x14ac:dyDescent="0.2">
      <c r="A108" s="5">
        <v>50</v>
      </c>
      <c r="B108" s="5">
        <v>0</v>
      </c>
      <c r="C108" s="5">
        <v>0</v>
      </c>
      <c r="D108" s="5">
        <v>1</v>
      </c>
      <c r="E108" s="5">
        <v>223</v>
      </c>
      <c r="F108" s="5">
        <f>ROUND(Source!AQ98,O108)</f>
        <v>0</v>
      </c>
      <c r="G108" s="5" t="s">
        <v>217</v>
      </c>
      <c r="H108" s="5" t="s">
        <v>218</v>
      </c>
      <c r="I108" s="5"/>
      <c r="J108" s="5"/>
      <c r="K108" s="5">
        <v>223</v>
      </c>
      <c r="L108" s="5">
        <v>9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0</v>
      </c>
      <c r="X108" s="5">
        <v>1</v>
      </c>
      <c r="Y108" s="5">
        <v>0</v>
      </c>
      <c r="Z108" s="5"/>
      <c r="AA108" s="5"/>
      <c r="AB108" s="5"/>
    </row>
    <row r="109" spans="1:206" x14ac:dyDescent="0.2">
      <c r="A109" s="5">
        <v>50</v>
      </c>
      <c r="B109" s="5">
        <v>0</v>
      </c>
      <c r="C109" s="5">
        <v>0</v>
      </c>
      <c r="D109" s="5">
        <v>1</v>
      </c>
      <c r="E109" s="5">
        <v>229</v>
      </c>
      <c r="F109" s="5">
        <f>ROUND(Source!AZ98,O109)</f>
        <v>0</v>
      </c>
      <c r="G109" s="5" t="s">
        <v>219</v>
      </c>
      <c r="H109" s="5" t="s">
        <v>220</v>
      </c>
      <c r="I109" s="5"/>
      <c r="J109" s="5"/>
      <c r="K109" s="5">
        <v>229</v>
      </c>
      <c r="L109" s="5">
        <v>10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0</v>
      </c>
      <c r="X109" s="5">
        <v>1</v>
      </c>
      <c r="Y109" s="5">
        <v>0</v>
      </c>
      <c r="Z109" s="5"/>
      <c r="AA109" s="5"/>
      <c r="AB109" s="5"/>
    </row>
    <row r="110" spans="1:206" x14ac:dyDescent="0.2">
      <c r="A110" s="5">
        <v>50</v>
      </c>
      <c r="B110" s="5">
        <v>0</v>
      </c>
      <c r="C110" s="5">
        <v>0</v>
      </c>
      <c r="D110" s="5">
        <v>1</v>
      </c>
      <c r="E110" s="5">
        <v>203</v>
      </c>
      <c r="F110" s="5">
        <f>ROUND(Source!Q98,O110)</f>
        <v>196393.94</v>
      </c>
      <c r="G110" s="5" t="s">
        <v>221</v>
      </c>
      <c r="H110" s="5" t="s">
        <v>222</v>
      </c>
      <c r="I110" s="5"/>
      <c r="J110" s="5"/>
      <c r="K110" s="5">
        <v>203</v>
      </c>
      <c r="L110" s="5">
        <v>11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196393.94</v>
      </c>
      <c r="X110" s="5">
        <v>1</v>
      </c>
      <c r="Y110" s="5">
        <v>196393.94</v>
      </c>
      <c r="Z110" s="5"/>
      <c r="AA110" s="5"/>
      <c r="AB110" s="5"/>
    </row>
    <row r="111" spans="1:206" x14ac:dyDescent="0.2">
      <c r="A111" s="5">
        <v>50</v>
      </c>
      <c r="B111" s="5">
        <v>0</v>
      </c>
      <c r="C111" s="5">
        <v>0</v>
      </c>
      <c r="D111" s="5">
        <v>1</v>
      </c>
      <c r="E111" s="5">
        <v>231</v>
      </c>
      <c r="F111" s="5">
        <f>ROUND(Source!BB98,O111)</f>
        <v>0</v>
      </c>
      <c r="G111" s="5" t="s">
        <v>223</v>
      </c>
      <c r="H111" s="5" t="s">
        <v>224</v>
      </c>
      <c r="I111" s="5"/>
      <c r="J111" s="5"/>
      <c r="K111" s="5">
        <v>231</v>
      </c>
      <c r="L111" s="5">
        <v>12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0</v>
      </c>
      <c r="X111" s="5">
        <v>1</v>
      </c>
      <c r="Y111" s="5">
        <v>0</v>
      </c>
      <c r="Z111" s="5"/>
      <c r="AA111" s="5"/>
      <c r="AB111" s="5"/>
    </row>
    <row r="112" spans="1:206" x14ac:dyDescent="0.2">
      <c r="A112" s="5">
        <v>50</v>
      </c>
      <c r="B112" s="5">
        <v>0</v>
      </c>
      <c r="C112" s="5">
        <v>0</v>
      </c>
      <c r="D112" s="5">
        <v>1</v>
      </c>
      <c r="E112" s="5">
        <v>204</v>
      </c>
      <c r="F112" s="5">
        <f>ROUND(Source!R98,O112)</f>
        <v>66499.55</v>
      </c>
      <c r="G112" s="5" t="s">
        <v>225</v>
      </c>
      <c r="H112" s="5" t="s">
        <v>226</v>
      </c>
      <c r="I112" s="5"/>
      <c r="J112" s="5"/>
      <c r="K112" s="5">
        <v>204</v>
      </c>
      <c r="L112" s="5">
        <v>13</v>
      </c>
      <c r="M112" s="5">
        <v>3</v>
      </c>
      <c r="N112" s="5" t="s">
        <v>3</v>
      </c>
      <c r="O112" s="5">
        <v>2</v>
      </c>
      <c r="P112" s="5"/>
      <c r="Q112" s="5"/>
      <c r="R112" s="5"/>
      <c r="S112" s="5"/>
      <c r="T112" s="5"/>
      <c r="U112" s="5"/>
      <c r="V112" s="5"/>
      <c r="W112" s="5">
        <v>66499.549999999988</v>
      </c>
      <c r="X112" s="5">
        <v>1</v>
      </c>
      <c r="Y112" s="5">
        <v>66499.549999999988</v>
      </c>
      <c r="Z112" s="5"/>
      <c r="AA112" s="5"/>
      <c r="AB112" s="5"/>
    </row>
    <row r="113" spans="1:28" x14ac:dyDescent="0.2">
      <c r="A113" s="5">
        <v>50</v>
      </c>
      <c r="B113" s="5">
        <v>0</v>
      </c>
      <c r="C113" s="5">
        <v>0</v>
      </c>
      <c r="D113" s="5">
        <v>1</v>
      </c>
      <c r="E113" s="5">
        <v>205</v>
      </c>
      <c r="F113" s="5">
        <f>ROUND(Source!S98,O113)</f>
        <v>771065.39</v>
      </c>
      <c r="G113" s="5" t="s">
        <v>227</v>
      </c>
      <c r="H113" s="5" t="s">
        <v>228</v>
      </c>
      <c r="I113" s="5"/>
      <c r="J113" s="5"/>
      <c r="K113" s="5">
        <v>205</v>
      </c>
      <c r="L113" s="5">
        <v>14</v>
      </c>
      <c r="M113" s="5">
        <v>3</v>
      </c>
      <c r="N113" s="5" t="s">
        <v>3</v>
      </c>
      <c r="O113" s="5">
        <v>2</v>
      </c>
      <c r="P113" s="5"/>
      <c r="Q113" s="5"/>
      <c r="R113" s="5"/>
      <c r="S113" s="5"/>
      <c r="T113" s="5"/>
      <c r="U113" s="5"/>
      <c r="V113" s="5"/>
      <c r="W113" s="5">
        <v>771065.39</v>
      </c>
      <c r="X113" s="5">
        <v>1</v>
      </c>
      <c r="Y113" s="5">
        <v>771065.39</v>
      </c>
      <c r="Z113" s="5"/>
      <c r="AA113" s="5"/>
      <c r="AB113" s="5"/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232</v>
      </c>
      <c r="F114" s="5">
        <f>ROUND(Source!BC98,O114)</f>
        <v>0</v>
      </c>
      <c r="G114" s="5" t="s">
        <v>229</v>
      </c>
      <c r="H114" s="5" t="s">
        <v>230</v>
      </c>
      <c r="I114" s="5"/>
      <c r="J114" s="5"/>
      <c r="K114" s="5">
        <v>232</v>
      </c>
      <c r="L114" s="5">
        <v>15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0</v>
      </c>
      <c r="X114" s="5">
        <v>1</v>
      </c>
      <c r="Y114" s="5">
        <v>0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214</v>
      </c>
      <c r="F115" s="5">
        <f>ROUND(Source!AS98,O115)</f>
        <v>3718382.7</v>
      </c>
      <c r="G115" s="5" t="s">
        <v>231</v>
      </c>
      <c r="H115" s="5" t="s">
        <v>232</v>
      </c>
      <c r="I115" s="5"/>
      <c r="J115" s="5"/>
      <c r="K115" s="5">
        <v>214</v>
      </c>
      <c r="L115" s="5">
        <v>16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3718382.7</v>
      </c>
      <c r="X115" s="5">
        <v>1</v>
      </c>
      <c r="Y115" s="5">
        <v>3718382.7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215</v>
      </c>
      <c r="F116" s="5">
        <f>ROUND(Source!AT98,O116)</f>
        <v>0</v>
      </c>
      <c r="G116" s="5" t="s">
        <v>233</v>
      </c>
      <c r="H116" s="5" t="s">
        <v>234</v>
      </c>
      <c r="I116" s="5"/>
      <c r="J116" s="5"/>
      <c r="K116" s="5">
        <v>215</v>
      </c>
      <c r="L116" s="5">
        <v>17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0</v>
      </c>
      <c r="X116" s="5">
        <v>1</v>
      </c>
      <c r="Y116" s="5">
        <v>0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217</v>
      </c>
      <c r="F117" s="5">
        <f>ROUND(Source!AU98,O117)</f>
        <v>0</v>
      </c>
      <c r="G117" s="5" t="s">
        <v>235</v>
      </c>
      <c r="H117" s="5" t="s">
        <v>236</v>
      </c>
      <c r="I117" s="5"/>
      <c r="J117" s="5"/>
      <c r="K117" s="5">
        <v>217</v>
      </c>
      <c r="L117" s="5">
        <v>18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0</v>
      </c>
      <c r="X117" s="5">
        <v>1</v>
      </c>
      <c r="Y117" s="5">
        <v>0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230</v>
      </c>
      <c r="F118" s="5">
        <f>ROUND(Source!BA98,O118)</f>
        <v>0</v>
      </c>
      <c r="G118" s="5" t="s">
        <v>237</v>
      </c>
      <c r="H118" s="5" t="s">
        <v>238</v>
      </c>
      <c r="I118" s="5"/>
      <c r="J118" s="5"/>
      <c r="K118" s="5">
        <v>230</v>
      </c>
      <c r="L118" s="5">
        <v>19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0</v>
      </c>
      <c r="X118" s="5">
        <v>1</v>
      </c>
      <c r="Y118" s="5">
        <v>0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206</v>
      </c>
      <c r="F119" s="5">
        <f>ROUND(Source!T98,O119)</f>
        <v>0</v>
      </c>
      <c r="G119" s="5" t="s">
        <v>239</v>
      </c>
      <c r="H119" s="5" t="s">
        <v>240</v>
      </c>
      <c r="I119" s="5"/>
      <c r="J119" s="5"/>
      <c r="K119" s="5">
        <v>206</v>
      </c>
      <c r="L119" s="5">
        <v>20</v>
      </c>
      <c r="M119" s="5">
        <v>3</v>
      </c>
      <c r="N119" s="5" t="s">
        <v>3</v>
      </c>
      <c r="O119" s="5">
        <v>2</v>
      </c>
      <c r="P119" s="5"/>
      <c r="Q119" s="5"/>
      <c r="R119" s="5"/>
      <c r="S119" s="5"/>
      <c r="T119" s="5"/>
      <c r="U119" s="5"/>
      <c r="V119" s="5"/>
      <c r="W119" s="5">
        <v>0</v>
      </c>
      <c r="X119" s="5">
        <v>1</v>
      </c>
      <c r="Y119" s="5">
        <v>0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207</v>
      </c>
      <c r="F120" s="5">
        <f>ROUND(Source!U98,O120)</f>
        <v>2205.5652799999998</v>
      </c>
      <c r="G120" s="5" t="s">
        <v>241</v>
      </c>
      <c r="H120" s="5" t="s">
        <v>242</v>
      </c>
      <c r="I120" s="5"/>
      <c r="J120" s="5"/>
      <c r="K120" s="5">
        <v>207</v>
      </c>
      <c r="L120" s="5">
        <v>21</v>
      </c>
      <c r="M120" s="5">
        <v>3</v>
      </c>
      <c r="N120" s="5" t="s">
        <v>3</v>
      </c>
      <c r="O120" s="5">
        <v>7</v>
      </c>
      <c r="P120" s="5"/>
      <c r="Q120" s="5"/>
      <c r="R120" s="5"/>
      <c r="S120" s="5"/>
      <c r="T120" s="5"/>
      <c r="U120" s="5"/>
      <c r="V120" s="5"/>
      <c r="W120" s="5">
        <v>2205.5652799999998</v>
      </c>
      <c r="X120" s="5">
        <v>1</v>
      </c>
      <c r="Y120" s="5">
        <v>2205.5652799999998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208</v>
      </c>
      <c r="F121" s="5">
        <f>ROUND(Source!V98,O121)</f>
        <v>134.36314999999999</v>
      </c>
      <c r="G121" s="5" t="s">
        <v>243</v>
      </c>
      <c r="H121" s="5" t="s">
        <v>244</v>
      </c>
      <c r="I121" s="5"/>
      <c r="J121" s="5"/>
      <c r="K121" s="5">
        <v>208</v>
      </c>
      <c r="L121" s="5">
        <v>22</v>
      </c>
      <c r="M121" s="5">
        <v>3</v>
      </c>
      <c r="N121" s="5" t="s">
        <v>3</v>
      </c>
      <c r="O121" s="5">
        <v>7</v>
      </c>
      <c r="P121" s="5"/>
      <c r="Q121" s="5"/>
      <c r="R121" s="5"/>
      <c r="S121" s="5"/>
      <c r="T121" s="5"/>
      <c r="U121" s="5"/>
      <c r="V121" s="5"/>
      <c r="W121" s="5">
        <v>134.36314999999999</v>
      </c>
      <c r="X121" s="5">
        <v>1</v>
      </c>
      <c r="Y121" s="5">
        <v>134.36314999999999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209</v>
      </c>
      <c r="F122" s="5">
        <f>ROUND(Source!W98,O122)</f>
        <v>0</v>
      </c>
      <c r="G122" s="5" t="s">
        <v>245</v>
      </c>
      <c r="H122" s="5" t="s">
        <v>246</v>
      </c>
      <c r="I122" s="5"/>
      <c r="J122" s="5"/>
      <c r="K122" s="5">
        <v>209</v>
      </c>
      <c r="L122" s="5">
        <v>23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233</v>
      </c>
      <c r="F123" s="5">
        <f>ROUND(Source!BD98,O123)</f>
        <v>42868.17</v>
      </c>
      <c r="G123" s="5" t="s">
        <v>247</v>
      </c>
      <c r="H123" s="5" t="s">
        <v>248</v>
      </c>
      <c r="I123" s="5"/>
      <c r="J123" s="5"/>
      <c r="K123" s="5">
        <v>233</v>
      </c>
      <c r="L123" s="5">
        <v>24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42868.17</v>
      </c>
      <c r="X123" s="5">
        <v>1</v>
      </c>
      <c r="Y123" s="5">
        <v>42868.17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210</v>
      </c>
      <c r="F124" s="5">
        <f>ROUND(Source!X98,O124)</f>
        <v>837034.22</v>
      </c>
      <c r="G124" s="5" t="s">
        <v>249</v>
      </c>
      <c r="H124" s="5" t="s">
        <v>250</v>
      </c>
      <c r="I124" s="5"/>
      <c r="J124" s="5"/>
      <c r="K124" s="5">
        <v>210</v>
      </c>
      <c r="L124" s="5">
        <v>25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837034.22</v>
      </c>
      <c r="X124" s="5">
        <v>1</v>
      </c>
      <c r="Y124" s="5">
        <v>837034.22</v>
      </c>
      <c r="Z124" s="5"/>
      <c r="AA124" s="5"/>
      <c r="AB124" s="5"/>
    </row>
    <row r="125" spans="1:28" x14ac:dyDescent="0.2">
      <c r="A125" s="5">
        <v>50</v>
      </c>
      <c r="B125" s="5">
        <v>0</v>
      </c>
      <c r="C125" s="5">
        <v>0</v>
      </c>
      <c r="D125" s="5">
        <v>1</v>
      </c>
      <c r="E125" s="5">
        <v>211</v>
      </c>
      <c r="F125" s="5">
        <f>ROUND(Source!Y98,O125)</f>
        <v>425575.27</v>
      </c>
      <c r="G125" s="5" t="s">
        <v>251</v>
      </c>
      <c r="H125" s="5" t="s">
        <v>252</v>
      </c>
      <c r="I125" s="5"/>
      <c r="J125" s="5"/>
      <c r="K125" s="5">
        <v>211</v>
      </c>
      <c r="L125" s="5">
        <v>26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425575.27</v>
      </c>
      <c r="X125" s="5">
        <v>1</v>
      </c>
      <c r="Y125" s="5">
        <v>425575.27</v>
      </c>
      <c r="Z125" s="5"/>
      <c r="AA125" s="5"/>
      <c r="AB125" s="5"/>
    </row>
    <row r="126" spans="1:28" x14ac:dyDescent="0.2">
      <c r="A126" s="5">
        <v>50</v>
      </c>
      <c r="B126" s="5">
        <v>0</v>
      </c>
      <c r="C126" s="5">
        <v>0</v>
      </c>
      <c r="D126" s="5">
        <v>1</v>
      </c>
      <c r="E126" s="5">
        <v>224</v>
      </c>
      <c r="F126" s="5">
        <f>ROUND(Source!AR98,O126)</f>
        <v>3718382.7</v>
      </c>
      <c r="G126" s="5" t="s">
        <v>253</v>
      </c>
      <c r="H126" s="5" t="s">
        <v>254</v>
      </c>
      <c r="I126" s="5"/>
      <c r="J126" s="5"/>
      <c r="K126" s="5">
        <v>224</v>
      </c>
      <c r="L126" s="5">
        <v>27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3718382.7</v>
      </c>
      <c r="X126" s="5">
        <v>1</v>
      </c>
      <c r="Y126" s="5">
        <v>3718382.7</v>
      </c>
      <c r="Z126" s="5"/>
      <c r="AA126" s="5"/>
      <c r="AB126" s="5"/>
    </row>
    <row r="127" spans="1:28" x14ac:dyDescent="0.2">
      <c r="A127" s="5">
        <v>50</v>
      </c>
      <c r="B127" s="5">
        <v>1</v>
      </c>
      <c r="C127" s="5">
        <v>0</v>
      </c>
      <c r="D127" s="5">
        <v>2</v>
      </c>
      <c r="E127" s="5">
        <v>0</v>
      </c>
      <c r="F127" s="5">
        <f>ROUND(F126,O127)</f>
        <v>3718382.7</v>
      </c>
      <c r="G127" s="5" t="s">
        <v>255</v>
      </c>
      <c r="H127" s="5" t="s">
        <v>266</v>
      </c>
      <c r="I127" s="5"/>
      <c r="J127" s="5"/>
      <c r="K127" s="5">
        <v>212</v>
      </c>
      <c r="L127" s="5">
        <v>28</v>
      </c>
      <c r="M127" s="5">
        <v>0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3718382.7</v>
      </c>
      <c r="X127" s="5">
        <v>1</v>
      </c>
      <c r="Y127" s="5">
        <v>3718382.7</v>
      </c>
      <c r="Z127" s="5"/>
      <c r="AA127" s="5"/>
      <c r="AB127" s="5"/>
    </row>
    <row r="128" spans="1:28" x14ac:dyDescent="0.2">
      <c r="A128" s="5">
        <v>50</v>
      </c>
      <c r="B128" s="5">
        <v>1</v>
      </c>
      <c r="C128" s="5">
        <v>0</v>
      </c>
      <c r="D128" s="5">
        <v>2</v>
      </c>
      <c r="E128" s="5">
        <v>0</v>
      </c>
      <c r="F128" s="5">
        <f>ROUND(F126*0.22,O128)</f>
        <v>818044.19</v>
      </c>
      <c r="G128" s="5" t="s">
        <v>259</v>
      </c>
      <c r="H128" s="5" t="s">
        <v>260</v>
      </c>
      <c r="I128" s="5"/>
      <c r="J128" s="5"/>
      <c r="K128" s="5">
        <v>212</v>
      </c>
      <c r="L128" s="5">
        <v>29</v>
      </c>
      <c r="M128" s="5">
        <v>0</v>
      </c>
      <c r="N128" s="5" t="s">
        <v>261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818044.19</v>
      </c>
      <c r="X128" s="5">
        <v>1</v>
      </c>
      <c r="Y128" s="5">
        <v>818044.19</v>
      </c>
      <c r="Z128" s="5"/>
      <c r="AA128" s="5"/>
      <c r="AB128" s="5"/>
    </row>
    <row r="129" spans="1:28" x14ac:dyDescent="0.2">
      <c r="A129" s="5">
        <v>50</v>
      </c>
      <c r="B129" s="5">
        <v>1</v>
      </c>
      <c r="C129" s="5">
        <v>0</v>
      </c>
      <c r="D129" s="5">
        <v>2</v>
      </c>
      <c r="E129" s="5">
        <v>213</v>
      </c>
      <c r="F129" s="5">
        <f>ROUND(F126+F128,O129)</f>
        <v>4536426.8899999997</v>
      </c>
      <c r="G129" s="5" t="s">
        <v>262</v>
      </c>
      <c r="H129" s="5" t="s">
        <v>263</v>
      </c>
      <c r="I129" s="5"/>
      <c r="J129" s="5"/>
      <c r="K129" s="5">
        <v>212</v>
      </c>
      <c r="L129" s="5">
        <v>30</v>
      </c>
      <c r="M129" s="5">
        <v>0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4536426.8899999997</v>
      </c>
      <c r="X129" s="5">
        <v>1</v>
      </c>
      <c r="Y129" s="5">
        <v>4536426.8899999997</v>
      </c>
      <c r="Z129" s="5"/>
      <c r="AA129" s="5"/>
      <c r="AB129" s="5"/>
    </row>
    <row r="132" spans="1:28" x14ac:dyDescent="0.2">
      <c r="A132">
        <v>70</v>
      </c>
      <c r="B132">
        <v>1</v>
      </c>
      <c r="D132">
        <v>1</v>
      </c>
      <c r="E132" t="s">
        <v>267</v>
      </c>
      <c r="F132" t="s">
        <v>268</v>
      </c>
      <c r="G132">
        <v>0</v>
      </c>
      <c r="H132">
        <v>0</v>
      </c>
      <c r="I132" t="s">
        <v>3</v>
      </c>
      <c r="J132">
        <v>1</v>
      </c>
      <c r="K132">
        <v>0</v>
      </c>
      <c r="L132" t="s">
        <v>3</v>
      </c>
      <c r="M132" t="s">
        <v>3</v>
      </c>
      <c r="N132">
        <v>0</v>
      </c>
      <c r="P132" t="s">
        <v>269</v>
      </c>
    </row>
    <row r="133" spans="1:28" x14ac:dyDescent="0.2">
      <c r="A133">
        <v>70</v>
      </c>
      <c r="B133">
        <v>1</v>
      </c>
      <c r="D133">
        <v>2</v>
      </c>
      <c r="E133" t="s">
        <v>270</v>
      </c>
      <c r="F133" t="s">
        <v>271</v>
      </c>
      <c r="G133">
        <v>1</v>
      </c>
      <c r="H133">
        <v>0</v>
      </c>
      <c r="I133" t="s">
        <v>3</v>
      </c>
      <c r="J133">
        <v>1</v>
      </c>
      <c r="K133">
        <v>0</v>
      </c>
      <c r="L133" t="s">
        <v>3</v>
      </c>
      <c r="M133" t="s">
        <v>3</v>
      </c>
      <c r="N133">
        <v>0</v>
      </c>
      <c r="P133" t="s">
        <v>272</v>
      </c>
    </row>
    <row r="134" spans="1:28" x14ac:dyDescent="0.2">
      <c r="A134">
        <v>70</v>
      </c>
      <c r="B134">
        <v>1</v>
      </c>
      <c r="D134">
        <v>3</v>
      </c>
      <c r="E134" t="s">
        <v>273</v>
      </c>
      <c r="F134" t="s">
        <v>274</v>
      </c>
      <c r="G134">
        <v>0</v>
      </c>
      <c r="H134">
        <v>0</v>
      </c>
      <c r="I134" t="s">
        <v>3</v>
      </c>
      <c r="J134">
        <v>1</v>
      </c>
      <c r="K134">
        <v>0</v>
      </c>
      <c r="L134" t="s">
        <v>3</v>
      </c>
      <c r="M134" t="s">
        <v>3</v>
      </c>
      <c r="N134">
        <v>0</v>
      </c>
      <c r="P134" t="s">
        <v>275</v>
      </c>
    </row>
    <row r="135" spans="1:28" x14ac:dyDescent="0.2">
      <c r="A135">
        <v>70</v>
      </c>
      <c r="B135">
        <v>1</v>
      </c>
      <c r="D135">
        <v>4</v>
      </c>
      <c r="E135" t="s">
        <v>276</v>
      </c>
      <c r="F135" t="s">
        <v>277</v>
      </c>
      <c r="G135">
        <v>1</v>
      </c>
      <c r="H135">
        <v>0</v>
      </c>
      <c r="I135" t="s">
        <v>3</v>
      </c>
      <c r="J135">
        <v>2</v>
      </c>
      <c r="K135">
        <v>0</v>
      </c>
      <c r="L135" t="s">
        <v>3</v>
      </c>
      <c r="M135" t="s">
        <v>3</v>
      </c>
      <c r="N135">
        <v>0</v>
      </c>
      <c r="P135" t="s">
        <v>3</v>
      </c>
    </row>
    <row r="136" spans="1:28" x14ac:dyDescent="0.2">
      <c r="A136">
        <v>70</v>
      </c>
      <c r="B136">
        <v>1</v>
      </c>
      <c r="D136">
        <v>5</v>
      </c>
      <c r="E136" t="s">
        <v>278</v>
      </c>
      <c r="F136" t="s">
        <v>279</v>
      </c>
      <c r="G136">
        <v>0</v>
      </c>
      <c r="H136">
        <v>0</v>
      </c>
      <c r="I136" t="s">
        <v>3</v>
      </c>
      <c r="J136">
        <v>2</v>
      </c>
      <c r="K136">
        <v>0</v>
      </c>
      <c r="L136" t="s">
        <v>3</v>
      </c>
      <c r="M136" t="s">
        <v>3</v>
      </c>
      <c r="N136">
        <v>0</v>
      </c>
      <c r="P136" t="s">
        <v>3</v>
      </c>
    </row>
    <row r="137" spans="1:28" x14ac:dyDescent="0.2">
      <c r="A137">
        <v>70</v>
      </c>
      <c r="B137">
        <v>1</v>
      </c>
      <c r="D137">
        <v>6</v>
      </c>
      <c r="E137" t="s">
        <v>280</v>
      </c>
      <c r="F137" t="s">
        <v>281</v>
      </c>
      <c r="G137">
        <v>0</v>
      </c>
      <c r="H137">
        <v>0</v>
      </c>
      <c r="I137" t="s">
        <v>3</v>
      </c>
      <c r="J137">
        <v>2</v>
      </c>
      <c r="K137">
        <v>0</v>
      </c>
      <c r="L137" t="s">
        <v>3</v>
      </c>
      <c r="M137" t="s">
        <v>3</v>
      </c>
      <c r="N137">
        <v>0</v>
      </c>
      <c r="P137" t="s">
        <v>3</v>
      </c>
    </row>
    <row r="138" spans="1:28" x14ac:dyDescent="0.2">
      <c r="A138">
        <v>70</v>
      </c>
      <c r="B138">
        <v>1</v>
      </c>
      <c r="D138">
        <v>7</v>
      </c>
      <c r="E138" t="s">
        <v>282</v>
      </c>
      <c r="F138" t="s">
        <v>283</v>
      </c>
      <c r="G138">
        <v>0</v>
      </c>
      <c r="H138">
        <v>0</v>
      </c>
      <c r="I138" t="s">
        <v>284</v>
      </c>
      <c r="J138">
        <v>0</v>
      </c>
      <c r="K138">
        <v>0</v>
      </c>
      <c r="L138" t="s">
        <v>3</v>
      </c>
      <c r="M138" t="s">
        <v>3</v>
      </c>
      <c r="N138">
        <v>0</v>
      </c>
      <c r="P138" t="s">
        <v>285</v>
      </c>
    </row>
    <row r="139" spans="1:28" x14ac:dyDescent="0.2">
      <c r="A139">
        <v>70</v>
      </c>
      <c r="B139">
        <v>1</v>
      </c>
      <c r="D139">
        <v>8</v>
      </c>
      <c r="E139" t="s">
        <v>286</v>
      </c>
      <c r="F139" t="s">
        <v>287</v>
      </c>
      <c r="G139">
        <v>1</v>
      </c>
      <c r="H139">
        <v>0</v>
      </c>
      <c r="I139" t="s">
        <v>3</v>
      </c>
      <c r="J139">
        <v>5</v>
      </c>
      <c r="K139">
        <v>0</v>
      </c>
      <c r="L139" t="s">
        <v>3</v>
      </c>
      <c r="M139" t="s">
        <v>3</v>
      </c>
      <c r="N139">
        <v>0</v>
      </c>
      <c r="P139" t="s">
        <v>3</v>
      </c>
    </row>
    <row r="140" spans="1:28" x14ac:dyDescent="0.2">
      <c r="A140">
        <v>70</v>
      </c>
      <c r="B140">
        <v>1</v>
      </c>
      <c r="D140">
        <v>9</v>
      </c>
      <c r="E140" t="s">
        <v>288</v>
      </c>
      <c r="F140" t="s">
        <v>289</v>
      </c>
      <c r="G140">
        <v>0</v>
      </c>
      <c r="H140">
        <v>0</v>
      </c>
      <c r="I140" t="s">
        <v>3</v>
      </c>
      <c r="J140">
        <v>5</v>
      </c>
      <c r="K140">
        <v>0</v>
      </c>
      <c r="L140" t="s">
        <v>3</v>
      </c>
      <c r="M140" t="s">
        <v>3</v>
      </c>
      <c r="N140">
        <v>0</v>
      </c>
      <c r="P140" t="s">
        <v>290</v>
      </c>
    </row>
    <row r="141" spans="1:28" x14ac:dyDescent="0.2">
      <c r="A141">
        <v>70</v>
      </c>
      <c r="B141">
        <v>1</v>
      </c>
      <c r="D141">
        <v>10</v>
      </c>
      <c r="E141" t="s">
        <v>291</v>
      </c>
      <c r="F141" t="s">
        <v>292</v>
      </c>
      <c r="G141">
        <v>0</v>
      </c>
      <c r="H141">
        <v>0</v>
      </c>
      <c r="I141" t="s">
        <v>293</v>
      </c>
      <c r="J141">
        <v>5</v>
      </c>
      <c r="K141">
        <v>0</v>
      </c>
      <c r="L141" t="s">
        <v>3</v>
      </c>
      <c r="M141" t="s">
        <v>3</v>
      </c>
      <c r="N141">
        <v>0</v>
      </c>
      <c r="P141" t="s">
        <v>294</v>
      </c>
    </row>
    <row r="142" spans="1:28" x14ac:dyDescent="0.2">
      <c r="A142">
        <v>70</v>
      </c>
      <c r="B142">
        <v>1</v>
      </c>
      <c r="D142">
        <v>11</v>
      </c>
      <c r="E142" t="s">
        <v>295</v>
      </c>
      <c r="F142" t="s">
        <v>296</v>
      </c>
      <c r="G142">
        <v>0</v>
      </c>
      <c r="H142">
        <v>0</v>
      </c>
      <c r="I142" t="s">
        <v>297</v>
      </c>
      <c r="J142">
        <v>0</v>
      </c>
      <c r="K142">
        <v>0</v>
      </c>
      <c r="L142" t="s">
        <v>3</v>
      </c>
      <c r="M142" t="s">
        <v>3</v>
      </c>
      <c r="N142">
        <v>0</v>
      </c>
      <c r="P142" t="s">
        <v>298</v>
      </c>
    </row>
    <row r="143" spans="1:28" x14ac:dyDescent="0.2">
      <c r="A143">
        <v>70</v>
      </c>
      <c r="B143">
        <v>1</v>
      </c>
      <c r="D143">
        <v>12</v>
      </c>
      <c r="E143" t="s">
        <v>299</v>
      </c>
      <c r="F143" t="s">
        <v>300</v>
      </c>
      <c r="G143">
        <v>0</v>
      </c>
      <c r="H143">
        <v>0</v>
      </c>
      <c r="I143" t="s">
        <v>301</v>
      </c>
      <c r="J143">
        <v>0</v>
      </c>
      <c r="K143">
        <v>0</v>
      </c>
      <c r="L143" t="s">
        <v>3</v>
      </c>
      <c r="M143" t="s">
        <v>3</v>
      </c>
      <c r="N143">
        <v>0</v>
      </c>
      <c r="P143" t="s">
        <v>302</v>
      </c>
    </row>
    <row r="144" spans="1:28" x14ac:dyDescent="0.2">
      <c r="A144">
        <v>70</v>
      </c>
      <c r="B144">
        <v>1</v>
      </c>
      <c r="D144">
        <v>13</v>
      </c>
      <c r="E144" t="s">
        <v>303</v>
      </c>
      <c r="F144" t="s">
        <v>304</v>
      </c>
      <c r="G144">
        <v>0</v>
      </c>
      <c r="H144">
        <v>0</v>
      </c>
      <c r="I144" t="s">
        <v>305</v>
      </c>
      <c r="J144">
        <v>0</v>
      </c>
      <c r="K144">
        <v>0</v>
      </c>
      <c r="L144" t="s">
        <v>3</v>
      </c>
      <c r="M144" t="s">
        <v>3</v>
      </c>
      <c r="N144">
        <v>0</v>
      </c>
      <c r="P144" t="s">
        <v>306</v>
      </c>
    </row>
    <row r="145" spans="1:50" x14ac:dyDescent="0.2">
      <c r="A145">
        <v>70</v>
      </c>
      <c r="B145">
        <v>1</v>
      </c>
      <c r="D145">
        <v>14</v>
      </c>
      <c r="E145" t="s">
        <v>307</v>
      </c>
      <c r="F145" t="s">
        <v>308</v>
      </c>
      <c r="G145">
        <v>0</v>
      </c>
      <c r="H145">
        <v>0</v>
      </c>
      <c r="I145" t="s">
        <v>3</v>
      </c>
      <c r="J145">
        <v>0</v>
      </c>
      <c r="K145">
        <v>0</v>
      </c>
      <c r="L145" t="s">
        <v>3</v>
      </c>
      <c r="M145" t="s">
        <v>3</v>
      </c>
      <c r="N145">
        <v>0</v>
      </c>
      <c r="P145" t="s">
        <v>3</v>
      </c>
    </row>
    <row r="146" spans="1:50" x14ac:dyDescent="0.2">
      <c r="A146">
        <v>70</v>
      </c>
      <c r="B146">
        <v>1</v>
      </c>
      <c r="D146">
        <v>15</v>
      </c>
      <c r="E146" t="s">
        <v>309</v>
      </c>
      <c r="F146" t="s">
        <v>310</v>
      </c>
      <c r="G146">
        <v>0</v>
      </c>
      <c r="H146">
        <v>0</v>
      </c>
      <c r="I146" t="s">
        <v>3</v>
      </c>
      <c r="J146">
        <v>0</v>
      </c>
      <c r="K146">
        <v>0</v>
      </c>
      <c r="L146" t="s">
        <v>3</v>
      </c>
      <c r="M146" t="s">
        <v>3</v>
      </c>
      <c r="N146">
        <v>0</v>
      </c>
      <c r="P146" t="s">
        <v>311</v>
      </c>
    </row>
    <row r="147" spans="1:50" x14ac:dyDescent="0.2">
      <c r="A147">
        <v>70</v>
      </c>
      <c r="B147">
        <v>1</v>
      </c>
      <c r="D147">
        <v>16</v>
      </c>
      <c r="E147" t="s">
        <v>312</v>
      </c>
      <c r="F147" t="s">
        <v>313</v>
      </c>
      <c r="G147">
        <v>0</v>
      </c>
      <c r="H147">
        <v>0</v>
      </c>
      <c r="I147" t="s">
        <v>3</v>
      </c>
      <c r="J147">
        <v>3</v>
      </c>
      <c r="K147">
        <v>0</v>
      </c>
      <c r="L147" t="s">
        <v>3</v>
      </c>
      <c r="M147" t="s">
        <v>3</v>
      </c>
      <c r="N147">
        <v>0</v>
      </c>
      <c r="P147" t="s">
        <v>3</v>
      </c>
    </row>
    <row r="148" spans="1:50" x14ac:dyDescent="0.2">
      <c r="A148">
        <v>70</v>
      </c>
      <c r="B148">
        <v>1</v>
      </c>
      <c r="D148">
        <v>17</v>
      </c>
      <c r="E148" t="s">
        <v>314</v>
      </c>
      <c r="F148" t="s">
        <v>315</v>
      </c>
      <c r="G148">
        <v>1</v>
      </c>
      <c r="H148">
        <v>0</v>
      </c>
      <c r="I148" t="s">
        <v>3</v>
      </c>
      <c r="J148">
        <v>3</v>
      </c>
      <c r="K148">
        <v>0</v>
      </c>
      <c r="L148" t="s">
        <v>3</v>
      </c>
      <c r="M148" t="s">
        <v>3</v>
      </c>
      <c r="N148">
        <v>0</v>
      </c>
      <c r="P148" t="s">
        <v>3</v>
      </c>
    </row>
    <row r="149" spans="1:50" x14ac:dyDescent="0.2">
      <c r="A149">
        <v>70</v>
      </c>
      <c r="B149">
        <v>1</v>
      </c>
      <c r="D149">
        <v>1</v>
      </c>
      <c r="E149" t="s">
        <v>316</v>
      </c>
      <c r="F149" t="s">
        <v>317</v>
      </c>
      <c r="G149">
        <v>0.9</v>
      </c>
      <c r="H149">
        <v>1</v>
      </c>
      <c r="I149" t="s">
        <v>318</v>
      </c>
      <c r="J149">
        <v>0</v>
      </c>
      <c r="K149">
        <v>0</v>
      </c>
      <c r="L149" t="s">
        <v>3</v>
      </c>
      <c r="M149" t="s">
        <v>3</v>
      </c>
      <c r="N149">
        <v>0</v>
      </c>
      <c r="P149" t="s">
        <v>319</v>
      </c>
    </row>
    <row r="150" spans="1:50" x14ac:dyDescent="0.2">
      <c r="A150">
        <v>70</v>
      </c>
      <c r="B150">
        <v>1</v>
      </c>
      <c r="D150">
        <v>2</v>
      </c>
      <c r="E150" t="s">
        <v>320</v>
      </c>
      <c r="F150" t="s">
        <v>321</v>
      </c>
      <c r="G150">
        <v>0.85</v>
      </c>
      <c r="H150">
        <v>1</v>
      </c>
      <c r="I150" t="s">
        <v>322</v>
      </c>
      <c r="J150">
        <v>0</v>
      </c>
      <c r="K150">
        <v>0</v>
      </c>
      <c r="L150" t="s">
        <v>3</v>
      </c>
      <c r="M150" t="s">
        <v>3</v>
      </c>
      <c r="N150">
        <v>0</v>
      </c>
      <c r="P150" t="s">
        <v>323</v>
      </c>
    </row>
    <row r="151" spans="1:50" x14ac:dyDescent="0.2">
      <c r="A151">
        <v>70</v>
      </c>
      <c r="B151">
        <v>1</v>
      </c>
      <c r="D151">
        <v>3</v>
      </c>
      <c r="E151" t="s">
        <v>324</v>
      </c>
      <c r="F151" t="s">
        <v>325</v>
      </c>
      <c r="G151">
        <v>1.03</v>
      </c>
      <c r="H151">
        <v>0</v>
      </c>
      <c r="I151" t="s">
        <v>3</v>
      </c>
      <c r="J151">
        <v>0</v>
      </c>
      <c r="K151">
        <v>0</v>
      </c>
      <c r="L151" t="s">
        <v>3</v>
      </c>
      <c r="M151" t="s">
        <v>3</v>
      </c>
      <c r="N151">
        <v>0</v>
      </c>
      <c r="P151" t="s">
        <v>326</v>
      </c>
    </row>
    <row r="152" spans="1:50" x14ac:dyDescent="0.2">
      <c r="A152">
        <v>70</v>
      </c>
      <c r="B152">
        <v>1</v>
      </c>
      <c r="D152">
        <v>4</v>
      </c>
      <c r="E152" t="s">
        <v>327</v>
      </c>
      <c r="F152" t="s">
        <v>328</v>
      </c>
      <c r="G152">
        <v>1.1499999999999999</v>
      </c>
      <c r="H152">
        <v>0</v>
      </c>
      <c r="I152" t="s">
        <v>3</v>
      </c>
      <c r="J152">
        <v>0</v>
      </c>
      <c r="K152">
        <v>0</v>
      </c>
      <c r="L152" t="s">
        <v>3</v>
      </c>
      <c r="M152" t="s">
        <v>3</v>
      </c>
      <c r="N152">
        <v>0</v>
      </c>
      <c r="P152" t="s">
        <v>329</v>
      </c>
    </row>
    <row r="153" spans="1:50" x14ac:dyDescent="0.2">
      <c r="A153">
        <v>70</v>
      </c>
      <c r="B153">
        <v>1</v>
      </c>
      <c r="D153">
        <v>5</v>
      </c>
      <c r="E153" t="s">
        <v>330</v>
      </c>
      <c r="F153" t="s">
        <v>331</v>
      </c>
      <c r="G153">
        <v>7</v>
      </c>
      <c r="H153">
        <v>0</v>
      </c>
      <c r="I153" t="s">
        <v>3</v>
      </c>
      <c r="J153">
        <v>0</v>
      </c>
      <c r="K153">
        <v>0</v>
      </c>
      <c r="L153" t="s">
        <v>3</v>
      </c>
      <c r="M153" t="s">
        <v>3</v>
      </c>
      <c r="N153">
        <v>0</v>
      </c>
      <c r="P153" t="s">
        <v>3</v>
      </c>
    </row>
    <row r="154" spans="1:50" x14ac:dyDescent="0.2">
      <c r="A154">
        <v>70</v>
      </c>
      <c r="B154">
        <v>1</v>
      </c>
      <c r="D154">
        <v>6</v>
      </c>
      <c r="E154" t="s">
        <v>332</v>
      </c>
      <c r="F154" t="s">
        <v>3</v>
      </c>
      <c r="G154">
        <v>2</v>
      </c>
      <c r="H154">
        <v>0</v>
      </c>
      <c r="I154" t="s">
        <v>3</v>
      </c>
      <c r="J154">
        <v>0</v>
      </c>
      <c r="K154">
        <v>0</v>
      </c>
      <c r="L154" t="s">
        <v>3</v>
      </c>
      <c r="M154" t="s">
        <v>3</v>
      </c>
      <c r="N154">
        <v>0</v>
      </c>
      <c r="P154" t="s">
        <v>3</v>
      </c>
    </row>
    <row r="156" spans="1:50" x14ac:dyDescent="0.2">
      <c r="A156">
        <v>-1</v>
      </c>
    </row>
    <row r="158" spans="1:50" x14ac:dyDescent="0.2">
      <c r="A158" s="4">
        <v>75</v>
      </c>
      <c r="B158" s="4" t="s">
        <v>333</v>
      </c>
      <c r="C158" s="4">
        <v>2026</v>
      </c>
      <c r="D158" s="4">
        <v>0</v>
      </c>
      <c r="E158" s="4">
        <v>3</v>
      </c>
      <c r="F158" s="4">
        <v>1</v>
      </c>
      <c r="G158" s="4">
        <v>0</v>
      </c>
      <c r="H158" s="4">
        <v>1</v>
      </c>
      <c r="I158" s="4">
        <v>0</v>
      </c>
      <c r="J158" s="4">
        <v>3</v>
      </c>
      <c r="K158" s="4">
        <v>0</v>
      </c>
      <c r="L158" s="4">
        <v>0</v>
      </c>
      <c r="M158" s="4">
        <v>0</v>
      </c>
      <c r="N158" s="4">
        <v>55860754</v>
      </c>
      <c r="O158" s="4">
        <v>1</v>
      </c>
    </row>
    <row r="159" spans="1:50" x14ac:dyDescent="0.2">
      <c r="A159" s="6">
        <v>2</v>
      </c>
      <c r="B159" s="6" t="s">
        <v>334</v>
      </c>
      <c r="C159" s="6" t="s">
        <v>335</v>
      </c>
      <c r="D159" s="6">
        <v>0</v>
      </c>
      <c r="E159" s="6">
        <v>0</v>
      </c>
      <c r="F159" s="6">
        <v>0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>
        <v>55860755</v>
      </c>
    </row>
    <row r="160" spans="1:50" x14ac:dyDescent="0.2">
      <c r="A160" s="6">
        <v>1</v>
      </c>
      <c r="B160" s="6" t="s">
        <v>336</v>
      </c>
      <c r="C160" s="6" t="s">
        <v>337</v>
      </c>
      <c r="D160" s="6">
        <v>2026</v>
      </c>
      <c r="E160" s="6">
        <v>3</v>
      </c>
      <c r="F160" s="6">
        <v>1</v>
      </c>
      <c r="G160" s="6">
        <v>1</v>
      </c>
      <c r="H160" s="6">
        <v>0</v>
      </c>
      <c r="I160" s="6">
        <v>2</v>
      </c>
      <c r="J160" s="6">
        <v>1</v>
      </c>
      <c r="K160" s="6">
        <v>1</v>
      </c>
      <c r="L160" s="6">
        <v>1</v>
      </c>
      <c r="M160" s="6">
        <v>1</v>
      </c>
      <c r="N160" s="6">
        <v>1</v>
      </c>
      <c r="O160" s="6">
        <v>1</v>
      </c>
      <c r="P160" s="6">
        <v>1</v>
      </c>
      <c r="Q160" s="6">
        <v>1</v>
      </c>
      <c r="R160" s="6" t="s">
        <v>3</v>
      </c>
      <c r="S160" s="6" t="s">
        <v>3</v>
      </c>
      <c r="T160" s="6" t="s">
        <v>3</v>
      </c>
      <c r="U160" s="6" t="s">
        <v>3</v>
      </c>
      <c r="V160" s="6" t="s">
        <v>3</v>
      </c>
      <c r="W160" s="6" t="s">
        <v>3</v>
      </c>
      <c r="X160" s="6" t="s">
        <v>3</v>
      </c>
      <c r="Y160" s="6" t="s">
        <v>3</v>
      </c>
      <c r="Z160" s="6" t="s">
        <v>3</v>
      </c>
      <c r="AA160" s="6" t="s">
        <v>3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>
        <v>55860756</v>
      </c>
      <c r="AO160" s="6" t="s">
        <v>338</v>
      </c>
      <c r="AP160" s="6" t="s">
        <v>339</v>
      </c>
      <c r="AQ160" s="6">
        <v>46078</v>
      </c>
      <c r="AR160" s="6">
        <v>409</v>
      </c>
      <c r="AS160" s="6" t="s">
        <v>340</v>
      </c>
      <c r="AT160" s="6" t="s">
        <v>341</v>
      </c>
      <c r="AU160" s="6" t="s">
        <v>339</v>
      </c>
      <c r="AV160" s="6">
        <v>45769</v>
      </c>
      <c r="AW160" s="6">
        <v>213</v>
      </c>
      <c r="AX160" s="6" t="s">
        <v>342</v>
      </c>
    </row>
    <row r="164" spans="1:5" x14ac:dyDescent="0.2">
      <c r="A164">
        <v>65</v>
      </c>
      <c r="C164">
        <v>1</v>
      </c>
      <c r="D164">
        <v>0</v>
      </c>
      <c r="E164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343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26294</v>
      </c>
      <c r="M1" s="2">
        <v>10</v>
      </c>
      <c r="N1" s="2">
        <v>12</v>
      </c>
      <c r="O1" s="2">
        <v>1</v>
      </c>
      <c r="P1" s="2">
        <v>0</v>
      </c>
      <c r="Q1" s="2">
        <v>2</v>
      </c>
    </row>
    <row r="12" spans="1:133" x14ac:dyDescent="0.2">
      <c r="A12" s="8">
        <v>1</v>
      </c>
      <c r="B12" s="8">
        <v>54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6</v>
      </c>
      <c r="BI12" s="8" t="s">
        <v>7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8</v>
      </c>
      <c r="BZ12" s="8" t="s">
        <v>9</v>
      </c>
      <c r="CA12" s="8" t="s">
        <v>10</v>
      </c>
      <c r="CB12" s="8" t="s">
        <v>10</v>
      </c>
      <c r="CC12" s="8" t="s">
        <v>10</v>
      </c>
      <c r="CD12" s="8" t="s">
        <v>10</v>
      </c>
      <c r="CE12" s="8" t="s">
        <v>11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17</v>
      </c>
      <c r="CL12" s="8"/>
      <c r="CM12" s="8"/>
      <c r="CN12" s="8"/>
      <c r="CO12" s="8"/>
      <c r="CP12" s="8"/>
      <c r="CQ12" s="8" t="s">
        <v>12</v>
      </c>
      <c r="CR12" s="8" t="s">
        <v>13</v>
      </c>
      <c r="CS12" s="8">
        <v>46073</v>
      </c>
      <c r="CT12" s="8">
        <v>540</v>
      </c>
      <c r="CU12" s="8">
        <v>17</v>
      </c>
      <c r="CV12" s="8" t="s">
        <v>446</v>
      </c>
      <c r="CW12" s="8"/>
      <c r="CX12" s="8"/>
      <c r="CY12" s="8">
        <v>0</v>
      </c>
      <c r="CZ12" s="8" t="s">
        <v>14</v>
      </c>
      <c r="DA12" s="8" t="s">
        <v>14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55860754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15</v>
      </c>
      <c r="D16" s="9" t="s">
        <v>16</v>
      </c>
      <c r="E16" s="10">
        <f>ROUND((Source!F78)/1000,2)</f>
        <v>3718.38</v>
      </c>
      <c r="F16" s="10">
        <f>ROUND((Source!F79)/1000,2)</f>
        <v>0</v>
      </c>
      <c r="G16" s="10">
        <f>ROUND((Source!F70)/1000,2)</f>
        <v>0</v>
      </c>
      <c r="H16" s="10">
        <f>ROUND((Source!F80)/1000+(Source!F81)/1000,2)</f>
        <v>0</v>
      </c>
      <c r="I16" s="10">
        <f>E16+F16+G16+H16</f>
        <v>3718.38</v>
      </c>
      <c r="J16" s="10">
        <f>ROUND((Source!F76+Source!F75)/1000,2)</f>
        <v>837.56</v>
      </c>
      <c r="K16" s="10">
        <v>3791.85</v>
      </c>
      <c r="L16" s="10">
        <v>0</v>
      </c>
      <c r="M16" s="10">
        <v>0</v>
      </c>
      <c r="N16" s="10">
        <f>I16+L16+M16</f>
        <v>3718.38</v>
      </c>
      <c r="AI16" s="9">
        <v>0</v>
      </c>
      <c r="AJ16" s="9">
        <v>-1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2455773.21</v>
      </c>
      <c r="AU16" s="10">
        <v>1378946.16</v>
      </c>
      <c r="AV16" s="10">
        <v>0</v>
      </c>
      <c r="AW16" s="10">
        <v>0</v>
      </c>
      <c r="AX16" s="10">
        <v>0</v>
      </c>
      <c r="AY16" s="10">
        <v>196393.94</v>
      </c>
      <c r="AZ16" s="10">
        <v>66499.549999999988</v>
      </c>
      <c r="BA16" s="10">
        <v>771065.39</v>
      </c>
      <c r="BB16" s="10">
        <v>3718382.7</v>
      </c>
      <c r="BC16" s="10">
        <v>0</v>
      </c>
      <c r="BD16" s="10">
        <v>0</v>
      </c>
      <c r="BE16" s="10">
        <v>0</v>
      </c>
      <c r="BF16" s="10">
        <v>2205.5652799999998</v>
      </c>
      <c r="BG16" s="10">
        <v>134.36314999999999</v>
      </c>
      <c r="BH16" s="10">
        <v>0</v>
      </c>
      <c r="BI16" s="10">
        <v>837034.22</v>
      </c>
      <c r="BJ16" s="10">
        <v>425575.27</v>
      </c>
      <c r="BK16" s="10">
        <v>3718382.7</v>
      </c>
    </row>
    <row r="18" spans="1:16" x14ac:dyDescent="0.2">
      <c r="A18" s="2">
        <v>51</v>
      </c>
      <c r="E18" s="2">
        <v>3718.38</v>
      </c>
      <c r="F18" s="2">
        <v>0</v>
      </c>
      <c r="G18" s="2">
        <v>0</v>
      </c>
      <c r="H18" s="2">
        <v>0</v>
      </c>
      <c r="I18" s="2">
        <v>3718.38</v>
      </c>
      <c r="J18" s="2">
        <v>837.56</v>
      </c>
      <c r="K18" s="2">
        <v>3791.85</v>
      </c>
      <c r="L18" s="2">
        <v>0</v>
      </c>
      <c r="M18" s="2">
        <v>0</v>
      </c>
      <c r="N18" s="2">
        <v>3718.38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2455773.21</v>
      </c>
      <c r="G20" s="11" t="s">
        <v>201</v>
      </c>
      <c r="H20" s="11" t="s">
        <v>202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1378946.16</v>
      </c>
      <c r="G21" s="11" t="s">
        <v>203</v>
      </c>
      <c r="H21" s="11" t="s">
        <v>204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205</v>
      </c>
      <c r="H22" s="11" t="s">
        <v>206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1378946.16</v>
      </c>
      <c r="G23" s="11" t="s">
        <v>207</v>
      </c>
      <c r="H23" s="11" t="s">
        <v>208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1378946.16</v>
      </c>
      <c r="G24" s="11" t="s">
        <v>209</v>
      </c>
      <c r="H24" s="11" t="s">
        <v>210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211</v>
      </c>
      <c r="H25" s="11" t="s">
        <v>212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1378946.16</v>
      </c>
      <c r="G26" s="11" t="s">
        <v>213</v>
      </c>
      <c r="H26" s="11" t="s">
        <v>214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215</v>
      </c>
      <c r="H27" s="11" t="s">
        <v>216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217</v>
      </c>
      <c r="H28" s="11" t="s">
        <v>218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219</v>
      </c>
      <c r="H29" s="11" t="s">
        <v>220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196393.94</v>
      </c>
      <c r="G30" s="11" t="s">
        <v>221</v>
      </c>
      <c r="H30" s="11" t="s">
        <v>222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223</v>
      </c>
      <c r="H31" s="11" t="s">
        <v>224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66499.549999999988</v>
      </c>
      <c r="G32" s="11" t="s">
        <v>225</v>
      </c>
      <c r="H32" s="11" t="s">
        <v>226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771065.39</v>
      </c>
      <c r="G33" s="11" t="s">
        <v>227</v>
      </c>
      <c r="H33" s="11" t="s">
        <v>228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229</v>
      </c>
      <c r="H34" s="11" t="s">
        <v>230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3718382.7</v>
      </c>
      <c r="G35" s="11" t="s">
        <v>231</v>
      </c>
      <c r="H35" s="11" t="s">
        <v>232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0</v>
      </c>
      <c r="G36" s="11" t="s">
        <v>233</v>
      </c>
      <c r="H36" s="11" t="s">
        <v>234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235</v>
      </c>
      <c r="H37" s="11" t="s">
        <v>236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237</v>
      </c>
      <c r="H38" s="11" t="s">
        <v>238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239</v>
      </c>
      <c r="H39" s="11" t="s">
        <v>240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2205.5652799999998</v>
      </c>
      <c r="G40" s="11" t="s">
        <v>241</v>
      </c>
      <c r="H40" s="11" t="s">
        <v>242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134.36314999999999</v>
      </c>
      <c r="G41" s="11" t="s">
        <v>243</v>
      </c>
      <c r="H41" s="11" t="s">
        <v>244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245</v>
      </c>
      <c r="H42" s="11" t="s">
        <v>246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42868.17</v>
      </c>
      <c r="G43" s="11" t="s">
        <v>247</v>
      </c>
      <c r="H43" s="11" t="s">
        <v>248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837034.22</v>
      </c>
      <c r="G44" s="11" t="s">
        <v>249</v>
      </c>
      <c r="H44" s="11" t="s">
        <v>250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425575.27</v>
      </c>
      <c r="G45" s="11" t="s">
        <v>251</v>
      </c>
      <c r="H45" s="11" t="s">
        <v>252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3718382.7</v>
      </c>
      <c r="G46" s="11" t="s">
        <v>253</v>
      </c>
      <c r="H46" s="11" t="s">
        <v>254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3718382.7</v>
      </c>
      <c r="G47" s="11" t="s">
        <v>255</v>
      </c>
      <c r="H47" s="11" t="s">
        <v>266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818044.19</v>
      </c>
      <c r="G48" s="11" t="s">
        <v>259</v>
      </c>
      <c r="H48" s="11" t="s">
        <v>260</v>
      </c>
      <c r="I48" s="11"/>
      <c r="J48" s="11"/>
      <c r="K48" s="11">
        <v>212</v>
      </c>
      <c r="L48" s="11">
        <v>29</v>
      </c>
      <c r="M48" s="11">
        <v>0</v>
      </c>
      <c r="N48" s="11" t="s">
        <v>261</v>
      </c>
      <c r="O48" s="11">
        <v>2</v>
      </c>
      <c r="P48" s="11"/>
    </row>
    <row r="49" spans="1:50" x14ac:dyDescent="0.2">
      <c r="A49" s="11">
        <v>50</v>
      </c>
      <c r="B49" s="11">
        <v>1</v>
      </c>
      <c r="C49" s="11">
        <v>0</v>
      </c>
      <c r="D49" s="11">
        <v>2</v>
      </c>
      <c r="E49" s="11">
        <v>213</v>
      </c>
      <c r="F49" s="11">
        <v>4536426.8899999997</v>
      </c>
      <c r="G49" s="11" t="s">
        <v>262</v>
      </c>
      <c r="H49" s="11" t="s">
        <v>263</v>
      </c>
      <c r="I49" s="11"/>
      <c r="J49" s="11"/>
      <c r="K49" s="11">
        <v>212</v>
      </c>
      <c r="L49" s="11">
        <v>30</v>
      </c>
      <c r="M49" s="11">
        <v>0</v>
      </c>
      <c r="N49" s="11" t="s">
        <v>3</v>
      </c>
      <c r="O49" s="11">
        <v>2</v>
      </c>
      <c r="P49" s="11"/>
    </row>
    <row r="51" spans="1:50" x14ac:dyDescent="0.2">
      <c r="A51" s="2">
        <v>-1</v>
      </c>
    </row>
    <row r="54" spans="1:50" x14ac:dyDescent="0.2">
      <c r="A54" s="12">
        <v>75</v>
      </c>
      <c r="B54" s="12" t="s">
        <v>333</v>
      </c>
      <c r="C54" s="12">
        <v>2026</v>
      </c>
      <c r="D54" s="12">
        <v>0</v>
      </c>
      <c r="E54" s="12">
        <v>3</v>
      </c>
      <c r="F54" s="12">
        <v>1</v>
      </c>
      <c r="G54" s="12">
        <v>0</v>
      </c>
      <c r="H54" s="12">
        <v>1</v>
      </c>
      <c r="I54" s="12">
        <v>0</v>
      </c>
      <c r="J54" s="12">
        <v>3</v>
      </c>
      <c r="K54" s="12">
        <v>0</v>
      </c>
      <c r="L54" s="12">
        <v>0</v>
      </c>
      <c r="M54" s="12">
        <v>0</v>
      </c>
      <c r="N54" s="12">
        <v>55860754</v>
      </c>
      <c r="O54" s="12">
        <v>1</v>
      </c>
    </row>
    <row r="55" spans="1:50" x14ac:dyDescent="0.2">
      <c r="A55" s="13">
        <v>2</v>
      </c>
      <c r="B55" s="13" t="s">
        <v>334</v>
      </c>
      <c r="C55" s="13" t="s">
        <v>335</v>
      </c>
      <c r="D55" s="13">
        <v>0</v>
      </c>
      <c r="E55" s="13">
        <v>0</v>
      </c>
      <c r="F55" s="13">
        <v>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55860755</v>
      </c>
    </row>
    <row r="56" spans="1:50" x14ac:dyDescent="0.2">
      <c r="A56" s="13">
        <v>1</v>
      </c>
      <c r="B56" s="13" t="s">
        <v>336</v>
      </c>
      <c r="C56" s="13" t="s">
        <v>337</v>
      </c>
      <c r="D56" s="13">
        <v>2026</v>
      </c>
      <c r="E56" s="13">
        <v>3</v>
      </c>
      <c r="F56" s="13">
        <v>1</v>
      </c>
      <c r="G56" s="13">
        <v>1</v>
      </c>
      <c r="H56" s="13">
        <v>0</v>
      </c>
      <c r="I56" s="13">
        <v>2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3">
        <v>1</v>
      </c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3</v>
      </c>
      <c r="W56" s="13" t="s">
        <v>3</v>
      </c>
      <c r="X56" s="13" t="s">
        <v>3</v>
      </c>
      <c r="Y56" s="13" t="s">
        <v>3</v>
      </c>
      <c r="Z56" s="13" t="s">
        <v>3</v>
      </c>
      <c r="AA56" s="13" t="s">
        <v>3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>
        <v>55860756</v>
      </c>
      <c r="AO56" s="13" t="s">
        <v>338</v>
      </c>
      <c r="AP56" s="13" t="s">
        <v>339</v>
      </c>
      <c r="AQ56" s="13">
        <v>46078</v>
      </c>
      <c r="AR56" s="13">
        <v>409</v>
      </c>
      <c r="AS56" s="13" t="s">
        <v>340</v>
      </c>
      <c r="AT56" s="13" t="s">
        <v>341</v>
      </c>
      <c r="AU56" s="13" t="s">
        <v>339</v>
      </c>
      <c r="AV56" s="13">
        <v>45769</v>
      </c>
      <c r="AW56" s="13">
        <v>213</v>
      </c>
      <c r="AX56" s="13" t="s">
        <v>342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0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ROW(Source!A24)</f>
        <v>24</v>
      </c>
      <c r="B1">
        <v>55860754</v>
      </c>
      <c r="C1">
        <v>55860827</v>
      </c>
      <c r="D1">
        <v>54569555</v>
      </c>
      <c r="E1">
        <v>117</v>
      </c>
      <c r="F1">
        <v>1</v>
      </c>
      <c r="G1">
        <v>1</v>
      </c>
      <c r="H1">
        <v>1</v>
      </c>
      <c r="I1" t="s">
        <v>344</v>
      </c>
      <c r="J1" t="s">
        <v>3</v>
      </c>
      <c r="K1" t="s">
        <v>345</v>
      </c>
      <c r="L1">
        <v>1191</v>
      </c>
      <c r="N1">
        <v>1013</v>
      </c>
      <c r="O1" t="s">
        <v>346</v>
      </c>
      <c r="P1" t="s">
        <v>346</v>
      </c>
      <c r="Q1">
        <v>1</v>
      </c>
      <c r="W1">
        <v>0</v>
      </c>
      <c r="X1">
        <v>370475345</v>
      </c>
      <c r="Y1">
        <f t="shared" ref="Y1:Y14" si="0">AT1</f>
        <v>8.58</v>
      </c>
      <c r="AA1">
        <v>0</v>
      </c>
      <c r="AB1">
        <v>0</v>
      </c>
      <c r="AC1">
        <v>0</v>
      </c>
      <c r="AD1">
        <v>329.43</v>
      </c>
      <c r="AE1">
        <v>0</v>
      </c>
      <c r="AF1">
        <v>0</v>
      </c>
      <c r="AG1">
        <v>0</v>
      </c>
      <c r="AH1">
        <v>329.43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8.58</v>
      </c>
      <c r="AU1" t="s">
        <v>3</v>
      </c>
      <c r="AV1">
        <v>1</v>
      </c>
      <c r="AW1">
        <v>2</v>
      </c>
      <c r="AX1">
        <v>55860830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2826.5093999999999</v>
      </c>
      <c r="BN1">
        <v>8.58</v>
      </c>
      <c r="BO1">
        <v>0</v>
      </c>
      <c r="BP1">
        <v>1</v>
      </c>
      <c r="BQ1">
        <v>0</v>
      </c>
      <c r="BR1">
        <v>0</v>
      </c>
      <c r="BS1">
        <v>0</v>
      </c>
      <c r="BT1">
        <v>2826.5093999999999</v>
      </c>
      <c r="BU1">
        <v>8.58</v>
      </c>
      <c r="BV1">
        <v>0</v>
      </c>
      <c r="BW1">
        <v>1</v>
      </c>
      <c r="CU1">
        <f>ROUND(AT1*Source!I24*AH1*AL1,2)</f>
        <v>14697.85</v>
      </c>
      <c r="CV1">
        <f>ROUND(Y1*Source!I24,7)</f>
        <v>44.616</v>
      </c>
      <c r="CW1">
        <v>0</v>
      </c>
      <c r="CX1">
        <f>ROUND(Y1*Source!I24,7)</f>
        <v>44.616</v>
      </c>
      <c r="CY1">
        <f>AD1</f>
        <v>329.43</v>
      </c>
      <c r="CZ1">
        <f>AH1</f>
        <v>329.43</v>
      </c>
      <c r="DA1">
        <f>AL1</f>
        <v>1</v>
      </c>
      <c r="DB1">
        <f t="shared" ref="DB1:DB14" si="1">ROUND(ROUND(AT1*CZ1,2),6)</f>
        <v>2826.51</v>
      </c>
      <c r="DC1">
        <f t="shared" ref="DC1:DC14" si="2">ROUND(ROUND(AT1*AG1,2),6)</f>
        <v>0</v>
      </c>
      <c r="DD1" t="s">
        <v>3</v>
      </c>
      <c r="DE1" t="s">
        <v>3</v>
      </c>
      <c r="DF1">
        <f t="shared" ref="DF1:DF19" si="3">ROUND(ROUND(AE1,2)*CX1,2)</f>
        <v>0</v>
      </c>
      <c r="DG1">
        <f>ROUND(ROUND(AF1,2)*CX1,2)</f>
        <v>0</v>
      </c>
      <c r="DH1">
        <f t="shared" ref="DH1:DH32" si="4">ROUND(ROUND(AG1,2)*CX1,2)</f>
        <v>0</v>
      </c>
      <c r="DI1">
        <f t="shared" ref="DI1:DI32" si="5">ROUND(ROUND(AH1,2)*CX1,2)</f>
        <v>14697.85</v>
      </c>
      <c r="DJ1">
        <f>DI1</f>
        <v>14697.85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ROW(Source!A24)</f>
        <v>24</v>
      </c>
      <c r="B2">
        <v>55860754</v>
      </c>
      <c r="C2">
        <v>55860827</v>
      </c>
      <c r="D2">
        <v>54576412</v>
      </c>
      <c r="E2">
        <v>1</v>
      </c>
      <c r="F2">
        <v>1</v>
      </c>
      <c r="G2">
        <v>1</v>
      </c>
      <c r="H2">
        <v>2</v>
      </c>
      <c r="I2" t="s">
        <v>347</v>
      </c>
      <c r="J2" t="s">
        <v>348</v>
      </c>
      <c r="K2" t="s">
        <v>349</v>
      </c>
      <c r="L2">
        <v>1368</v>
      </c>
      <c r="N2">
        <v>1011</v>
      </c>
      <c r="O2" t="s">
        <v>350</v>
      </c>
      <c r="P2" t="s">
        <v>350</v>
      </c>
      <c r="Q2">
        <v>1</v>
      </c>
      <c r="W2">
        <v>0</v>
      </c>
      <c r="X2">
        <v>1560534341</v>
      </c>
      <c r="Y2">
        <f t="shared" si="0"/>
        <v>1.88</v>
      </c>
      <c r="AA2">
        <v>0</v>
      </c>
      <c r="AB2">
        <v>17.86</v>
      </c>
      <c r="AC2">
        <v>0</v>
      </c>
      <c r="AD2">
        <v>0</v>
      </c>
      <c r="AE2">
        <v>0</v>
      </c>
      <c r="AF2">
        <v>11.45</v>
      </c>
      <c r="AG2">
        <v>0</v>
      </c>
      <c r="AH2">
        <v>0</v>
      </c>
      <c r="AI2">
        <v>1</v>
      </c>
      <c r="AJ2">
        <v>1.56</v>
      </c>
      <c r="AK2">
        <v>1</v>
      </c>
      <c r="AL2">
        <v>1</v>
      </c>
      <c r="AM2">
        <v>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1.88</v>
      </c>
      <c r="AU2" t="s">
        <v>3</v>
      </c>
      <c r="AV2">
        <v>1</v>
      </c>
      <c r="AW2">
        <v>2</v>
      </c>
      <c r="AX2">
        <v>55860831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21.525999999999996</v>
      </c>
      <c r="BL2">
        <v>0</v>
      </c>
      <c r="BM2">
        <v>0</v>
      </c>
      <c r="BN2">
        <v>0</v>
      </c>
      <c r="BO2">
        <v>0</v>
      </c>
      <c r="BP2">
        <v>1</v>
      </c>
      <c r="BQ2">
        <v>0</v>
      </c>
      <c r="BR2">
        <v>21.525999999999996</v>
      </c>
      <c r="BS2">
        <v>0</v>
      </c>
      <c r="BT2">
        <v>0</v>
      </c>
      <c r="BU2">
        <v>0</v>
      </c>
      <c r="BV2">
        <v>0</v>
      </c>
      <c r="BW2">
        <v>1</v>
      </c>
      <c r="CV2">
        <v>0</v>
      </c>
      <c r="CW2">
        <f>ROUND(Y2*Source!I24*DO2,7)</f>
        <v>0</v>
      </c>
      <c r="CX2">
        <f>ROUND(Y2*Source!I24,7)</f>
        <v>9.7759999999999998</v>
      </c>
      <c r="CY2">
        <f>AB2</f>
        <v>17.86</v>
      </c>
      <c r="CZ2">
        <f>AF2</f>
        <v>11.45</v>
      </c>
      <c r="DA2">
        <f>AJ2</f>
        <v>1.56</v>
      </c>
      <c r="DB2">
        <f t="shared" si="1"/>
        <v>21.53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>ROUND(ROUND(AF2*AJ2,2)*CX2,2)</f>
        <v>174.6</v>
      </c>
      <c r="DH2">
        <f t="shared" si="4"/>
        <v>0</v>
      </c>
      <c r="DI2">
        <f t="shared" si="5"/>
        <v>0</v>
      </c>
      <c r="DJ2">
        <f>DG2+DH2</f>
        <v>174.6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ROW(Source!A25)</f>
        <v>25</v>
      </c>
      <c r="B3">
        <v>55860754</v>
      </c>
      <c r="C3">
        <v>55860832</v>
      </c>
      <c r="D3">
        <v>54569563</v>
      </c>
      <c r="E3">
        <v>117</v>
      </c>
      <c r="F3">
        <v>1</v>
      </c>
      <c r="G3">
        <v>1</v>
      </c>
      <c r="H3">
        <v>1</v>
      </c>
      <c r="I3" t="s">
        <v>351</v>
      </c>
      <c r="J3" t="s">
        <v>3</v>
      </c>
      <c r="K3" t="s">
        <v>352</v>
      </c>
      <c r="L3">
        <v>1191</v>
      </c>
      <c r="N3">
        <v>1013</v>
      </c>
      <c r="O3" t="s">
        <v>346</v>
      </c>
      <c r="P3" t="s">
        <v>346</v>
      </c>
      <c r="Q3">
        <v>1</v>
      </c>
      <c r="W3">
        <v>0</v>
      </c>
      <c r="X3">
        <v>1048598872</v>
      </c>
      <c r="Y3">
        <f t="shared" si="0"/>
        <v>15.16</v>
      </c>
      <c r="AA3">
        <v>0</v>
      </c>
      <c r="AB3">
        <v>0</v>
      </c>
      <c r="AC3">
        <v>0</v>
      </c>
      <c r="AD3">
        <v>335.48</v>
      </c>
      <c r="AE3">
        <v>0</v>
      </c>
      <c r="AF3">
        <v>0</v>
      </c>
      <c r="AG3">
        <v>0</v>
      </c>
      <c r="AH3">
        <v>335.48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15.16</v>
      </c>
      <c r="AU3" t="s">
        <v>3</v>
      </c>
      <c r="AV3">
        <v>1</v>
      </c>
      <c r="AW3">
        <v>2</v>
      </c>
      <c r="AX3">
        <v>55860837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5085.8768</v>
      </c>
      <c r="BN3">
        <v>15.16</v>
      </c>
      <c r="BO3">
        <v>0</v>
      </c>
      <c r="BP3">
        <v>1</v>
      </c>
      <c r="BQ3">
        <v>0</v>
      </c>
      <c r="BR3">
        <v>0</v>
      </c>
      <c r="BS3">
        <v>0</v>
      </c>
      <c r="BT3">
        <v>5085.8768</v>
      </c>
      <c r="BU3">
        <v>15.16</v>
      </c>
      <c r="BV3">
        <v>0</v>
      </c>
      <c r="BW3">
        <v>1</v>
      </c>
      <c r="CU3">
        <f>ROUND(AT3*Source!I25*AH3*AL3,2)</f>
        <v>26446.560000000001</v>
      </c>
      <c r="CV3">
        <f>ROUND(Y3*Source!I25,7)</f>
        <v>78.831999999999994</v>
      </c>
      <c r="CW3">
        <v>0</v>
      </c>
      <c r="CX3">
        <f>ROUND(Y3*Source!I25,7)</f>
        <v>78.831999999999994</v>
      </c>
      <c r="CY3">
        <f>AD3</f>
        <v>335.48</v>
      </c>
      <c r="CZ3">
        <f>AH3</f>
        <v>335.48</v>
      </c>
      <c r="DA3">
        <f>AL3</f>
        <v>1</v>
      </c>
      <c r="DB3">
        <f t="shared" si="1"/>
        <v>5085.88</v>
      </c>
      <c r="DC3">
        <f t="shared" si="2"/>
        <v>0</v>
      </c>
      <c r="DD3" t="s">
        <v>3</v>
      </c>
      <c r="DE3" t="s">
        <v>3</v>
      </c>
      <c r="DF3">
        <f t="shared" si="3"/>
        <v>0</v>
      </c>
      <c r="DG3">
        <f t="shared" ref="DG3:DG27" si="6">ROUND(ROUND(AF3,2)*CX3,2)</f>
        <v>0</v>
      </c>
      <c r="DH3">
        <f t="shared" si="4"/>
        <v>0</v>
      </c>
      <c r="DI3">
        <f t="shared" si="5"/>
        <v>26446.560000000001</v>
      </c>
      <c r="DJ3">
        <f>DI3</f>
        <v>26446.560000000001</v>
      </c>
      <c r="DK3">
        <v>1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ROW(Source!A25)</f>
        <v>25</v>
      </c>
      <c r="B4">
        <v>55860754</v>
      </c>
      <c r="C4">
        <v>55860832</v>
      </c>
      <c r="D4">
        <v>54569789</v>
      </c>
      <c r="E4">
        <v>117</v>
      </c>
      <c r="F4">
        <v>1</v>
      </c>
      <c r="G4">
        <v>1</v>
      </c>
      <c r="H4">
        <v>1</v>
      </c>
      <c r="I4" t="s">
        <v>353</v>
      </c>
      <c r="J4" t="s">
        <v>3</v>
      </c>
      <c r="K4" t="s">
        <v>354</v>
      </c>
      <c r="L4">
        <v>1191</v>
      </c>
      <c r="N4">
        <v>1013</v>
      </c>
      <c r="O4" t="s">
        <v>346</v>
      </c>
      <c r="P4" t="s">
        <v>346</v>
      </c>
      <c r="Q4">
        <v>1</v>
      </c>
      <c r="W4">
        <v>0</v>
      </c>
      <c r="X4">
        <v>-1417349443</v>
      </c>
      <c r="Y4">
        <f t="shared" si="0"/>
        <v>0.46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0.46</v>
      </c>
      <c r="AU4" t="s">
        <v>3</v>
      </c>
      <c r="AV4">
        <v>2</v>
      </c>
      <c r="AW4">
        <v>2</v>
      </c>
      <c r="AX4">
        <v>55860838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ROUND(Y4*Source!I25,7)</f>
        <v>2.3919999999999999</v>
      </c>
      <c r="CY4">
        <f>AD4</f>
        <v>0</v>
      </c>
      <c r="CZ4">
        <f>AH4</f>
        <v>0</v>
      </c>
      <c r="DA4">
        <f>AL4</f>
        <v>1</v>
      </c>
      <c r="DB4">
        <f t="shared" si="1"/>
        <v>0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 t="shared" si="6"/>
        <v>0</v>
      </c>
      <c r="DH4">
        <f t="shared" si="4"/>
        <v>0</v>
      </c>
      <c r="DI4">
        <f t="shared" si="5"/>
        <v>0</v>
      </c>
      <c r="DJ4">
        <f>DI4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ROW(Source!A25)</f>
        <v>25</v>
      </c>
      <c r="B5">
        <v>55860754</v>
      </c>
      <c r="C5">
        <v>55860832</v>
      </c>
      <c r="D5">
        <v>54576226</v>
      </c>
      <c r="E5">
        <v>1</v>
      </c>
      <c r="F5">
        <v>1</v>
      </c>
      <c r="G5">
        <v>1</v>
      </c>
      <c r="H5">
        <v>2</v>
      </c>
      <c r="I5" t="s">
        <v>355</v>
      </c>
      <c r="J5" t="s">
        <v>356</v>
      </c>
      <c r="K5" t="s">
        <v>357</v>
      </c>
      <c r="L5">
        <v>1368</v>
      </c>
      <c r="N5">
        <v>1011</v>
      </c>
      <c r="O5" t="s">
        <v>350</v>
      </c>
      <c r="P5" t="s">
        <v>350</v>
      </c>
      <c r="Q5">
        <v>1</v>
      </c>
      <c r="W5">
        <v>0</v>
      </c>
      <c r="X5">
        <v>1380566452</v>
      </c>
      <c r="Y5">
        <f t="shared" si="0"/>
        <v>0.46</v>
      </c>
      <c r="AA5">
        <v>0</v>
      </c>
      <c r="AB5">
        <v>1098</v>
      </c>
      <c r="AC5">
        <v>544.01</v>
      </c>
      <c r="AD5">
        <v>0</v>
      </c>
      <c r="AE5">
        <v>0</v>
      </c>
      <c r="AF5">
        <v>1098</v>
      </c>
      <c r="AG5">
        <v>544.01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0.46</v>
      </c>
      <c r="AU5" t="s">
        <v>3</v>
      </c>
      <c r="AV5">
        <v>1</v>
      </c>
      <c r="AW5">
        <v>2</v>
      </c>
      <c r="AX5">
        <v>55860839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505.08000000000004</v>
      </c>
      <c r="BL5">
        <v>250.24460000000002</v>
      </c>
      <c r="BM5">
        <v>0</v>
      </c>
      <c r="BN5">
        <v>0</v>
      </c>
      <c r="BO5">
        <v>0.46</v>
      </c>
      <c r="BP5">
        <v>1</v>
      </c>
      <c r="BQ5">
        <v>0</v>
      </c>
      <c r="BR5">
        <v>505.08000000000004</v>
      </c>
      <c r="BS5">
        <v>250.24460000000002</v>
      </c>
      <c r="BT5">
        <v>0</v>
      </c>
      <c r="BU5">
        <v>0</v>
      </c>
      <c r="BV5">
        <v>0.46</v>
      </c>
      <c r="BW5">
        <v>1</v>
      </c>
      <c r="CV5">
        <v>0</v>
      </c>
      <c r="CW5">
        <f>ROUND(Y5*Source!I25*DO5,7)</f>
        <v>2.3919999999999999</v>
      </c>
      <c r="CX5">
        <f>ROUND(Y5*Source!I25,7)</f>
        <v>2.3919999999999999</v>
      </c>
      <c r="CY5">
        <f>AB5</f>
        <v>1098</v>
      </c>
      <c r="CZ5">
        <f>AF5</f>
        <v>1098</v>
      </c>
      <c r="DA5">
        <f>AJ5</f>
        <v>1</v>
      </c>
      <c r="DB5">
        <f t="shared" si="1"/>
        <v>505.08</v>
      </c>
      <c r="DC5">
        <f t="shared" si="2"/>
        <v>250.24</v>
      </c>
      <c r="DD5" t="s">
        <v>3</v>
      </c>
      <c r="DE5" t="s">
        <v>3</v>
      </c>
      <c r="DF5">
        <f t="shared" si="3"/>
        <v>0</v>
      </c>
      <c r="DG5">
        <f t="shared" si="6"/>
        <v>2626.42</v>
      </c>
      <c r="DH5">
        <f t="shared" si="4"/>
        <v>1301.27</v>
      </c>
      <c r="DI5">
        <f t="shared" si="5"/>
        <v>0</v>
      </c>
      <c r="DJ5">
        <f>DG5+DH5</f>
        <v>3927.69</v>
      </c>
      <c r="DK5">
        <v>1</v>
      </c>
      <c r="DL5" t="s">
        <v>358</v>
      </c>
      <c r="DM5">
        <v>6</v>
      </c>
      <c r="DN5" t="s">
        <v>346</v>
      </c>
      <c r="DO5">
        <v>1</v>
      </c>
    </row>
    <row r="6" spans="1:119" x14ac:dyDescent="0.2">
      <c r="A6">
        <f>ROW(Source!A25)</f>
        <v>25</v>
      </c>
      <c r="B6">
        <v>55860754</v>
      </c>
      <c r="C6">
        <v>55860832</v>
      </c>
      <c r="D6">
        <v>54575628</v>
      </c>
      <c r="E6">
        <v>117</v>
      </c>
      <c r="F6">
        <v>1</v>
      </c>
      <c r="G6">
        <v>1</v>
      </c>
      <c r="H6">
        <v>3</v>
      </c>
      <c r="I6" t="s">
        <v>39</v>
      </c>
      <c r="J6" t="s">
        <v>3</v>
      </c>
      <c r="K6" t="s">
        <v>40</v>
      </c>
      <c r="L6">
        <v>1348</v>
      </c>
      <c r="N6">
        <v>1009</v>
      </c>
      <c r="O6" t="s">
        <v>41</v>
      </c>
      <c r="P6" t="s">
        <v>41</v>
      </c>
      <c r="Q6">
        <v>1000</v>
      </c>
      <c r="W6">
        <v>0</v>
      </c>
      <c r="X6">
        <v>2102561428</v>
      </c>
      <c r="Y6">
        <f t="shared" si="0"/>
        <v>1.4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 t="s">
        <v>3</v>
      </c>
      <c r="AT6">
        <v>1.4</v>
      </c>
      <c r="AU6" t="s">
        <v>3</v>
      </c>
      <c r="AV6">
        <v>0</v>
      </c>
      <c r="AW6">
        <v>2</v>
      </c>
      <c r="AX6">
        <v>55860840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ROUND(Y6*Source!I25,7)</f>
        <v>7.28</v>
      </c>
      <c r="CY6">
        <f>AA6</f>
        <v>0</v>
      </c>
      <c r="CZ6">
        <f>AE6</f>
        <v>0</v>
      </c>
      <c r="DA6">
        <f>AI6</f>
        <v>1</v>
      </c>
      <c r="DB6">
        <f t="shared" si="1"/>
        <v>0</v>
      </c>
      <c r="DC6">
        <f t="shared" si="2"/>
        <v>0</v>
      </c>
      <c r="DD6" t="s">
        <v>3</v>
      </c>
      <c r="DE6" t="s">
        <v>3</v>
      </c>
      <c r="DF6">
        <f t="shared" si="3"/>
        <v>0</v>
      </c>
      <c r="DG6">
        <f t="shared" si="6"/>
        <v>0</v>
      </c>
      <c r="DH6">
        <f t="shared" si="4"/>
        <v>0</v>
      </c>
      <c r="DI6">
        <f t="shared" si="5"/>
        <v>0</v>
      </c>
      <c r="DJ6">
        <f>DF6</f>
        <v>0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ROW(Source!A27)</f>
        <v>27</v>
      </c>
      <c r="B7">
        <v>55860754</v>
      </c>
      <c r="C7">
        <v>55860842</v>
      </c>
      <c r="D7">
        <v>54569573</v>
      </c>
      <c r="E7">
        <v>117</v>
      </c>
      <c r="F7">
        <v>1</v>
      </c>
      <c r="G7">
        <v>1</v>
      </c>
      <c r="H7">
        <v>1</v>
      </c>
      <c r="I7" t="s">
        <v>359</v>
      </c>
      <c r="J7" t="s">
        <v>3</v>
      </c>
      <c r="K7" t="s">
        <v>360</v>
      </c>
      <c r="L7">
        <v>1191</v>
      </c>
      <c r="N7">
        <v>1013</v>
      </c>
      <c r="O7" t="s">
        <v>346</v>
      </c>
      <c r="P7" t="s">
        <v>346</v>
      </c>
      <c r="Q7">
        <v>1</v>
      </c>
      <c r="W7">
        <v>0</v>
      </c>
      <c r="X7">
        <v>-1483035894</v>
      </c>
      <c r="Y7">
        <f t="shared" si="0"/>
        <v>27.08</v>
      </c>
      <c r="AA7">
        <v>0</v>
      </c>
      <c r="AB7">
        <v>0</v>
      </c>
      <c r="AC7">
        <v>0</v>
      </c>
      <c r="AD7">
        <v>341.52</v>
      </c>
      <c r="AE7">
        <v>0</v>
      </c>
      <c r="AF7">
        <v>0</v>
      </c>
      <c r="AG7">
        <v>0</v>
      </c>
      <c r="AH7">
        <v>341.52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27.08</v>
      </c>
      <c r="AU7" t="s">
        <v>3</v>
      </c>
      <c r="AV7">
        <v>1</v>
      </c>
      <c r="AW7">
        <v>2</v>
      </c>
      <c r="AX7">
        <v>55860847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9248.3615999999984</v>
      </c>
      <c r="BN7">
        <v>27.08</v>
      </c>
      <c r="BO7">
        <v>0</v>
      </c>
      <c r="BP7">
        <v>1</v>
      </c>
      <c r="BQ7">
        <v>0</v>
      </c>
      <c r="BR7">
        <v>0</v>
      </c>
      <c r="BS7">
        <v>0</v>
      </c>
      <c r="BT7">
        <v>9248.3615999999984</v>
      </c>
      <c r="BU7">
        <v>27.08</v>
      </c>
      <c r="BV7">
        <v>0</v>
      </c>
      <c r="BW7">
        <v>1</v>
      </c>
      <c r="CU7">
        <f>ROUND(AT7*Source!I27*AH7*AL7,2)</f>
        <v>48091.48</v>
      </c>
      <c r="CV7">
        <f>ROUND(Y7*Source!I27,7)</f>
        <v>140.816</v>
      </c>
      <c r="CW7">
        <v>0</v>
      </c>
      <c r="CX7">
        <f>ROUND(Y7*Source!I27,7)</f>
        <v>140.816</v>
      </c>
      <c r="CY7">
        <f>AD7</f>
        <v>341.52</v>
      </c>
      <c r="CZ7">
        <f>AH7</f>
        <v>341.52</v>
      </c>
      <c r="DA7">
        <f>AL7</f>
        <v>1</v>
      </c>
      <c r="DB7">
        <f t="shared" si="1"/>
        <v>9248.36</v>
      </c>
      <c r="DC7">
        <f t="shared" si="2"/>
        <v>0</v>
      </c>
      <c r="DD7" t="s">
        <v>3</v>
      </c>
      <c r="DE7" t="s">
        <v>3</v>
      </c>
      <c r="DF7">
        <f t="shared" si="3"/>
        <v>0</v>
      </c>
      <c r="DG7">
        <f t="shared" si="6"/>
        <v>0</v>
      </c>
      <c r="DH7">
        <f t="shared" si="4"/>
        <v>0</v>
      </c>
      <c r="DI7">
        <f t="shared" si="5"/>
        <v>48091.48</v>
      </c>
      <c r="DJ7">
        <f>DI7</f>
        <v>48091.48</v>
      </c>
      <c r="DK7">
        <v>1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ROW(Source!A27)</f>
        <v>27</v>
      </c>
      <c r="B8">
        <v>55860754</v>
      </c>
      <c r="C8">
        <v>55860842</v>
      </c>
      <c r="D8">
        <v>54569789</v>
      </c>
      <c r="E8">
        <v>117</v>
      </c>
      <c r="F8">
        <v>1</v>
      </c>
      <c r="G8">
        <v>1</v>
      </c>
      <c r="H8">
        <v>1</v>
      </c>
      <c r="I8" t="s">
        <v>353</v>
      </c>
      <c r="J8" t="s">
        <v>3</v>
      </c>
      <c r="K8" t="s">
        <v>354</v>
      </c>
      <c r="L8">
        <v>1191</v>
      </c>
      <c r="N8">
        <v>1013</v>
      </c>
      <c r="O8" t="s">
        <v>346</v>
      </c>
      <c r="P8" t="s">
        <v>346</v>
      </c>
      <c r="Q8">
        <v>1</v>
      </c>
      <c r="W8">
        <v>0</v>
      </c>
      <c r="X8">
        <v>-1417349443</v>
      </c>
      <c r="Y8">
        <f t="shared" si="0"/>
        <v>0.42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0.42</v>
      </c>
      <c r="AU8" t="s">
        <v>3</v>
      </c>
      <c r="AV8">
        <v>2</v>
      </c>
      <c r="AW8">
        <v>2</v>
      </c>
      <c r="AX8">
        <v>55860848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v>0</v>
      </c>
      <c r="CX8">
        <f>ROUND(Y8*Source!I27,7)</f>
        <v>2.1840000000000002</v>
      </c>
      <c r="CY8">
        <f>AD8</f>
        <v>0</v>
      </c>
      <c r="CZ8">
        <f>AH8</f>
        <v>0</v>
      </c>
      <c r="DA8">
        <f>AL8</f>
        <v>1</v>
      </c>
      <c r="DB8">
        <f t="shared" si="1"/>
        <v>0</v>
      </c>
      <c r="DC8">
        <f t="shared" si="2"/>
        <v>0</v>
      </c>
      <c r="DD8" t="s">
        <v>3</v>
      </c>
      <c r="DE8" t="s">
        <v>3</v>
      </c>
      <c r="DF8">
        <f t="shared" si="3"/>
        <v>0</v>
      </c>
      <c r="DG8">
        <f t="shared" si="6"/>
        <v>0</v>
      </c>
      <c r="DH8">
        <f t="shared" si="4"/>
        <v>0</v>
      </c>
      <c r="DI8">
        <f t="shared" si="5"/>
        <v>0</v>
      </c>
      <c r="DJ8">
        <f>DI8</f>
        <v>0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ROW(Source!A27)</f>
        <v>27</v>
      </c>
      <c r="B9">
        <v>55860754</v>
      </c>
      <c r="C9">
        <v>55860842</v>
      </c>
      <c r="D9">
        <v>54576226</v>
      </c>
      <c r="E9">
        <v>1</v>
      </c>
      <c r="F9">
        <v>1</v>
      </c>
      <c r="G9">
        <v>1</v>
      </c>
      <c r="H9">
        <v>2</v>
      </c>
      <c r="I9" t="s">
        <v>355</v>
      </c>
      <c r="J9" t="s">
        <v>356</v>
      </c>
      <c r="K9" t="s">
        <v>357</v>
      </c>
      <c r="L9">
        <v>1368</v>
      </c>
      <c r="N9">
        <v>1011</v>
      </c>
      <c r="O9" t="s">
        <v>350</v>
      </c>
      <c r="P9" t="s">
        <v>350</v>
      </c>
      <c r="Q9">
        <v>1</v>
      </c>
      <c r="W9">
        <v>0</v>
      </c>
      <c r="X9">
        <v>1380566452</v>
      </c>
      <c r="Y9">
        <f t="shared" si="0"/>
        <v>0.42</v>
      </c>
      <c r="AA9">
        <v>0</v>
      </c>
      <c r="AB9">
        <v>1098</v>
      </c>
      <c r="AC9">
        <v>544.01</v>
      </c>
      <c r="AD9">
        <v>0</v>
      </c>
      <c r="AE9">
        <v>0</v>
      </c>
      <c r="AF9">
        <v>1098</v>
      </c>
      <c r="AG9">
        <v>544.01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0.42</v>
      </c>
      <c r="AU9" t="s">
        <v>3</v>
      </c>
      <c r="AV9">
        <v>1</v>
      </c>
      <c r="AW9">
        <v>2</v>
      </c>
      <c r="AX9">
        <v>55860849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461.15999999999997</v>
      </c>
      <c r="BL9">
        <v>228.48419999999999</v>
      </c>
      <c r="BM9">
        <v>0</v>
      </c>
      <c r="BN9">
        <v>0</v>
      </c>
      <c r="BO9">
        <v>0.42</v>
      </c>
      <c r="BP9">
        <v>1</v>
      </c>
      <c r="BQ9">
        <v>0</v>
      </c>
      <c r="BR9">
        <v>461.15999999999997</v>
      </c>
      <c r="BS9">
        <v>228.48419999999999</v>
      </c>
      <c r="BT9">
        <v>0</v>
      </c>
      <c r="BU9">
        <v>0</v>
      </c>
      <c r="BV9">
        <v>0.42</v>
      </c>
      <c r="BW9">
        <v>1</v>
      </c>
      <c r="CV9">
        <v>0</v>
      </c>
      <c r="CW9">
        <f>ROUND(Y9*Source!I27*DO9,7)</f>
        <v>2.1840000000000002</v>
      </c>
      <c r="CX9">
        <f>ROUND(Y9*Source!I27,7)</f>
        <v>2.1840000000000002</v>
      </c>
      <c r="CY9">
        <f>AB9</f>
        <v>1098</v>
      </c>
      <c r="CZ9">
        <f>AF9</f>
        <v>1098</v>
      </c>
      <c r="DA9">
        <f>AJ9</f>
        <v>1</v>
      </c>
      <c r="DB9">
        <f t="shared" si="1"/>
        <v>461.16</v>
      </c>
      <c r="DC9">
        <f t="shared" si="2"/>
        <v>228.48</v>
      </c>
      <c r="DD9" t="s">
        <v>3</v>
      </c>
      <c r="DE9" t="s">
        <v>3</v>
      </c>
      <c r="DF9">
        <f t="shared" si="3"/>
        <v>0</v>
      </c>
      <c r="DG9">
        <f t="shared" si="6"/>
        <v>2398.0300000000002</v>
      </c>
      <c r="DH9">
        <f t="shared" si="4"/>
        <v>1188.1199999999999</v>
      </c>
      <c r="DI9">
        <f t="shared" si="5"/>
        <v>0</v>
      </c>
      <c r="DJ9">
        <f>DG9+DH9</f>
        <v>3586.15</v>
      </c>
      <c r="DK9">
        <v>1</v>
      </c>
      <c r="DL9" t="s">
        <v>358</v>
      </c>
      <c r="DM9">
        <v>6</v>
      </c>
      <c r="DN9" t="s">
        <v>346</v>
      </c>
      <c r="DO9">
        <v>1</v>
      </c>
    </row>
    <row r="10" spans="1:119" x14ac:dyDescent="0.2">
      <c r="A10">
        <f>ROW(Source!A27)</f>
        <v>27</v>
      </c>
      <c r="B10">
        <v>55860754</v>
      </c>
      <c r="C10">
        <v>55860842</v>
      </c>
      <c r="D10">
        <v>54575628</v>
      </c>
      <c r="E10">
        <v>117</v>
      </c>
      <c r="F10">
        <v>1</v>
      </c>
      <c r="G10">
        <v>1</v>
      </c>
      <c r="H10">
        <v>3</v>
      </c>
      <c r="I10" t="s">
        <v>39</v>
      </c>
      <c r="J10" t="s">
        <v>3</v>
      </c>
      <c r="K10" t="s">
        <v>40</v>
      </c>
      <c r="L10">
        <v>1348</v>
      </c>
      <c r="N10">
        <v>1009</v>
      </c>
      <c r="O10" t="s">
        <v>41</v>
      </c>
      <c r="P10" t="s">
        <v>41</v>
      </c>
      <c r="Q10">
        <v>1000</v>
      </c>
      <c r="W10">
        <v>0</v>
      </c>
      <c r="X10">
        <v>2102561428</v>
      </c>
      <c r="Y10">
        <f t="shared" si="0"/>
        <v>1.25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 t="s">
        <v>3</v>
      </c>
      <c r="AT10">
        <v>1.25</v>
      </c>
      <c r="AU10" t="s">
        <v>3</v>
      </c>
      <c r="AV10">
        <v>0</v>
      </c>
      <c r="AW10">
        <v>2</v>
      </c>
      <c r="AX10">
        <v>55860850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ROUND(Y10*Source!I27,7)</f>
        <v>6.5</v>
      </c>
      <c r="CY10">
        <f>AA10</f>
        <v>0</v>
      </c>
      <c r="CZ10">
        <f>AE10</f>
        <v>0</v>
      </c>
      <c r="DA10">
        <f>AI10</f>
        <v>1</v>
      </c>
      <c r="DB10">
        <f t="shared" si="1"/>
        <v>0</v>
      </c>
      <c r="DC10">
        <f t="shared" si="2"/>
        <v>0</v>
      </c>
      <c r="DD10" t="s">
        <v>3</v>
      </c>
      <c r="DE10" t="s">
        <v>3</v>
      </c>
      <c r="DF10">
        <f t="shared" si="3"/>
        <v>0</v>
      </c>
      <c r="DG10">
        <f t="shared" si="6"/>
        <v>0</v>
      </c>
      <c r="DH10">
        <f t="shared" si="4"/>
        <v>0</v>
      </c>
      <c r="DI10">
        <f t="shared" si="5"/>
        <v>0</v>
      </c>
      <c r="DJ10">
        <f>DF10</f>
        <v>0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ROW(Source!A29)</f>
        <v>29</v>
      </c>
      <c r="B11">
        <v>55860754</v>
      </c>
      <c r="C11">
        <v>55860852</v>
      </c>
      <c r="D11">
        <v>54569563</v>
      </c>
      <c r="E11">
        <v>117</v>
      </c>
      <c r="F11">
        <v>1</v>
      </c>
      <c r="G11">
        <v>1</v>
      </c>
      <c r="H11">
        <v>1</v>
      </c>
      <c r="I11" t="s">
        <v>351</v>
      </c>
      <c r="J11" t="s">
        <v>3</v>
      </c>
      <c r="K11" t="s">
        <v>352</v>
      </c>
      <c r="L11">
        <v>1191</v>
      </c>
      <c r="N11">
        <v>1013</v>
      </c>
      <c r="O11" t="s">
        <v>346</v>
      </c>
      <c r="P11" t="s">
        <v>346</v>
      </c>
      <c r="Q11">
        <v>1</v>
      </c>
      <c r="W11">
        <v>0</v>
      </c>
      <c r="X11">
        <v>1048598872</v>
      </c>
      <c r="Y11">
        <f t="shared" si="0"/>
        <v>6.73</v>
      </c>
      <c r="AA11">
        <v>0</v>
      </c>
      <c r="AB11">
        <v>0</v>
      </c>
      <c r="AC11">
        <v>0</v>
      </c>
      <c r="AD11">
        <v>335.48</v>
      </c>
      <c r="AE11">
        <v>0</v>
      </c>
      <c r="AF11">
        <v>0</v>
      </c>
      <c r="AG11">
        <v>0</v>
      </c>
      <c r="AH11">
        <v>335.48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6.73</v>
      </c>
      <c r="AU11" t="s">
        <v>3</v>
      </c>
      <c r="AV11">
        <v>1</v>
      </c>
      <c r="AW11">
        <v>2</v>
      </c>
      <c r="AX11">
        <v>55860857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2257.7804000000001</v>
      </c>
      <c r="BN11">
        <v>6.73</v>
      </c>
      <c r="BO11">
        <v>0</v>
      </c>
      <c r="BP11">
        <v>1</v>
      </c>
      <c r="BQ11">
        <v>0</v>
      </c>
      <c r="BR11">
        <v>0</v>
      </c>
      <c r="BS11">
        <v>0</v>
      </c>
      <c r="BT11">
        <v>2257.7804000000001</v>
      </c>
      <c r="BU11">
        <v>6.73</v>
      </c>
      <c r="BV11">
        <v>0</v>
      </c>
      <c r="BW11">
        <v>1</v>
      </c>
      <c r="CU11">
        <f>ROUND(AT11*Source!I29*AH11*AL11,2)</f>
        <v>11740.46</v>
      </c>
      <c r="CV11">
        <f>ROUND(Y11*Source!I29,7)</f>
        <v>34.996000000000002</v>
      </c>
      <c r="CW11">
        <v>0</v>
      </c>
      <c r="CX11">
        <f>ROUND(Y11*Source!I29,7)</f>
        <v>34.996000000000002</v>
      </c>
      <c r="CY11">
        <f>AD11</f>
        <v>335.48</v>
      </c>
      <c r="CZ11">
        <f>AH11</f>
        <v>335.48</v>
      </c>
      <c r="DA11">
        <f>AL11</f>
        <v>1</v>
      </c>
      <c r="DB11">
        <f t="shared" si="1"/>
        <v>2257.7800000000002</v>
      </c>
      <c r="DC11">
        <f t="shared" si="2"/>
        <v>0</v>
      </c>
      <c r="DD11" t="s">
        <v>3</v>
      </c>
      <c r="DE11" t="s">
        <v>3</v>
      </c>
      <c r="DF11">
        <f t="shared" si="3"/>
        <v>0</v>
      </c>
      <c r="DG11">
        <f t="shared" si="6"/>
        <v>0</v>
      </c>
      <c r="DH11">
        <f t="shared" si="4"/>
        <v>0</v>
      </c>
      <c r="DI11">
        <f t="shared" si="5"/>
        <v>11740.46</v>
      </c>
      <c r="DJ11">
        <f>DI11</f>
        <v>11740.46</v>
      </c>
      <c r="DK11">
        <v>1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ROW(Source!A29)</f>
        <v>29</v>
      </c>
      <c r="B12">
        <v>55860754</v>
      </c>
      <c r="C12">
        <v>55860852</v>
      </c>
      <c r="D12">
        <v>54569789</v>
      </c>
      <c r="E12">
        <v>117</v>
      </c>
      <c r="F12">
        <v>1</v>
      </c>
      <c r="G12">
        <v>1</v>
      </c>
      <c r="H12">
        <v>1</v>
      </c>
      <c r="I12" t="s">
        <v>353</v>
      </c>
      <c r="J12" t="s">
        <v>3</v>
      </c>
      <c r="K12" t="s">
        <v>354</v>
      </c>
      <c r="L12">
        <v>1191</v>
      </c>
      <c r="N12">
        <v>1013</v>
      </c>
      <c r="O12" t="s">
        <v>346</v>
      </c>
      <c r="P12" t="s">
        <v>346</v>
      </c>
      <c r="Q12">
        <v>1</v>
      </c>
      <c r="W12">
        <v>0</v>
      </c>
      <c r="X12">
        <v>-1417349443</v>
      </c>
      <c r="Y12">
        <f t="shared" si="0"/>
        <v>0.27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0.27</v>
      </c>
      <c r="AU12" t="s">
        <v>3</v>
      </c>
      <c r="AV12">
        <v>2</v>
      </c>
      <c r="AW12">
        <v>2</v>
      </c>
      <c r="AX12">
        <v>55860858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v>0</v>
      </c>
      <c r="CX12">
        <f>ROUND(Y12*Source!I29,7)</f>
        <v>1.4039999999999999</v>
      </c>
      <c r="CY12">
        <f>AD12</f>
        <v>0</v>
      </c>
      <c r="CZ12">
        <f>AH12</f>
        <v>0</v>
      </c>
      <c r="DA12">
        <f>AL12</f>
        <v>1</v>
      </c>
      <c r="DB12">
        <f t="shared" si="1"/>
        <v>0</v>
      </c>
      <c r="DC12">
        <f t="shared" si="2"/>
        <v>0</v>
      </c>
      <c r="DD12" t="s">
        <v>3</v>
      </c>
      <c r="DE12" t="s">
        <v>3</v>
      </c>
      <c r="DF12">
        <f t="shared" si="3"/>
        <v>0</v>
      </c>
      <c r="DG12">
        <f t="shared" si="6"/>
        <v>0</v>
      </c>
      <c r="DH12">
        <f t="shared" si="4"/>
        <v>0</v>
      </c>
      <c r="DI12">
        <f t="shared" si="5"/>
        <v>0</v>
      </c>
      <c r="DJ12">
        <f>DI12</f>
        <v>0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ROW(Source!A29)</f>
        <v>29</v>
      </c>
      <c r="B13">
        <v>55860754</v>
      </c>
      <c r="C13">
        <v>55860852</v>
      </c>
      <c r="D13">
        <v>54576226</v>
      </c>
      <c r="E13">
        <v>1</v>
      </c>
      <c r="F13">
        <v>1</v>
      </c>
      <c r="G13">
        <v>1</v>
      </c>
      <c r="H13">
        <v>2</v>
      </c>
      <c r="I13" t="s">
        <v>355</v>
      </c>
      <c r="J13" t="s">
        <v>356</v>
      </c>
      <c r="K13" t="s">
        <v>357</v>
      </c>
      <c r="L13">
        <v>1368</v>
      </c>
      <c r="N13">
        <v>1011</v>
      </c>
      <c r="O13" t="s">
        <v>350</v>
      </c>
      <c r="P13" t="s">
        <v>350</v>
      </c>
      <c r="Q13">
        <v>1</v>
      </c>
      <c r="W13">
        <v>0</v>
      </c>
      <c r="X13">
        <v>1380566452</v>
      </c>
      <c r="Y13">
        <f t="shared" si="0"/>
        <v>0.27</v>
      </c>
      <c r="AA13">
        <v>0</v>
      </c>
      <c r="AB13">
        <v>1098</v>
      </c>
      <c r="AC13">
        <v>544.01</v>
      </c>
      <c r="AD13">
        <v>0</v>
      </c>
      <c r="AE13">
        <v>0</v>
      </c>
      <c r="AF13">
        <v>1098</v>
      </c>
      <c r="AG13">
        <v>544.01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0.27</v>
      </c>
      <c r="AU13" t="s">
        <v>3</v>
      </c>
      <c r="AV13">
        <v>1</v>
      </c>
      <c r="AW13">
        <v>2</v>
      </c>
      <c r="AX13">
        <v>55860859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296.46000000000004</v>
      </c>
      <c r="BL13">
        <v>146.8827</v>
      </c>
      <c r="BM13">
        <v>0</v>
      </c>
      <c r="BN13">
        <v>0</v>
      </c>
      <c r="BO13">
        <v>0.27</v>
      </c>
      <c r="BP13">
        <v>1</v>
      </c>
      <c r="BQ13">
        <v>0</v>
      </c>
      <c r="BR13">
        <v>296.46000000000004</v>
      </c>
      <c r="BS13">
        <v>146.8827</v>
      </c>
      <c r="BT13">
        <v>0</v>
      </c>
      <c r="BU13">
        <v>0</v>
      </c>
      <c r="BV13">
        <v>0.27</v>
      </c>
      <c r="BW13">
        <v>1</v>
      </c>
      <c r="CV13">
        <v>0</v>
      </c>
      <c r="CW13">
        <f>ROUND(Y13*Source!I29*DO13,7)</f>
        <v>1.4039999999999999</v>
      </c>
      <c r="CX13">
        <f>ROUND(Y13*Source!I29,7)</f>
        <v>1.4039999999999999</v>
      </c>
      <c r="CY13">
        <f>AB13</f>
        <v>1098</v>
      </c>
      <c r="CZ13">
        <f>AF13</f>
        <v>1098</v>
      </c>
      <c r="DA13">
        <f>AJ13</f>
        <v>1</v>
      </c>
      <c r="DB13">
        <f t="shared" si="1"/>
        <v>296.45999999999998</v>
      </c>
      <c r="DC13">
        <f t="shared" si="2"/>
        <v>146.88</v>
      </c>
      <c r="DD13" t="s">
        <v>3</v>
      </c>
      <c r="DE13" t="s">
        <v>3</v>
      </c>
      <c r="DF13">
        <f t="shared" si="3"/>
        <v>0</v>
      </c>
      <c r="DG13">
        <f t="shared" si="6"/>
        <v>1541.59</v>
      </c>
      <c r="DH13">
        <f t="shared" si="4"/>
        <v>763.79</v>
      </c>
      <c r="DI13">
        <f t="shared" si="5"/>
        <v>0</v>
      </c>
      <c r="DJ13">
        <f>DG13+DH13</f>
        <v>2305.38</v>
      </c>
      <c r="DK13">
        <v>1</v>
      </c>
      <c r="DL13" t="s">
        <v>358</v>
      </c>
      <c r="DM13">
        <v>6</v>
      </c>
      <c r="DN13" t="s">
        <v>346</v>
      </c>
      <c r="DO13">
        <v>1</v>
      </c>
    </row>
    <row r="14" spans="1:119" x14ac:dyDescent="0.2">
      <c r="A14">
        <f>ROW(Source!A29)</f>
        <v>29</v>
      </c>
      <c r="B14">
        <v>55860754</v>
      </c>
      <c r="C14">
        <v>55860852</v>
      </c>
      <c r="D14">
        <v>54575628</v>
      </c>
      <c r="E14">
        <v>117</v>
      </c>
      <c r="F14">
        <v>1</v>
      </c>
      <c r="G14">
        <v>1</v>
      </c>
      <c r="H14">
        <v>3</v>
      </c>
      <c r="I14" t="s">
        <v>39</v>
      </c>
      <c r="J14" t="s">
        <v>3</v>
      </c>
      <c r="K14" t="s">
        <v>40</v>
      </c>
      <c r="L14">
        <v>1348</v>
      </c>
      <c r="N14">
        <v>1009</v>
      </c>
      <c r="O14" t="s">
        <v>41</v>
      </c>
      <c r="P14" t="s">
        <v>41</v>
      </c>
      <c r="Q14">
        <v>1000</v>
      </c>
      <c r="W14">
        <v>0</v>
      </c>
      <c r="X14">
        <v>2102561428</v>
      </c>
      <c r="Y14">
        <f t="shared" si="0"/>
        <v>0.81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0</v>
      </c>
      <c r="AS14" t="s">
        <v>3</v>
      </c>
      <c r="AT14">
        <v>0.81</v>
      </c>
      <c r="AU14" t="s">
        <v>3</v>
      </c>
      <c r="AV14">
        <v>0</v>
      </c>
      <c r="AW14">
        <v>2</v>
      </c>
      <c r="AX14">
        <v>55860860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v>0</v>
      </c>
      <c r="CX14">
        <f>ROUND(Y14*Source!I29,7)</f>
        <v>4.2119999999999997</v>
      </c>
      <c r="CY14">
        <f>AA14</f>
        <v>0</v>
      </c>
      <c r="CZ14">
        <f>AE14</f>
        <v>0</v>
      </c>
      <c r="DA14">
        <f>AI14</f>
        <v>1</v>
      </c>
      <c r="DB14">
        <f t="shared" si="1"/>
        <v>0</v>
      </c>
      <c r="DC14">
        <f t="shared" si="2"/>
        <v>0</v>
      </c>
      <c r="DD14" t="s">
        <v>3</v>
      </c>
      <c r="DE14" t="s">
        <v>3</v>
      </c>
      <c r="DF14">
        <f t="shared" si="3"/>
        <v>0</v>
      </c>
      <c r="DG14">
        <f t="shared" si="6"/>
        <v>0</v>
      </c>
      <c r="DH14">
        <f t="shared" si="4"/>
        <v>0</v>
      </c>
      <c r="DI14">
        <f t="shared" si="5"/>
        <v>0</v>
      </c>
      <c r="DJ14">
        <f>DF14</f>
        <v>0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ROW(Source!A31)</f>
        <v>31</v>
      </c>
      <c r="B15">
        <v>55860754</v>
      </c>
      <c r="C15">
        <v>55860862</v>
      </c>
      <c r="D15">
        <v>54569595</v>
      </c>
      <c r="E15">
        <v>117</v>
      </c>
      <c r="F15">
        <v>1</v>
      </c>
      <c r="G15">
        <v>1</v>
      </c>
      <c r="H15">
        <v>1</v>
      </c>
      <c r="I15" t="s">
        <v>361</v>
      </c>
      <c r="J15" t="s">
        <v>3</v>
      </c>
      <c r="K15" t="s">
        <v>362</v>
      </c>
      <c r="L15">
        <v>1191</v>
      </c>
      <c r="N15">
        <v>1013</v>
      </c>
      <c r="O15" t="s">
        <v>346</v>
      </c>
      <c r="P15" t="s">
        <v>346</v>
      </c>
      <c r="Q15">
        <v>1</v>
      </c>
      <c r="W15">
        <v>0</v>
      </c>
      <c r="X15">
        <v>-1833565283</v>
      </c>
      <c r="Y15">
        <f>(AT15*ROUND(0.8,7))</f>
        <v>54.400000000000006</v>
      </c>
      <c r="AA15">
        <v>0</v>
      </c>
      <c r="AB15">
        <v>0</v>
      </c>
      <c r="AC15">
        <v>0</v>
      </c>
      <c r="AD15">
        <v>359.65</v>
      </c>
      <c r="AE15">
        <v>0</v>
      </c>
      <c r="AF15">
        <v>0</v>
      </c>
      <c r="AG15">
        <v>0</v>
      </c>
      <c r="AH15">
        <v>359.65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68</v>
      </c>
      <c r="AU15" t="s">
        <v>58</v>
      </c>
      <c r="AV15">
        <v>1</v>
      </c>
      <c r="AW15">
        <v>2</v>
      </c>
      <c r="AX15">
        <v>55860869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24456.199999999997</v>
      </c>
      <c r="BN15">
        <v>68</v>
      </c>
      <c r="BO15">
        <v>0</v>
      </c>
      <c r="BP15">
        <v>1</v>
      </c>
      <c r="BQ15">
        <v>0</v>
      </c>
      <c r="BR15">
        <v>0</v>
      </c>
      <c r="BS15">
        <v>0</v>
      </c>
      <c r="BT15">
        <v>19564.96</v>
      </c>
      <c r="BU15">
        <v>54.400000000000006</v>
      </c>
      <c r="BV15">
        <v>0</v>
      </c>
      <c r="BW15">
        <v>1</v>
      </c>
      <c r="CU15">
        <f>ROUND(AT15*Source!I31*AH15*AL15,2)</f>
        <v>7336.86</v>
      </c>
      <c r="CV15">
        <f>ROUND(Y15*Source!I31,7)</f>
        <v>16.32</v>
      </c>
      <c r="CW15">
        <v>0</v>
      </c>
      <c r="CX15">
        <f>ROUND(Y15*Source!I31,7)</f>
        <v>16.32</v>
      </c>
      <c r="CY15">
        <f>AD15</f>
        <v>359.65</v>
      </c>
      <c r="CZ15">
        <f>AH15</f>
        <v>359.65</v>
      </c>
      <c r="DA15">
        <f>AL15</f>
        <v>1</v>
      </c>
      <c r="DB15">
        <f>ROUND((ROUND(AT15*CZ15,2)*ROUND(0.8,7)),6)</f>
        <v>19564.96</v>
      </c>
      <c r="DC15">
        <f>ROUND((ROUND(AT15*AG15,2)*ROUND(0.8,7)),6)</f>
        <v>0</v>
      </c>
      <c r="DD15" t="s">
        <v>3</v>
      </c>
      <c r="DE15" t="s">
        <v>3</v>
      </c>
      <c r="DF15">
        <f t="shared" si="3"/>
        <v>0</v>
      </c>
      <c r="DG15">
        <f t="shared" si="6"/>
        <v>0</v>
      </c>
      <c r="DH15">
        <f t="shared" si="4"/>
        <v>0</v>
      </c>
      <c r="DI15">
        <f t="shared" si="5"/>
        <v>5869.49</v>
      </c>
      <c r="DJ15">
        <f>DI15</f>
        <v>5869.49</v>
      </c>
      <c r="DK15">
        <v>1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ROW(Source!A31)</f>
        <v>31</v>
      </c>
      <c r="B16">
        <v>55860754</v>
      </c>
      <c r="C16">
        <v>55860862</v>
      </c>
      <c r="D16">
        <v>54569789</v>
      </c>
      <c r="E16">
        <v>117</v>
      </c>
      <c r="F16">
        <v>1</v>
      </c>
      <c r="G16">
        <v>1</v>
      </c>
      <c r="H16">
        <v>1</v>
      </c>
      <c r="I16" t="s">
        <v>353</v>
      </c>
      <c r="J16" t="s">
        <v>3</v>
      </c>
      <c r="K16" t="s">
        <v>354</v>
      </c>
      <c r="L16">
        <v>1191</v>
      </c>
      <c r="N16">
        <v>1013</v>
      </c>
      <c r="O16" t="s">
        <v>346</v>
      </c>
      <c r="P16" t="s">
        <v>346</v>
      </c>
      <c r="Q16">
        <v>1</v>
      </c>
      <c r="W16">
        <v>0</v>
      </c>
      <c r="X16">
        <v>-1417349443</v>
      </c>
      <c r="Y16">
        <f>(AT16*ROUND(0.8,7))</f>
        <v>0.84000000000000008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1.05</v>
      </c>
      <c r="AU16" t="s">
        <v>58</v>
      </c>
      <c r="AV16">
        <v>2</v>
      </c>
      <c r="AW16">
        <v>2</v>
      </c>
      <c r="AX16">
        <v>55860870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ROUND(Y16*Source!I31,7)</f>
        <v>0.252</v>
      </c>
      <c r="CY16">
        <f>AD16</f>
        <v>0</v>
      </c>
      <c r="CZ16">
        <f>AH16</f>
        <v>0</v>
      </c>
      <c r="DA16">
        <f>AL16</f>
        <v>1</v>
      </c>
      <c r="DB16">
        <f>ROUND((ROUND(AT16*CZ16,2)*ROUND(0.8,7)),6)</f>
        <v>0</v>
      </c>
      <c r="DC16">
        <f>ROUND((ROUND(AT16*AG16,2)*ROUND(0.8,7)),6)</f>
        <v>0</v>
      </c>
      <c r="DD16" t="s">
        <v>3</v>
      </c>
      <c r="DE16" t="s">
        <v>3</v>
      </c>
      <c r="DF16">
        <f t="shared" si="3"/>
        <v>0</v>
      </c>
      <c r="DG16">
        <f t="shared" si="6"/>
        <v>0</v>
      </c>
      <c r="DH16">
        <f t="shared" si="4"/>
        <v>0</v>
      </c>
      <c r="DI16">
        <f t="shared" si="5"/>
        <v>0</v>
      </c>
      <c r="DJ16">
        <f>DI16</f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ROW(Source!A31)</f>
        <v>31</v>
      </c>
      <c r="B17">
        <v>55860754</v>
      </c>
      <c r="C17">
        <v>55860862</v>
      </c>
      <c r="D17">
        <v>54577173</v>
      </c>
      <c r="E17">
        <v>1</v>
      </c>
      <c r="F17">
        <v>1</v>
      </c>
      <c r="G17">
        <v>1</v>
      </c>
      <c r="H17">
        <v>2</v>
      </c>
      <c r="I17" t="s">
        <v>363</v>
      </c>
      <c r="J17" t="s">
        <v>364</v>
      </c>
      <c r="K17" t="s">
        <v>365</v>
      </c>
      <c r="L17">
        <v>1368</v>
      </c>
      <c r="N17">
        <v>1011</v>
      </c>
      <c r="O17" t="s">
        <v>350</v>
      </c>
      <c r="P17" t="s">
        <v>350</v>
      </c>
      <c r="Q17">
        <v>1</v>
      </c>
      <c r="W17">
        <v>0</v>
      </c>
      <c r="X17">
        <v>-849950259</v>
      </c>
      <c r="Y17">
        <f>(AT17*ROUND(0.8,7))</f>
        <v>0.84000000000000008</v>
      </c>
      <c r="AA17">
        <v>0</v>
      </c>
      <c r="AB17">
        <v>680.75</v>
      </c>
      <c r="AC17">
        <v>404.99</v>
      </c>
      <c r="AD17">
        <v>0</v>
      </c>
      <c r="AE17">
        <v>0</v>
      </c>
      <c r="AF17">
        <v>680.75</v>
      </c>
      <c r="AG17">
        <v>404.99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1.05</v>
      </c>
      <c r="AU17" t="s">
        <v>58</v>
      </c>
      <c r="AV17">
        <v>1</v>
      </c>
      <c r="AW17">
        <v>2</v>
      </c>
      <c r="AX17">
        <v>55860871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714.78750000000002</v>
      </c>
      <c r="BL17">
        <v>425.23950000000002</v>
      </c>
      <c r="BM17">
        <v>0</v>
      </c>
      <c r="BN17">
        <v>0</v>
      </c>
      <c r="BO17">
        <v>1.05</v>
      </c>
      <c r="BP17">
        <v>1</v>
      </c>
      <c r="BQ17">
        <v>0</v>
      </c>
      <c r="BR17">
        <v>571.83000000000004</v>
      </c>
      <c r="BS17">
        <v>340.19160000000005</v>
      </c>
      <c r="BT17">
        <v>0</v>
      </c>
      <c r="BU17">
        <v>0</v>
      </c>
      <c r="BV17">
        <v>0.84000000000000008</v>
      </c>
      <c r="BW17">
        <v>1</v>
      </c>
      <c r="CV17">
        <v>0</v>
      </c>
      <c r="CW17">
        <f>ROUND(Y17*Source!I31*DO17,7)</f>
        <v>0.252</v>
      </c>
      <c r="CX17">
        <f>ROUND(Y17*Source!I31,7)</f>
        <v>0.252</v>
      </c>
      <c r="CY17">
        <f>AB17</f>
        <v>680.75</v>
      </c>
      <c r="CZ17">
        <f>AF17</f>
        <v>680.75</v>
      </c>
      <c r="DA17">
        <f>AJ17</f>
        <v>1</v>
      </c>
      <c r="DB17">
        <f>ROUND((ROUND(AT17*CZ17,2)*ROUND(0.8,7)),6)</f>
        <v>571.83199999999999</v>
      </c>
      <c r="DC17">
        <f>ROUND((ROUND(AT17*AG17,2)*ROUND(0.8,7)),6)</f>
        <v>340.19200000000001</v>
      </c>
      <c r="DD17" t="s">
        <v>3</v>
      </c>
      <c r="DE17" t="s">
        <v>3</v>
      </c>
      <c r="DF17">
        <f t="shared" si="3"/>
        <v>0</v>
      </c>
      <c r="DG17">
        <f t="shared" si="6"/>
        <v>171.55</v>
      </c>
      <c r="DH17">
        <f t="shared" si="4"/>
        <v>102.06</v>
      </c>
      <c r="DI17">
        <f t="shared" si="5"/>
        <v>0</v>
      </c>
      <c r="DJ17">
        <f>DG17+DH17</f>
        <v>273.61</v>
      </c>
      <c r="DK17">
        <v>1</v>
      </c>
      <c r="DL17" t="s">
        <v>366</v>
      </c>
      <c r="DM17">
        <v>4</v>
      </c>
      <c r="DN17" t="s">
        <v>346</v>
      </c>
      <c r="DO17">
        <v>1</v>
      </c>
    </row>
    <row r="18" spans="1:119" x14ac:dyDescent="0.2">
      <c r="A18">
        <f>ROW(Source!A31)</f>
        <v>31</v>
      </c>
      <c r="B18">
        <v>55860754</v>
      </c>
      <c r="C18">
        <v>55860862</v>
      </c>
      <c r="D18">
        <v>54643943</v>
      </c>
      <c r="E18">
        <v>1</v>
      </c>
      <c r="F18">
        <v>1</v>
      </c>
      <c r="G18">
        <v>1</v>
      </c>
      <c r="H18">
        <v>3</v>
      </c>
      <c r="I18" t="s">
        <v>367</v>
      </c>
      <c r="J18" t="s">
        <v>368</v>
      </c>
      <c r="K18" t="s">
        <v>369</v>
      </c>
      <c r="L18">
        <v>1383</v>
      </c>
      <c r="N18">
        <v>1013</v>
      </c>
      <c r="O18" t="s">
        <v>370</v>
      </c>
      <c r="P18" t="s">
        <v>370</v>
      </c>
      <c r="Q18">
        <v>1</v>
      </c>
      <c r="W18">
        <v>0</v>
      </c>
      <c r="X18">
        <v>1840299850</v>
      </c>
      <c r="Y18">
        <f>(AT18*ROUND(0,7))</f>
        <v>0</v>
      </c>
      <c r="AA18">
        <v>7.71</v>
      </c>
      <c r="AB18">
        <v>0</v>
      </c>
      <c r="AC18">
        <v>0</v>
      </c>
      <c r="AD18">
        <v>0</v>
      </c>
      <c r="AE18">
        <v>7.71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0.47599999999999998</v>
      </c>
      <c r="AU18" t="s">
        <v>57</v>
      </c>
      <c r="AV18">
        <v>0</v>
      </c>
      <c r="AW18">
        <v>2</v>
      </c>
      <c r="AX18">
        <v>55860872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3.6699599999999997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V18">
        <v>0</v>
      </c>
      <c r="CW18">
        <v>0</v>
      </c>
      <c r="CX18">
        <f>ROUND(Y18*Source!I31,7)</f>
        <v>0</v>
      </c>
      <c r="CY18">
        <f>AA18</f>
        <v>7.71</v>
      </c>
      <c r="CZ18">
        <f>AE18</f>
        <v>7.71</v>
      </c>
      <c r="DA18">
        <f>AI18</f>
        <v>1</v>
      </c>
      <c r="DB18">
        <f>ROUND((ROUND(AT18*CZ18,2)*ROUND(0,7)),6)</f>
        <v>0</v>
      </c>
      <c r="DC18">
        <f>ROUND((ROUND(AT18*AG18,2)*ROUND(0,7)),6)</f>
        <v>0</v>
      </c>
      <c r="DD18" t="s">
        <v>3</v>
      </c>
      <c r="DE18" t="s">
        <v>3</v>
      </c>
      <c r="DF18">
        <f t="shared" si="3"/>
        <v>0</v>
      </c>
      <c r="DG18">
        <f t="shared" si="6"/>
        <v>0</v>
      </c>
      <c r="DH18">
        <f t="shared" si="4"/>
        <v>0</v>
      </c>
      <c r="DI18">
        <f t="shared" si="5"/>
        <v>0</v>
      </c>
      <c r="DJ18">
        <f>DF18</f>
        <v>0</v>
      </c>
      <c r="DK18">
        <v>1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ROW(Source!A31)</f>
        <v>31</v>
      </c>
      <c r="B19">
        <v>55860754</v>
      </c>
      <c r="C19">
        <v>55860862</v>
      </c>
      <c r="D19">
        <v>54645496</v>
      </c>
      <c r="E19">
        <v>1</v>
      </c>
      <c r="F19">
        <v>1</v>
      </c>
      <c r="G19">
        <v>1</v>
      </c>
      <c r="H19">
        <v>3</v>
      </c>
      <c r="I19" t="s">
        <v>371</v>
      </c>
      <c r="J19" t="s">
        <v>372</v>
      </c>
      <c r="K19" t="s">
        <v>373</v>
      </c>
      <c r="L19">
        <v>1348</v>
      </c>
      <c r="N19">
        <v>1009</v>
      </c>
      <c r="O19" t="s">
        <v>41</v>
      </c>
      <c r="P19" t="s">
        <v>41</v>
      </c>
      <c r="Q19">
        <v>1000</v>
      </c>
      <c r="W19">
        <v>0</v>
      </c>
      <c r="X19">
        <v>-1061297381</v>
      </c>
      <c r="Y19">
        <f>(AT19*ROUND(0,7))</f>
        <v>0</v>
      </c>
      <c r="AA19">
        <v>76729.919999999998</v>
      </c>
      <c r="AB19">
        <v>0</v>
      </c>
      <c r="AC19">
        <v>0</v>
      </c>
      <c r="AD19">
        <v>0</v>
      </c>
      <c r="AE19">
        <v>76729.919999999998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4.1000000000000003E-3</v>
      </c>
      <c r="AU19" t="s">
        <v>57</v>
      </c>
      <c r="AV19">
        <v>0</v>
      </c>
      <c r="AW19">
        <v>2</v>
      </c>
      <c r="AX19">
        <v>55860873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314.59267199999999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ROUND(Y19*Source!I31,7)</f>
        <v>0</v>
      </c>
      <c r="CY19">
        <f>AA19</f>
        <v>76729.919999999998</v>
      </c>
      <c r="CZ19">
        <f>AE19</f>
        <v>76729.919999999998</v>
      </c>
      <c r="DA19">
        <f>AI19</f>
        <v>1</v>
      </c>
      <c r="DB19">
        <f>ROUND((ROUND(AT19*CZ19,2)*ROUND(0,7)),6)</f>
        <v>0</v>
      </c>
      <c r="DC19">
        <f>ROUND((ROUND(AT19*AG19,2)*ROUND(0,7)),6)</f>
        <v>0</v>
      </c>
      <c r="DD19" t="s">
        <v>3</v>
      </c>
      <c r="DE19" t="s">
        <v>3</v>
      </c>
      <c r="DF19">
        <f t="shared" si="3"/>
        <v>0</v>
      </c>
      <c r="DG19">
        <f t="shared" si="6"/>
        <v>0</v>
      </c>
      <c r="DH19">
        <f t="shared" si="4"/>
        <v>0</v>
      </c>
      <c r="DI19">
        <f t="shared" si="5"/>
        <v>0</v>
      </c>
      <c r="DJ19">
        <f>DF19</f>
        <v>0</v>
      </c>
      <c r="DK19">
        <v>1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ROW(Source!A31)</f>
        <v>31</v>
      </c>
      <c r="B20">
        <v>55860754</v>
      </c>
      <c r="C20">
        <v>55860862</v>
      </c>
      <c r="D20">
        <v>54654712</v>
      </c>
      <c r="E20">
        <v>1</v>
      </c>
      <c r="F20">
        <v>1</v>
      </c>
      <c r="G20">
        <v>1</v>
      </c>
      <c r="H20">
        <v>3</v>
      </c>
      <c r="I20" t="s">
        <v>374</v>
      </c>
      <c r="J20" t="s">
        <v>375</v>
      </c>
      <c r="K20" t="s">
        <v>376</v>
      </c>
      <c r="L20">
        <v>1339</v>
      </c>
      <c r="N20">
        <v>1007</v>
      </c>
      <c r="O20" t="s">
        <v>92</v>
      </c>
      <c r="P20" t="s">
        <v>92</v>
      </c>
      <c r="Q20">
        <v>1</v>
      </c>
      <c r="W20">
        <v>0</v>
      </c>
      <c r="X20">
        <v>-1383716809</v>
      </c>
      <c r="Y20">
        <f>(AT20*ROUND(0,7))</f>
        <v>0</v>
      </c>
      <c r="AA20">
        <v>40347.879999999997</v>
      </c>
      <c r="AB20">
        <v>0</v>
      </c>
      <c r="AC20">
        <v>0</v>
      </c>
      <c r="AD20">
        <v>0</v>
      </c>
      <c r="AE20">
        <v>28414</v>
      </c>
      <c r="AF20">
        <v>0</v>
      </c>
      <c r="AG20">
        <v>0</v>
      </c>
      <c r="AH20">
        <v>0</v>
      </c>
      <c r="AI20">
        <v>1.42</v>
      </c>
      <c r="AJ20">
        <v>1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1.58</v>
      </c>
      <c r="AU20" t="s">
        <v>57</v>
      </c>
      <c r="AV20">
        <v>0</v>
      </c>
      <c r="AW20">
        <v>2</v>
      </c>
      <c r="AX20">
        <v>55860874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44894.12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ROUND(Y20*Source!I31,7)</f>
        <v>0</v>
      </c>
      <c r="CY20">
        <f>AA20</f>
        <v>40347.879999999997</v>
      </c>
      <c r="CZ20">
        <f>AE20</f>
        <v>28414</v>
      </c>
      <c r="DA20">
        <f>AI20</f>
        <v>1.42</v>
      </c>
      <c r="DB20">
        <f>ROUND((ROUND(AT20*CZ20,2)*ROUND(0,7)),6)</f>
        <v>0</v>
      </c>
      <c r="DC20">
        <f>ROUND((ROUND(AT20*AG20,2)*ROUND(0,7)),6)</f>
        <v>0</v>
      </c>
      <c r="DD20" t="s">
        <v>3</v>
      </c>
      <c r="DE20" t="s">
        <v>3</v>
      </c>
      <c r="DF20">
        <f>ROUND(ROUND(AE20*AI20,2)*CX20,2)</f>
        <v>0</v>
      </c>
      <c r="DG20">
        <f t="shared" si="6"/>
        <v>0</v>
      </c>
      <c r="DH20">
        <f t="shared" si="4"/>
        <v>0</v>
      </c>
      <c r="DI20">
        <f t="shared" si="5"/>
        <v>0</v>
      </c>
      <c r="DJ20">
        <f>DF20</f>
        <v>0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ROW(Source!A32)</f>
        <v>32</v>
      </c>
      <c r="B21">
        <v>55860754</v>
      </c>
      <c r="C21">
        <v>55860876</v>
      </c>
      <c r="D21">
        <v>54569595</v>
      </c>
      <c r="E21">
        <v>117</v>
      </c>
      <c r="F21">
        <v>1</v>
      </c>
      <c r="G21">
        <v>1</v>
      </c>
      <c r="H21">
        <v>1</v>
      </c>
      <c r="I21" t="s">
        <v>361</v>
      </c>
      <c r="J21" t="s">
        <v>3</v>
      </c>
      <c r="K21" t="s">
        <v>362</v>
      </c>
      <c r="L21">
        <v>1191</v>
      </c>
      <c r="N21">
        <v>1013</v>
      </c>
      <c r="O21" t="s">
        <v>346</v>
      </c>
      <c r="P21" t="s">
        <v>346</v>
      </c>
      <c r="Q21">
        <v>1</v>
      </c>
      <c r="W21">
        <v>0</v>
      </c>
      <c r="X21">
        <v>-1833565283</v>
      </c>
      <c r="Y21">
        <f>(AT21*ROUND(0.8,7))</f>
        <v>114.4</v>
      </c>
      <c r="AA21">
        <v>0</v>
      </c>
      <c r="AB21">
        <v>0</v>
      </c>
      <c r="AC21">
        <v>0</v>
      </c>
      <c r="AD21">
        <v>359.65</v>
      </c>
      <c r="AE21">
        <v>0</v>
      </c>
      <c r="AF21">
        <v>0</v>
      </c>
      <c r="AG21">
        <v>0</v>
      </c>
      <c r="AH21">
        <v>359.65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143</v>
      </c>
      <c r="AU21" t="s">
        <v>58</v>
      </c>
      <c r="AV21">
        <v>1</v>
      </c>
      <c r="AW21">
        <v>2</v>
      </c>
      <c r="AX21">
        <v>55860883</v>
      </c>
      <c r="AY21">
        <v>1</v>
      </c>
      <c r="AZ21">
        <v>0</v>
      </c>
      <c r="BA21">
        <v>22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51429.95</v>
      </c>
      <c r="BN21">
        <v>143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41143.96</v>
      </c>
      <c r="BU21">
        <v>114.4</v>
      </c>
      <c r="BV21">
        <v>0</v>
      </c>
      <c r="BW21">
        <v>1</v>
      </c>
      <c r="CU21">
        <f>ROUND(AT21*Source!I32*AH21*AL21,2)</f>
        <v>15428.99</v>
      </c>
      <c r="CV21">
        <f>ROUND(Y21*Source!I32,7)</f>
        <v>34.32</v>
      </c>
      <c r="CW21">
        <v>0</v>
      </c>
      <c r="CX21">
        <f>ROUND(Y21*Source!I32,7)</f>
        <v>34.32</v>
      </c>
      <c r="CY21">
        <f>AD21</f>
        <v>359.65</v>
      </c>
      <c r="CZ21">
        <f>AH21</f>
        <v>359.65</v>
      </c>
      <c r="DA21">
        <f>AL21</f>
        <v>1</v>
      </c>
      <c r="DB21">
        <f>ROUND((ROUND(AT21*CZ21,2)*ROUND(0.8,7)),6)</f>
        <v>41143.96</v>
      </c>
      <c r="DC21">
        <f>ROUND((ROUND(AT21*AG21,2)*ROUND(0.8,7)),6)</f>
        <v>0</v>
      </c>
      <c r="DD21" t="s">
        <v>3</v>
      </c>
      <c r="DE21" t="s">
        <v>3</v>
      </c>
      <c r="DF21">
        <f>ROUND(ROUND(AE21,2)*CX21,2)</f>
        <v>0</v>
      </c>
      <c r="DG21">
        <f t="shared" si="6"/>
        <v>0</v>
      </c>
      <c r="DH21">
        <f t="shared" si="4"/>
        <v>0</v>
      </c>
      <c r="DI21">
        <f t="shared" si="5"/>
        <v>12343.19</v>
      </c>
      <c r="DJ21">
        <f>DI21</f>
        <v>12343.19</v>
      </c>
      <c r="DK21">
        <v>1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ROW(Source!A32)</f>
        <v>32</v>
      </c>
      <c r="B22">
        <v>55860754</v>
      </c>
      <c r="C22">
        <v>55860876</v>
      </c>
      <c r="D22">
        <v>54569789</v>
      </c>
      <c r="E22">
        <v>117</v>
      </c>
      <c r="F22">
        <v>1</v>
      </c>
      <c r="G22">
        <v>1</v>
      </c>
      <c r="H22">
        <v>1</v>
      </c>
      <c r="I22" t="s">
        <v>353</v>
      </c>
      <c r="J22" t="s">
        <v>3</v>
      </c>
      <c r="K22" t="s">
        <v>354</v>
      </c>
      <c r="L22">
        <v>1191</v>
      </c>
      <c r="N22">
        <v>1013</v>
      </c>
      <c r="O22" t="s">
        <v>346</v>
      </c>
      <c r="P22" t="s">
        <v>346</v>
      </c>
      <c r="Q22">
        <v>1</v>
      </c>
      <c r="W22">
        <v>0</v>
      </c>
      <c r="X22">
        <v>-1417349443</v>
      </c>
      <c r="Y22">
        <f>(AT22*ROUND(0.8,7))</f>
        <v>0.72000000000000008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0.9</v>
      </c>
      <c r="AU22" t="s">
        <v>58</v>
      </c>
      <c r="AV22">
        <v>2</v>
      </c>
      <c r="AW22">
        <v>2</v>
      </c>
      <c r="AX22">
        <v>55860884</v>
      </c>
      <c r="AY22">
        <v>1</v>
      </c>
      <c r="AZ22">
        <v>0</v>
      </c>
      <c r="BA22">
        <v>23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ROUND(Y22*Source!I32,7)</f>
        <v>0.216</v>
      </c>
      <c r="CY22">
        <f>AD22</f>
        <v>0</v>
      </c>
      <c r="CZ22">
        <f>AH22</f>
        <v>0</v>
      </c>
      <c r="DA22">
        <f>AL22</f>
        <v>1</v>
      </c>
      <c r="DB22">
        <f>ROUND((ROUND(AT22*CZ22,2)*ROUND(0.8,7)),6)</f>
        <v>0</v>
      </c>
      <c r="DC22">
        <f>ROUND((ROUND(AT22*AG22,2)*ROUND(0.8,7)),6)</f>
        <v>0</v>
      </c>
      <c r="DD22" t="s">
        <v>3</v>
      </c>
      <c r="DE22" t="s">
        <v>3</v>
      </c>
      <c r="DF22">
        <f>ROUND(ROUND(AE22,2)*CX22,2)</f>
        <v>0</v>
      </c>
      <c r="DG22">
        <f t="shared" si="6"/>
        <v>0</v>
      </c>
      <c r="DH22">
        <f t="shared" si="4"/>
        <v>0</v>
      </c>
      <c r="DI22">
        <f t="shared" si="5"/>
        <v>0</v>
      </c>
      <c r="DJ22">
        <f>DI22</f>
        <v>0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ROW(Source!A32)</f>
        <v>32</v>
      </c>
      <c r="B23">
        <v>55860754</v>
      </c>
      <c r="C23">
        <v>55860876</v>
      </c>
      <c r="D23">
        <v>54577173</v>
      </c>
      <c r="E23">
        <v>1</v>
      </c>
      <c r="F23">
        <v>1</v>
      </c>
      <c r="G23">
        <v>1</v>
      </c>
      <c r="H23">
        <v>2</v>
      </c>
      <c r="I23" t="s">
        <v>363</v>
      </c>
      <c r="J23" t="s">
        <v>364</v>
      </c>
      <c r="K23" t="s">
        <v>365</v>
      </c>
      <c r="L23">
        <v>1368</v>
      </c>
      <c r="N23">
        <v>1011</v>
      </c>
      <c r="O23" t="s">
        <v>350</v>
      </c>
      <c r="P23" t="s">
        <v>350</v>
      </c>
      <c r="Q23">
        <v>1</v>
      </c>
      <c r="W23">
        <v>0</v>
      </c>
      <c r="X23">
        <v>-849950259</v>
      </c>
      <c r="Y23">
        <f>(AT23*ROUND(0.8,7))</f>
        <v>0.72000000000000008</v>
      </c>
      <c r="AA23">
        <v>0</v>
      </c>
      <c r="AB23">
        <v>680.75</v>
      </c>
      <c r="AC23">
        <v>404.99</v>
      </c>
      <c r="AD23">
        <v>0</v>
      </c>
      <c r="AE23">
        <v>0</v>
      </c>
      <c r="AF23">
        <v>680.75</v>
      </c>
      <c r="AG23">
        <v>404.99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0.9</v>
      </c>
      <c r="AU23" t="s">
        <v>58</v>
      </c>
      <c r="AV23">
        <v>1</v>
      </c>
      <c r="AW23">
        <v>2</v>
      </c>
      <c r="AX23">
        <v>55860885</v>
      </c>
      <c r="AY23">
        <v>1</v>
      </c>
      <c r="AZ23">
        <v>0</v>
      </c>
      <c r="BA23">
        <v>24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612.67500000000007</v>
      </c>
      <c r="BL23">
        <v>364.49100000000004</v>
      </c>
      <c r="BM23">
        <v>0</v>
      </c>
      <c r="BN23">
        <v>0</v>
      </c>
      <c r="BO23">
        <v>0.9</v>
      </c>
      <c r="BP23">
        <v>1</v>
      </c>
      <c r="BQ23">
        <v>0</v>
      </c>
      <c r="BR23">
        <v>490.14000000000004</v>
      </c>
      <c r="BS23">
        <v>291.59280000000007</v>
      </c>
      <c r="BT23">
        <v>0</v>
      </c>
      <c r="BU23">
        <v>0</v>
      </c>
      <c r="BV23">
        <v>0.72000000000000008</v>
      </c>
      <c r="BW23">
        <v>1</v>
      </c>
      <c r="CV23">
        <v>0</v>
      </c>
      <c r="CW23">
        <f>ROUND(Y23*Source!I32*DO23,7)</f>
        <v>0.216</v>
      </c>
      <c r="CX23">
        <f>ROUND(Y23*Source!I32,7)</f>
        <v>0.216</v>
      </c>
      <c r="CY23">
        <f>AB23</f>
        <v>680.75</v>
      </c>
      <c r="CZ23">
        <f>AF23</f>
        <v>680.75</v>
      </c>
      <c r="DA23">
        <f>AJ23</f>
        <v>1</v>
      </c>
      <c r="DB23">
        <f>ROUND((ROUND(AT23*CZ23,2)*ROUND(0.8,7)),6)</f>
        <v>490.14400000000001</v>
      </c>
      <c r="DC23">
        <f>ROUND((ROUND(AT23*AG23,2)*ROUND(0.8,7)),6)</f>
        <v>291.59199999999998</v>
      </c>
      <c r="DD23" t="s">
        <v>3</v>
      </c>
      <c r="DE23" t="s">
        <v>3</v>
      </c>
      <c r="DF23">
        <f>ROUND(ROUND(AE23,2)*CX23,2)</f>
        <v>0</v>
      </c>
      <c r="DG23">
        <f t="shared" si="6"/>
        <v>147.04</v>
      </c>
      <c r="DH23">
        <f t="shared" si="4"/>
        <v>87.48</v>
      </c>
      <c r="DI23">
        <f t="shared" si="5"/>
        <v>0</v>
      </c>
      <c r="DJ23">
        <f>DG23+DH23</f>
        <v>234.51999999999998</v>
      </c>
      <c r="DK23">
        <v>1</v>
      </c>
      <c r="DL23" t="s">
        <v>366</v>
      </c>
      <c r="DM23">
        <v>4</v>
      </c>
      <c r="DN23" t="s">
        <v>346</v>
      </c>
      <c r="DO23">
        <v>1</v>
      </c>
    </row>
    <row r="24" spans="1:119" x14ac:dyDescent="0.2">
      <c r="A24">
        <f>ROW(Source!A32)</f>
        <v>32</v>
      </c>
      <c r="B24">
        <v>55860754</v>
      </c>
      <c r="C24">
        <v>55860876</v>
      </c>
      <c r="D24">
        <v>54643943</v>
      </c>
      <c r="E24">
        <v>1</v>
      </c>
      <c r="F24">
        <v>1</v>
      </c>
      <c r="G24">
        <v>1</v>
      </c>
      <c r="H24">
        <v>3</v>
      </c>
      <c r="I24" t="s">
        <v>367</v>
      </c>
      <c r="J24" t="s">
        <v>368</v>
      </c>
      <c r="K24" t="s">
        <v>369</v>
      </c>
      <c r="L24">
        <v>1383</v>
      </c>
      <c r="N24">
        <v>1013</v>
      </c>
      <c r="O24" t="s">
        <v>370</v>
      </c>
      <c r="P24" t="s">
        <v>370</v>
      </c>
      <c r="Q24">
        <v>1</v>
      </c>
      <c r="W24">
        <v>0</v>
      </c>
      <c r="X24">
        <v>1840299850</v>
      </c>
      <c r="Y24">
        <f>(AT24*ROUND(0,7))</f>
        <v>0</v>
      </c>
      <c r="AA24">
        <v>7.71</v>
      </c>
      <c r="AB24">
        <v>0</v>
      </c>
      <c r="AC24">
        <v>0</v>
      </c>
      <c r="AD24">
        <v>0</v>
      </c>
      <c r="AE24">
        <v>7.71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1.0009999999999999</v>
      </c>
      <c r="AU24" t="s">
        <v>57</v>
      </c>
      <c r="AV24">
        <v>0</v>
      </c>
      <c r="AW24">
        <v>2</v>
      </c>
      <c r="AX24">
        <v>55860886</v>
      </c>
      <c r="AY24">
        <v>1</v>
      </c>
      <c r="AZ24">
        <v>0</v>
      </c>
      <c r="BA24">
        <v>25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7.7177099999999994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ROUND(Y24*Source!I32,7)</f>
        <v>0</v>
      </c>
      <c r="CY24">
        <f>AA24</f>
        <v>7.71</v>
      </c>
      <c r="CZ24">
        <f>AE24</f>
        <v>7.71</v>
      </c>
      <c r="DA24">
        <f>AI24</f>
        <v>1</v>
      </c>
      <c r="DB24">
        <f>ROUND((ROUND(AT24*CZ24,2)*ROUND(0,7)),6)</f>
        <v>0</v>
      </c>
      <c r="DC24">
        <f>ROUND((ROUND(AT24*AG24,2)*ROUND(0,7)),6)</f>
        <v>0</v>
      </c>
      <c r="DD24" t="s">
        <v>3</v>
      </c>
      <c r="DE24" t="s">
        <v>3</v>
      </c>
      <c r="DF24">
        <f>ROUND(ROUND(AE24,2)*CX24,2)</f>
        <v>0</v>
      </c>
      <c r="DG24">
        <f t="shared" si="6"/>
        <v>0</v>
      </c>
      <c r="DH24">
        <f t="shared" si="4"/>
        <v>0</v>
      </c>
      <c r="DI24">
        <f t="shared" si="5"/>
        <v>0</v>
      </c>
      <c r="DJ24">
        <f>DF24</f>
        <v>0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ROW(Source!A32)</f>
        <v>32</v>
      </c>
      <c r="B25">
        <v>55860754</v>
      </c>
      <c r="C25">
        <v>55860876</v>
      </c>
      <c r="D25">
        <v>54645496</v>
      </c>
      <c r="E25">
        <v>1</v>
      </c>
      <c r="F25">
        <v>1</v>
      </c>
      <c r="G25">
        <v>1</v>
      </c>
      <c r="H25">
        <v>3</v>
      </c>
      <c r="I25" t="s">
        <v>371</v>
      </c>
      <c r="J25" t="s">
        <v>372</v>
      </c>
      <c r="K25" t="s">
        <v>373</v>
      </c>
      <c r="L25">
        <v>1348</v>
      </c>
      <c r="N25">
        <v>1009</v>
      </c>
      <c r="O25" t="s">
        <v>41</v>
      </c>
      <c r="P25" t="s">
        <v>41</v>
      </c>
      <c r="Q25">
        <v>1000</v>
      </c>
      <c r="W25">
        <v>0</v>
      </c>
      <c r="X25">
        <v>-1061297381</v>
      </c>
      <c r="Y25">
        <f>(AT25*ROUND(0,7))</f>
        <v>0</v>
      </c>
      <c r="AA25">
        <v>76729.919999999998</v>
      </c>
      <c r="AB25">
        <v>0</v>
      </c>
      <c r="AC25">
        <v>0</v>
      </c>
      <c r="AD25">
        <v>0</v>
      </c>
      <c r="AE25">
        <v>76729.919999999998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3.5999999999999999E-3</v>
      </c>
      <c r="AU25" t="s">
        <v>57</v>
      </c>
      <c r="AV25">
        <v>0</v>
      </c>
      <c r="AW25">
        <v>2</v>
      </c>
      <c r="AX25">
        <v>55860887</v>
      </c>
      <c r="AY25">
        <v>1</v>
      </c>
      <c r="AZ25">
        <v>0</v>
      </c>
      <c r="BA25">
        <v>26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276.227712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ROUND(Y25*Source!I32,7)</f>
        <v>0</v>
      </c>
      <c r="CY25">
        <f>AA25</f>
        <v>76729.919999999998</v>
      </c>
      <c r="CZ25">
        <f>AE25</f>
        <v>76729.919999999998</v>
      </c>
      <c r="DA25">
        <f>AI25</f>
        <v>1</v>
      </c>
      <c r="DB25">
        <f>ROUND((ROUND(AT25*CZ25,2)*ROUND(0,7)),6)</f>
        <v>0</v>
      </c>
      <c r="DC25">
        <f>ROUND((ROUND(AT25*AG25,2)*ROUND(0,7)),6)</f>
        <v>0</v>
      </c>
      <c r="DD25" t="s">
        <v>3</v>
      </c>
      <c r="DE25" t="s">
        <v>3</v>
      </c>
      <c r="DF25">
        <f>ROUND(ROUND(AE25,2)*CX25,2)</f>
        <v>0</v>
      </c>
      <c r="DG25">
        <f t="shared" si="6"/>
        <v>0</v>
      </c>
      <c r="DH25">
        <f t="shared" si="4"/>
        <v>0</v>
      </c>
      <c r="DI25">
        <f t="shared" si="5"/>
        <v>0</v>
      </c>
      <c r="DJ25">
        <f>DF25</f>
        <v>0</v>
      </c>
      <c r="DK25">
        <v>1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ROW(Source!A32)</f>
        <v>32</v>
      </c>
      <c r="B26">
        <v>55860754</v>
      </c>
      <c r="C26">
        <v>55860876</v>
      </c>
      <c r="D26">
        <v>54654712</v>
      </c>
      <c r="E26">
        <v>1</v>
      </c>
      <c r="F26">
        <v>1</v>
      </c>
      <c r="G26">
        <v>1</v>
      </c>
      <c r="H26">
        <v>3</v>
      </c>
      <c r="I26" t="s">
        <v>374</v>
      </c>
      <c r="J26" t="s">
        <v>375</v>
      </c>
      <c r="K26" t="s">
        <v>376</v>
      </c>
      <c r="L26">
        <v>1339</v>
      </c>
      <c r="N26">
        <v>1007</v>
      </c>
      <c r="O26" t="s">
        <v>92</v>
      </c>
      <c r="P26" t="s">
        <v>92</v>
      </c>
      <c r="Q26">
        <v>1</v>
      </c>
      <c r="W26">
        <v>0</v>
      </c>
      <c r="X26">
        <v>-1383716809</v>
      </c>
      <c r="Y26">
        <f>(AT26*ROUND(0,7))</f>
        <v>0</v>
      </c>
      <c r="AA26">
        <v>40347.879999999997</v>
      </c>
      <c r="AB26">
        <v>0</v>
      </c>
      <c r="AC26">
        <v>0</v>
      </c>
      <c r="AD26">
        <v>0</v>
      </c>
      <c r="AE26">
        <v>28414</v>
      </c>
      <c r="AF26">
        <v>0</v>
      </c>
      <c r="AG26">
        <v>0</v>
      </c>
      <c r="AH26">
        <v>0</v>
      </c>
      <c r="AI26">
        <v>1.42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1.06</v>
      </c>
      <c r="AU26" t="s">
        <v>57</v>
      </c>
      <c r="AV26">
        <v>0</v>
      </c>
      <c r="AW26">
        <v>2</v>
      </c>
      <c r="AX26">
        <v>55860888</v>
      </c>
      <c r="AY26">
        <v>1</v>
      </c>
      <c r="AZ26">
        <v>0</v>
      </c>
      <c r="BA26">
        <v>27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30118.84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ROUND(Y26*Source!I32,7)</f>
        <v>0</v>
      </c>
      <c r="CY26">
        <f>AA26</f>
        <v>40347.879999999997</v>
      </c>
      <c r="CZ26">
        <f>AE26</f>
        <v>28414</v>
      </c>
      <c r="DA26">
        <f>AI26</f>
        <v>1.42</v>
      </c>
      <c r="DB26">
        <f>ROUND((ROUND(AT26*CZ26,2)*ROUND(0,7)),6)</f>
        <v>0</v>
      </c>
      <c r="DC26">
        <f>ROUND((ROUND(AT26*AG26,2)*ROUND(0,7)),6)</f>
        <v>0</v>
      </c>
      <c r="DD26" t="s">
        <v>3</v>
      </c>
      <c r="DE26" t="s">
        <v>3</v>
      </c>
      <c r="DF26">
        <f>ROUND(ROUND(AE26*AI26,2)*CX26,2)</f>
        <v>0</v>
      </c>
      <c r="DG26">
        <f t="shared" si="6"/>
        <v>0</v>
      </c>
      <c r="DH26">
        <f t="shared" si="4"/>
        <v>0</v>
      </c>
      <c r="DI26">
        <f t="shared" si="5"/>
        <v>0</v>
      </c>
      <c r="DJ26">
        <f>DF26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ROW(Source!A33)</f>
        <v>33</v>
      </c>
      <c r="B27">
        <v>55860754</v>
      </c>
      <c r="C27">
        <v>55873805</v>
      </c>
      <c r="D27">
        <v>35812902</v>
      </c>
      <c r="E27">
        <v>117</v>
      </c>
      <c r="F27">
        <v>1</v>
      </c>
      <c r="G27">
        <v>1</v>
      </c>
      <c r="H27">
        <v>1</v>
      </c>
      <c r="I27" t="s">
        <v>344</v>
      </c>
      <c r="J27" t="s">
        <v>3</v>
      </c>
      <c r="K27" t="s">
        <v>345</v>
      </c>
      <c r="L27">
        <v>1191</v>
      </c>
      <c r="N27">
        <v>1013</v>
      </c>
      <c r="O27" t="s">
        <v>346</v>
      </c>
      <c r="P27" t="s">
        <v>346</v>
      </c>
      <c r="Q27">
        <v>1</v>
      </c>
      <c r="W27">
        <v>0</v>
      </c>
      <c r="X27">
        <v>370475345</v>
      </c>
      <c r="Y27">
        <f>AT27</f>
        <v>14.38</v>
      </c>
      <c r="AA27">
        <v>0</v>
      </c>
      <c r="AB27">
        <v>0</v>
      </c>
      <c r="AC27">
        <v>0</v>
      </c>
      <c r="AD27">
        <v>329.43</v>
      </c>
      <c r="AE27">
        <v>0</v>
      </c>
      <c r="AF27">
        <v>0</v>
      </c>
      <c r="AG27">
        <v>0</v>
      </c>
      <c r="AH27">
        <v>329.43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14.38</v>
      </c>
      <c r="AU27" t="s">
        <v>3</v>
      </c>
      <c r="AV27">
        <v>1</v>
      </c>
      <c r="AW27">
        <v>2</v>
      </c>
      <c r="AX27">
        <v>55873808</v>
      </c>
      <c r="AY27">
        <v>1</v>
      </c>
      <c r="AZ27">
        <v>0</v>
      </c>
      <c r="BA27">
        <v>30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4737.2034000000003</v>
      </c>
      <c r="BN27">
        <v>14.38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4737.2034000000003</v>
      </c>
      <c r="BU27">
        <v>14.38</v>
      </c>
      <c r="BV27">
        <v>0</v>
      </c>
      <c r="BW27">
        <v>1</v>
      </c>
      <c r="CU27">
        <f>ROUND(AT27*Source!I33*AH27*AL27,2)</f>
        <v>24633.46</v>
      </c>
      <c r="CV27">
        <f>ROUND(Y27*Source!I33,7)</f>
        <v>74.775999999999996</v>
      </c>
      <c r="CW27">
        <v>0</v>
      </c>
      <c r="CX27">
        <f>ROUND(Y27*Source!I33,7)</f>
        <v>74.775999999999996</v>
      </c>
      <c r="CY27">
        <f>AD27</f>
        <v>329.43</v>
      </c>
      <c r="CZ27">
        <f>AH27</f>
        <v>329.43</v>
      </c>
      <c r="DA27">
        <f>AL27</f>
        <v>1</v>
      </c>
      <c r="DB27">
        <f>ROUND(ROUND(AT27*CZ27,2),6)</f>
        <v>4737.2</v>
      </c>
      <c r="DC27">
        <f>ROUND(ROUND(AT27*AG27,2),6)</f>
        <v>0</v>
      </c>
      <c r="DD27" t="s">
        <v>3</v>
      </c>
      <c r="DE27" t="s">
        <v>3</v>
      </c>
      <c r="DF27">
        <f t="shared" ref="DF27:DF33" si="7">ROUND(ROUND(AE27,2)*CX27,2)</f>
        <v>0</v>
      </c>
      <c r="DG27">
        <f t="shared" si="6"/>
        <v>0</v>
      </c>
      <c r="DH27">
        <f t="shared" si="4"/>
        <v>0</v>
      </c>
      <c r="DI27">
        <f t="shared" si="5"/>
        <v>24633.46</v>
      </c>
      <c r="DJ27">
        <f>DI27</f>
        <v>24633.46</v>
      </c>
      <c r="DK27">
        <v>1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ROW(Source!A33)</f>
        <v>33</v>
      </c>
      <c r="B28">
        <v>55860754</v>
      </c>
      <c r="C28">
        <v>55873805</v>
      </c>
      <c r="D28">
        <v>54576412</v>
      </c>
      <c r="E28">
        <v>1</v>
      </c>
      <c r="F28">
        <v>1</v>
      </c>
      <c r="G28">
        <v>1</v>
      </c>
      <c r="H28">
        <v>2</v>
      </c>
      <c r="I28" t="s">
        <v>347</v>
      </c>
      <c r="J28" t="s">
        <v>348</v>
      </c>
      <c r="K28" t="s">
        <v>349</v>
      </c>
      <c r="L28">
        <v>1368</v>
      </c>
      <c r="N28">
        <v>1011</v>
      </c>
      <c r="O28" t="s">
        <v>350</v>
      </c>
      <c r="P28" t="s">
        <v>350</v>
      </c>
      <c r="Q28">
        <v>1</v>
      </c>
      <c r="W28">
        <v>0</v>
      </c>
      <c r="X28">
        <v>1560534341</v>
      </c>
      <c r="Y28">
        <f>AT28</f>
        <v>6.22</v>
      </c>
      <c r="AA28">
        <v>0</v>
      </c>
      <c r="AB28">
        <v>17.86</v>
      </c>
      <c r="AC28">
        <v>0</v>
      </c>
      <c r="AD28">
        <v>0</v>
      </c>
      <c r="AE28">
        <v>0</v>
      </c>
      <c r="AF28">
        <v>11.45</v>
      </c>
      <c r="AG28">
        <v>0</v>
      </c>
      <c r="AH28">
        <v>0</v>
      </c>
      <c r="AI28">
        <v>1</v>
      </c>
      <c r="AJ28">
        <v>1.56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6.22</v>
      </c>
      <c r="AU28" t="s">
        <v>3</v>
      </c>
      <c r="AV28">
        <v>1</v>
      </c>
      <c r="AW28">
        <v>2</v>
      </c>
      <c r="AX28">
        <v>55873809</v>
      </c>
      <c r="AY28">
        <v>1</v>
      </c>
      <c r="AZ28">
        <v>0</v>
      </c>
      <c r="BA28">
        <v>31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71.218999999999994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71.218999999999994</v>
      </c>
      <c r="BS28">
        <v>0</v>
      </c>
      <c r="BT28">
        <v>0</v>
      </c>
      <c r="BU28">
        <v>0</v>
      </c>
      <c r="BV28">
        <v>0</v>
      </c>
      <c r="BW28">
        <v>1</v>
      </c>
      <c r="CV28">
        <v>0</v>
      </c>
      <c r="CW28">
        <f>ROUND(Y28*Source!I33*DO28,7)</f>
        <v>0</v>
      </c>
      <c r="CX28">
        <f>ROUND(Y28*Source!I33,7)</f>
        <v>32.344000000000001</v>
      </c>
      <c r="CY28">
        <f>AB28</f>
        <v>17.86</v>
      </c>
      <c r="CZ28">
        <f>AF28</f>
        <v>11.45</v>
      </c>
      <c r="DA28">
        <f>AJ28</f>
        <v>1.56</v>
      </c>
      <c r="DB28">
        <f>ROUND(ROUND(AT28*CZ28,2),6)</f>
        <v>71.22</v>
      </c>
      <c r="DC28">
        <f>ROUND(ROUND(AT28*AG28,2),6)</f>
        <v>0</v>
      </c>
      <c r="DD28" t="s">
        <v>3</v>
      </c>
      <c r="DE28" t="s">
        <v>3</v>
      </c>
      <c r="DF28">
        <f t="shared" si="7"/>
        <v>0</v>
      </c>
      <c r="DG28">
        <f>ROUND(ROUND(AF28*AJ28,2)*CX28,2)</f>
        <v>577.66</v>
      </c>
      <c r="DH28">
        <f t="shared" si="4"/>
        <v>0</v>
      </c>
      <c r="DI28">
        <f t="shared" si="5"/>
        <v>0</v>
      </c>
      <c r="DJ28">
        <f>DG28+DH28</f>
        <v>577.66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ROW(Source!A34)</f>
        <v>34</v>
      </c>
      <c r="B29">
        <v>55860754</v>
      </c>
      <c r="C29">
        <v>55873810</v>
      </c>
      <c r="D29">
        <v>35812913</v>
      </c>
      <c r="E29">
        <v>111</v>
      </c>
      <c r="F29">
        <v>1</v>
      </c>
      <c r="G29">
        <v>1</v>
      </c>
      <c r="H29">
        <v>1</v>
      </c>
      <c r="I29" t="s">
        <v>377</v>
      </c>
      <c r="J29" t="s">
        <v>3</v>
      </c>
      <c r="K29" t="s">
        <v>378</v>
      </c>
      <c r="L29">
        <v>1191</v>
      </c>
      <c r="N29">
        <v>1013</v>
      </c>
      <c r="O29" t="s">
        <v>346</v>
      </c>
      <c r="P29" t="s">
        <v>346</v>
      </c>
      <c r="Q29">
        <v>1</v>
      </c>
      <c r="W29">
        <v>0</v>
      </c>
      <c r="X29">
        <v>-983457869</v>
      </c>
      <c r="Y29">
        <f>(AT29*ROUND(0.8,7))</f>
        <v>19.440000000000001</v>
      </c>
      <c r="AA29">
        <v>0</v>
      </c>
      <c r="AB29">
        <v>0</v>
      </c>
      <c r="AC29">
        <v>0</v>
      </c>
      <c r="AD29">
        <v>364.19</v>
      </c>
      <c r="AE29">
        <v>0</v>
      </c>
      <c r="AF29">
        <v>0</v>
      </c>
      <c r="AG29">
        <v>0</v>
      </c>
      <c r="AH29">
        <v>364.19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24.3</v>
      </c>
      <c r="AU29" t="s">
        <v>78</v>
      </c>
      <c r="AV29">
        <v>1</v>
      </c>
      <c r="AW29">
        <v>2</v>
      </c>
      <c r="AX29">
        <v>55873818</v>
      </c>
      <c r="AY29">
        <v>2</v>
      </c>
      <c r="AZ29">
        <v>131072</v>
      </c>
      <c r="BA29">
        <v>32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8849.8170000000009</v>
      </c>
      <c r="BN29">
        <v>24.3</v>
      </c>
      <c r="BO29">
        <v>0</v>
      </c>
      <c r="BP29">
        <v>1</v>
      </c>
      <c r="BQ29">
        <v>0</v>
      </c>
      <c r="BR29">
        <v>0</v>
      </c>
      <c r="BS29">
        <v>0</v>
      </c>
      <c r="BT29">
        <v>7079.8536000000004</v>
      </c>
      <c r="BU29">
        <v>19.440000000000001</v>
      </c>
      <c r="BV29">
        <v>0</v>
      </c>
      <c r="BW29">
        <v>1</v>
      </c>
      <c r="CU29">
        <f>ROUND(AT29*Source!I34*AH29*AL29,2)</f>
        <v>46019.05</v>
      </c>
      <c r="CV29">
        <f>ROUND(Y29*Source!I34,7)</f>
        <v>101.08799999999999</v>
      </c>
      <c r="CW29">
        <v>0</v>
      </c>
      <c r="CX29">
        <f>ROUND(Y29*Source!I34,7)</f>
        <v>101.08799999999999</v>
      </c>
      <c r="CY29">
        <f>AD29</f>
        <v>364.19</v>
      </c>
      <c r="CZ29">
        <f>AH29</f>
        <v>364.19</v>
      </c>
      <c r="DA29">
        <f>AL29</f>
        <v>1</v>
      </c>
      <c r="DB29">
        <f>ROUND((ROUND(AT29*CZ29,2)*ROUND(0.8,7)),6)</f>
        <v>7079.8559999999998</v>
      </c>
      <c r="DC29">
        <f>ROUND((ROUND(AT29*AG29,2)*ROUND(0.8,7)),6)</f>
        <v>0</v>
      </c>
      <c r="DD29" t="s">
        <v>3</v>
      </c>
      <c r="DE29" t="s">
        <v>3</v>
      </c>
      <c r="DF29">
        <f t="shared" si="7"/>
        <v>0</v>
      </c>
      <c r="DG29">
        <f>ROUND(ROUND(AF29,2)*CX29,2)</f>
        <v>0</v>
      </c>
      <c r="DH29">
        <f t="shared" si="4"/>
        <v>0</v>
      </c>
      <c r="DI29">
        <f t="shared" si="5"/>
        <v>36815.24</v>
      </c>
      <c r="DJ29">
        <f>DI29</f>
        <v>36815.24</v>
      </c>
      <c r="DK29">
        <v>1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ROW(Source!A34)</f>
        <v>34</v>
      </c>
      <c r="B30">
        <v>55860754</v>
      </c>
      <c r="C30">
        <v>55873810</v>
      </c>
      <c r="D30">
        <v>35812888</v>
      </c>
      <c r="E30">
        <v>111</v>
      </c>
      <c r="F30">
        <v>1</v>
      </c>
      <c r="G30">
        <v>1</v>
      </c>
      <c r="H30">
        <v>1</v>
      </c>
      <c r="I30" t="s">
        <v>353</v>
      </c>
      <c r="J30" t="s">
        <v>3</v>
      </c>
      <c r="K30" t="s">
        <v>354</v>
      </c>
      <c r="L30">
        <v>1191</v>
      </c>
      <c r="N30">
        <v>1013</v>
      </c>
      <c r="O30" t="s">
        <v>346</v>
      </c>
      <c r="P30" t="s">
        <v>346</v>
      </c>
      <c r="Q30">
        <v>1</v>
      </c>
      <c r="W30">
        <v>0</v>
      </c>
      <c r="X30">
        <v>-1417349443</v>
      </c>
      <c r="Y30">
        <f>(AT30*ROUND(0.8,7))</f>
        <v>1.552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1.94</v>
      </c>
      <c r="AU30" t="s">
        <v>78</v>
      </c>
      <c r="AV30">
        <v>2</v>
      </c>
      <c r="AW30">
        <v>2</v>
      </c>
      <c r="AX30">
        <v>55873819</v>
      </c>
      <c r="AY30">
        <v>1</v>
      </c>
      <c r="AZ30">
        <v>0</v>
      </c>
      <c r="BA30">
        <v>33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ROUND(Y30*Source!I34,7)</f>
        <v>8.0703999999999994</v>
      </c>
      <c r="CY30">
        <f>AD30</f>
        <v>0</v>
      </c>
      <c r="CZ30">
        <f>AH30</f>
        <v>0</v>
      </c>
      <c r="DA30">
        <f>AL30</f>
        <v>1</v>
      </c>
      <c r="DB30">
        <f>ROUND((ROUND(AT30*CZ30,2)*ROUND(0.8,7)),6)</f>
        <v>0</v>
      </c>
      <c r="DC30">
        <f>ROUND((ROUND(AT30*AG30,2)*ROUND(0.8,7)),6)</f>
        <v>0</v>
      </c>
      <c r="DD30" t="s">
        <v>3</v>
      </c>
      <c r="DE30" t="s">
        <v>3</v>
      </c>
      <c r="DF30">
        <f t="shared" si="7"/>
        <v>0</v>
      </c>
      <c r="DG30">
        <f>ROUND(ROUND(AF30,2)*CX30,2)</f>
        <v>0</v>
      </c>
      <c r="DH30">
        <f t="shared" si="4"/>
        <v>0</v>
      </c>
      <c r="DI30">
        <f t="shared" si="5"/>
        <v>0</v>
      </c>
      <c r="DJ30">
        <f>DI30</f>
        <v>0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ROW(Source!A34)</f>
        <v>34</v>
      </c>
      <c r="B31">
        <v>55860754</v>
      </c>
      <c r="C31">
        <v>55873810</v>
      </c>
      <c r="D31">
        <v>46205366</v>
      </c>
      <c r="E31">
        <v>1</v>
      </c>
      <c r="F31">
        <v>1</v>
      </c>
      <c r="G31">
        <v>1</v>
      </c>
      <c r="H31">
        <v>2</v>
      </c>
      <c r="I31" t="s">
        <v>355</v>
      </c>
      <c r="J31" t="s">
        <v>356</v>
      </c>
      <c r="K31" t="s">
        <v>357</v>
      </c>
      <c r="L31">
        <v>1368</v>
      </c>
      <c r="N31">
        <v>1011</v>
      </c>
      <c r="O31" t="s">
        <v>350</v>
      </c>
      <c r="P31" t="s">
        <v>350</v>
      </c>
      <c r="Q31">
        <v>1</v>
      </c>
      <c r="W31">
        <v>0</v>
      </c>
      <c r="X31">
        <v>2016779784</v>
      </c>
      <c r="Y31">
        <f>(AT31*ROUND(0.8,7))</f>
        <v>0.54400000000000004</v>
      </c>
      <c r="AA31">
        <v>0</v>
      </c>
      <c r="AB31">
        <v>1098</v>
      </c>
      <c r="AC31">
        <v>544.01</v>
      </c>
      <c r="AD31">
        <v>0</v>
      </c>
      <c r="AE31">
        <v>0</v>
      </c>
      <c r="AF31">
        <v>1098</v>
      </c>
      <c r="AG31">
        <v>544.01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0.68</v>
      </c>
      <c r="AU31" t="s">
        <v>78</v>
      </c>
      <c r="AV31">
        <v>1</v>
      </c>
      <c r="AW31">
        <v>2</v>
      </c>
      <c r="AX31">
        <v>55873820</v>
      </c>
      <c r="AY31">
        <v>2</v>
      </c>
      <c r="AZ31">
        <v>98304</v>
      </c>
      <c r="BA31">
        <v>34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746.6400000000001</v>
      </c>
      <c r="BL31">
        <v>369.92680000000001</v>
      </c>
      <c r="BM31">
        <v>0</v>
      </c>
      <c r="BN31">
        <v>0</v>
      </c>
      <c r="BO31">
        <v>0.68</v>
      </c>
      <c r="BP31">
        <v>1</v>
      </c>
      <c r="BQ31">
        <v>0</v>
      </c>
      <c r="BR31">
        <v>597.31200000000001</v>
      </c>
      <c r="BS31">
        <v>295.94144</v>
      </c>
      <c r="BT31">
        <v>0</v>
      </c>
      <c r="BU31">
        <v>0</v>
      </c>
      <c r="BV31">
        <v>0.54400000000000004</v>
      </c>
      <c r="BW31">
        <v>1</v>
      </c>
      <c r="CV31">
        <v>0</v>
      </c>
      <c r="CW31">
        <f>ROUND(Y31*Source!I34*DO31,7)</f>
        <v>2.8288000000000002</v>
      </c>
      <c r="CX31">
        <f>ROUND(Y31*Source!I34,7)</f>
        <v>2.8288000000000002</v>
      </c>
      <c r="CY31">
        <f>AB31</f>
        <v>1098</v>
      </c>
      <c r="CZ31">
        <f>AF31</f>
        <v>1098</v>
      </c>
      <c r="DA31">
        <f>AJ31</f>
        <v>1</v>
      </c>
      <c r="DB31">
        <f>ROUND((ROUND(AT31*CZ31,2)*ROUND(0.8,7)),6)</f>
        <v>597.31200000000001</v>
      </c>
      <c r="DC31">
        <f>ROUND((ROUND(AT31*AG31,2)*ROUND(0.8,7)),6)</f>
        <v>295.94400000000002</v>
      </c>
      <c r="DD31" t="s">
        <v>3</v>
      </c>
      <c r="DE31" t="s">
        <v>3</v>
      </c>
      <c r="DF31">
        <f t="shared" si="7"/>
        <v>0</v>
      </c>
      <c r="DG31">
        <f>ROUND(ROUND(AF31,2)*CX31,2)</f>
        <v>3106.02</v>
      </c>
      <c r="DH31">
        <f t="shared" si="4"/>
        <v>1538.9</v>
      </c>
      <c r="DI31">
        <f t="shared" si="5"/>
        <v>0</v>
      </c>
      <c r="DJ31">
        <f>DG31+DH31</f>
        <v>4644.92</v>
      </c>
      <c r="DK31">
        <v>1</v>
      </c>
      <c r="DL31" t="s">
        <v>358</v>
      </c>
      <c r="DM31">
        <v>6</v>
      </c>
      <c r="DN31" t="s">
        <v>346</v>
      </c>
      <c r="DO31">
        <v>1</v>
      </c>
    </row>
    <row r="32" spans="1:119" x14ac:dyDescent="0.2">
      <c r="A32">
        <f>ROW(Source!A34)</f>
        <v>34</v>
      </c>
      <c r="B32">
        <v>55860754</v>
      </c>
      <c r="C32">
        <v>55873810</v>
      </c>
      <c r="D32">
        <v>46205574</v>
      </c>
      <c r="E32">
        <v>1</v>
      </c>
      <c r="F32">
        <v>1</v>
      </c>
      <c r="G32">
        <v>1</v>
      </c>
      <c r="H32">
        <v>2</v>
      </c>
      <c r="I32" t="s">
        <v>379</v>
      </c>
      <c r="J32" t="s">
        <v>380</v>
      </c>
      <c r="K32" t="s">
        <v>381</v>
      </c>
      <c r="L32">
        <v>1368</v>
      </c>
      <c r="N32">
        <v>1011</v>
      </c>
      <c r="O32" t="s">
        <v>350</v>
      </c>
      <c r="P32" t="s">
        <v>350</v>
      </c>
      <c r="Q32">
        <v>1</v>
      </c>
      <c r="W32">
        <v>0</v>
      </c>
      <c r="X32">
        <v>-1277301375</v>
      </c>
      <c r="Y32">
        <f>(AT32*ROUND(0.8,7))</f>
        <v>1.008</v>
      </c>
      <c r="AA32">
        <v>0</v>
      </c>
      <c r="AB32">
        <v>1689.72</v>
      </c>
      <c r="AC32">
        <v>465.43</v>
      </c>
      <c r="AD32">
        <v>0</v>
      </c>
      <c r="AE32">
        <v>0</v>
      </c>
      <c r="AF32">
        <v>1689.72</v>
      </c>
      <c r="AG32">
        <v>465.43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1.26</v>
      </c>
      <c r="AU32" t="s">
        <v>78</v>
      </c>
      <c r="AV32">
        <v>1</v>
      </c>
      <c r="AW32">
        <v>2</v>
      </c>
      <c r="AX32">
        <v>55873821</v>
      </c>
      <c r="AY32">
        <v>2</v>
      </c>
      <c r="AZ32">
        <v>98304</v>
      </c>
      <c r="BA32">
        <v>35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2129.0472</v>
      </c>
      <c r="BL32">
        <v>586.44180000000006</v>
      </c>
      <c r="BM32">
        <v>0</v>
      </c>
      <c r="BN32">
        <v>0</v>
      </c>
      <c r="BO32">
        <v>1.26</v>
      </c>
      <c r="BP32">
        <v>1</v>
      </c>
      <c r="BQ32">
        <v>0</v>
      </c>
      <c r="BR32">
        <v>1703.23776</v>
      </c>
      <c r="BS32">
        <v>469.15343999999999</v>
      </c>
      <c r="BT32">
        <v>0</v>
      </c>
      <c r="BU32">
        <v>0</v>
      </c>
      <c r="BV32">
        <v>1.008</v>
      </c>
      <c r="BW32">
        <v>1</v>
      </c>
      <c r="CV32">
        <v>0</v>
      </c>
      <c r="CW32">
        <f>ROUND(Y32*Source!I34*DO32,7)</f>
        <v>5.2416</v>
      </c>
      <c r="CX32">
        <f>ROUND(Y32*Source!I34,7)</f>
        <v>5.2416</v>
      </c>
      <c r="CY32">
        <f>AB32</f>
        <v>1689.72</v>
      </c>
      <c r="CZ32">
        <f>AF32</f>
        <v>1689.72</v>
      </c>
      <c r="DA32">
        <f>AJ32</f>
        <v>1</v>
      </c>
      <c r="DB32">
        <f>ROUND((ROUND(AT32*CZ32,2)*ROUND(0.8,7)),6)</f>
        <v>1703.24</v>
      </c>
      <c r="DC32">
        <f>ROUND((ROUND(AT32*AG32,2)*ROUND(0.8,7)),6)</f>
        <v>469.15199999999999</v>
      </c>
      <c r="DD32" t="s">
        <v>3</v>
      </c>
      <c r="DE32" t="s">
        <v>3</v>
      </c>
      <c r="DF32">
        <f t="shared" si="7"/>
        <v>0</v>
      </c>
      <c r="DG32">
        <f>ROUND(ROUND(AF32,2)*CX32,2)</f>
        <v>8856.84</v>
      </c>
      <c r="DH32">
        <f t="shared" si="4"/>
        <v>2439.6</v>
      </c>
      <c r="DI32">
        <f t="shared" si="5"/>
        <v>0</v>
      </c>
      <c r="DJ32">
        <f>DG32+DH32</f>
        <v>11296.44</v>
      </c>
      <c r="DK32">
        <v>1</v>
      </c>
      <c r="DL32" t="s">
        <v>382</v>
      </c>
      <c r="DM32">
        <v>5</v>
      </c>
      <c r="DN32" t="s">
        <v>346</v>
      </c>
      <c r="DO32">
        <v>1</v>
      </c>
    </row>
    <row r="33" spans="1:119" x14ac:dyDescent="0.2">
      <c r="A33">
        <f>ROW(Source!A34)</f>
        <v>34</v>
      </c>
      <c r="B33">
        <v>55860754</v>
      </c>
      <c r="C33">
        <v>55873810</v>
      </c>
      <c r="D33">
        <v>46205695</v>
      </c>
      <c r="E33">
        <v>1</v>
      </c>
      <c r="F33">
        <v>1</v>
      </c>
      <c r="G33">
        <v>1</v>
      </c>
      <c r="H33">
        <v>2</v>
      </c>
      <c r="I33" t="s">
        <v>383</v>
      </c>
      <c r="J33" t="s">
        <v>384</v>
      </c>
      <c r="K33" t="s">
        <v>385</v>
      </c>
      <c r="L33">
        <v>1368</v>
      </c>
      <c r="N33">
        <v>1011</v>
      </c>
      <c r="O33" t="s">
        <v>350</v>
      </c>
      <c r="P33" t="s">
        <v>350</v>
      </c>
      <c r="Q33">
        <v>1</v>
      </c>
      <c r="W33">
        <v>0</v>
      </c>
      <c r="X33">
        <v>-565528630</v>
      </c>
      <c r="Y33">
        <f>(AT33*ROUND(0.8,7))</f>
        <v>1.8320000000000001</v>
      </c>
      <c r="AA33">
        <v>0</v>
      </c>
      <c r="AB33">
        <v>21.49</v>
      </c>
      <c r="AC33">
        <v>0</v>
      </c>
      <c r="AD33">
        <v>0</v>
      </c>
      <c r="AE33">
        <v>0</v>
      </c>
      <c r="AF33">
        <v>13.69</v>
      </c>
      <c r="AG33">
        <v>0</v>
      </c>
      <c r="AH33">
        <v>0</v>
      </c>
      <c r="AI33">
        <v>1</v>
      </c>
      <c r="AJ33">
        <v>1.57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2.29</v>
      </c>
      <c r="AU33" t="s">
        <v>78</v>
      </c>
      <c r="AV33">
        <v>1</v>
      </c>
      <c r="AW33">
        <v>2</v>
      </c>
      <c r="AX33">
        <v>55873822</v>
      </c>
      <c r="AY33">
        <v>1</v>
      </c>
      <c r="AZ33">
        <v>0</v>
      </c>
      <c r="BA33">
        <v>36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31.350099999999998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25.080079999999999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f>ROUND(Y33*Source!I34*DO33,7)</f>
        <v>0</v>
      </c>
      <c r="CX33">
        <f>ROUND(Y33*Source!I34,7)</f>
        <v>9.5264000000000006</v>
      </c>
      <c r="CY33">
        <f>AB33</f>
        <v>21.49</v>
      </c>
      <c r="CZ33">
        <f>AF33</f>
        <v>13.69</v>
      </c>
      <c r="DA33">
        <f>AJ33</f>
        <v>1.57</v>
      </c>
      <c r="DB33">
        <f>ROUND((ROUND(AT33*CZ33,2)*ROUND(0.8,7)),6)</f>
        <v>25.08</v>
      </c>
      <c r="DC33">
        <f>ROUND((ROUND(AT33*AG33,2)*ROUND(0.8,7)),6)</f>
        <v>0</v>
      </c>
      <c r="DD33" t="s">
        <v>3</v>
      </c>
      <c r="DE33" t="s">
        <v>3</v>
      </c>
      <c r="DF33">
        <f t="shared" si="7"/>
        <v>0</v>
      </c>
      <c r="DG33">
        <f>ROUND(ROUND(AF33*AJ33,2)*CX33,2)</f>
        <v>204.72</v>
      </c>
      <c r="DH33">
        <f t="shared" ref="DH33:DH64" si="8">ROUND(ROUND(AG33,2)*CX33,2)</f>
        <v>0</v>
      </c>
      <c r="DI33">
        <f t="shared" ref="DI33:DI64" si="9">ROUND(ROUND(AH33,2)*CX33,2)</f>
        <v>0</v>
      </c>
      <c r="DJ33">
        <f>DG33+DH33</f>
        <v>204.72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ROW(Source!A34)</f>
        <v>34</v>
      </c>
      <c r="B34">
        <v>55860754</v>
      </c>
      <c r="C34">
        <v>55873810</v>
      </c>
      <c r="D34">
        <v>46159042</v>
      </c>
      <c r="E34">
        <v>1</v>
      </c>
      <c r="F34">
        <v>1</v>
      </c>
      <c r="G34">
        <v>1</v>
      </c>
      <c r="H34">
        <v>3</v>
      </c>
      <c r="I34" t="s">
        <v>386</v>
      </c>
      <c r="J34" t="s">
        <v>387</v>
      </c>
      <c r="K34" t="s">
        <v>388</v>
      </c>
      <c r="L34">
        <v>1339</v>
      </c>
      <c r="N34">
        <v>1007</v>
      </c>
      <c r="O34" t="s">
        <v>92</v>
      </c>
      <c r="P34" t="s">
        <v>92</v>
      </c>
      <c r="Q34">
        <v>1</v>
      </c>
      <c r="W34">
        <v>0</v>
      </c>
      <c r="X34">
        <v>508225838</v>
      </c>
      <c r="Y34">
        <f>(AT34*ROUND(0,7))</f>
        <v>0</v>
      </c>
      <c r="AA34">
        <v>29.64</v>
      </c>
      <c r="AB34">
        <v>0</v>
      </c>
      <c r="AC34">
        <v>0</v>
      </c>
      <c r="AD34">
        <v>0</v>
      </c>
      <c r="AE34">
        <v>35.71</v>
      </c>
      <c r="AF34">
        <v>0</v>
      </c>
      <c r="AG34">
        <v>0</v>
      </c>
      <c r="AH34">
        <v>0</v>
      </c>
      <c r="AI34">
        <v>0.83</v>
      </c>
      <c r="AJ34">
        <v>1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3.85</v>
      </c>
      <c r="AU34" t="s">
        <v>77</v>
      </c>
      <c r="AV34">
        <v>0</v>
      </c>
      <c r="AW34">
        <v>2</v>
      </c>
      <c r="AX34">
        <v>55873823</v>
      </c>
      <c r="AY34">
        <v>1</v>
      </c>
      <c r="AZ34">
        <v>0</v>
      </c>
      <c r="BA34">
        <v>37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137.48349999999999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v>0</v>
      </c>
      <c r="CX34">
        <f>ROUND(Y34*Source!I34,7)</f>
        <v>0</v>
      </c>
      <c r="CY34">
        <f>AA34</f>
        <v>29.64</v>
      </c>
      <c r="CZ34">
        <f>AE34</f>
        <v>35.71</v>
      </c>
      <c r="DA34">
        <f>AI34</f>
        <v>0.83</v>
      </c>
      <c r="DB34">
        <f>ROUND((ROUND(AT34*CZ34,2)*ROUND(0,7)),6)</f>
        <v>0</v>
      </c>
      <c r="DC34">
        <f>ROUND((ROUND(AT34*AG34,2)*ROUND(0,7)),6)</f>
        <v>0</v>
      </c>
      <c r="DD34" t="s">
        <v>3</v>
      </c>
      <c r="DE34" t="s">
        <v>3</v>
      </c>
      <c r="DF34">
        <f>ROUND(ROUND(AE34*AI34,2)*CX34,2)</f>
        <v>0</v>
      </c>
      <c r="DG34">
        <f t="shared" ref="DG34:DG55" si="10">ROUND(ROUND(AF34,2)*CX34,2)</f>
        <v>0</v>
      </c>
      <c r="DH34">
        <f t="shared" si="8"/>
        <v>0</v>
      </c>
      <c r="DI34">
        <f t="shared" si="9"/>
        <v>0</v>
      </c>
      <c r="DJ34">
        <f>DF34</f>
        <v>0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ROW(Source!A34)</f>
        <v>34</v>
      </c>
      <c r="B35">
        <v>55860754</v>
      </c>
      <c r="C35">
        <v>55873810</v>
      </c>
      <c r="D35">
        <v>46170637</v>
      </c>
      <c r="E35">
        <v>1</v>
      </c>
      <c r="F35">
        <v>1</v>
      </c>
      <c r="G35">
        <v>1</v>
      </c>
      <c r="H35">
        <v>3</v>
      </c>
      <c r="I35" t="s">
        <v>389</v>
      </c>
      <c r="J35" t="s">
        <v>390</v>
      </c>
      <c r="K35" t="s">
        <v>391</v>
      </c>
      <c r="L35">
        <v>1327</v>
      </c>
      <c r="N35">
        <v>1005</v>
      </c>
      <c r="O35" t="s">
        <v>145</v>
      </c>
      <c r="P35" t="s">
        <v>145</v>
      </c>
      <c r="Q35">
        <v>1</v>
      </c>
      <c r="W35">
        <v>0</v>
      </c>
      <c r="X35">
        <v>-1082376593</v>
      </c>
      <c r="Y35">
        <f>(AT35*ROUND(0,7))</f>
        <v>0</v>
      </c>
      <c r="AA35">
        <v>38.51</v>
      </c>
      <c r="AB35">
        <v>0</v>
      </c>
      <c r="AC35">
        <v>0</v>
      </c>
      <c r="AD35">
        <v>0</v>
      </c>
      <c r="AE35">
        <v>26.93</v>
      </c>
      <c r="AF35">
        <v>0</v>
      </c>
      <c r="AG35">
        <v>0</v>
      </c>
      <c r="AH35">
        <v>0</v>
      </c>
      <c r="AI35">
        <v>1.43</v>
      </c>
      <c r="AJ35">
        <v>1</v>
      </c>
      <c r="AK35">
        <v>1</v>
      </c>
      <c r="AL35">
        <v>1</v>
      </c>
      <c r="AM35">
        <v>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3</v>
      </c>
      <c r="AT35">
        <v>4.4000000000000004</v>
      </c>
      <c r="AU35" t="s">
        <v>77</v>
      </c>
      <c r="AV35">
        <v>0</v>
      </c>
      <c r="AW35">
        <v>2</v>
      </c>
      <c r="AX35">
        <v>55873825</v>
      </c>
      <c r="AY35">
        <v>1</v>
      </c>
      <c r="AZ35">
        <v>0</v>
      </c>
      <c r="BA35">
        <v>39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118.492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ROUND(Y35*Source!I34,7)</f>
        <v>0</v>
      </c>
      <c r="CY35">
        <f>AA35</f>
        <v>38.51</v>
      </c>
      <c r="CZ35">
        <f>AE35</f>
        <v>26.93</v>
      </c>
      <c r="DA35">
        <f>AI35</f>
        <v>1.43</v>
      </c>
      <c r="DB35">
        <f>ROUND((ROUND(AT35*CZ35,2)*ROUND(0,7)),6)</f>
        <v>0</v>
      </c>
      <c r="DC35">
        <f>ROUND((ROUND(AT35*AG35,2)*ROUND(0,7)),6)</f>
        <v>0</v>
      </c>
      <c r="DD35" t="s">
        <v>3</v>
      </c>
      <c r="DE35" t="s">
        <v>3</v>
      </c>
      <c r="DF35">
        <f>ROUND(ROUND(AE35*AI35,2)*CX35,2)</f>
        <v>0</v>
      </c>
      <c r="DG35">
        <f t="shared" si="10"/>
        <v>0</v>
      </c>
      <c r="DH35">
        <f t="shared" si="8"/>
        <v>0</v>
      </c>
      <c r="DI35">
        <f t="shared" si="9"/>
        <v>0</v>
      </c>
      <c r="DJ35">
        <f>DF35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ROW(Source!A35)</f>
        <v>35</v>
      </c>
      <c r="B36">
        <v>55860754</v>
      </c>
      <c r="C36">
        <v>55873826</v>
      </c>
      <c r="D36">
        <v>35812913</v>
      </c>
      <c r="E36">
        <v>111</v>
      </c>
      <c r="F36">
        <v>1</v>
      </c>
      <c r="G36">
        <v>1</v>
      </c>
      <c r="H36">
        <v>1</v>
      </c>
      <c r="I36" t="s">
        <v>377</v>
      </c>
      <c r="J36" t="s">
        <v>3</v>
      </c>
      <c r="K36" t="s">
        <v>378</v>
      </c>
      <c r="L36">
        <v>1191</v>
      </c>
      <c r="N36">
        <v>1013</v>
      </c>
      <c r="O36" t="s">
        <v>346</v>
      </c>
      <c r="P36" t="s">
        <v>346</v>
      </c>
      <c r="Q36">
        <v>1</v>
      </c>
      <c r="W36">
        <v>0</v>
      </c>
      <c r="X36">
        <v>-983457869</v>
      </c>
      <c r="Y36">
        <f>(AT36*ROUND((0.8*60),7))</f>
        <v>48</v>
      </c>
      <c r="AA36">
        <v>0</v>
      </c>
      <c r="AB36">
        <v>0</v>
      </c>
      <c r="AC36">
        <v>0</v>
      </c>
      <c r="AD36">
        <v>364.19</v>
      </c>
      <c r="AE36">
        <v>0</v>
      </c>
      <c r="AF36">
        <v>0</v>
      </c>
      <c r="AG36">
        <v>0</v>
      </c>
      <c r="AH36">
        <v>364.19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1</v>
      </c>
      <c r="AU36" t="s">
        <v>88</v>
      </c>
      <c r="AV36">
        <v>1</v>
      </c>
      <c r="AW36">
        <v>2</v>
      </c>
      <c r="AX36">
        <v>55873831</v>
      </c>
      <c r="AY36">
        <v>2</v>
      </c>
      <c r="AZ36">
        <v>131072</v>
      </c>
      <c r="BA36">
        <v>40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364.19</v>
      </c>
      <c r="BN36">
        <v>1</v>
      </c>
      <c r="BO36">
        <v>0</v>
      </c>
      <c r="BP36">
        <v>1</v>
      </c>
      <c r="BQ36">
        <v>0</v>
      </c>
      <c r="BR36">
        <v>0</v>
      </c>
      <c r="BS36">
        <v>0</v>
      </c>
      <c r="BT36">
        <v>17481.12</v>
      </c>
      <c r="BU36">
        <v>48</v>
      </c>
      <c r="BV36">
        <v>0</v>
      </c>
      <c r="BW36">
        <v>1</v>
      </c>
      <c r="CU36">
        <f>ROUND(AT36*Source!I35*AH36*AL36,2)</f>
        <v>1893.79</v>
      </c>
      <c r="CV36">
        <f>ROUND(Y36*Source!I35,7)</f>
        <v>249.6</v>
      </c>
      <c r="CW36">
        <v>0</v>
      </c>
      <c r="CX36">
        <f>ROUND(Y36*Source!I35,7)</f>
        <v>249.6</v>
      </c>
      <c r="CY36">
        <f>AD36</f>
        <v>364.19</v>
      </c>
      <c r="CZ36">
        <f>AH36</f>
        <v>364.19</v>
      </c>
      <c r="DA36">
        <f>AL36</f>
        <v>1</v>
      </c>
      <c r="DB36">
        <f>ROUND((ROUND(AT36*CZ36,2)*ROUND((0.8*60),7)),6)</f>
        <v>17481.12</v>
      </c>
      <c r="DC36">
        <f>ROUND((ROUND(AT36*AG36,2)*ROUND((0.8*60),7)),6)</f>
        <v>0</v>
      </c>
      <c r="DD36" t="s">
        <v>3</v>
      </c>
      <c r="DE36" t="s">
        <v>3</v>
      </c>
      <c r="DF36">
        <f t="shared" ref="DF36:DF47" si="11">ROUND(ROUND(AE36,2)*CX36,2)</f>
        <v>0</v>
      </c>
      <c r="DG36">
        <f t="shared" si="10"/>
        <v>0</v>
      </c>
      <c r="DH36">
        <f t="shared" si="8"/>
        <v>0</v>
      </c>
      <c r="DI36">
        <f t="shared" si="9"/>
        <v>90901.82</v>
      </c>
      <c r="DJ36">
        <f>DI36</f>
        <v>90901.82</v>
      </c>
      <c r="DK36">
        <v>1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ROW(Source!A35)</f>
        <v>35</v>
      </c>
      <c r="B37">
        <v>55860754</v>
      </c>
      <c r="C37">
        <v>55873826</v>
      </c>
      <c r="D37">
        <v>35812888</v>
      </c>
      <c r="E37">
        <v>111</v>
      </c>
      <c r="F37">
        <v>1</v>
      </c>
      <c r="G37">
        <v>1</v>
      </c>
      <c r="H37">
        <v>1</v>
      </c>
      <c r="I37" t="s">
        <v>353</v>
      </c>
      <c r="J37" t="s">
        <v>3</v>
      </c>
      <c r="K37" t="s">
        <v>354</v>
      </c>
      <c r="L37">
        <v>1191</v>
      </c>
      <c r="N37">
        <v>1013</v>
      </c>
      <c r="O37" t="s">
        <v>346</v>
      </c>
      <c r="P37" t="s">
        <v>346</v>
      </c>
      <c r="Q37">
        <v>1</v>
      </c>
      <c r="W37">
        <v>0</v>
      </c>
      <c r="X37">
        <v>-1417349443</v>
      </c>
      <c r="Y37">
        <f>(AT37*ROUND((0.8*60),7))</f>
        <v>1.44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0</v>
      </c>
      <c r="AP37">
        <v>1</v>
      </c>
      <c r="AQ37">
        <v>1</v>
      </c>
      <c r="AR37">
        <v>0</v>
      </c>
      <c r="AS37" t="s">
        <v>3</v>
      </c>
      <c r="AT37">
        <v>0.03</v>
      </c>
      <c r="AU37" t="s">
        <v>88</v>
      </c>
      <c r="AV37">
        <v>2</v>
      </c>
      <c r="AW37">
        <v>2</v>
      </c>
      <c r="AX37">
        <v>55873832</v>
      </c>
      <c r="AY37">
        <v>1</v>
      </c>
      <c r="AZ37">
        <v>0</v>
      </c>
      <c r="BA37">
        <v>41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ROUND(Y37*Source!I35,7)</f>
        <v>7.4880000000000004</v>
      </c>
      <c r="CY37">
        <f>AD37</f>
        <v>0</v>
      </c>
      <c r="CZ37">
        <f>AH37</f>
        <v>0</v>
      </c>
      <c r="DA37">
        <f>AL37</f>
        <v>1</v>
      </c>
      <c r="DB37">
        <f>ROUND((ROUND(AT37*CZ37,2)*ROUND((0.8*60),7)),6)</f>
        <v>0</v>
      </c>
      <c r="DC37">
        <f>ROUND((ROUND(AT37*AG37,2)*ROUND((0.8*60),7)),6)</f>
        <v>0</v>
      </c>
      <c r="DD37" t="s">
        <v>3</v>
      </c>
      <c r="DE37" t="s">
        <v>3</v>
      </c>
      <c r="DF37">
        <f t="shared" si="11"/>
        <v>0</v>
      </c>
      <c r="DG37">
        <f t="shared" si="10"/>
        <v>0</v>
      </c>
      <c r="DH37">
        <f t="shared" si="8"/>
        <v>0</v>
      </c>
      <c r="DI37">
        <f t="shared" si="9"/>
        <v>0</v>
      </c>
      <c r="DJ37">
        <f>DI37</f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ROW(Source!A35)</f>
        <v>35</v>
      </c>
      <c r="B38">
        <v>55860754</v>
      </c>
      <c r="C38">
        <v>55873826</v>
      </c>
      <c r="D38">
        <v>46205366</v>
      </c>
      <c r="E38">
        <v>1</v>
      </c>
      <c r="F38">
        <v>1</v>
      </c>
      <c r="G38">
        <v>1</v>
      </c>
      <c r="H38">
        <v>2</v>
      </c>
      <c r="I38" t="s">
        <v>355</v>
      </c>
      <c r="J38" t="s">
        <v>356</v>
      </c>
      <c r="K38" t="s">
        <v>357</v>
      </c>
      <c r="L38">
        <v>1368</v>
      </c>
      <c r="N38">
        <v>1011</v>
      </c>
      <c r="O38" t="s">
        <v>350</v>
      </c>
      <c r="P38" t="s">
        <v>350</v>
      </c>
      <c r="Q38">
        <v>1</v>
      </c>
      <c r="W38">
        <v>0</v>
      </c>
      <c r="X38">
        <v>2016779784</v>
      </c>
      <c r="Y38">
        <f>(AT38*ROUND((0.8*60),7))</f>
        <v>0.48</v>
      </c>
      <c r="AA38">
        <v>0</v>
      </c>
      <c r="AB38">
        <v>1098</v>
      </c>
      <c r="AC38">
        <v>544.01</v>
      </c>
      <c r="AD38">
        <v>0</v>
      </c>
      <c r="AE38">
        <v>0</v>
      </c>
      <c r="AF38">
        <v>1098</v>
      </c>
      <c r="AG38">
        <v>544.01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3</v>
      </c>
      <c r="AT38">
        <v>0.01</v>
      </c>
      <c r="AU38" t="s">
        <v>88</v>
      </c>
      <c r="AV38">
        <v>1</v>
      </c>
      <c r="AW38">
        <v>2</v>
      </c>
      <c r="AX38">
        <v>55873833</v>
      </c>
      <c r="AY38">
        <v>2</v>
      </c>
      <c r="AZ38">
        <v>98304</v>
      </c>
      <c r="BA38">
        <v>42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10.98</v>
      </c>
      <c r="BL38">
        <v>5.4401000000000002</v>
      </c>
      <c r="BM38">
        <v>0</v>
      </c>
      <c r="BN38">
        <v>0</v>
      </c>
      <c r="BO38">
        <v>0.01</v>
      </c>
      <c r="BP38">
        <v>1</v>
      </c>
      <c r="BQ38">
        <v>0</v>
      </c>
      <c r="BR38">
        <v>527.04</v>
      </c>
      <c r="BS38">
        <v>261.12479999999999</v>
      </c>
      <c r="BT38">
        <v>0</v>
      </c>
      <c r="BU38">
        <v>0</v>
      </c>
      <c r="BV38">
        <v>0.48</v>
      </c>
      <c r="BW38">
        <v>1</v>
      </c>
      <c r="CV38">
        <v>0</v>
      </c>
      <c r="CW38">
        <f>ROUND(Y38*Source!I35*DO38,7)</f>
        <v>2.496</v>
      </c>
      <c r="CX38">
        <f>ROUND(Y38*Source!I35,7)</f>
        <v>2.496</v>
      </c>
      <c r="CY38">
        <f>AB38</f>
        <v>1098</v>
      </c>
      <c r="CZ38">
        <f>AF38</f>
        <v>1098</v>
      </c>
      <c r="DA38">
        <f>AJ38</f>
        <v>1</v>
      </c>
      <c r="DB38">
        <f>ROUND((ROUND(AT38*CZ38,2)*ROUND((0.8*60),7)),6)</f>
        <v>527.04</v>
      </c>
      <c r="DC38">
        <f>ROUND((ROUND(AT38*AG38,2)*ROUND((0.8*60),7)),6)</f>
        <v>261.12</v>
      </c>
      <c r="DD38" t="s">
        <v>3</v>
      </c>
      <c r="DE38" t="s">
        <v>3</v>
      </c>
      <c r="DF38">
        <f t="shared" si="11"/>
        <v>0</v>
      </c>
      <c r="DG38">
        <f t="shared" si="10"/>
        <v>2740.61</v>
      </c>
      <c r="DH38">
        <f t="shared" si="8"/>
        <v>1357.85</v>
      </c>
      <c r="DI38">
        <f t="shared" si="9"/>
        <v>0</v>
      </c>
      <c r="DJ38">
        <f>DG38+DH38</f>
        <v>4098.46</v>
      </c>
      <c r="DK38">
        <v>1</v>
      </c>
      <c r="DL38" t="s">
        <v>358</v>
      </c>
      <c r="DM38">
        <v>6</v>
      </c>
      <c r="DN38" t="s">
        <v>346</v>
      </c>
      <c r="DO38">
        <v>1</v>
      </c>
    </row>
    <row r="39" spans="1:119" x14ac:dyDescent="0.2">
      <c r="A39">
        <f>ROW(Source!A35)</f>
        <v>35</v>
      </c>
      <c r="B39">
        <v>55860754</v>
      </c>
      <c r="C39">
        <v>55873826</v>
      </c>
      <c r="D39">
        <v>46205574</v>
      </c>
      <c r="E39">
        <v>1</v>
      </c>
      <c r="F39">
        <v>1</v>
      </c>
      <c r="G39">
        <v>1</v>
      </c>
      <c r="H39">
        <v>2</v>
      </c>
      <c r="I39" t="s">
        <v>379</v>
      </c>
      <c r="J39" t="s">
        <v>380</v>
      </c>
      <c r="K39" t="s">
        <v>381</v>
      </c>
      <c r="L39">
        <v>1368</v>
      </c>
      <c r="N39">
        <v>1011</v>
      </c>
      <c r="O39" t="s">
        <v>350</v>
      </c>
      <c r="P39" t="s">
        <v>350</v>
      </c>
      <c r="Q39">
        <v>1</v>
      </c>
      <c r="W39">
        <v>0</v>
      </c>
      <c r="X39">
        <v>-1277301375</v>
      </c>
      <c r="Y39">
        <f>(AT39*ROUND((0.8*60),7))</f>
        <v>0.96</v>
      </c>
      <c r="AA39">
        <v>0</v>
      </c>
      <c r="AB39">
        <v>1689.72</v>
      </c>
      <c r="AC39">
        <v>465.43</v>
      </c>
      <c r="AD39">
        <v>0</v>
      </c>
      <c r="AE39">
        <v>0</v>
      </c>
      <c r="AF39">
        <v>1689.72</v>
      </c>
      <c r="AG39">
        <v>465.43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3</v>
      </c>
      <c r="AT39">
        <v>0.02</v>
      </c>
      <c r="AU39" t="s">
        <v>88</v>
      </c>
      <c r="AV39">
        <v>1</v>
      </c>
      <c r="AW39">
        <v>2</v>
      </c>
      <c r="AX39">
        <v>55873834</v>
      </c>
      <c r="AY39">
        <v>2</v>
      </c>
      <c r="AZ39">
        <v>98304</v>
      </c>
      <c r="BA39">
        <v>43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33.794400000000003</v>
      </c>
      <c r="BL39">
        <v>9.3086000000000002</v>
      </c>
      <c r="BM39">
        <v>0</v>
      </c>
      <c r="BN39">
        <v>0</v>
      </c>
      <c r="BO39">
        <v>0.02</v>
      </c>
      <c r="BP39">
        <v>1</v>
      </c>
      <c r="BQ39">
        <v>0</v>
      </c>
      <c r="BR39">
        <v>1622.1312</v>
      </c>
      <c r="BS39">
        <v>446.81279999999998</v>
      </c>
      <c r="BT39">
        <v>0</v>
      </c>
      <c r="BU39">
        <v>0</v>
      </c>
      <c r="BV39">
        <v>0.96</v>
      </c>
      <c r="BW39">
        <v>1</v>
      </c>
      <c r="CV39">
        <v>0</v>
      </c>
      <c r="CW39">
        <f>ROUND(Y39*Source!I35*DO39,7)</f>
        <v>4.992</v>
      </c>
      <c r="CX39">
        <f>ROUND(Y39*Source!I35,7)</f>
        <v>4.992</v>
      </c>
      <c r="CY39">
        <f>AB39</f>
        <v>1689.72</v>
      </c>
      <c r="CZ39">
        <f>AF39</f>
        <v>1689.72</v>
      </c>
      <c r="DA39">
        <f>AJ39</f>
        <v>1</v>
      </c>
      <c r="DB39">
        <f>ROUND((ROUND(AT39*CZ39,2)*ROUND((0.8*60),7)),6)</f>
        <v>1621.92</v>
      </c>
      <c r="DC39">
        <f>ROUND((ROUND(AT39*AG39,2)*ROUND((0.8*60),7)),6)</f>
        <v>446.88</v>
      </c>
      <c r="DD39" t="s">
        <v>3</v>
      </c>
      <c r="DE39" t="s">
        <v>3</v>
      </c>
      <c r="DF39">
        <f t="shared" si="11"/>
        <v>0</v>
      </c>
      <c r="DG39">
        <f t="shared" si="10"/>
        <v>8435.08</v>
      </c>
      <c r="DH39">
        <f t="shared" si="8"/>
        <v>2323.4299999999998</v>
      </c>
      <c r="DI39">
        <f t="shared" si="9"/>
        <v>0</v>
      </c>
      <c r="DJ39">
        <f>DG39+DH39</f>
        <v>10758.51</v>
      </c>
      <c r="DK39">
        <v>1</v>
      </c>
      <c r="DL39" t="s">
        <v>382</v>
      </c>
      <c r="DM39">
        <v>5</v>
      </c>
      <c r="DN39" t="s">
        <v>346</v>
      </c>
      <c r="DO39">
        <v>1</v>
      </c>
    </row>
    <row r="40" spans="1:119" x14ac:dyDescent="0.2">
      <c r="A40">
        <f>ROW(Source!A36)</f>
        <v>36</v>
      </c>
      <c r="B40">
        <v>55860754</v>
      </c>
      <c r="C40">
        <v>55873836</v>
      </c>
      <c r="D40">
        <v>35812902</v>
      </c>
      <c r="E40">
        <v>111</v>
      </c>
      <c r="F40">
        <v>1</v>
      </c>
      <c r="G40">
        <v>1</v>
      </c>
      <c r="H40">
        <v>1</v>
      </c>
      <c r="I40" t="s">
        <v>344</v>
      </c>
      <c r="J40" t="s">
        <v>3</v>
      </c>
      <c r="K40" t="s">
        <v>392</v>
      </c>
      <c r="L40">
        <v>1191</v>
      </c>
      <c r="N40">
        <v>1013</v>
      </c>
      <c r="O40" t="s">
        <v>346</v>
      </c>
      <c r="P40" t="s">
        <v>346</v>
      </c>
      <c r="Q40">
        <v>1</v>
      </c>
      <c r="W40">
        <v>0</v>
      </c>
      <c r="X40">
        <v>2031828327</v>
      </c>
      <c r="Y40">
        <f>(AT40*ROUND(0.8,7))</f>
        <v>2.1680000000000001</v>
      </c>
      <c r="AA40">
        <v>0</v>
      </c>
      <c r="AB40">
        <v>0</v>
      </c>
      <c r="AC40">
        <v>0</v>
      </c>
      <c r="AD40">
        <v>329.43</v>
      </c>
      <c r="AE40">
        <v>0</v>
      </c>
      <c r="AF40">
        <v>0</v>
      </c>
      <c r="AG40">
        <v>0</v>
      </c>
      <c r="AH40">
        <v>329.43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2.71</v>
      </c>
      <c r="AU40" t="s">
        <v>78</v>
      </c>
      <c r="AV40">
        <v>1</v>
      </c>
      <c r="AW40">
        <v>2</v>
      </c>
      <c r="AX40">
        <v>55873841</v>
      </c>
      <c r="AY40">
        <v>2</v>
      </c>
      <c r="AZ40">
        <v>131072</v>
      </c>
      <c r="BA40">
        <v>45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892.75530000000003</v>
      </c>
      <c r="BN40">
        <v>2.71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714.20424000000003</v>
      </c>
      <c r="BU40">
        <v>2.1680000000000001</v>
      </c>
      <c r="BV40">
        <v>0</v>
      </c>
      <c r="BW40">
        <v>1</v>
      </c>
      <c r="CU40">
        <f>ROUND(AT40*Source!I36*AH40*AL40,2)</f>
        <v>92846.55</v>
      </c>
      <c r="CV40">
        <f>ROUND(Y40*Source!I36,7)</f>
        <v>225.47200000000001</v>
      </c>
      <c r="CW40">
        <v>0</v>
      </c>
      <c r="CX40">
        <f>ROUND(Y40*Source!I36,7)</f>
        <v>225.47200000000001</v>
      </c>
      <c r="CY40">
        <f>AD40</f>
        <v>329.43</v>
      </c>
      <c r="CZ40">
        <f>AH40</f>
        <v>329.43</v>
      </c>
      <c r="DA40">
        <f>AL40</f>
        <v>1</v>
      </c>
      <c r="DB40">
        <f>ROUND((ROUND(AT40*CZ40,2)*ROUND(0.8,7)),6)</f>
        <v>714.20799999999997</v>
      </c>
      <c r="DC40">
        <f>ROUND((ROUND(AT40*AG40,2)*ROUND(0.8,7)),6)</f>
        <v>0</v>
      </c>
      <c r="DD40" t="s">
        <v>3</v>
      </c>
      <c r="DE40" t="s">
        <v>3</v>
      </c>
      <c r="DF40">
        <f t="shared" si="11"/>
        <v>0</v>
      </c>
      <c r="DG40">
        <f t="shared" si="10"/>
        <v>0</v>
      </c>
      <c r="DH40">
        <f t="shared" si="8"/>
        <v>0</v>
      </c>
      <c r="DI40">
        <f t="shared" si="9"/>
        <v>74277.240000000005</v>
      </c>
      <c r="DJ40">
        <f>DI40</f>
        <v>74277.240000000005</v>
      </c>
      <c r="DK40">
        <v>1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ROW(Source!A36)</f>
        <v>36</v>
      </c>
      <c r="B41">
        <v>55860754</v>
      </c>
      <c r="C41">
        <v>55873836</v>
      </c>
      <c r="D41">
        <v>35812888</v>
      </c>
      <c r="E41">
        <v>111</v>
      </c>
      <c r="F41">
        <v>1</v>
      </c>
      <c r="G41">
        <v>1</v>
      </c>
      <c r="H41">
        <v>1</v>
      </c>
      <c r="I41" t="s">
        <v>353</v>
      </c>
      <c r="J41" t="s">
        <v>3</v>
      </c>
      <c r="K41" t="s">
        <v>354</v>
      </c>
      <c r="L41">
        <v>1191</v>
      </c>
      <c r="N41">
        <v>1013</v>
      </c>
      <c r="O41" t="s">
        <v>346</v>
      </c>
      <c r="P41" t="s">
        <v>346</v>
      </c>
      <c r="Q41">
        <v>1</v>
      </c>
      <c r="W41">
        <v>0</v>
      </c>
      <c r="X41">
        <v>-1417349443</v>
      </c>
      <c r="Y41">
        <f>(AT41*ROUND(0.8,7))</f>
        <v>0.27200000000000002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0.34</v>
      </c>
      <c r="AU41" t="s">
        <v>78</v>
      </c>
      <c r="AV41">
        <v>2</v>
      </c>
      <c r="AW41">
        <v>2</v>
      </c>
      <c r="AX41">
        <v>55873842</v>
      </c>
      <c r="AY41">
        <v>1</v>
      </c>
      <c r="AZ41">
        <v>0</v>
      </c>
      <c r="BA41">
        <v>46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ROUND(Y41*Source!I36,7)</f>
        <v>28.288</v>
      </c>
      <c r="CY41">
        <f>AD41</f>
        <v>0</v>
      </c>
      <c r="CZ41">
        <f>AH41</f>
        <v>0</v>
      </c>
      <c r="DA41">
        <f>AL41</f>
        <v>1</v>
      </c>
      <c r="DB41">
        <f>ROUND((ROUND(AT41*CZ41,2)*ROUND(0.8,7)),6)</f>
        <v>0</v>
      </c>
      <c r="DC41">
        <f>ROUND((ROUND(AT41*AG41,2)*ROUND(0.8,7)),6)</f>
        <v>0</v>
      </c>
      <c r="DD41" t="s">
        <v>3</v>
      </c>
      <c r="DE41" t="s">
        <v>3</v>
      </c>
      <c r="DF41">
        <f t="shared" si="11"/>
        <v>0</v>
      </c>
      <c r="DG41">
        <f t="shared" si="10"/>
        <v>0</v>
      </c>
      <c r="DH41">
        <f t="shared" si="8"/>
        <v>0</v>
      </c>
      <c r="DI41">
        <f t="shared" si="9"/>
        <v>0</v>
      </c>
      <c r="DJ41">
        <f>DI41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ROW(Source!A36)</f>
        <v>36</v>
      </c>
      <c r="B42">
        <v>55860754</v>
      </c>
      <c r="C42">
        <v>55873836</v>
      </c>
      <c r="D42">
        <v>46205366</v>
      </c>
      <c r="E42">
        <v>1</v>
      </c>
      <c r="F42">
        <v>1</v>
      </c>
      <c r="G42">
        <v>1</v>
      </c>
      <c r="H42">
        <v>2</v>
      </c>
      <c r="I42" t="s">
        <v>355</v>
      </c>
      <c r="J42" t="s">
        <v>356</v>
      </c>
      <c r="K42" t="s">
        <v>357</v>
      </c>
      <c r="L42">
        <v>1368</v>
      </c>
      <c r="N42">
        <v>1011</v>
      </c>
      <c r="O42" t="s">
        <v>350</v>
      </c>
      <c r="P42" t="s">
        <v>350</v>
      </c>
      <c r="Q42">
        <v>1</v>
      </c>
      <c r="W42">
        <v>0</v>
      </c>
      <c r="X42">
        <v>2016779784</v>
      </c>
      <c r="Y42">
        <f>(AT42*ROUND(0.8,7))</f>
        <v>9.6000000000000002E-2</v>
      </c>
      <c r="AA42">
        <v>0</v>
      </c>
      <c r="AB42">
        <v>1098</v>
      </c>
      <c r="AC42">
        <v>544.01</v>
      </c>
      <c r="AD42">
        <v>0</v>
      </c>
      <c r="AE42">
        <v>0</v>
      </c>
      <c r="AF42">
        <v>1098</v>
      </c>
      <c r="AG42">
        <v>544.01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0.12</v>
      </c>
      <c r="AU42" t="s">
        <v>78</v>
      </c>
      <c r="AV42">
        <v>1</v>
      </c>
      <c r="AW42">
        <v>2</v>
      </c>
      <c r="AX42">
        <v>55873843</v>
      </c>
      <c r="AY42">
        <v>2</v>
      </c>
      <c r="AZ42">
        <v>98304</v>
      </c>
      <c r="BA42">
        <v>47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131.76</v>
      </c>
      <c r="BL42">
        <v>65.281199999999998</v>
      </c>
      <c r="BM42">
        <v>0</v>
      </c>
      <c r="BN42">
        <v>0</v>
      </c>
      <c r="BO42">
        <v>0.12</v>
      </c>
      <c r="BP42">
        <v>1</v>
      </c>
      <c r="BQ42">
        <v>0</v>
      </c>
      <c r="BR42">
        <v>105.408</v>
      </c>
      <c r="BS42">
        <v>52.224960000000003</v>
      </c>
      <c r="BT42">
        <v>0</v>
      </c>
      <c r="BU42">
        <v>0</v>
      </c>
      <c r="BV42">
        <v>9.6000000000000002E-2</v>
      </c>
      <c r="BW42">
        <v>1</v>
      </c>
      <c r="CV42">
        <v>0</v>
      </c>
      <c r="CW42">
        <f>ROUND(Y42*Source!I36*DO42,7)</f>
        <v>9.984</v>
      </c>
      <c r="CX42">
        <f>ROUND(Y42*Source!I36,7)</f>
        <v>9.984</v>
      </c>
      <c r="CY42">
        <f>AB42</f>
        <v>1098</v>
      </c>
      <c r="CZ42">
        <f>AF42</f>
        <v>1098</v>
      </c>
      <c r="DA42">
        <f>AJ42</f>
        <v>1</v>
      </c>
      <c r="DB42">
        <f>ROUND((ROUND(AT42*CZ42,2)*ROUND(0.8,7)),6)</f>
        <v>105.408</v>
      </c>
      <c r="DC42">
        <f>ROUND((ROUND(AT42*AG42,2)*ROUND(0.8,7)),6)</f>
        <v>52.223999999999997</v>
      </c>
      <c r="DD42" t="s">
        <v>3</v>
      </c>
      <c r="DE42" t="s">
        <v>3</v>
      </c>
      <c r="DF42">
        <f t="shared" si="11"/>
        <v>0</v>
      </c>
      <c r="DG42">
        <f t="shared" si="10"/>
        <v>10962.43</v>
      </c>
      <c r="DH42">
        <f t="shared" si="8"/>
        <v>5431.4</v>
      </c>
      <c r="DI42">
        <f t="shared" si="9"/>
        <v>0</v>
      </c>
      <c r="DJ42">
        <f>DG42+DH42</f>
        <v>16393.830000000002</v>
      </c>
      <c r="DK42">
        <v>1</v>
      </c>
      <c r="DL42" t="s">
        <v>358</v>
      </c>
      <c r="DM42">
        <v>6</v>
      </c>
      <c r="DN42" t="s">
        <v>346</v>
      </c>
      <c r="DO42">
        <v>1</v>
      </c>
    </row>
    <row r="43" spans="1:119" x14ac:dyDescent="0.2">
      <c r="A43">
        <f>ROW(Source!A36)</f>
        <v>36</v>
      </c>
      <c r="B43">
        <v>55860754</v>
      </c>
      <c r="C43">
        <v>55873836</v>
      </c>
      <c r="D43">
        <v>46205574</v>
      </c>
      <c r="E43">
        <v>1</v>
      </c>
      <c r="F43">
        <v>1</v>
      </c>
      <c r="G43">
        <v>1</v>
      </c>
      <c r="H43">
        <v>2</v>
      </c>
      <c r="I43" t="s">
        <v>379</v>
      </c>
      <c r="J43" t="s">
        <v>380</v>
      </c>
      <c r="K43" t="s">
        <v>381</v>
      </c>
      <c r="L43">
        <v>1368</v>
      </c>
      <c r="N43">
        <v>1011</v>
      </c>
      <c r="O43" t="s">
        <v>350</v>
      </c>
      <c r="P43" t="s">
        <v>350</v>
      </c>
      <c r="Q43">
        <v>1</v>
      </c>
      <c r="W43">
        <v>0</v>
      </c>
      <c r="X43">
        <v>-1277301375</v>
      </c>
      <c r="Y43">
        <f>(AT43*ROUND(0.8,7))</f>
        <v>0.17600000000000002</v>
      </c>
      <c r="AA43">
        <v>0</v>
      </c>
      <c r="AB43">
        <v>1689.72</v>
      </c>
      <c r="AC43">
        <v>465.43</v>
      </c>
      <c r="AD43">
        <v>0</v>
      </c>
      <c r="AE43">
        <v>0</v>
      </c>
      <c r="AF43">
        <v>1689.72</v>
      </c>
      <c r="AG43">
        <v>465.43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0.22</v>
      </c>
      <c r="AU43" t="s">
        <v>78</v>
      </c>
      <c r="AV43">
        <v>1</v>
      </c>
      <c r="AW43">
        <v>2</v>
      </c>
      <c r="AX43">
        <v>55873844</v>
      </c>
      <c r="AY43">
        <v>2</v>
      </c>
      <c r="AZ43">
        <v>98304</v>
      </c>
      <c r="BA43">
        <v>48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371.73840000000001</v>
      </c>
      <c r="BL43">
        <v>102.3946</v>
      </c>
      <c r="BM43">
        <v>0</v>
      </c>
      <c r="BN43">
        <v>0</v>
      </c>
      <c r="BO43">
        <v>0.22</v>
      </c>
      <c r="BP43">
        <v>1</v>
      </c>
      <c r="BQ43">
        <v>0</v>
      </c>
      <c r="BR43">
        <v>297.39072000000004</v>
      </c>
      <c r="BS43">
        <v>81.915680000000009</v>
      </c>
      <c r="BT43">
        <v>0</v>
      </c>
      <c r="BU43">
        <v>0</v>
      </c>
      <c r="BV43">
        <v>0.17600000000000002</v>
      </c>
      <c r="BW43">
        <v>1</v>
      </c>
      <c r="CV43">
        <v>0</v>
      </c>
      <c r="CW43">
        <f>ROUND(Y43*Source!I36*DO43,7)</f>
        <v>18.303999999999998</v>
      </c>
      <c r="CX43">
        <f>ROUND(Y43*Source!I36,7)</f>
        <v>18.303999999999998</v>
      </c>
      <c r="CY43">
        <f>AB43</f>
        <v>1689.72</v>
      </c>
      <c r="CZ43">
        <f>AF43</f>
        <v>1689.72</v>
      </c>
      <c r="DA43">
        <f>AJ43</f>
        <v>1</v>
      </c>
      <c r="DB43">
        <f>ROUND((ROUND(AT43*CZ43,2)*ROUND(0.8,7)),6)</f>
        <v>297.392</v>
      </c>
      <c r="DC43">
        <f>ROUND((ROUND(AT43*AG43,2)*ROUND(0.8,7)),6)</f>
        <v>81.912000000000006</v>
      </c>
      <c r="DD43" t="s">
        <v>3</v>
      </c>
      <c r="DE43" t="s">
        <v>3</v>
      </c>
      <c r="DF43">
        <f t="shared" si="11"/>
        <v>0</v>
      </c>
      <c r="DG43">
        <f t="shared" si="10"/>
        <v>30928.63</v>
      </c>
      <c r="DH43">
        <f t="shared" si="8"/>
        <v>8519.23</v>
      </c>
      <c r="DI43">
        <f t="shared" si="9"/>
        <v>0</v>
      </c>
      <c r="DJ43">
        <f>DG43+DH43</f>
        <v>39447.86</v>
      </c>
      <c r="DK43">
        <v>1</v>
      </c>
      <c r="DL43" t="s">
        <v>382</v>
      </c>
      <c r="DM43">
        <v>5</v>
      </c>
      <c r="DN43" t="s">
        <v>346</v>
      </c>
      <c r="DO43">
        <v>1</v>
      </c>
    </row>
    <row r="44" spans="1:119" x14ac:dyDescent="0.2">
      <c r="A44">
        <f>ROW(Source!A37)</f>
        <v>37</v>
      </c>
      <c r="B44">
        <v>55860754</v>
      </c>
      <c r="C44">
        <v>55873846</v>
      </c>
      <c r="D44">
        <v>35812902</v>
      </c>
      <c r="E44">
        <v>111</v>
      </c>
      <c r="F44">
        <v>1</v>
      </c>
      <c r="G44">
        <v>1</v>
      </c>
      <c r="H44">
        <v>1</v>
      </c>
      <c r="I44" t="s">
        <v>344</v>
      </c>
      <c r="J44" t="s">
        <v>3</v>
      </c>
      <c r="K44" t="s">
        <v>392</v>
      </c>
      <c r="L44">
        <v>1191</v>
      </c>
      <c r="N44">
        <v>1013</v>
      </c>
      <c r="O44" t="s">
        <v>346</v>
      </c>
      <c r="P44" t="s">
        <v>346</v>
      </c>
      <c r="Q44">
        <v>1</v>
      </c>
      <c r="W44">
        <v>0</v>
      </c>
      <c r="X44">
        <v>2031828327</v>
      </c>
      <c r="Y44">
        <f>(AT44*ROUND(1.15,7))</f>
        <v>3.1164999999999998</v>
      </c>
      <c r="AA44">
        <v>0</v>
      </c>
      <c r="AB44">
        <v>0</v>
      </c>
      <c r="AC44">
        <v>0</v>
      </c>
      <c r="AD44">
        <v>329.43</v>
      </c>
      <c r="AE44">
        <v>0</v>
      </c>
      <c r="AF44">
        <v>0</v>
      </c>
      <c r="AG44">
        <v>0</v>
      </c>
      <c r="AH44">
        <v>329.43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2.71</v>
      </c>
      <c r="AU44" t="s">
        <v>99</v>
      </c>
      <c r="AV44">
        <v>1</v>
      </c>
      <c r="AW44">
        <v>2</v>
      </c>
      <c r="AX44">
        <v>55873852</v>
      </c>
      <c r="AY44">
        <v>2</v>
      </c>
      <c r="AZ44">
        <v>131072</v>
      </c>
      <c r="BA44">
        <v>50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892.75530000000003</v>
      </c>
      <c r="BN44">
        <v>2.71</v>
      </c>
      <c r="BO44">
        <v>0</v>
      </c>
      <c r="BP44">
        <v>1</v>
      </c>
      <c r="BQ44">
        <v>0</v>
      </c>
      <c r="BR44">
        <v>0</v>
      </c>
      <c r="BS44">
        <v>0</v>
      </c>
      <c r="BT44">
        <v>1026.6685949999999</v>
      </c>
      <c r="BU44">
        <v>3.1164999999999998</v>
      </c>
      <c r="BV44">
        <v>0</v>
      </c>
      <c r="BW44">
        <v>1</v>
      </c>
      <c r="CU44">
        <f>ROUND(AT44*Source!I37*AH44*AL44,2)</f>
        <v>116058.19</v>
      </c>
      <c r="CV44">
        <f>ROUND(Y44*Source!I37,7)</f>
        <v>405.14499999999998</v>
      </c>
      <c r="CW44">
        <v>0</v>
      </c>
      <c r="CX44">
        <f>ROUND(Y44*Source!I37,7)</f>
        <v>405.14499999999998</v>
      </c>
      <c r="CY44">
        <f>AD44</f>
        <v>329.43</v>
      </c>
      <c r="CZ44">
        <f>AH44</f>
        <v>329.43</v>
      </c>
      <c r="DA44">
        <f>AL44</f>
        <v>1</v>
      </c>
      <c r="DB44">
        <f>ROUND((ROUND(AT44*CZ44,2)*ROUND(1.15,7)),6)</f>
        <v>1026.674</v>
      </c>
      <c r="DC44">
        <f>ROUND((ROUND(AT44*AG44,2)*ROUND(1.15,7)),6)</f>
        <v>0</v>
      </c>
      <c r="DD44" t="s">
        <v>3</v>
      </c>
      <c r="DE44" t="s">
        <v>3</v>
      </c>
      <c r="DF44">
        <f t="shared" si="11"/>
        <v>0</v>
      </c>
      <c r="DG44">
        <f t="shared" si="10"/>
        <v>0</v>
      </c>
      <c r="DH44">
        <f t="shared" si="8"/>
        <v>0</v>
      </c>
      <c r="DI44">
        <f t="shared" si="9"/>
        <v>133466.92000000001</v>
      </c>
      <c r="DJ44">
        <f>DI44</f>
        <v>133466.92000000001</v>
      </c>
      <c r="DK44">
        <v>1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ROW(Source!A37)</f>
        <v>37</v>
      </c>
      <c r="B45">
        <v>55860754</v>
      </c>
      <c r="C45">
        <v>55873846</v>
      </c>
      <c r="D45">
        <v>35812888</v>
      </c>
      <c r="E45">
        <v>111</v>
      </c>
      <c r="F45">
        <v>1</v>
      </c>
      <c r="G45">
        <v>1</v>
      </c>
      <c r="H45">
        <v>1</v>
      </c>
      <c r="I45" t="s">
        <v>353</v>
      </c>
      <c r="J45" t="s">
        <v>3</v>
      </c>
      <c r="K45" t="s">
        <v>354</v>
      </c>
      <c r="L45">
        <v>1191</v>
      </c>
      <c r="N45">
        <v>1013</v>
      </c>
      <c r="O45" t="s">
        <v>346</v>
      </c>
      <c r="P45" t="s">
        <v>346</v>
      </c>
      <c r="Q45">
        <v>1</v>
      </c>
      <c r="W45">
        <v>0</v>
      </c>
      <c r="X45">
        <v>-1417349443</v>
      </c>
      <c r="Y45">
        <f>(AT45*ROUND(1.25,7))</f>
        <v>0.42500000000000004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0.34</v>
      </c>
      <c r="AU45" t="s">
        <v>98</v>
      </c>
      <c r="AV45">
        <v>2</v>
      </c>
      <c r="AW45">
        <v>2</v>
      </c>
      <c r="AX45">
        <v>55873853</v>
      </c>
      <c r="AY45">
        <v>1</v>
      </c>
      <c r="AZ45">
        <v>0</v>
      </c>
      <c r="BA45">
        <v>51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ROUND(Y45*Source!I37,7)</f>
        <v>55.25</v>
      </c>
      <c r="CY45">
        <f>AD45</f>
        <v>0</v>
      </c>
      <c r="CZ45">
        <f>AH45</f>
        <v>0</v>
      </c>
      <c r="DA45">
        <f>AL45</f>
        <v>1</v>
      </c>
      <c r="DB45">
        <f>ROUND((ROUND(AT45*CZ45,2)*ROUND(1.25,7)),6)</f>
        <v>0</v>
      </c>
      <c r="DC45">
        <f>ROUND((ROUND(AT45*AG45,2)*ROUND(1.25,7)),6)</f>
        <v>0</v>
      </c>
      <c r="DD45" t="s">
        <v>3</v>
      </c>
      <c r="DE45" t="s">
        <v>3</v>
      </c>
      <c r="DF45">
        <f t="shared" si="11"/>
        <v>0</v>
      </c>
      <c r="DG45">
        <f t="shared" si="10"/>
        <v>0</v>
      </c>
      <c r="DH45">
        <f t="shared" si="8"/>
        <v>0</v>
      </c>
      <c r="DI45">
        <f t="shared" si="9"/>
        <v>0</v>
      </c>
      <c r="DJ45">
        <f>DI45</f>
        <v>0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ROW(Source!A37)</f>
        <v>37</v>
      </c>
      <c r="B46">
        <v>55860754</v>
      </c>
      <c r="C46">
        <v>55873846</v>
      </c>
      <c r="D46">
        <v>46205366</v>
      </c>
      <c r="E46">
        <v>1</v>
      </c>
      <c r="F46">
        <v>1</v>
      </c>
      <c r="G46">
        <v>1</v>
      </c>
      <c r="H46">
        <v>2</v>
      </c>
      <c r="I46" t="s">
        <v>355</v>
      </c>
      <c r="J46" t="s">
        <v>356</v>
      </c>
      <c r="K46" t="s">
        <v>357</v>
      </c>
      <c r="L46">
        <v>1368</v>
      </c>
      <c r="N46">
        <v>1011</v>
      </c>
      <c r="O46" t="s">
        <v>350</v>
      </c>
      <c r="P46" t="s">
        <v>350</v>
      </c>
      <c r="Q46">
        <v>1</v>
      </c>
      <c r="W46">
        <v>0</v>
      </c>
      <c r="X46">
        <v>2016779784</v>
      </c>
      <c r="Y46">
        <f>(AT46*ROUND(1.25,7))</f>
        <v>0.15</v>
      </c>
      <c r="AA46">
        <v>0</v>
      </c>
      <c r="AB46">
        <v>1098</v>
      </c>
      <c r="AC46">
        <v>544.01</v>
      </c>
      <c r="AD46">
        <v>0</v>
      </c>
      <c r="AE46">
        <v>0</v>
      </c>
      <c r="AF46">
        <v>1098</v>
      </c>
      <c r="AG46">
        <v>544.01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0.12</v>
      </c>
      <c r="AU46" t="s">
        <v>98</v>
      </c>
      <c r="AV46">
        <v>1</v>
      </c>
      <c r="AW46">
        <v>2</v>
      </c>
      <c r="AX46">
        <v>55873854</v>
      </c>
      <c r="AY46">
        <v>2</v>
      </c>
      <c r="AZ46">
        <v>98304</v>
      </c>
      <c r="BA46">
        <v>52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131.76</v>
      </c>
      <c r="BL46">
        <v>65.281199999999998</v>
      </c>
      <c r="BM46">
        <v>0</v>
      </c>
      <c r="BN46">
        <v>0</v>
      </c>
      <c r="BO46">
        <v>0.12</v>
      </c>
      <c r="BP46">
        <v>1</v>
      </c>
      <c r="BQ46">
        <v>0</v>
      </c>
      <c r="BR46">
        <v>164.7</v>
      </c>
      <c r="BS46">
        <v>81.601500000000001</v>
      </c>
      <c r="BT46">
        <v>0</v>
      </c>
      <c r="BU46">
        <v>0</v>
      </c>
      <c r="BV46">
        <v>0.15</v>
      </c>
      <c r="BW46">
        <v>1</v>
      </c>
      <c r="CV46">
        <v>0</v>
      </c>
      <c r="CW46">
        <f>ROUND(Y46*Source!I37*DO46,7)</f>
        <v>19.5</v>
      </c>
      <c r="CX46">
        <f>ROUND(Y46*Source!I37,7)</f>
        <v>19.5</v>
      </c>
      <c r="CY46">
        <f>AB46</f>
        <v>1098</v>
      </c>
      <c r="CZ46">
        <f>AF46</f>
        <v>1098</v>
      </c>
      <c r="DA46">
        <f>AJ46</f>
        <v>1</v>
      </c>
      <c r="DB46">
        <f>ROUND((ROUND(AT46*CZ46,2)*ROUND(1.25,7)),6)</f>
        <v>164.7</v>
      </c>
      <c r="DC46">
        <f>ROUND((ROUND(AT46*AG46,2)*ROUND(1.25,7)),6)</f>
        <v>81.599999999999994</v>
      </c>
      <c r="DD46" t="s">
        <v>3</v>
      </c>
      <c r="DE46" t="s">
        <v>3</v>
      </c>
      <c r="DF46">
        <f t="shared" si="11"/>
        <v>0</v>
      </c>
      <c r="DG46">
        <f t="shared" si="10"/>
        <v>21411</v>
      </c>
      <c r="DH46">
        <f t="shared" si="8"/>
        <v>10608.2</v>
      </c>
      <c r="DI46">
        <f t="shared" si="9"/>
        <v>0</v>
      </c>
      <c r="DJ46">
        <f>DG46+DH46</f>
        <v>32019.200000000001</v>
      </c>
      <c r="DK46">
        <v>1</v>
      </c>
      <c r="DL46" t="s">
        <v>358</v>
      </c>
      <c r="DM46">
        <v>6</v>
      </c>
      <c r="DN46" t="s">
        <v>346</v>
      </c>
      <c r="DO46">
        <v>1</v>
      </c>
    </row>
    <row r="47" spans="1:119" x14ac:dyDescent="0.2">
      <c r="A47">
        <f>ROW(Source!A37)</f>
        <v>37</v>
      </c>
      <c r="B47">
        <v>55860754</v>
      </c>
      <c r="C47">
        <v>55873846</v>
      </c>
      <c r="D47">
        <v>46205574</v>
      </c>
      <c r="E47">
        <v>1</v>
      </c>
      <c r="F47">
        <v>1</v>
      </c>
      <c r="G47">
        <v>1</v>
      </c>
      <c r="H47">
        <v>2</v>
      </c>
      <c r="I47" t="s">
        <v>379</v>
      </c>
      <c r="J47" t="s">
        <v>380</v>
      </c>
      <c r="K47" t="s">
        <v>381</v>
      </c>
      <c r="L47">
        <v>1368</v>
      </c>
      <c r="N47">
        <v>1011</v>
      </c>
      <c r="O47" t="s">
        <v>350</v>
      </c>
      <c r="P47" t="s">
        <v>350</v>
      </c>
      <c r="Q47">
        <v>1</v>
      </c>
      <c r="W47">
        <v>0</v>
      </c>
      <c r="X47">
        <v>-1277301375</v>
      </c>
      <c r="Y47">
        <f>(AT47*ROUND(1.25,7))</f>
        <v>0.27500000000000002</v>
      </c>
      <c r="AA47">
        <v>0</v>
      </c>
      <c r="AB47">
        <v>1689.72</v>
      </c>
      <c r="AC47">
        <v>465.43</v>
      </c>
      <c r="AD47">
        <v>0</v>
      </c>
      <c r="AE47">
        <v>0</v>
      </c>
      <c r="AF47">
        <v>1689.72</v>
      </c>
      <c r="AG47">
        <v>465.43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0.22</v>
      </c>
      <c r="AU47" t="s">
        <v>98</v>
      </c>
      <c r="AV47">
        <v>1</v>
      </c>
      <c r="AW47">
        <v>2</v>
      </c>
      <c r="AX47">
        <v>55873855</v>
      </c>
      <c r="AY47">
        <v>2</v>
      </c>
      <c r="AZ47">
        <v>98304</v>
      </c>
      <c r="BA47">
        <v>53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371.73840000000001</v>
      </c>
      <c r="BL47">
        <v>102.3946</v>
      </c>
      <c r="BM47">
        <v>0</v>
      </c>
      <c r="BN47">
        <v>0</v>
      </c>
      <c r="BO47">
        <v>0.22</v>
      </c>
      <c r="BP47">
        <v>1</v>
      </c>
      <c r="BQ47">
        <v>0</v>
      </c>
      <c r="BR47">
        <v>464.67300000000006</v>
      </c>
      <c r="BS47">
        <v>127.99325000000002</v>
      </c>
      <c r="BT47">
        <v>0</v>
      </c>
      <c r="BU47">
        <v>0</v>
      </c>
      <c r="BV47">
        <v>0.27500000000000002</v>
      </c>
      <c r="BW47">
        <v>1</v>
      </c>
      <c r="CV47">
        <v>0</v>
      </c>
      <c r="CW47">
        <f>ROUND(Y47*Source!I37*DO47,7)</f>
        <v>35.75</v>
      </c>
      <c r="CX47">
        <f>ROUND(Y47*Source!I37,7)</f>
        <v>35.75</v>
      </c>
      <c r="CY47">
        <f>AB47</f>
        <v>1689.72</v>
      </c>
      <c r="CZ47">
        <f>AF47</f>
        <v>1689.72</v>
      </c>
      <c r="DA47">
        <f>AJ47</f>
        <v>1</v>
      </c>
      <c r="DB47">
        <f>ROUND((ROUND(AT47*CZ47,2)*ROUND(1.25,7)),6)</f>
        <v>464.67500000000001</v>
      </c>
      <c r="DC47">
        <f>ROUND((ROUND(AT47*AG47,2)*ROUND(1.25,7)),6)</f>
        <v>127.9875</v>
      </c>
      <c r="DD47" t="s">
        <v>3</v>
      </c>
      <c r="DE47" t="s">
        <v>3</v>
      </c>
      <c r="DF47">
        <f t="shared" si="11"/>
        <v>0</v>
      </c>
      <c r="DG47">
        <f t="shared" si="10"/>
        <v>60407.49</v>
      </c>
      <c r="DH47">
        <f t="shared" si="8"/>
        <v>16639.12</v>
      </c>
      <c r="DI47">
        <f t="shared" si="9"/>
        <v>0</v>
      </c>
      <c r="DJ47">
        <f>DG47+DH47</f>
        <v>77046.61</v>
      </c>
      <c r="DK47">
        <v>1</v>
      </c>
      <c r="DL47" t="s">
        <v>382</v>
      </c>
      <c r="DM47">
        <v>5</v>
      </c>
      <c r="DN47" t="s">
        <v>346</v>
      </c>
      <c r="DO47">
        <v>1</v>
      </c>
    </row>
    <row r="48" spans="1:119" x14ac:dyDescent="0.2">
      <c r="A48">
        <f>ROW(Source!A37)</f>
        <v>37</v>
      </c>
      <c r="B48">
        <v>55860754</v>
      </c>
      <c r="C48">
        <v>55873846</v>
      </c>
      <c r="D48">
        <v>54646750</v>
      </c>
      <c r="E48">
        <v>1</v>
      </c>
      <c r="F48">
        <v>1</v>
      </c>
      <c r="G48">
        <v>1</v>
      </c>
      <c r="H48">
        <v>3</v>
      </c>
      <c r="I48" t="s">
        <v>104</v>
      </c>
      <c r="J48" t="s">
        <v>106</v>
      </c>
      <c r="K48" t="s">
        <v>105</v>
      </c>
      <c r="L48">
        <v>1339</v>
      </c>
      <c r="N48">
        <v>1007</v>
      </c>
      <c r="O48" t="s">
        <v>92</v>
      </c>
      <c r="P48" t="s">
        <v>92</v>
      </c>
      <c r="Q48">
        <v>1</v>
      </c>
      <c r="W48">
        <v>0</v>
      </c>
      <c r="X48">
        <v>876979683</v>
      </c>
      <c r="Y48">
        <f>AT48</f>
        <v>1.03</v>
      </c>
      <c r="AA48">
        <v>2522.73</v>
      </c>
      <c r="AB48">
        <v>0</v>
      </c>
      <c r="AC48">
        <v>0</v>
      </c>
      <c r="AD48">
        <v>0</v>
      </c>
      <c r="AE48">
        <v>1557.24</v>
      </c>
      <c r="AF48">
        <v>0</v>
      </c>
      <c r="AG48">
        <v>0</v>
      </c>
      <c r="AH48">
        <v>0</v>
      </c>
      <c r="AI48">
        <v>1.62</v>
      </c>
      <c r="AJ48">
        <v>1</v>
      </c>
      <c r="AK48">
        <v>1</v>
      </c>
      <c r="AL48">
        <v>1</v>
      </c>
      <c r="AM48">
        <v>2</v>
      </c>
      <c r="AN48">
        <v>0</v>
      </c>
      <c r="AO48">
        <v>0</v>
      </c>
      <c r="AP48">
        <v>1</v>
      </c>
      <c r="AQ48">
        <v>0</v>
      </c>
      <c r="AR48">
        <v>0</v>
      </c>
      <c r="AS48" t="s">
        <v>3</v>
      </c>
      <c r="AT48">
        <v>1.03</v>
      </c>
      <c r="AU48" t="s">
        <v>3</v>
      </c>
      <c r="AV48">
        <v>0</v>
      </c>
      <c r="AW48">
        <v>1</v>
      </c>
      <c r="AX48">
        <v>-1</v>
      </c>
      <c r="AY48">
        <v>0</v>
      </c>
      <c r="AZ48">
        <v>0</v>
      </c>
      <c r="BA48" t="s">
        <v>3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ROUND(Y48*Source!I37,7)</f>
        <v>133.9</v>
      </c>
      <c r="CY48">
        <f>AA48</f>
        <v>2522.73</v>
      </c>
      <c r="CZ48">
        <f>AE48</f>
        <v>1557.24</v>
      </c>
      <c r="DA48">
        <f>AI48</f>
        <v>1.62</v>
      </c>
      <c r="DB48">
        <f>ROUND(ROUND(AT48*CZ48,2),6)</f>
        <v>1603.96</v>
      </c>
      <c r="DC48">
        <f>ROUND(ROUND(AT48*AG48,2),6)</f>
        <v>0</v>
      </c>
      <c r="DD48" t="s">
        <v>3</v>
      </c>
      <c r="DE48" t="s">
        <v>3</v>
      </c>
      <c r="DF48">
        <f>ROUND(ROUND(AE48*AI48,2)*CX48,2)</f>
        <v>337793.55</v>
      </c>
      <c r="DG48">
        <f t="shared" si="10"/>
        <v>0</v>
      </c>
      <c r="DH48">
        <f t="shared" si="8"/>
        <v>0</v>
      </c>
      <c r="DI48">
        <f t="shared" si="9"/>
        <v>0</v>
      </c>
      <c r="DJ48">
        <f>DF48</f>
        <v>337793.55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ROW(Source!A39)</f>
        <v>39</v>
      </c>
      <c r="B49">
        <v>55860754</v>
      </c>
      <c r="C49">
        <v>55873858</v>
      </c>
      <c r="D49">
        <v>35812892</v>
      </c>
      <c r="E49">
        <v>111</v>
      </c>
      <c r="F49">
        <v>1</v>
      </c>
      <c r="G49">
        <v>1</v>
      </c>
      <c r="H49">
        <v>1</v>
      </c>
      <c r="I49" t="s">
        <v>393</v>
      </c>
      <c r="J49" t="s">
        <v>3</v>
      </c>
      <c r="K49" t="s">
        <v>394</v>
      </c>
      <c r="L49">
        <v>1191</v>
      </c>
      <c r="N49">
        <v>1013</v>
      </c>
      <c r="O49" t="s">
        <v>346</v>
      </c>
      <c r="P49" t="s">
        <v>346</v>
      </c>
      <c r="Q49">
        <v>1</v>
      </c>
      <c r="W49">
        <v>0</v>
      </c>
      <c r="X49">
        <v>-1040088138</v>
      </c>
      <c r="Y49">
        <f>(AT49*ROUND(1.15,7))</f>
        <v>7.0149999999999988</v>
      </c>
      <c r="AA49">
        <v>0</v>
      </c>
      <c r="AB49">
        <v>0</v>
      </c>
      <c r="AC49">
        <v>0</v>
      </c>
      <c r="AD49">
        <v>302.23</v>
      </c>
      <c r="AE49">
        <v>0</v>
      </c>
      <c r="AF49">
        <v>0</v>
      </c>
      <c r="AG49">
        <v>0</v>
      </c>
      <c r="AH49">
        <v>302.23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6.1</v>
      </c>
      <c r="AU49" t="s">
        <v>99</v>
      </c>
      <c r="AV49">
        <v>1</v>
      </c>
      <c r="AW49">
        <v>2</v>
      </c>
      <c r="AX49">
        <v>55873862</v>
      </c>
      <c r="AY49">
        <v>2</v>
      </c>
      <c r="AZ49">
        <v>131072</v>
      </c>
      <c r="BA49">
        <v>55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1843.6030000000001</v>
      </c>
      <c r="BN49">
        <v>6.1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2120.1434499999996</v>
      </c>
      <c r="BU49">
        <v>7.0149999999999988</v>
      </c>
      <c r="BV49">
        <v>0</v>
      </c>
      <c r="BW49">
        <v>1</v>
      </c>
      <c r="CU49">
        <f>ROUND(AT49*Source!I39*AH49*AL49,2)</f>
        <v>9586.74</v>
      </c>
      <c r="CV49">
        <f>ROUND(Y49*Source!I39,7)</f>
        <v>36.478000000000002</v>
      </c>
      <c r="CW49">
        <v>0</v>
      </c>
      <c r="CX49">
        <f>ROUND(Y49*Source!I39,7)</f>
        <v>36.478000000000002</v>
      </c>
      <c r="CY49">
        <f>AD49</f>
        <v>302.23</v>
      </c>
      <c r="CZ49">
        <f>AH49</f>
        <v>302.23</v>
      </c>
      <c r="DA49">
        <f>AL49</f>
        <v>1</v>
      </c>
      <c r="DB49">
        <f>ROUND((ROUND(AT49*CZ49,2)*ROUND(1.15,7)),6)</f>
        <v>2120.14</v>
      </c>
      <c r="DC49">
        <f>ROUND((ROUND(AT49*AG49,2)*ROUND(1.15,7)),6)</f>
        <v>0</v>
      </c>
      <c r="DD49" t="s">
        <v>3</v>
      </c>
      <c r="DE49" t="s">
        <v>3</v>
      </c>
      <c r="DF49">
        <f>ROUND(ROUND(AE49,2)*CX49,2)</f>
        <v>0</v>
      </c>
      <c r="DG49">
        <f t="shared" si="10"/>
        <v>0</v>
      </c>
      <c r="DH49">
        <f t="shared" si="8"/>
        <v>0</v>
      </c>
      <c r="DI49">
        <f t="shared" si="9"/>
        <v>11024.75</v>
      </c>
      <c r="DJ49">
        <f>DI49</f>
        <v>11024.75</v>
      </c>
      <c r="DK49">
        <v>1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ROW(Source!A39)</f>
        <v>39</v>
      </c>
      <c r="B50">
        <v>55860754</v>
      </c>
      <c r="C50">
        <v>55873858</v>
      </c>
      <c r="D50">
        <v>46159042</v>
      </c>
      <c r="E50">
        <v>1</v>
      </c>
      <c r="F50">
        <v>1</v>
      </c>
      <c r="G50">
        <v>1</v>
      </c>
      <c r="H50">
        <v>3</v>
      </c>
      <c r="I50" t="s">
        <v>386</v>
      </c>
      <c r="J50" t="s">
        <v>387</v>
      </c>
      <c r="K50" t="s">
        <v>388</v>
      </c>
      <c r="L50">
        <v>1339</v>
      </c>
      <c r="N50">
        <v>1007</v>
      </c>
      <c r="O50" t="s">
        <v>92</v>
      </c>
      <c r="P50" t="s">
        <v>92</v>
      </c>
      <c r="Q50">
        <v>1</v>
      </c>
      <c r="W50">
        <v>0</v>
      </c>
      <c r="X50">
        <v>508225838</v>
      </c>
      <c r="Y50">
        <f>AT50</f>
        <v>2</v>
      </c>
      <c r="AA50">
        <v>29.64</v>
      </c>
      <c r="AB50">
        <v>0</v>
      </c>
      <c r="AC50">
        <v>0</v>
      </c>
      <c r="AD50">
        <v>0</v>
      </c>
      <c r="AE50">
        <v>35.71</v>
      </c>
      <c r="AF50">
        <v>0</v>
      </c>
      <c r="AG50">
        <v>0</v>
      </c>
      <c r="AH50">
        <v>0</v>
      </c>
      <c r="AI50">
        <v>0.83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2</v>
      </c>
      <c r="AU50" t="s">
        <v>3</v>
      </c>
      <c r="AV50">
        <v>0</v>
      </c>
      <c r="AW50">
        <v>2</v>
      </c>
      <c r="AX50">
        <v>55873863</v>
      </c>
      <c r="AY50">
        <v>1</v>
      </c>
      <c r="AZ50">
        <v>0</v>
      </c>
      <c r="BA50">
        <v>56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71.42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71.42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ROUND(Y50*Source!I39,7)</f>
        <v>10.4</v>
      </c>
      <c r="CY50">
        <f>AA50</f>
        <v>29.64</v>
      </c>
      <c r="CZ50">
        <f>AE50</f>
        <v>35.71</v>
      </c>
      <c r="DA50">
        <f>AI50</f>
        <v>0.83</v>
      </c>
      <c r="DB50">
        <f>ROUND(ROUND(AT50*CZ50,2),6)</f>
        <v>71.42</v>
      </c>
      <c r="DC50">
        <f>ROUND(ROUND(AT50*AG50,2),6)</f>
        <v>0</v>
      </c>
      <c r="DD50" t="s">
        <v>3</v>
      </c>
      <c r="DE50" t="s">
        <v>3</v>
      </c>
      <c r="DF50">
        <f>ROUND(ROUND(AE50*AI50,2)*CX50,2)</f>
        <v>308.26</v>
      </c>
      <c r="DG50">
        <f t="shared" si="10"/>
        <v>0</v>
      </c>
      <c r="DH50">
        <f t="shared" si="8"/>
        <v>0</v>
      </c>
      <c r="DI50">
        <f t="shared" si="9"/>
        <v>0</v>
      </c>
      <c r="DJ50">
        <f>DF50</f>
        <v>308.26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ROW(Source!A39)</f>
        <v>39</v>
      </c>
      <c r="B51">
        <v>55860754</v>
      </c>
      <c r="C51">
        <v>55873858</v>
      </c>
      <c r="D51">
        <v>46162144</v>
      </c>
      <c r="E51">
        <v>1</v>
      </c>
      <c r="F51">
        <v>1</v>
      </c>
      <c r="G51">
        <v>1</v>
      </c>
      <c r="H51">
        <v>3</v>
      </c>
      <c r="I51" t="s">
        <v>119</v>
      </c>
      <c r="J51" t="s">
        <v>121</v>
      </c>
      <c r="K51" t="s">
        <v>120</v>
      </c>
      <c r="L51">
        <v>1348</v>
      </c>
      <c r="N51">
        <v>1009</v>
      </c>
      <c r="O51" t="s">
        <v>41</v>
      </c>
      <c r="P51" t="s">
        <v>41</v>
      </c>
      <c r="Q51">
        <v>1000</v>
      </c>
      <c r="W51">
        <v>0</v>
      </c>
      <c r="X51">
        <v>1213244805</v>
      </c>
      <c r="Y51">
        <f>AT51</f>
        <v>0.35</v>
      </c>
      <c r="AA51">
        <v>8018.08</v>
      </c>
      <c r="AB51">
        <v>0</v>
      </c>
      <c r="AC51">
        <v>0</v>
      </c>
      <c r="AD51">
        <v>0</v>
      </c>
      <c r="AE51">
        <v>5275.05</v>
      </c>
      <c r="AF51">
        <v>0</v>
      </c>
      <c r="AG51">
        <v>0</v>
      </c>
      <c r="AH51">
        <v>0</v>
      </c>
      <c r="AI51">
        <v>1.52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0</v>
      </c>
      <c r="AR51">
        <v>0</v>
      </c>
      <c r="AS51" t="s">
        <v>3</v>
      </c>
      <c r="AT51">
        <v>0.35</v>
      </c>
      <c r="AU51" t="s">
        <v>3</v>
      </c>
      <c r="AV51">
        <v>0</v>
      </c>
      <c r="AW51">
        <v>1</v>
      </c>
      <c r="AX51">
        <v>-1</v>
      </c>
      <c r="AY51">
        <v>0</v>
      </c>
      <c r="AZ51">
        <v>0</v>
      </c>
      <c r="BA51" t="s">
        <v>3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ROUND(Y51*Source!I39,7)</f>
        <v>1.82</v>
      </c>
      <c r="CY51">
        <f>AA51</f>
        <v>8018.08</v>
      </c>
      <c r="CZ51">
        <f>AE51</f>
        <v>5275.05</v>
      </c>
      <c r="DA51">
        <f>AI51</f>
        <v>1.52</v>
      </c>
      <c r="DB51">
        <f>ROUND(ROUND(AT51*CZ51,2),6)</f>
        <v>1846.27</v>
      </c>
      <c r="DC51">
        <f>ROUND(ROUND(AT51*AG51,2),6)</f>
        <v>0</v>
      </c>
      <c r="DD51" t="s">
        <v>3</v>
      </c>
      <c r="DE51" t="s">
        <v>3</v>
      </c>
      <c r="DF51">
        <f>ROUND(ROUND(AE51*AI51,2)*CX51,2)</f>
        <v>14592.91</v>
      </c>
      <c r="DG51">
        <f t="shared" si="10"/>
        <v>0</v>
      </c>
      <c r="DH51">
        <f t="shared" si="8"/>
        <v>0</v>
      </c>
      <c r="DI51">
        <f t="shared" si="9"/>
        <v>0</v>
      </c>
      <c r="DJ51">
        <f>DF51</f>
        <v>14592.91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ROW(Source!A41)</f>
        <v>41</v>
      </c>
      <c r="B52">
        <v>55860754</v>
      </c>
      <c r="C52">
        <v>55873865</v>
      </c>
      <c r="D52">
        <v>35812913</v>
      </c>
      <c r="E52">
        <v>111</v>
      </c>
      <c r="F52">
        <v>1</v>
      </c>
      <c r="G52">
        <v>1</v>
      </c>
      <c r="H52">
        <v>1</v>
      </c>
      <c r="I52" t="s">
        <v>377</v>
      </c>
      <c r="J52" t="s">
        <v>3</v>
      </c>
      <c r="K52" t="s">
        <v>378</v>
      </c>
      <c r="L52">
        <v>1191</v>
      </c>
      <c r="N52">
        <v>1013</v>
      </c>
      <c r="O52" t="s">
        <v>346</v>
      </c>
      <c r="P52" t="s">
        <v>346</v>
      </c>
      <c r="Q52">
        <v>1</v>
      </c>
      <c r="W52">
        <v>0</v>
      </c>
      <c r="X52">
        <v>-983457869</v>
      </c>
      <c r="Y52">
        <f>(AT52*ROUND(1.15,7))</f>
        <v>27.945</v>
      </c>
      <c r="AA52">
        <v>0</v>
      </c>
      <c r="AB52">
        <v>0</v>
      </c>
      <c r="AC52">
        <v>0</v>
      </c>
      <c r="AD52">
        <v>364.19</v>
      </c>
      <c r="AE52">
        <v>0</v>
      </c>
      <c r="AF52">
        <v>0</v>
      </c>
      <c r="AG52">
        <v>0</v>
      </c>
      <c r="AH52">
        <v>364.19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0</v>
      </c>
      <c r="AP52">
        <v>1</v>
      </c>
      <c r="AQ52">
        <v>1</v>
      </c>
      <c r="AR52">
        <v>0</v>
      </c>
      <c r="AS52" t="s">
        <v>3</v>
      </c>
      <c r="AT52">
        <v>24.3</v>
      </c>
      <c r="AU52" t="s">
        <v>99</v>
      </c>
      <c r="AV52">
        <v>1</v>
      </c>
      <c r="AW52">
        <v>2</v>
      </c>
      <c r="AX52">
        <v>55873874</v>
      </c>
      <c r="AY52">
        <v>2</v>
      </c>
      <c r="AZ52">
        <v>131072</v>
      </c>
      <c r="BA52">
        <v>57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8849.8170000000009</v>
      </c>
      <c r="BN52">
        <v>24.3</v>
      </c>
      <c r="BO52">
        <v>0</v>
      </c>
      <c r="BP52">
        <v>1</v>
      </c>
      <c r="BQ52">
        <v>0</v>
      </c>
      <c r="BR52">
        <v>0</v>
      </c>
      <c r="BS52">
        <v>0</v>
      </c>
      <c r="BT52">
        <v>10177.28955</v>
      </c>
      <c r="BU52">
        <v>27.945</v>
      </c>
      <c r="BV52">
        <v>0</v>
      </c>
      <c r="BW52">
        <v>1</v>
      </c>
      <c r="CU52">
        <f>ROUND(AT52*Source!I41*AH52*AL52,2)</f>
        <v>46019.05</v>
      </c>
      <c r="CV52">
        <f>ROUND(Y52*Source!I41,7)</f>
        <v>145.31399999999999</v>
      </c>
      <c r="CW52">
        <v>0</v>
      </c>
      <c r="CX52">
        <f>ROUND(Y52*Source!I41,7)</f>
        <v>145.31399999999999</v>
      </c>
      <c r="CY52">
        <f>AD52</f>
        <v>364.19</v>
      </c>
      <c r="CZ52">
        <f>AH52</f>
        <v>364.19</v>
      </c>
      <c r="DA52">
        <f>AL52</f>
        <v>1</v>
      </c>
      <c r="DB52">
        <f>ROUND((ROUND(AT52*CZ52,2)*ROUND(1.15,7)),6)</f>
        <v>10177.293</v>
      </c>
      <c r="DC52">
        <f>ROUND((ROUND(AT52*AG52,2)*ROUND(1.15,7)),6)</f>
        <v>0</v>
      </c>
      <c r="DD52" t="s">
        <v>3</v>
      </c>
      <c r="DE52" t="s">
        <v>3</v>
      </c>
      <c r="DF52">
        <f>ROUND(ROUND(AE52,2)*CX52,2)</f>
        <v>0</v>
      </c>
      <c r="DG52">
        <f t="shared" si="10"/>
        <v>0</v>
      </c>
      <c r="DH52">
        <f t="shared" si="8"/>
        <v>0</v>
      </c>
      <c r="DI52">
        <f t="shared" si="9"/>
        <v>52921.91</v>
      </c>
      <c r="DJ52">
        <f>DI52</f>
        <v>52921.91</v>
      </c>
      <c r="DK52">
        <v>1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ROW(Source!A41)</f>
        <v>41</v>
      </c>
      <c r="B53">
        <v>55860754</v>
      </c>
      <c r="C53">
        <v>55873865</v>
      </c>
      <c r="D53">
        <v>35812888</v>
      </c>
      <c r="E53">
        <v>111</v>
      </c>
      <c r="F53">
        <v>1</v>
      </c>
      <c r="G53">
        <v>1</v>
      </c>
      <c r="H53">
        <v>1</v>
      </c>
      <c r="I53" t="s">
        <v>353</v>
      </c>
      <c r="J53" t="s">
        <v>3</v>
      </c>
      <c r="K53" t="s">
        <v>354</v>
      </c>
      <c r="L53">
        <v>1191</v>
      </c>
      <c r="N53">
        <v>1013</v>
      </c>
      <c r="O53" t="s">
        <v>346</v>
      </c>
      <c r="P53" t="s">
        <v>346</v>
      </c>
      <c r="Q53">
        <v>1</v>
      </c>
      <c r="W53">
        <v>0</v>
      </c>
      <c r="X53">
        <v>-1417349443</v>
      </c>
      <c r="Y53">
        <f>(AT53*ROUND(1.25,7))</f>
        <v>2.4249999999999998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1</v>
      </c>
      <c r="AQ53">
        <v>1</v>
      </c>
      <c r="AR53">
        <v>0</v>
      </c>
      <c r="AS53" t="s">
        <v>3</v>
      </c>
      <c r="AT53">
        <v>1.94</v>
      </c>
      <c r="AU53" t="s">
        <v>98</v>
      </c>
      <c r="AV53">
        <v>2</v>
      </c>
      <c r="AW53">
        <v>2</v>
      </c>
      <c r="AX53">
        <v>55873875</v>
      </c>
      <c r="AY53">
        <v>1</v>
      </c>
      <c r="AZ53">
        <v>0</v>
      </c>
      <c r="BA53">
        <v>58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ROUND(Y53*Source!I41,7)</f>
        <v>12.61</v>
      </c>
      <c r="CY53">
        <f>AD53</f>
        <v>0</v>
      </c>
      <c r="CZ53">
        <f>AH53</f>
        <v>0</v>
      </c>
      <c r="DA53">
        <f>AL53</f>
        <v>1</v>
      </c>
      <c r="DB53">
        <f>ROUND((ROUND(AT53*CZ53,2)*ROUND(1.25,7)),6)</f>
        <v>0</v>
      </c>
      <c r="DC53">
        <f>ROUND((ROUND(AT53*AG53,2)*ROUND(1.25,7)),6)</f>
        <v>0</v>
      </c>
      <c r="DD53" t="s">
        <v>3</v>
      </c>
      <c r="DE53" t="s">
        <v>3</v>
      </c>
      <c r="DF53">
        <f>ROUND(ROUND(AE53,2)*CX53,2)</f>
        <v>0</v>
      </c>
      <c r="DG53">
        <f t="shared" si="10"/>
        <v>0</v>
      </c>
      <c r="DH53">
        <f t="shared" si="8"/>
        <v>0</v>
      </c>
      <c r="DI53">
        <f t="shared" si="9"/>
        <v>0</v>
      </c>
      <c r="DJ53">
        <f>DI53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ROW(Source!A41)</f>
        <v>41</v>
      </c>
      <c r="B54">
        <v>55860754</v>
      </c>
      <c r="C54">
        <v>55873865</v>
      </c>
      <c r="D54">
        <v>46205366</v>
      </c>
      <c r="E54">
        <v>1</v>
      </c>
      <c r="F54">
        <v>1</v>
      </c>
      <c r="G54">
        <v>1</v>
      </c>
      <c r="H54">
        <v>2</v>
      </c>
      <c r="I54" t="s">
        <v>355</v>
      </c>
      <c r="J54" t="s">
        <v>356</v>
      </c>
      <c r="K54" t="s">
        <v>357</v>
      </c>
      <c r="L54">
        <v>1368</v>
      </c>
      <c r="N54">
        <v>1011</v>
      </c>
      <c r="O54" t="s">
        <v>350</v>
      </c>
      <c r="P54" t="s">
        <v>350</v>
      </c>
      <c r="Q54">
        <v>1</v>
      </c>
      <c r="W54">
        <v>0</v>
      </c>
      <c r="X54">
        <v>2016779784</v>
      </c>
      <c r="Y54">
        <f>(AT54*ROUND(1.25,7))</f>
        <v>0.85000000000000009</v>
      </c>
      <c r="AA54">
        <v>0</v>
      </c>
      <c r="AB54">
        <v>1098</v>
      </c>
      <c r="AC54">
        <v>544.01</v>
      </c>
      <c r="AD54">
        <v>0</v>
      </c>
      <c r="AE54">
        <v>0</v>
      </c>
      <c r="AF54">
        <v>1098</v>
      </c>
      <c r="AG54">
        <v>544.01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0.68</v>
      </c>
      <c r="AU54" t="s">
        <v>98</v>
      </c>
      <c r="AV54">
        <v>1</v>
      </c>
      <c r="AW54">
        <v>2</v>
      </c>
      <c r="AX54">
        <v>55873876</v>
      </c>
      <c r="AY54">
        <v>2</v>
      </c>
      <c r="AZ54">
        <v>98304</v>
      </c>
      <c r="BA54">
        <v>59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746.6400000000001</v>
      </c>
      <c r="BL54">
        <v>369.92680000000001</v>
      </c>
      <c r="BM54">
        <v>0</v>
      </c>
      <c r="BN54">
        <v>0</v>
      </c>
      <c r="BO54">
        <v>0.68</v>
      </c>
      <c r="BP54">
        <v>1</v>
      </c>
      <c r="BQ54">
        <v>0</v>
      </c>
      <c r="BR54">
        <v>933.30000000000007</v>
      </c>
      <c r="BS54">
        <v>462.40850000000006</v>
      </c>
      <c r="BT54">
        <v>0</v>
      </c>
      <c r="BU54">
        <v>0</v>
      </c>
      <c r="BV54">
        <v>0.85000000000000009</v>
      </c>
      <c r="BW54">
        <v>1</v>
      </c>
      <c r="CV54">
        <v>0</v>
      </c>
      <c r="CW54">
        <f>ROUND(Y54*Source!I41*DO54,7)</f>
        <v>4.42</v>
      </c>
      <c r="CX54">
        <f>ROUND(Y54*Source!I41,7)</f>
        <v>4.42</v>
      </c>
      <c r="CY54">
        <f>AB54</f>
        <v>1098</v>
      </c>
      <c r="CZ54">
        <f>AF54</f>
        <v>1098</v>
      </c>
      <c r="DA54">
        <f>AJ54</f>
        <v>1</v>
      </c>
      <c r="DB54">
        <f>ROUND((ROUND(AT54*CZ54,2)*ROUND(1.25,7)),6)</f>
        <v>933.3</v>
      </c>
      <c r="DC54">
        <f>ROUND((ROUND(AT54*AG54,2)*ROUND(1.25,7)),6)</f>
        <v>462.41250000000002</v>
      </c>
      <c r="DD54" t="s">
        <v>3</v>
      </c>
      <c r="DE54" t="s">
        <v>3</v>
      </c>
      <c r="DF54">
        <f>ROUND(ROUND(AE54,2)*CX54,2)</f>
        <v>0</v>
      </c>
      <c r="DG54">
        <f t="shared" si="10"/>
        <v>4853.16</v>
      </c>
      <c r="DH54">
        <f t="shared" si="8"/>
        <v>2404.52</v>
      </c>
      <c r="DI54">
        <f t="shared" si="9"/>
        <v>0</v>
      </c>
      <c r="DJ54">
        <f>DG54+DH54</f>
        <v>7257.68</v>
      </c>
      <c r="DK54">
        <v>1</v>
      </c>
      <c r="DL54" t="s">
        <v>358</v>
      </c>
      <c r="DM54">
        <v>6</v>
      </c>
      <c r="DN54" t="s">
        <v>346</v>
      </c>
      <c r="DO54">
        <v>1</v>
      </c>
    </row>
    <row r="55" spans="1:119" x14ac:dyDescent="0.2">
      <c r="A55">
        <f>ROW(Source!A41)</f>
        <v>41</v>
      </c>
      <c r="B55">
        <v>55860754</v>
      </c>
      <c r="C55">
        <v>55873865</v>
      </c>
      <c r="D55">
        <v>46205574</v>
      </c>
      <c r="E55">
        <v>1</v>
      </c>
      <c r="F55">
        <v>1</v>
      </c>
      <c r="G55">
        <v>1</v>
      </c>
      <c r="H55">
        <v>2</v>
      </c>
      <c r="I55" t="s">
        <v>379</v>
      </c>
      <c r="J55" t="s">
        <v>380</v>
      </c>
      <c r="K55" t="s">
        <v>381</v>
      </c>
      <c r="L55">
        <v>1368</v>
      </c>
      <c r="N55">
        <v>1011</v>
      </c>
      <c r="O55" t="s">
        <v>350</v>
      </c>
      <c r="P55" t="s">
        <v>350</v>
      </c>
      <c r="Q55">
        <v>1</v>
      </c>
      <c r="W55">
        <v>0</v>
      </c>
      <c r="X55">
        <v>-1277301375</v>
      </c>
      <c r="Y55">
        <f>(AT55*ROUND(1.25,7))</f>
        <v>1.575</v>
      </c>
      <c r="AA55">
        <v>0</v>
      </c>
      <c r="AB55">
        <v>1689.72</v>
      </c>
      <c r="AC55">
        <v>465.43</v>
      </c>
      <c r="AD55">
        <v>0</v>
      </c>
      <c r="AE55">
        <v>0</v>
      </c>
      <c r="AF55">
        <v>1689.72</v>
      </c>
      <c r="AG55">
        <v>465.43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1.26</v>
      </c>
      <c r="AU55" t="s">
        <v>98</v>
      </c>
      <c r="AV55">
        <v>1</v>
      </c>
      <c r="AW55">
        <v>2</v>
      </c>
      <c r="AX55">
        <v>55873877</v>
      </c>
      <c r="AY55">
        <v>2</v>
      </c>
      <c r="AZ55">
        <v>98304</v>
      </c>
      <c r="BA55">
        <v>60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2129.0472</v>
      </c>
      <c r="BL55">
        <v>586.44180000000006</v>
      </c>
      <c r="BM55">
        <v>0</v>
      </c>
      <c r="BN55">
        <v>0</v>
      </c>
      <c r="BO55">
        <v>1.26</v>
      </c>
      <c r="BP55">
        <v>1</v>
      </c>
      <c r="BQ55">
        <v>0</v>
      </c>
      <c r="BR55">
        <v>2661.3089999999997</v>
      </c>
      <c r="BS55">
        <v>733.05224999999996</v>
      </c>
      <c r="BT55">
        <v>0</v>
      </c>
      <c r="BU55">
        <v>0</v>
      </c>
      <c r="BV55">
        <v>1.575</v>
      </c>
      <c r="BW55">
        <v>1</v>
      </c>
      <c r="CV55">
        <v>0</v>
      </c>
      <c r="CW55">
        <f>ROUND(Y55*Source!I41*DO55,7)</f>
        <v>8.19</v>
      </c>
      <c r="CX55">
        <f>ROUND(Y55*Source!I41,7)</f>
        <v>8.19</v>
      </c>
      <c r="CY55">
        <f>AB55</f>
        <v>1689.72</v>
      </c>
      <c r="CZ55">
        <f>AF55</f>
        <v>1689.72</v>
      </c>
      <c r="DA55">
        <f>AJ55</f>
        <v>1</v>
      </c>
      <c r="DB55">
        <f>ROUND((ROUND(AT55*CZ55,2)*ROUND(1.25,7)),6)</f>
        <v>2661.3125</v>
      </c>
      <c r="DC55">
        <f>ROUND((ROUND(AT55*AG55,2)*ROUND(1.25,7)),6)</f>
        <v>733.05</v>
      </c>
      <c r="DD55" t="s">
        <v>3</v>
      </c>
      <c r="DE55" t="s">
        <v>3</v>
      </c>
      <c r="DF55">
        <f>ROUND(ROUND(AE55,2)*CX55,2)</f>
        <v>0</v>
      </c>
      <c r="DG55">
        <f t="shared" si="10"/>
        <v>13838.81</v>
      </c>
      <c r="DH55">
        <f t="shared" si="8"/>
        <v>3811.87</v>
      </c>
      <c r="DI55">
        <f t="shared" si="9"/>
        <v>0</v>
      </c>
      <c r="DJ55">
        <f>DG55+DH55</f>
        <v>17650.68</v>
      </c>
      <c r="DK55">
        <v>1</v>
      </c>
      <c r="DL55" t="s">
        <v>382</v>
      </c>
      <c r="DM55">
        <v>5</v>
      </c>
      <c r="DN55" t="s">
        <v>346</v>
      </c>
      <c r="DO55">
        <v>1</v>
      </c>
    </row>
    <row r="56" spans="1:119" x14ac:dyDescent="0.2">
      <c r="A56">
        <f>ROW(Source!A41)</f>
        <v>41</v>
      </c>
      <c r="B56">
        <v>55860754</v>
      </c>
      <c r="C56">
        <v>55873865</v>
      </c>
      <c r="D56">
        <v>46205695</v>
      </c>
      <c r="E56">
        <v>1</v>
      </c>
      <c r="F56">
        <v>1</v>
      </c>
      <c r="G56">
        <v>1</v>
      </c>
      <c r="H56">
        <v>2</v>
      </c>
      <c r="I56" t="s">
        <v>383</v>
      </c>
      <c r="J56" t="s">
        <v>384</v>
      </c>
      <c r="K56" t="s">
        <v>385</v>
      </c>
      <c r="L56">
        <v>1368</v>
      </c>
      <c r="N56">
        <v>1011</v>
      </c>
      <c r="O56" t="s">
        <v>350</v>
      </c>
      <c r="P56" t="s">
        <v>350</v>
      </c>
      <c r="Q56">
        <v>1</v>
      </c>
      <c r="W56">
        <v>0</v>
      </c>
      <c r="X56">
        <v>-565528630</v>
      </c>
      <c r="Y56">
        <f>(AT56*ROUND(1.25,7))</f>
        <v>2.8624999999999998</v>
      </c>
      <c r="AA56">
        <v>0</v>
      </c>
      <c r="AB56">
        <v>21.49</v>
      </c>
      <c r="AC56">
        <v>0</v>
      </c>
      <c r="AD56">
        <v>0</v>
      </c>
      <c r="AE56">
        <v>0</v>
      </c>
      <c r="AF56">
        <v>13.69</v>
      </c>
      <c r="AG56">
        <v>0</v>
      </c>
      <c r="AH56">
        <v>0</v>
      </c>
      <c r="AI56">
        <v>1</v>
      </c>
      <c r="AJ56">
        <v>1.57</v>
      </c>
      <c r="AK56">
        <v>1</v>
      </c>
      <c r="AL56">
        <v>1</v>
      </c>
      <c r="AM56">
        <v>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2.29</v>
      </c>
      <c r="AU56" t="s">
        <v>98</v>
      </c>
      <c r="AV56">
        <v>1</v>
      </c>
      <c r="AW56">
        <v>2</v>
      </c>
      <c r="AX56">
        <v>55873878</v>
      </c>
      <c r="AY56">
        <v>1</v>
      </c>
      <c r="AZ56">
        <v>0</v>
      </c>
      <c r="BA56">
        <v>61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31.350099999999998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39.187624999999997</v>
      </c>
      <c r="BS56">
        <v>0</v>
      </c>
      <c r="BT56">
        <v>0</v>
      </c>
      <c r="BU56">
        <v>0</v>
      </c>
      <c r="BV56">
        <v>0</v>
      </c>
      <c r="BW56">
        <v>1</v>
      </c>
      <c r="CV56">
        <v>0</v>
      </c>
      <c r="CW56">
        <f>ROUND(Y56*Source!I41*DO56,7)</f>
        <v>0</v>
      </c>
      <c r="CX56">
        <f>ROUND(Y56*Source!I41,7)</f>
        <v>14.885</v>
      </c>
      <c r="CY56">
        <f>AB56</f>
        <v>21.49</v>
      </c>
      <c r="CZ56">
        <f>AF56</f>
        <v>13.69</v>
      </c>
      <c r="DA56">
        <f>AJ56</f>
        <v>1.57</v>
      </c>
      <c r="DB56">
        <f>ROUND((ROUND(AT56*CZ56,2)*ROUND(1.25,7)),6)</f>
        <v>39.1875</v>
      </c>
      <c r="DC56">
        <f>ROUND((ROUND(AT56*AG56,2)*ROUND(1.25,7)),6)</f>
        <v>0</v>
      </c>
      <c r="DD56" t="s">
        <v>3</v>
      </c>
      <c r="DE56" t="s">
        <v>3</v>
      </c>
      <c r="DF56">
        <f>ROUND(ROUND(AE56,2)*CX56,2)</f>
        <v>0</v>
      </c>
      <c r="DG56">
        <f>ROUND(ROUND(AF56*AJ56,2)*CX56,2)</f>
        <v>319.88</v>
      </c>
      <c r="DH56">
        <f t="shared" si="8"/>
        <v>0</v>
      </c>
      <c r="DI56">
        <f t="shared" si="9"/>
        <v>0</v>
      </c>
      <c r="DJ56">
        <f>DG56+DH56</f>
        <v>319.88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ROW(Source!A41)</f>
        <v>41</v>
      </c>
      <c r="B57">
        <v>55860754</v>
      </c>
      <c r="C57">
        <v>55873865</v>
      </c>
      <c r="D57">
        <v>46159042</v>
      </c>
      <c r="E57">
        <v>1</v>
      </c>
      <c r="F57">
        <v>1</v>
      </c>
      <c r="G57">
        <v>1</v>
      </c>
      <c r="H57">
        <v>3</v>
      </c>
      <c r="I57" t="s">
        <v>386</v>
      </c>
      <c r="J57" t="s">
        <v>387</v>
      </c>
      <c r="K57" t="s">
        <v>388</v>
      </c>
      <c r="L57">
        <v>1339</v>
      </c>
      <c r="N57">
        <v>1007</v>
      </c>
      <c r="O57" t="s">
        <v>92</v>
      </c>
      <c r="P57" t="s">
        <v>92</v>
      </c>
      <c r="Q57">
        <v>1</v>
      </c>
      <c r="W57">
        <v>0</v>
      </c>
      <c r="X57">
        <v>508225838</v>
      </c>
      <c r="Y57">
        <f>AT57</f>
        <v>3.85</v>
      </c>
      <c r="AA57">
        <v>29.64</v>
      </c>
      <c r="AB57">
        <v>0</v>
      </c>
      <c r="AC57">
        <v>0</v>
      </c>
      <c r="AD57">
        <v>0</v>
      </c>
      <c r="AE57">
        <v>35.71</v>
      </c>
      <c r="AF57">
        <v>0</v>
      </c>
      <c r="AG57">
        <v>0</v>
      </c>
      <c r="AH57">
        <v>0</v>
      </c>
      <c r="AI57">
        <v>0.83</v>
      </c>
      <c r="AJ57">
        <v>1</v>
      </c>
      <c r="AK57">
        <v>1</v>
      </c>
      <c r="AL57">
        <v>1</v>
      </c>
      <c r="AM57">
        <v>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3.85</v>
      </c>
      <c r="AU57" t="s">
        <v>3</v>
      </c>
      <c r="AV57">
        <v>0</v>
      </c>
      <c r="AW57">
        <v>2</v>
      </c>
      <c r="AX57">
        <v>55873879</v>
      </c>
      <c r="AY57">
        <v>1</v>
      </c>
      <c r="AZ57">
        <v>0</v>
      </c>
      <c r="BA57">
        <v>62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137.48349999999999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137.48349999999999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v>0</v>
      </c>
      <c r="CX57">
        <f>ROUND(Y57*Source!I41,7)</f>
        <v>20.02</v>
      </c>
      <c r="CY57">
        <f>AA57</f>
        <v>29.64</v>
      </c>
      <c r="CZ57">
        <f>AE57</f>
        <v>35.71</v>
      </c>
      <c r="DA57">
        <f>AI57</f>
        <v>0.83</v>
      </c>
      <c r="DB57">
        <f>ROUND(ROUND(AT57*CZ57,2),6)</f>
        <v>137.47999999999999</v>
      </c>
      <c r="DC57">
        <f>ROUND(ROUND(AT57*AG57,2),6)</f>
        <v>0</v>
      </c>
      <c r="DD57" t="s">
        <v>3</v>
      </c>
      <c r="DE57" t="s">
        <v>3</v>
      </c>
      <c r="DF57">
        <f>ROUND(ROUND(AE57*AI57,2)*CX57,2)</f>
        <v>593.39</v>
      </c>
      <c r="DG57">
        <f t="shared" ref="DG57:DG83" si="12">ROUND(ROUND(AF57,2)*CX57,2)</f>
        <v>0</v>
      </c>
      <c r="DH57">
        <f t="shared" si="8"/>
        <v>0</v>
      </c>
      <c r="DI57">
        <f t="shared" si="9"/>
        <v>0</v>
      </c>
      <c r="DJ57">
        <f>DF57</f>
        <v>593.39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ROW(Source!A41)</f>
        <v>41</v>
      </c>
      <c r="B58">
        <v>55860754</v>
      </c>
      <c r="C58">
        <v>55873865</v>
      </c>
      <c r="D58">
        <v>46162532</v>
      </c>
      <c r="E58">
        <v>1</v>
      </c>
      <c r="F58">
        <v>1</v>
      </c>
      <c r="G58">
        <v>1</v>
      </c>
      <c r="H58">
        <v>3</v>
      </c>
      <c r="I58" t="s">
        <v>125</v>
      </c>
      <c r="J58" t="s">
        <v>127</v>
      </c>
      <c r="K58" t="s">
        <v>126</v>
      </c>
      <c r="L58">
        <v>1339</v>
      </c>
      <c r="N58">
        <v>1007</v>
      </c>
      <c r="O58" t="s">
        <v>92</v>
      </c>
      <c r="P58" t="s">
        <v>92</v>
      </c>
      <c r="Q58">
        <v>1</v>
      </c>
      <c r="W58">
        <v>0</v>
      </c>
      <c r="X58">
        <v>619531173</v>
      </c>
      <c r="Y58">
        <f>AT58</f>
        <v>1.53</v>
      </c>
      <c r="AA58">
        <v>5572.57</v>
      </c>
      <c r="AB58">
        <v>0</v>
      </c>
      <c r="AC58">
        <v>0</v>
      </c>
      <c r="AD58">
        <v>0</v>
      </c>
      <c r="AE58">
        <v>5572.57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1</v>
      </c>
      <c r="AQ58">
        <v>0</v>
      </c>
      <c r="AR58">
        <v>0</v>
      </c>
      <c r="AS58" t="s">
        <v>3</v>
      </c>
      <c r="AT58">
        <v>1.53</v>
      </c>
      <c r="AU58" t="s">
        <v>3</v>
      </c>
      <c r="AV58">
        <v>0</v>
      </c>
      <c r="AW58">
        <v>1</v>
      </c>
      <c r="AX58">
        <v>-1</v>
      </c>
      <c r="AY58">
        <v>0</v>
      </c>
      <c r="AZ58">
        <v>0</v>
      </c>
      <c r="BA58" t="s">
        <v>3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ROUND(Y58*Source!I41,7)</f>
        <v>7.9560000000000004</v>
      </c>
      <c r="CY58">
        <f>AA58</f>
        <v>5572.57</v>
      </c>
      <c r="CZ58">
        <f>AE58</f>
        <v>5572.57</v>
      </c>
      <c r="DA58">
        <f>AI58</f>
        <v>1</v>
      </c>
      <c r="DB58">
        <f>ROUND(ROUND(AT58*CZ58,2),6)</f>
        <v>8526.0300000000007</v>
      </c>
      <c r="DC58">
        <f>ROUND(ROUND(AT58*AG58,2),6)</f>
        <v>0</v>
      </c>
      <c r="DD58" t="s">
        <v>3</v>
      </c>
      <c r="DE58" t="s">
        <v>3</v>
      </c>
      <c r="DF58">
        <f>ROUND(ROUND(AE58,2)*CX58,2)</f>
        <v>44335.37</v>
      </c>
      <c r="DG58">
        <f t="shared" si="12"/>
        <v>0</v>
      </c>
      <c r="DH58">
        <f t="shared" si="8"/>
        <v>0</v>
      </c>
      <c r="DI58">
        <f t="shared" si="9"/>
        <v>0</v>
      </c>
      <c r="DJ58">
        <f>DF58</f>
        <v>44335.37</v>
      </c>
      <c r="DK58">
        <v>1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ROW(Source!A41)</f>
        <v>41</v>
      </c>
      <c r="B59">
        <v>55860754</v>
      </c>
      <c r="C59">
        <v>55873865</v>
      </c>
      <c r="D59">
        <v>46170637</v>
      </c>
      <c r="E59">
        <v>1</v>
      </c>
      <c r="F59">
        <v>1</v>
      </c>
      <c r="G59">
        <v>1</v>
      </c>
      <c r="H59">
        <v>3</v>
      </c>
      <c r="I59" t="s">
        <v>389</v>
      </c>
      <c r="J59" t="s">
        <v>390</v>
      </c>
      <c r="K59" t="s">
        <v>391</v>
      </c>
      <c r="L59">
        <v>1327</v>
      </c>
      <c r="N59">
        <v>1005</v>
      </c>
      <c r="O59" t="s">
        <v>145</v>
      </c>
      <c r="P59" t="s">
        <v>145</v>
      </c>
      <c r="Q59">
        <v>1</v>
      </c>
      <c r="W59">
        <v>0</v>
      </c>
      <c r="X59">
        <v>-1082376593</v>
      </c>
      <c r="Y59">
        <f>AT59</f>
        <v>4.4000000000000004</v>
      </c>
      <c r="AA59">
        <v>38.51</v>
      </c>
      <c r="AB59">
        <v>0</v>
      </c>
      <c r="AC59">
        <v>0</v>
      </c>
      <c r="AD59">
        <v>0</v>
      </c>
      <c r="AE59">
        <v>26.93</v>
      </c>
      <c r="AF59">
        <v>0</v>
      </c>
      <c r="AG59">
        <v>0</v>
      </c>
      <c r="AH59">
        <v>0</v>
      </c>
      <c r="AI59">
        <v>1.43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4.4000000000000004</v>
      </c>
      <c r="AU59" t="s">
        <v>3</v>
      </c>
      <c r="AV59">
        <v>0</v>
      </c>
      <c r="AW59">
        <v>2</v>
      </c>
      <c r="AX59">
        <v>55873881</v>
      </c>
      <c r="AY59">
        <v>1</v>
      </c>
      <c r="AZ59">
        <v>0</v>
      </c>
      <c r="BA59">
        <v>64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118.492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118.492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v>0</v>
      </c>
      <c r="CX59">
        <f>ROUND(Y59*Source!I41,7)</f>
        <v>22.88</v>
      </c>
      <c r="CY59">
        <f>AA59</f>
        <v>38.51</v>
      </c>
      <c r="CZ59">
        <f>AE59</f>
        <v>26.93</v>
      </c>
      <c r="DA59">
        <f>AI59</f>
        <v>1.43</v>
      </c>
      <c r="DB59">
        <f>ROUND(ROUND(AT59*CZ59,2),6)</f>
        <v>118.49</v>
      </c>
      <c r="DC59">
        <f>ROUND(ROUND(AT59*AG59,2),6)</f>
        <v>0</v>
      </c>
      <c r="DD59" t="s">
        <v>3</v>
      </c>
      <c r="DE59" t="s">
        <v>3</v>
      </c>
      <c r="DF59">
        <f>ROUND(ROUND(AE59*AI59,2)*CX59,2)</f>
        <v>881.11</v>
      </c>
      <c r="DG59">
        <f t="shared" si="12"/>
        <v>0</v>
      </c>
      <c r="DH59">
        <f t="shared" si="8"/>
        <v>0</v>
      </c>
      <c r="DI59">
        <f t="shared" si="9"/>
        <v>0</v>
      </c>
      <c r="DJ59">
        <f>DF59</f>
        <v>881.11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ROW(Source!A43)</f>
        <v>43</v>
      </c>
      <c r="B60">
        <v>55860754</v>
      </c>
      <c r="C60">
        <v>55873883</v>
      </c>
      <c r="D60">
        <v>35812913</v>
      </c>
      <c r="E60">
        <v>111</v>
      </c>
      <c r="F60">
        <v>1</v>
      </c>
      <c r="G60">
        <v>1</v>
      </c>
      <c r="H60">
        <v>1</v>
      </c>
      <c r="I60" t="s">
        <v>377</v>
      </c>
      <c r="J60" t="s">
        <v>3</v>
      </c>
      <c r="K60" t="s">
        <v>378</v>
      </c>
      <c r="L60">
        <v>1191</v>
      </c>
      <c r="N60">
        <v>1013</v>
      </c>
      <c r="O60" t="s">
        <v>346</v>
      </c>
      <c r="P60" t="s">
        <v>346</v>
      </c>
      <c r="Q60">
        <v>1</v>
      </c>
      <c r="W60">
        <v>0</v>
      </c>
      <c r="X60">
        <v>-983457869</v>
      </c>
      <c r="Y60">
        <f>(AT60*ROUND((1.15*65),7))</f>
        <v>74.75</v>
      </c>
      <c r="AA60">
        <v>0</v>
      </c>
      <c r="AB60">
        <v>0</v>
      </c>
      <c r="AC60">
        <v>0</v>
      </c>
      <c r="AD60">
        <v>364.19</v>
      </c>
      <c r="AE60">
        <v>0</v>
      </c>
      <c r="AF60">
        <v>0</v>
      </c>
      <c r="AG60">
        <v>0</v>
      </c>
      <c r="AH60">
        <v>364.19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1</v>
      </c>
      <c r="AU60" t="s">
        <v>132</v>
      </c>
      <c r="AV60">
        <v>1</v>
      </c>
      <c r="AW60">
        <v>2</v>
      </c>
      <c r="AX60">
        <v>55873889</v>
      </c>
      <c r="AY60">
        <v>2</v>
      </c>
      <c r="AZ60">
        <v>131072</v>
      </c>
      <c r="BA60">
        <v>65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364.19</v>
      </c>
      <c r="BN60">
        <v>1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27223.202499999999</v>
      </c>
      <c r="BU60">
        <v>74.75</v>
      </c>
      <c r="BV60">
        <v>0</v>
      </c>
      <c r="BW60">
        <v>1</v>
      </c>
      <c r="CU60">
        <f>ROUND(AT60*Source!I43*AH60*AL60,2)</f>
        <v>1893.79</v>
      </c>
      <c r="CV60">
        <f>ROUND(Y60*Source!I43,7)</f>
        <v>388.7</v>
      </c>
      <c r="CW60">
        <v>0</v>
      </c>
      <c r="CX60">
        <f>ROUND(Y60*Source!I43,7)</f>
        <v>388.7</v>
      </c>
      <c r="CY60">
        <f>AD60</f>
        <v>364.19</v>
      </c>
      <c r="CZ60">
        <f>AH60</f>
        <v>364.19</v>
      </c>
      <c r="DA60">
        <f>AL60</f>
        <v>1</v>
      </c>
      <c r="DB60">
        <f>ROUND((ROUND(AT60*CZ60,2)*ROUND((1.15*65),7)),6)</f>
        <v>27223.202499999999</v>
      </c>
      <c r="DC60">
        <f>ROUND((ROUND(AT60*AG60,2)*ROUND((1.15*65),7)),6)</f>
        <v>0</v>
      </c>
      <c r="DD60" t="s">
        <v>3</v>
      </c>
      <c r="DE60" t="s">
        <v>3</v>
      </c>
      <c r="DF60">
        <f t="shared" ref="DF60:DF68" si="13">ROUND(ROUND(AE60,2)*CX60,2)</f>
        <v>0</v>
      </c>
      <c r="DG60">
        <f t="shared" si="12"/>
        <v>0</v>
      </c>
      <c r="DH60">
        <f t="shared" si="8"/>
        <v>0</v>
      </c>
      <c r="DI60">
        <f t="shared" si="9"/>
        <v>141560.65</v>
      </c>
      <c r="DJ60">
        <f>DI60</f>
        <v>141560.65</v>
      </c>
      <c r="DK60">
        <v>1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ROW(Source!A43)</f>
        <v>43</v>
      </c>
      <c r="B61">
        <v>55860754</v>
      </c>
      <c r="C61">
        <v>55873883</v>
      </c>
      <c r="D61">
        <v>35812888</v>
      </c>
      <c r="E61">
        <v>111</v>
      </c>
      <c r="F61">
        <v>1</v>
      </c>
      <c r="G61">
        <v>1</v>
      </c>
      <c r="H61">
        <v>1</v>
      </c>
      <c r="I61" t="s">
        <v>353</v>
      </c>
      <c r="J61" t="s">
        <v>3</v>
      </c>
      <c r="K61" t="s">
        <v>354</v>
      </c>
      <c r="L61">
        <v>1191</v>
      </c>
      <c r="N61">
        <v>1013</v>
      </c>
      <c r="O61" t="s">
        <v>346</v>
      </c>
      <c r="P61" t="s">
        <v>346</v>
      </c>
      <c r="Q61">
        <v>1</v>
      </c>
      <c r="W61">
        <v>0</v>
      </c>
      <c r="X61">
        <v>-1417349443</v>
      </c>
      <c r="Y61">
        <f>(AT61*ROUND((1.25*65),7))</f>
        <v>2.4375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0.03</v>
      </c>
      <c r="AU61" t="s">
        <v>131</v>
      </c>
      <c r="AV61">
        <v>2</v>
      </c>
      <c r="AW61">
        <v>2</v>
      </c>
      <c r="AX61">
        <v>55873890</v>
      </c>
      <c r="AY61">
        <v>1</v>
      </c>
      <c r="AZ61">
        <v>0</v>
      </c>
      <c r="BA61">
        <v>66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v>0</v>
      </c>
      <c r="CX61">
        <f>ROUND(Y61*Source!I43,7)</f>
        <v>12.675000000000001</v>
      </c>
      <c r="CY61">
        <f>AD61</f>
        <v>0</v>
      </c>
      <c r="CZ61">
        <f>AH61</f>
        <v>0</v>
      </c>
      <c r="DA61">
        <f>AL61</f>
        <v>1</v>
      </c>
      <c r="DB61">
        <f>ROUND((ROUND(AT61*CZ61,2)*ROUND((1.25*65),7)),6)</f>
        <v>0</v>
      </c>
      <c r="DC61">
        <f>ROUND((ROUND(AT61*AG61,2)*ROUND((1.25*65),7)),6)</f>
        <v>0</v>
      </c>
      <c r="DD61" t="s">
        <v>3</v>
      </c>
      <c r="DE61" t="s">
        <v>3</v>
      </c>
      <c r="DF61">
        <f t="shared" si="13"/>
        <v>0</v>
      </c>
      <c r="DG61">
        <f t="shared" si="12"/>
        <v>0</v>
      </c>
      <c r="DH61">
        <f t="shared" si="8"/>
        <v>0</v>
      </c>
      <c r="DI61">
        <f t="shared" si="9"/>
        <v>0</v>
      </c>
      <c r="DJ61">
        <f>DI61</f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ROW(Source!A43)</f>
        <v>43</v>
      </c>
      <c r="B62">
        <v>55860754</v>
      </c>
      <c r="C62">
        <v>55873883</v>
      </c>
      <c r="D62">
        <v>46205366</v>
      </c>
      <c r="E62">
        <v>1</v>
      </c>
      <c r="F62">
        <v>1</v>
      </c>
      <c r="G62">
        <v>1</v>
      </c>
      <c r="H62">
        <v>2</v>
      </c>
      <c r="I62" t="s">
        <v>355</v>
      </c>
      <c r="J62" t="s">
        <v>356</v>
      </c>
      <c r="K62" t="s">
        <v>357</v>
      </c>
      <c r="L62">
        <v>1368</v>
      </c>
      <c r="N62">
        <v>1011</v>
      </c>
      <c r="O62" t="s">
        <v>350</v>
      </c>
      <c r="P62" t="s">
        <v>350</v>
      </c>
      <c r="Q62">
        <v>1</v>
      </c>
      <c r="W62">
        <v>0</v>
      </c>
      <c r="X62">
        <v>2016779784</v>
      </c>
      <c r="Y62">
        <f>(AT62*ROUND((1.25*65),7))</f>
        <v>0.8125</v>
      </c>
      <c r="AA62">
        <v>0</v>
      </c>
      <c r="AB62">
        <v>1098</v>
      </c>
      <c r="AC62">
        <v>544.01</v>
      </c>
      <c r="AD62">
        <v>0</v>
      </c>
      <c r="AE62">
        <v>0</v>
      </c>
      <c r="AF62">
        <v>1098</v>
      </c>
      <c r="AG62">
        <v>544.01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0.01</v>
      </c>
      <c r="AU62" t="s">
        <v>131</v>
      </c>
      <c r="AV62">
        <v>1</v>
      </c>
      <c r="AW62">
        <v>2</v>
      </c>
      <c r="AX62">
        <v>55873891</v>
      </c>
      <c r="AY62">
        <v>2</v>
      </c>
      <c r="AZ62">
        <v>98304</v>
      </c>
      <c r="BA62">
        <v>67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10.98</v>
      </c>
      <c r="BL62">
        <v>5.4401000000000002</v>
      </c>
      <c r="BM62">
        <v>0</v>
      </c>
      <c r="BN62">
        <v>0</v>
      </c>
      <c r="BO62">
        <v>0.01</v>
      </c>
      <c r="BP62">
        <v>1</v>
      </c>
      <c r="BQ62">
        <v>0</v>
      </c>
      <c r="BR62">
        <v>892.125</v>
      </c>
      <c r="BS62">
        <v>442.00812500000001</v>
      </c>
      <c r="BT62">
        <v>0</v>
      </c>
      <c r="BU62">
        <v>0</v>
      </c>
      <c r="BV62">
        <v>0.8125</v>
      </c>
      <c r="BW62">
        <v>1</v>
      </c>
      <c r="CV62">
        <v>0</v>
      </c>
      <c r="CW62">
        <f>ROUND(Y62*Source!I43*DO62,7)</f>
        <v>4.2249999999999996</v>
      </c>
      <c r="CX62">
        <f>ROUND(Y62*Source!I43,7)</f>
        <v>4.2249999999999996</v>
      </c>
      <c r="CY62">
        <f>AB62</f>
        <v>1098</v>
      </c>
      <c r="CZ62">
        <f>AF62</f>
        <v>1098</v>
      </c>
      <c r="DA62">
        <f>AJ62</f>
        <v>1</v>
      </c>
      <c r="DB62">
        <f>ROUND((ROUND(AT62*CZ62,2)*ROUND((1.25*65),7)),6)</f>
        <v>892.125</v>
      </c>
      <c r="DC62">
        <f>ROUND((ROUND(AT62*AG62,2)*ROUND((1.25*65),7)),6)</f>
        <v>442</v>
      </c>
      <c r="DD62" t="s">
        <v>3</v>
      </c>
      <c r="DE62" t="s">
        <v>3</v>
      </c>
      <c r="DF62">
        <f t="shared" si="13"/>
        <v>0</v>
      </c>
      <c r="DG62">
        <f t="shared" si="12"/>
        <v>4639.05</v>
      </c>
      <c r="DH62">
        <f t="shared" si="8"/>
        <v>2298.44</v>
      </c>
      <c r="DI62">
        <f t="shared" si="9"/>
        <v>0</v>
      </c>
      <c r="DJ62">
        <f>DG62+DH62</f>
        <v>6937.49</v>
      </c>
      <c r="DK62">
        <v>1</v>
      </c>
      <c r="DL62" t="s">
        <v>358</v>
      </c>
      <c r="DM62">
        <v>6</v>
      </c>
      <c r="DN62" t="s">
        <v>346</v>
      </c>
      <c r="DO62">
        <v>1</v>
      </c>
    </row>
    <row r="63" spans="1:119" x14ac:dyDescent="0.2">
      <c r="A63">
        <f>ROW(Source!A43)</f>
        <v>43</v>
      </c>
      <c r="B63">
        <v>55860754</v>
      </c>
      <c r="C63">
        <v>55873883</v>
      </c>
      <c r="D63">
        <v>46205574</v>
      </c>
      <c r="E63">
        <v>1</v>
      </c>
      <c r="F63">
        <v>1</v>
      </c>
      <c r="G63">
        <v>1</v>
      </c>
      <c r="H63">
        <v>2</v>
      </c>
      <c r="I63" t="s">
        <v>379</v>
      </c>
      <c r="J63" t="s">
        <v>380</v>
      </c>
      <c r="K63" t="s">
        <v>381</v>
      </c>
      <c r="L63">
        <v>1368</v>
      </c>
      <c r="N63">
        <v>1011</v>
      </c>
      <c r="O63" t="s">
        <v>350</v>
      </c>
      <c r="P63" t="s">
        <v>350</v>
      </c>
      <c r="Q63">
        <v>1</v>
      </c>
      <c r="W63">
        <v>0</v>
      </c>
      <c r="X63">
        <v>-1277301375</v>
      </c>
      <c r="Y63">
        <f>(AT63*ROUND((1.25*65),7))</f>
        <v>1.625</v>
      </c>
      <c r="AA63">
        <v>0</v>
      </c>
      <c r="AB63">
        <v>1689.72</v>
      </c>
      <c r="AC63">
        <v>465.43</v>
      </c>
      <c r="AD63">
        <v>0</v>
      </c>
      <c r="AE63">
        <v>0</v>
      </c>
      <c r="AF63">
        <v>1689.72</v>
      </c>
      <c r="AG63">
        <v>465.43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0</v>
      </c>
      <c r="AP63">
        <v>1</v>
      </c>
      <c r="AQ63">
        <v>1</v>
      </c>
      <c r="AR63">
        <v>0</v>
      </c>
      <c r="AS63" t="s">
        <v>3</v>
      </c>
      <c r="AT63">
        <v>0.02</v>
      </c>
      <c r="AU63" t="s">
        <v>131</v>
      </c>
      <c r="AV63">
        <v>1</v>
      </c>
      <c r="AW63">
        <v>2</v>
      </c>
      <c r="AX63">
        <v>55873892</v>
      </c>
      <c r="AY63">
        <v>2</v>
      </c>
      <c r="AZ63">
        <v>98304</v>
      </c>
      <c r="BA63">
        <v>68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33.794400000000003</v>
      </c>
      <c r="BL63">
        <v>9.3086000000000002</v>
      </c>
      <c r="BM63">
        <v>0</v>
      </c>
      <c r="BN63">
        <v>0</v>
      </c>
      <c r="BO63">
        <v>0.02</v>
      </c>
      <c r="BP63">
        <v>1</v>
      </c>
      <c r="BQ63">
        <v>0</v>
      </c>
      <c r="BR63">
        <v>2745.7950000000001</v>
      </c>
      <c r="BS63">
        <v>756.32375000000002</v>
      </c>
      <c r="BT63">
        <v>0</v>
      </c>
      <c r="BU63">
        <v>0</v>
      </c>
      <c r="BV63">
        <v>1.625</v>
      </c>
      <c r="BW63">
        <v>1</v>
      </c>
      <c r="CV63">
        <v>0</v>
      </c>
      <c r="CW63">
        <f>ROUND(Y63*Source!I43*DO63,7)</f>
        <v>8.4499999999999993</v>
      </c>
      <c r="CX63">
        <f>ROUND(Y63*Source!I43,7)</f>
        <v>8.4499999999999993</v>
      </c>
      <c r="CY63">
        <f>AB63</f>
        <v>1689.72</v>
      </c>
      <c r="CZ63">
        <f>AF63</f>
        <v>1689.72</v>
      </c>
      <c r="DA63">
        <f>AJ63</f>
        <v>1</v>
      </c>
      <c r="DB63">
        <f>ROUND((ROUND(AT63*CZ63,2)*ROUND((1.25*65),7)),6)</f>
        <v>2745.4375</v>
      </c>
      <c r="DC63">
        <f>ROUND((ROUND(AT63*AG63,2)*ROUND((1.25*65),7)),6)</f>
        <v>756.4375</v>
      </c>
      <c r="DD63" t="s">
        <v>3</v>
      </c>
      <c r="DE63" t="s">
        <v>3</v>
      </c>
      <c r="DF63">
        <f t="shared" si="13"/>
        <v>0</v>
      </c>
      <c r="DG63">
        <f t="shared" si="12"/>
        <v>14278.13</v>
      </c>
      <c r="DH63">
        <f t="shared" si="8"/>
        <v>3932.88</v>
      </c>
      <c r="DI63">
        <f t="shared" si="9"/>
        <v>0</v>
      </c>
      <c r="DJ63">
        <f>DG63+DH63</f>
        <v>18211.009999999998</v>
      </c>
      <c r="DK63">
        <v>1</v>
      </c>
      <c r="DL63" t="s">
        <v>382</v>
      </c>
      <c r="DM63">
        <v>5</v>
      </c>
      <c r="DN63" t="s">
        <v>346</v>
      </c>
      <c r="DO63">
        <v>1</v>
      </c>
    </row>
    <row r="64" spans="1:119" x14ac:dyDescent="0.2">
      <c r="A64">
        <f>ROW(Source!A43)</f>
        <v>43</v>
      </c>
      <c r="B64">
        <v>55860754</v>
      </c>
      <c r="C64">
        <v>55873883</v>
      </c>
      <c r="D64">
        <v>46162532</v>
      </c>
      <c r="E64">
        <v>1</v>
      </c>
      <c r="F64">
        <v>1</v>
      </c>
      <c r="G64">
        <v>1</v>
      </c>
      <c r="H64">
        <v>3</v>
      </c>
      <c r="I64" t="s">
        <v>125</v>
      </c>
      <c r="J64" t="s">
        <v>127</v>
      </c>
      <c r="K64" t="s">
        <v>126</v>
      </c>
      <c r="L64">
        <v>1339</v>
      </c>
      <c r="N64">
        <v>1007</v>
      </c>
      <c r="O64" t="s">
        <v>92</v>
      </c>
      <c r="P64" t="s">
        <v>92</v>
      </c>
      <c r="Q64">
        <v>1</v>
      </c>
      <c r="W64">
        <v>0</v>
      </c>
      <c r="X64">
        <v>619531173</v>
      </c>
      <c r="Y64">
        <f>(AT64*ROUND(65,7))</f>
        <v>6.63</v>
      </c>
      <c r="AA64">
        <v>5572.57</v>
      </c>
      <c r="AB64">
        <v>0</v>
      </c>
      <c r="AC64">
        <v>0</v>
      </c>
      <c r="AD64">
        <v>0</v>
      </c>
      <c r="AE64">
        <v>5572.57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-2</v>
      </c>
      <c r="AN64">
        <v>0</v>
      </c>
      <c r="AO64">
        <v>0</v>
      </c>
      <c r="AP64">
        <v>1</v>
      </c>
      <c r="AQ64">
        <v>0</v>
      </c>
      <c r="AR64">
        <v>0</v>
      </c>
      <c r="AS64" t="s">
        <v>3</v>
      </c>
      <c r="AT64">
        <v>0.10199999999999999</v>
      </c>
      <c r="AU64" t="s">
        <v>130</v>
      </c>
      <c r="AV64">
        <v>0</v>
      </c>
      <c r="AW64">
        <v>1</v>
      </c>
      <c r="AX64">
        <v>-1</v>
      </c>
      <c r="AY64">
        <v>0</v>
      </c>
      <c r="AZ64">
        <v>0</v>
      </c>
      <c r="BA64" t="s">
        <v>3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V64">
        <v>0</v>
      </c>
      <c r="CW64">
        <v>0</v>
      </c>
      <c r="CX64">
        <f>ROUND(Y64*Source!I43,7)</f>
        <v>34.475999999999999</v>
      </c>
      <c r="CY64">
        <f>AA64</f>
        <v>5572.57</v>
      </c>
      <c r="CZ64">
        <f>AE64</f>
        <v>5572.57</v>
      </c>
      <c r="DA64">
        <f>AI64</f>
        <v>1</v>
      </c>
      <c r="DB64">
        <f>ROUND((ROUND(AT64*CZ64,2)*ROUND(65,7)),6)</f>
        <v>36946</v>
      </c>
      <c r="DC64">
        <f>ROUND((ROUND(AT64*AG64,2)*ROUND(65,7)),6)</f>
        <v>0</v>
      </c>
      <c r="DD64" t="s">
        <v>3</v>
      </c>
      <c r="DE64" t="s">
        <v>3</v>
      </c>
      <c r="DF64">
        <f t="shared" si="13"/>
        <v>192119.92</v>
      </c>
      <c r="DG64">
        <f t="shared" si="12"/>
        <v>0</v>
      </c>
      <c r="DH64">
        <f t="shared" si="8"/>
        <v>0</v>
      </c>
      <c r="DI64">
        <f t="shared" si="9"/>
        <v>0</v>
      </c>
      <c r="DJ64">
        <f>DF64</f>
        <v>192119.92</v>
      </c>
      <c r="DK64">
        <v>1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ROW(Source!A45)</f>
        <v>45</v>
      </c>
      <c r="B65">
        <v>55860754</v>
      </c>
      <c r="C65">
        <v>55873895</v>
      </c>
      <c r="D65">
        <v>35812915</v>
      </c>
      <c r="E65">
        <v>111</v>
      </c>
      <c r="F65">
        <v>1</v>
      </c>
      <c r="G65">
        <v>1</v>
      </c>
      <c r="H65">
        <v>1</v>
      </c>
      <c r="I65" t="s">
        <v>395</v>
      </c>
      <c r="J65" t="s">
        <v>3</v>
      </c>
      <c r="K65" t="s">
        <v>396</v>
      </c>
      <c r="L65">
        <v>1191</v>
      </c>
      <c r="N65">
        <v>1013</v>
      </c>
      <c r="O65" t="s">
        <v>346</v>
      </c>
      <c r="P65" t="s">
        <v>346</v>
      </c>
      <c r="Q65">
        <v>1</v>
      </c>
      <c r="W65">
        <v>0</v>
      </c>
      <c r="X65">
        <v>-1759674247</v>
      </c>
      <c r="Y65">
        <f>(AT65*ROUND(1.15,7))</f>
        <v>13.339999999999998</v>
      </c>
      <c r="AA65">
        <v>0</v>
      </c>
      <c r="AB65">
        <v>0</v>
      </c>
      <c r="AC65">
        <v>0</v>
      </c>
      <c r="AD65">
        <v>373.25</v>
      </c>
      <c r="AE65">
        <v>0</v>
      </c>
      <c r="AF65">
        <v>0</v>
      </c>
      <c r="AG65">
        <v>0</v>
      </c>
      <c r="AH65">
        <v>373.25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11.6</v>
      </c>
      <c r="AU65" t="s">
        <v>99</v>
      </c>
      <c r="AV65">
        <v>1</v>
      </c>
      <c r="AW65">
        <v>2</v>
      </c>
      <c r="AX65">
        <v>55873902</v>
      </c>
      <c r="AY65">
        <v>2</v>
      </c>
      <c r="AZ65">
        <v>131072</v>
      </c>
      <c r="BA65">
        <v>70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4329.7</v>
      </c>
      <c r="BN65">
        <v>11.6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4979.1549999999988</v>
      </c>
      <c r="BU65">
        <v>13.339999999999998</v>
      </c>
      <c r="BV65">
        <v>0</v>
      </c>
      <c r="BW65">
        <v>1</v>
      </c>
      <c r="CU65">
        <f>ROUND(AT65*Source!I45*AH65*AL65,2)</f>
        <v>3152.02</v>
      </c>
      <c r="CV65">
        <f>ROUND(Y65*Source!I45,7)</f>
        <v>9.7115200000000002</v>
      </c>
      <c r="CW65">
        <v>0</v>
      </c>
      <c r="CX65">
        <f>ROUND(Y65*Source!I45,7)</f>
        <v>9.7115200000000002</v>
      </c>
      <c r="CY65">
        <f>AD65</f>
        <v>373.25</v>
      </c>
      <c r="CZ65">
        <f>AH65</f>
        <v>373.25</v>
      </c>
      <c r="DA65">
        <f>AL65</f>
        <v>1</v>
      </c>
      <c r="DB65">
        <f>ROUND((ROUND(AT65*CZ65,2)*ROUND(1.15,7)),6)</f>
        <v>4979.1549999999997</v>
      </c>
      <c r="DC65">
        <f>ROUND((ROUND(AT65*AG65,2)*ROUND(1.15,7)),6)</f>
        <v>0</v>
      </c>
      <c r="DD65" t="s">
        <v>3</v>
      </c>
      <c r="DE65" t="s">
        <v>3</v>
      </c>
      <c r="DF65">
        <f t="shared" si="13"/>
        <v>0</v>
      </c>
      <c r="DG65">
        <f t="shared" si="12"/>
        <v>0</v>
      </c>
      <c r="DH65">
        <f t="shared" ref="DH65:DH96" si="14">ROUND(ROUND(AG65,2)*CX65,2)</f>
        <v>0</v>
      </c>
      <c r="DI65">
        <f t="shared" ref="DI65:DI96" si="15">ROUND(ROUND(AH65,2)*CX65,2)</f>
        <v>3624.82</v>
      </c>
      <c r="DJ65">
        <f>DI65</f>
        <v>3624.82</v>
      </c>
      <c r="DK65">
        <v>1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ROW(Source!A45)</f>
        <v>45</v>
      </c>
      <c r="B66">
        <v>55860754</v>
      </c>
      <c r="C66">
        <v>55873895</v>
      </c>
      <c r="D66">
        <v>35812888</v>
      </c>
      <c r="E66">
        <v>111</v>
      </c>
      <c r="F66">
        <v>1</v>
      </c>
      <c r="G66">
        <v>1</v>
      </c>
      <c r="H66">
        <v>1</v>
      </c>
      <c r="I66" t="s">
        <v>353</v>
      </c>
      <c r="J66" t="s">
        <v>3</v>
      </c>
      <c r="K66" t="s">
        <v>354</v>
      </c>
      <c r="L66">
        <v>1191</v>
      </c>
      <c r="N66">
        <v>1013</v>
      </c>
      <c r="O66" t="s">
        <v>346</v>
      </c>
      <c r="P66" t="s">
        <v>346</v>
      </c>
      <c r="Q66">
        <v>1</v>
      </c>
      <c r="W66">
        <v>0</v>
      </c>
      <c r="X66">
        <v>-1417349443</v>
      </c>
      <c r="Y66">
        <f>(AT66*ROUND(1.25,7))</f>
        <v>0.4375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0.35</v>
      </c>
      <c r="AU66" t="s">
        <v>98</v>
      </c>
      <c r="AV66">
        <v>2</v>
      </c>
      <c r="AW66">
        <v>2</v>
      </c>
      <c r="AX66">
        <v>55873903</v>
      </c>
      <c r="AY66">
        <v>1</v>
      </c>
      <c r="AZ66">
        <v>0</v>
      </c>
      <c r="BA66">
        <v>71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V66">
        <v>0</v>
      </c>
      <c r="CW66">
        <v>0</v>
      </c>
      <c r="CX66">
        <f>ROUND(Y66*Source!I45,7)</f>
        <v>0.31850000000000001</v>
      </c>
      <c r="CY66">
        <f>AD66</f>
        <v>0</v>
      </c>
      <c r="CZ66">
        <f>AH66</f>
        <v>0</v>
      </c>
      <c r="DA66">
        <f>AL66</f>
        <v>1</v>
      </c>
      <c r="DB66">
        <f>ROUND((ROUND(AT66*CZ66,2)*ROUND(1.25,7)),6)</f>
        <v>0</v>
      </c>
      <c r="DC66">
        <f>ROUND((ROUND(AT66*AG66,2)*ROUND(1.25,7)),6)</f>
        <v>0</v>
      </c>
      <c r="DD66" t="s">
        <v>3</v>
      </c>
      <c r="DE66" t="s">
        <v>3</v>
      </c>
      <c r="DF66">
        <f t="shared" si="13"/>
        <v>0</v>
      </c>
      <c r="DG66">
        <f t="shared" si="12"/>
        <v>0</v>
      </c>
      <c r="DH66">
        <f t="shared" si="14"/>
        <v>0</v>
      </c>
      <c r="DI66">
        <f t="shared" si="15"/>
        <v>0</v>
      </c>
      <c r="DJ66">
        <f>DI66</f>
        <v>0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ROW(Source!A45)</f>
        <v>45</v>
      </c>
      <c r="B67">
        <v>55860754</v>
      </c>
      <c r="C67">
        <v>55873895</v>
      </c>
      <c r="D67">
        <v>46205418</v>
      </c>
      <c r="E67">
        <v>1</v>
      </c>
      <c r="F67">
        <v>1</v>
      </c>
      <c r="G67">
        <v>1</v>
      </c>
      <c r="H67">
        <v>2</v>
      </c>
      <c r="I67" t="s">
        <v>397</v>
      </c>
      <c r="J67" t="s">
        <v>398</v>
      </c>
      <c r="K67" t="s">
        <v>399</v>
      </c>
      <c r="L67">
        <v>1368</v>
      </c>
      <c r="N67">
        <v>1011</v>
      </c>
      <c r="O67" t="s">
        <v>350</v>
      </c>
      <c r="P67" t="s">
        <v>350</v>
      </c>
      <c r="Q67">
        <v>1</v>
      </c>
      <c r="W67">
        <v>0</v>
      </c>
      <c r="X67">
        <v>-6703044</v>
      </c>
      <c r="Y67">
        <f>(AT67*ROUND(1.25,7))</f>
        <v>0.1875</v>
      </c>
      <c r="AA67">
        <v>0</v>
      </c>
      <c r="AB67">
        <v>1719.93</v>
      </c>
      <c r="AC67">
        <v>544.01</v>
      </c>
      <c r="AD67">
        <v>0</v>
      </c>
      <c r="AE67">
        <v>0</v>
      </c>
      <c r="AF67">
        <v>1719.93</v>
      </c>
      <c r="AG67">
        <v>544.01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0.15</v>
      </c>
      <c r="AU67" t="s">
        <v>98</v>
      </c>
      <c r="AV67">
        <v>1</v>
      </c>
      <c r="AW67">
        <v>2</v>
      </c>
      <c r="AX67">
        <v>55873904</v>
      </c>
      <c r="AY67">
        <v>2</v>
      </c>
      <c r="AZ67">
        <v>98304</v>
      </c>
      <c r="BA67">
        <v>72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257.98950000000002</v>
      </c>
      <c r="BL67">
        <v>81.601500000000001</v>
      </c>
      <c r="BM67">
        <v>0</v>
      </c>
      <c r="BN67">
        <v>0</v>
      </c>
      <c r="BO67">
        <v>0.15</v>
      </c>
      <c r="BP67">
        <v>1</v>
      </c>
      <c r="BQ67">
        <v>0</v>
      </c>
      <c r="BR67">
        <v>322.486875</v>
      </c>
      <c r="BS67">
        <v>102.001875</v>
      </c>
      <c r="BT67">
        <v>0</v>
      </c>
      <c r="BU67">
        <v>0</v>
      </c>
      <c r="BV67">
        <v>0.1875</v>
      </c>
      <c r="BW67">
        <v>1</v>
      </c>
      <c r="CV67">
        <v>0</v>
      </c>
      <c r="CW67">
        <f>ROUND(Y67*Source!I45*DO67,7)</f>
        <v>0.13650000000000001</v>
      </c>
      <c r="CX67">
        <f>ROUND(Y67*Source!I45,7)</f>
        <v>0.13650000000000001</v>
      </c>
      <c r="CY67">
        <f>AB67</f>
        <v>1719.93</v>
      </c>
      <c r="CZ67">
        <f>AF67</f>
        <v>1719.93</v>
      </c>
      <c r="DA67">
        <f>AJ67</f>
        <v>1</v>
      </c>
      <c r="DB67">
        <f>ROUND((ROUND(AT67*CZ67,2)*ROUND(1.25,7)),6)</f>
        <v>322.48750000000001</v>
      </c>
      <c r="DC67">
        <f>ROUND((ROUND(AT67*AG67,2)*ROUND(1.25,7)),6)</f>
        <v>102</v>
      </c>
      <c r="DD67" t="s">
        <v>3</v>
      </c>
      <c r="DE67" t="s">
        <v>3</v>
      </c>
      <c r="DF67">
        <f t="shared" si="13"/>
        <v>0</v>
      </c>
      <c r="DG67">
        <f t="shared" si="12"/>
        <v>234.77</v>
      </c>
      <c r="DH67">
        <f t="shared" si="14"/>
        <v>74.260000000000005</v>
      </c>
      <c r="DI67">
        <f t="shared" si="15"/>
        <v>0</v>
      </c>
      <c r="DJ67">
        <f>DG67+DH67</f>
        <v>309.03000000000003</v>
      </c>
      <c r="DK67">
        <v>1</v>
      </c>
      <c r="DL67" t="s">
        <v>358</v>
      </c>
      <c r="DM67">
        <v>6</v>
      </c>
      <c r="DN67" t="s">
        <v>346</v>
      </c>
      <c r="DO67">
        <v>1</v>
      </c>
    </row>
    <row r="68" spans="1:119" x14ac:dyDescent="0.2">
      <c r="A68">
        <f>ROW(Source!A45)</f>
        <v>45</v>
      </c>
      <c r="B68">
        <v>55860754</v>
      </c>
      <c r="C68">
        <v>55873895</v>
      </c>
      <c r="D68">
        <v>46206301</v>
      </c>
      <c r="E68">
        <v>1</v>
      </c>
      <c r="F68">
        <v>1</v>
      </c>
      <c r="G68">
        <v>1</v>
      </c>
      <c r="H68">
        <v>2</v>
      </c>
      <c r="I68" t="s">
        <v>363</v>
      </c>
      <c r="J68" t="s">
        <v>364</v>
      </c>
      <c r="K68" t="s">
        <v>365</v>
      </c>
      <c r="L68">
        <v>1368</v>
      </c>
      <c r="N68">
        <v>1011</v>
      </c>
      <c r="O68" t="s">
        <v>350</v>
      </c>
      <c r="P68" t="s">
        <v>350</v>
      </c>
      <c r="Q68">
        <v>1</v>
      </c>
      <c r="W68">
        <v>0</v>
      </c>
      <c r="X68">
        <v>-773430059</v>
      </c>
      <c r="Y68">
        <f>(AT68*ROUND(1.25,7))</f>
        <v>0.25</v>
      </c>
      <c r="AA68">
        <v>0</v>
      </c>
      <c r="AB68">
        <v>680.75</v>
      </c>
      <c r="AC68">
        <v>404.99</v>
      </c>
      <c r="AD68">
        <v>0</v>
      </c>
      <c r="AE68">
        <v>0</v>
      </c>
      <c r="AF68">
        <v>680.75</v>
      </c>
      <c r="AG68">
        <v>404.99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0.2</v>
      </c>
      <c r="AU68" t="s">
        <v>98</v>
      </c>
      <c r="AV68">
        <v>1</v>
      </c>
      <c r="AW68">
        <v>2</v>
      </c>
      <c r="AX68">
        <v>55873905</v>
      </c>
      <c r="AY68">
        <v>2</v>
      </c>
      <c r="AZ68">
        <v>98304</v>
      </c>
      <c r="BA68">
        <v>73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136.15</v>
      </c>
      <c r="BL68">
        <v>80.998000000000005</v>
      </c>
      <c r="BM68">
        <v>0</v>
      </c>
      <c r="BN68">
        <v>0</v>
      </c>
      <c r="BO68">
        <v>0.2</v>
      </c>
      <c r="BP68">
        <v>1</v>
      </c>
      <c r="BQ68">
        <v>0</v>
      </c>
      <c r="BR68">
        <v>170.1875</v>
      </c>
      <c r="BS68">
        <v>101.2475</v>
      </c>
      <c r="BT68">
        <v>0</v>
      </c>
      <c r="BU68">
        <v>0</v>
      </c>
      <c r="BV68">
        <v>0.25</v>
      </c>
      <c r="BW68">
        <v>1</v>
      </c>
      <c r="CV68">
        <v>0</v>
      </c>
      <c r="CW68">
        <f>ROUND(Y68*Source!I45*DO68,7)</f>
        <v>0.182</v>
      </c>
      <c r="CX68">
        <f>ROUND(Y68*Source!I45,7)</f>
        <v>0.182</v>
      </c>
      <c r="CY68">
        <f>AB68</f>
        <v>680.75</v>
      </c>
      <c r="CZ68">
        <f>AF68</f>
        <v>680.75</v>
      </c>
      <c r="DA68">
        <f>AJ68</f>
        <v>1</v>
      </c>
      <c r="DB68">
        <f>ROUND((ROUND(AT68*CZ68,2)*ROUND(1.25,7)),6)</f>
        <v>170.1875</v>
      </c>
      <c r="DC68">
        <f>ROUND((ROUND(AT68*AG68,2)*ROUND(1.25,7)),6)</f>
        <v>101.25</v>
      </c>
      <c r="DD68" t="s">
        <v>3</v>
      </c>
      <c r="DE68" t="s">
        <v>3</v>
      </c>
      <c r="DF68">
        <f t="shared" si="13"/>
        <v>0</v>
      </c>
      <c r="DG68">
        <f t="shared" si="12"/>
        <v>123.9</v>
      </c>
      <c r="DH68">
        <f t="shared" si="14"/>
        <v>73.709999999999994</v>
      </c>
      <c r="DI68">
        <f t="shared" si="15"/>
        <v>0</v>
      </c>
      <c r="DJ68">
        <f>DG68+DH68</f>
        <v>197.61</v>
      </c>
      <c r="DK68">
        <v>1</v>
      </c>
      <c r="DL68" t="s">
        <v>366</v>
      </c>
      <c r="DM68">
        <v>4</v>
      </c>
      <c r="DN68" t="s">
        <v>346</v>
      </c>
      <c r="DO68">
        <v>1</v>
      </c>
    </row>
    <row r="69" spans="1:119" x14ac:dyDescent="0.2">
      <c r="A69">
        <f>ROW(Source!A45)</f>
        <v>45</v>
      </c>
      <c r="B69">
        <v>55860754</v>
      </c>
      <c r="C69">
        <v>55873895</v>
      </c>
      <c r="D69">
        <v>46166380</v>
      </c>
      <c r="E69">
        <v>1</v>
      </c>
      <c r="F69">
        <v>1</v>
      </c>
      <c r="G69">
        <v>1</v>
      </c>
      <c r="H69">
        <v>3</v>
      </c>
      <c r="I69" t="s">
        <v>143</v>
      </c>
      <c r="J69" t="s">
        <v>146</v>
      </c>
      <c r="K69" t="s">
        <v>144</v>
      </c>
      <c r="L69">
        <v>1327</v>
      </c>
      <c r="N69">
        <v>1005</v>
      </c>
      <c r="O69" t="s">
        <v>145</v>
      </c>
      <c r="P69" t="s">
        <v>145</v>
      </c>
      <c r="Q69">
        <v>1</v>
      </c>
      <c r="W69">
        <v>0</v>
      </c>
      <c r="X69">
        <v>-1502076881</v>
      </c>
      <c r="Y69">
        <f>AT69</f>
        <v>714.2857143</v>
      </c>
      <c r="AA69">
        <v>70.010000000000005</v>
      </c>
      <c r="AB69">
        <v>0</v>
      </c>
      <c r="AC69">
        <v>0</v>
      </c>
      <c r="AD69">
        <v>0</v>
      </c>
      <c r="AE69">
        <v>66.680000000000007</v>
      </c>
      <c r="AF69">
        <v>0</v>
      </c>
      <c r="AG69">
        <v>0</v>
      </c>
      <c r="AH69">
        <v>0</v>
      </c>
      <c r="AI69">
        <v>1.05</v>
      </c>
      <c r="AJ69">
        <v>1</v>
      </c>
      <c r="AK69">
        <v>1</v>
      </c>
      <c r="AL69">
        <v>1</v>
      </c>
      <c r="AM69">
        <v>2</v>
      </c>
      <c r="AN69">
        <v>0</v>
      </c>
      <c r="AO69">
        <v>0</v>
      </c>
      <c r="AP69">
        <v>1</v>
      </c>
      <c r="AQ69">
        <v>0</v>
      </c>
      <c r="AR69">
        <v>0</v>
      </c>
      <c r="AS69" t="s">
        <v>3</v>
      </c>
      <c r="AT69">
        <v>714.2857143</v>
      </c>
      <c r="AU69" t="s">
        <v>3</v>
      </c>
      <c r="AV69">
        <v>0</v>
      </c>
      <c r="AW69">
        <v>1</v>
      </c>
      <c r="AX69">
        <v>-1</v>
      </c>
      <c r="AY69">
        <v>0</v>
      </c>
      <c r="AZ69">
        <v>0</v>
      </c>
      <c r="BA69" t="s">
        <v>3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ROUND(Y69*Source!I45,7)</f>
        <v>520</v>
      </c>
      <c r="CY69">
        <f>AA69</f>
        <v>70.010000000000005</v>
      </c>
      <c r="CZ69">
        <f>AE69</f>
        <v>66.680000000000007</v>
      </c>
      <c r="DA69">
        <f>AI69</f>
        <v>1.05</v>
      </c>
      <c r="DB69">
        <f>ROUND(ROUND(AT69*CZ69,2),6)</f>
        <v>47628.57</v>
      </c>
      <c r="DC69">
        <f>ROUND(ROUND(AT69*AG69,2),6)</f>
        <v>0</v>
      </c>
      <c r="DD69" t="s">
        <v>3</v>
      </c>
      <c r="DE69" t="s">
        <v>3</v>
      </c>
      <c r="DF69">
        <f>ROUND(ROUND(AE69*AI69,2)*CX69,2)</f>
        <v>36405.199999999997</v>
      </c>
      <c r="DG69">
        <f t="shared" si="12"/>
        <v>0</v>
      </c>
      <c r="DH69">
        <f t="shared" si="14"/>
        <v>0</v>
      </c>
      <c r="DI69">
        <f t="shared" si="15"/>
        <v>0</v>
      </c>
      <c r="DJ69">
        <f>DF69</f>
        <v>36405.199999999997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ROW(Source!A45)</f>
        <v>45</v>
      </c>
      <c r="B70">
        <v>55860754</v>
      </c>
      <c r="C70">
        <v>55873895</v>
      </c>
      <c r="D70">
        <v>46167110</v>
      </c>
      <c r="E70">
        <v>1</v>
      </c>
      <c r="F70">
        <v>1</v>
      </c>
      <c r="G70">
        <v>1</v>
      </c>
      <c r="H70">
        <v>3</v>
      </c>
      <c r="I70" t="s">
        <v>400</v>
      </c>
      <c r="J70" t="s">
        <v>401</v>
      </c>
      <c r="K70" t="s">
        <v>402</v>
      </c>
      <c r="L70">
        <v>1348</v>
      </c>
      <c r="N70">
        <v>1009</v>
      </c>
      <c r="O70" t="s">
        <v>41</v>
      </c>
      <c r="P70" t="s">
        <v>41</v>
      </c>
      <c r="Q70">
        <v>1000</v>
      </c>
      <c r="W70">
        <v>0</v>
      </c>
      <c r="X70">
        <v>-635401429</v>
      </c>
      <c r="Y70">
        <f>AT70</f>
        <v>2.8000000000000001E-2</v>
      </c>
      <c r="AA70">
        <v>87008.18</v>
      </c>
      <c r="AB70">
        <v>0</v>
      </c>
      <c r="AC70">
        <v>0</v>
      </c>
      <c r="AD70">
        <v>0</v>
      </c>
      <c r="AE70">
        <v>88783.86</v>
      </c>
      <c r="AF70">
        <v>0</v>
      </c>
      <c r="AG70">
        <v>0</v>
      </c>
      <c r="AH70">
        <v>0</v>
      </c>
      <c r="AI70">
        <v>0.98</v>
      </c>
      <c r="AJ70">
        <v>1</v>
      </c>
      <c r="AK70">
        <v>1</v>
      </c>
      <c r="AL70">
        <v>1</v>
      </c>
      <c r="AM70">
        <v>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2.8000000000000001E-2</v>
      </c>
      <c r="AU70" t="s">
        <v>3</v>
      </c>
      <c r="AV70">
        <v>0</v>
      </c>
      <c r="AW70">
        <v>2</v>
      </c>
      <c r="AX70">
        <v>55873906</v>
      </c>
      <c r="AY70">
        <v>1</v>
      </c>
      <c r="AZ70">
        <v>0</v>
      </c>
      <c r="BA70">
        <v>74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2485.9480800000001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2485.9480800000001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CV70">
        <v>0</v>
      </c>
      <c r="CW70">
        <v>0</v>
      </c>
      <c r="CX70">
        <f>ROUND(Y70*Source!I45,7)</f>
        <v>2.0383999999999999E-2</v>
      </c>
      <c r="CY70">
        <f>AA70</f>
        <v>87008.18</v>
      </c>
      <c r="CZ70">
        <f>AE70</f>
        <v>88783.86</v>
      </c>
      <c r="DA70">
        <f>AI70</f>
        <v>0.98</v>
      </c>
      <c r="DB70">
        <f>ROUND(ROUND(AT70*CZ70,2),6)</f>
        <v>2485.9499999999998</v>
      </c>
      <c r="DC70">
        <f>ROUND(ROUND(AT70*AG70,2),6)</f>
        <v>0</v>
      </c>
      <c r="DD70" t="s">
        <v>3</v>
      </c>
      <c r="DE70" t="s">
        <v>3</v>
      </c>
      <c r="DF70">
        <f>ROUND(ROUND(AE70*AI70,2)*CX70,2)</f>
        <v>1773.57</v>
      </c>
      <c r="DG70">
        <f t="shared" si="12"/>
        <v>0</v>
      </c>
      <c r="DH70">
        <f t="shared" si="14"/>
        <v>0</v>
      </c>
      <c r="DI70">
        <f t="shared" si="15"/>
        <v>0</v>
      </c>
      <c r="DJ70">
        <f>DF70</f>
        <v>1773.57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ROW(Source!A47)</f>
        <v>47</v>
      </c>
      <c r="B71">
        <v>55860754</v>
      </c>
      <c r="C71">
        <v>55873909</v>
      </c>
      <c r="D71">
        <v>35812914</v>
      </c>
      <c r="E71">
        <v>111</v>
      </c>
      <c r="F71">
        <v>1</v>
      </c>
      <c r="G71">
        <v>1</v>
      </c>
      <c r="H71">
        <v>1</v>
      </c>
      <c r="I71" t="s">
        <v>403</v>
      </c>
      <c r="J71" t="s">
        <v>3</v>
      </c>
      <c r="K71" t="s">
        <v>404</v>
      </c>
      <c r="L71">
        <v>1191</v>
      </c>
      <c r="N71">
        <v>1013</v>
      </c>
      <c r="O71" t="s">
        <v>346</v>
      </c>
      <c r="P71" t="s">
        <v>346</v>
      </c>
      <c r="Q71">
        <v>1</v>
      </c>
      <c r="W71">
        <v>0</v>
      </c>
      <c r="X71">
        <v>784619160</v>
      </c>
      <c r="Y71">
        <f>(AT71*ROUND(1.15,7))</f>
        <v>3.2199999999999998</v>
      </c>
      <c r="AA71">
        <v>0</v>
      </c>
      <c r="AB71">
        <v>0</v>
      </c>
      <c r="AC71">
        <v>0</v>
      </c>
      <c r="AD71">
        <v>368.72</v>
      </c>
      <c r="AE71">
        <v>0</v>
      </c>
      <c r="AF71">
        <v>0</v>
      </c>
      <c r="AG71">
        <v>0</v>
      </c>
      <c r="AH71">
        <v>368.72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2.8</v>
      </c>
      <c r="AU71" t="s">
        <v>99</v>
      </c>
      <c r="AV71">
        <v>1</v>
      </c>
      <c r="AW71">
        <v>2</v>
      </c>
      <c r="AX71">
        <v>55873914</v>
      </c>
      <c r="AY71">
        <v>2</v>
      </c>
      <c r="AZ71">
        <v>131072</v>
      </c>
      <c r="BA71">
        <v>76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1032.4159999999999</v>
      </c>
      <c r="BN71">
        <v>2.8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1187.2783999999999</v>
      </c>
      <c r="BU71">
        <v>3.2199999999999998</v>
      </c>
      <c r="BV71">
        <v>0</v>
      </c>
      <c r="BW71">
        <v>1</v>
      </c>
      <c r="CU71">
        <f>ROUND(AT71*Source!I47*AH71*AL71,2)</f>
        <v>5368.56</v>
      </c>
      <c r="CV71">
        <f>ROUND(Y71*Source!I47,7)</f>
        <v>16.744</v>
      </c>
      <c r="CW71">
        <v>0</v>
      </c>
      <c r="CX71">
        <f>ROUND(Y71*Source!I47,7)</f>
        <v>16.744</v>
      </c>
      <c r="CY71">
        <f>AD71</f>
        <v>368.72</v>
      </c>
      <c r="CZ71">
        <f>AH71</f>
        <v>368.72</v>
      </c>
      <c r="DA71">
        <f>AL71</f>
        <v>1</v>
      </c>
      <c r="DB71">
        <f>ROUND((ROUND(AT71*CZ71,2)*ROUND(1.15,7)),6)</f>
        <v>1187.2829999999999</v>
      </c>
      <c r="DC71">
        <f>ROUND((ROUND(AT71*AG71,2)*ROUND(1.15,7)),6)</f>
        <v>0</v>
      </c>
      <c r="DD71" t="s">
        <v>3</v>
      </c>
      <c r="DE71" t="s">
        <v>3</v>
      </c>
      <c r="DF71">
        <f t="shared" ref="DF71:DF79" si="16">ROUND(ROUND(AE71,2)*CX71,2)</f>
        <v>0</v>
      </c>
      <c r="DG71">
        <f t="shared" si="12"/>
        <v>0</v>
      </c>
      <c r="DH71">
        <f t="shared" si="14"/>
        <v>0</v>
      </c>
      <c r="DI71">
        <f t="shared" si="15"/>
        <v>6173.85</v>
      </c>
      <c r="DJ71">
        <f>DI71</f>
        <v>6173.85</v>
      </c>
      <c r="DK71">
        <v>1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ROW(Source!A47)</f>
        <v>47</v>
      </c>
      <c r="B72">
        <v>55860754</v>
      </c>
      <c r="C72">
        <v>55873909</v>
      </c>
      <c r="D72">
        <v>35812888</v>
      </c>
      <c r="E72">
        <v>111</v>
      </c>
      <c r="F72">
        <v>1</v>
      </c>
      <c r="G72">
        <v>1</v>
      </c>
      <c r="H72">
        <v>1</v>
      </c>
      <c r="I72" t="s">
        <v>353</v>
      </c>
      <c r="J72" t="s">
        <v>3</v>
      </c>
      <c r="K72" t="s">
        <v>354</v>
      </c>
      <c r="L72">
        <v>1191</v>
      </c>
      <c r="N72">
        <v>1013</v>
      </c>
      <c r="O72" t="s">
        <v>346</v>
      </c>
      <c r="P72" t="s">
        <v>346</v>
      </c>
      <c r="Q72">
        <v>1</v>
      </c>
      <c r="W72">
        <v>0</v>
      </c>
      <c r="X72">
        <v>-1417349443</v>
      </c>
      <c r="Y72">
        <f>(AT72*ROUND(1.25,7))</f>
        <v>0.05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1</v>
      </c>
      <c r="AQ72">
        <v>1</v>
      </c>
      <c r="AR72">
        <v>0</v>
      </c>
      <c r="AS72" t="s">
        <v>3</v>
      </c>
      <c r="AT72">
        <v>0.04</v>
      </c>
      <c r="AU72" t="s">
        <v>98</v>
      </c>
      <c r="AV72">
        <v>2</v>
      </c>
      <c r="AW72">
        <v>2</v>
      </c>
      <c r="AX72">
        <v>55873915</v>
      </c>
      <c r="AY72">
        <v>1</v>
      </c>
      <c r="AZ72">
        <v>0</v>
      </c>
      <c r="BA72">
        <v>77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ROUND(Y72*Source!I47,7)</f>
        <v>0.26</v>
      </c>
      <c r="CY72">
        <f>AD72</f>
        <v>0</v>
      </c>
      <c r="CZ72">
        <f>AH72</f>
        <v>0</v>
      </c>
      <c r="DA72">
        <f>AL72</f>
        <v>1</v>
      </c>
      <c r="DB72">
        <f>ROUND((ROUND(AT72*CZ72,2)*ROUND(1.25,7)),6)</f>
        <v>0</v>
      </c>
      <c r="DC72">
        <f>ROUND((ROUND(AT72*AG72,2)*ROUND(1.25,7)),6)</f>
        <v>0</v>
      </c>
      <c r="DD72" t="s">
        <v>3</v>
      </c>
      <c r="DE72" t="s">
        <v>3</v>
      </c>
      <c r="DF72">
        <f t="shared" si="16"/>
        <v>0</v>
      </c>
      <c r="DG72">
        <f t="shared" si="12"/>
        <v>0</v>
      </c>
      <c r="DH72">
        <f t="shared" si="14"/>
        <v>0</v>
      </c>
      <c r="DI72">
        <f t="shared" si="15"/>
        <v>0</v>
      </c>
      <c r="DJ72">
        <f>DI72</f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ROW(Source!A47)</f>
        <v>47</v>
      </c>
      <c r="B73">
        <v>55860754</v>
      </c>
      <c r="C73">
        <v>55873909</v>
      </c>
      <c r="D73">
        <v>46206301</v>
      </c>
      <c r="E73">
        <v>1</v>
      </c>
      <c r="F73">
        <v>1</v>
      </c>
      <c r="G73">
        <v>1</v>
      </c>
      <c r="H73">
        <v>2</v>
      </c>
      <c r="I73" t="s">
        <v>363</v>
      </c>
      <c r="J73" t="s">
        <v>364</v>
      </c>
      <c r="K73" t="s">
        <v>365</v>
      </c>
      <c r="L73">
        <v>1368</v>
      </c>
      <c r="N73">
        <v>1011</v>
      </c>
      <c r="O73" t="s">
        <v>350</v>
      </c>
      <c r="P73" t="s">
        <v>350</v>
      </c>
      <c r="Q73">
        <v>1</v>
      </c>
      <c r="W73">
        <v>0</v>
      </c>
      <c r="X73">
        <v>-773430059</v>
      </c>
      <c r="Y73">
        <f>(AT73*ROUND(1.25,7))</f>
        <v>0.05</v>
      </c>
      <c r="AA73">
        <v>0</v>
      </c>
      <c r="AB73">
        <v>680.75</v>
      </c>
      <c r="AC73">
        <v>404.99</v>
      </c>
      <c r="AD73">
        <v>0</v>
      </c>
      <c r="AE73">
        <v>0</v>
      </c>
      <c r="AF73">
        <v>680.75</v>
      </c>
      <c r="AG73">
        <v>404.99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0</v>
      </c>
      <c r="AP73">
        <v>1</v>
      </c>
      <c r="AQ73">
        <v>1</v>
      </c>
      <c r="AR73">
        <v>0</v>
      </c>
      <c r="AS73" t="s">
        <v>3</v>
      </c>
      <c r="AT73">
        <v>0.04</v>
      </c>
      <c r="AU73" t="s">
        <v>98</v>
      </c>
      <c r="AV73">
        <v>1</v>
      </c>
      <c r="AW73">
        <v>2</v>
      </c>
      <c r="AX73">
        <v>55873916</v>
      </c>
      <c r="AY73">
        <v>2</v>
      </c>
      <c r="AZ73">
        <v>98304</v>
      </c>
      <c r="BA73">
        <v>78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27.23</v>
      </c>
      <c r="BL73">
        <v>16.1996</v>
      </c>
      <c r="BM73">
        <v>0</v>
      </c>
      <c r="BN73">
        <v>0</v>
      </c>
      <c r="BO73">
        <v>0.04</v>
      </c>
      <c r="BP73">
        <v>1</v>
      </c>
      <c r="BQ73">
        <v>0</v>
      </c>
      <c r="BR73">
        <v>34.037500000000001</v>
      </c>
      <c r="BS73">
        <v>20.249500000000001</v>
      </c>
      <c r="BT73">
        <v>0</v>
      </c>
      <c r="BU73">
        <v>0</v>
      </c>
      <c r="BV73">
        <v>0.05</v>
      </c>
      <c r="BW73">
        <v>1</v>
      </c>
      <c r="CV73">
        <v>0</v>
      </c>
      <c r="CW73">
        <f>ROUND(Y73*Source!I47*DO73,7)</f>
        <v>0.26</v>
      </c>
      <c r="CX73">
        <f>ROUND(Y73*Source!I47,7)</f>
        <v>0.26</v>
      </c>
      <c r="CY73">
        <f>AB73</f>
        <v>680.75</v>
      </c>
      <c r="CZ73">
        <f>AF73</f>
        <v>680.75</v>
      </c>
      <c r="DA73">
        <f>AJ73</f>
        <v>1</v>
      </c>
      <c r="DB73">
        <f>ROUND((ROUND(AT73*CZ73,2)*ROUND(1.25,7)),6)</f>
        <v>34.037500000000001</v>
      </c>
      <c r="DC73">
        <f>ROUND((ROUND(AT73*AG73,2)*ROUND(1.25,7)),6)</f>
        <v>20.25</v>
      </c>
      <c r="DD73" t="s">
        <v>3</v>
      </c>
      <c r="DE73" t="s">
        <v>3</v>
      </c>
      <c r="DF73">
        <f t="shared" si="16"/>
        <v>0</v>
      </c>
      <c r="DG73">
        <f t="shared" si="12"/>
        <v>177</v>
      </c>
      <c r="DH73">
        <f t="shared" si="14"/>
        <v>105.3</v>
      </c>
      <c r="DI73">
        <f t="shared" si="15"/>
        <v>0</v>
      </c>
      <c r="DJ73">
        <f>DG73+DH73</f>
        <v>282.3</v>
      </c>
      <c r="DK73">
        <v>1</v>
      </c>
      <c r="DL73" t="s">
        <v>366</v>
      </c>
      <c r="DM73">
        <v>4</v>
      </c>
      <c r="DN73" t="s">
        <v>346</v>
      </c>
      <c r="DO73">
        <v>1</v>
      </c>
    </row>
    <row r="74" spans="1:119" x14ac:dyDescent="0.2">
      <c r="A74">
        <f>ROW(Source!A47)</f>
        <v>47</v>
      </c>
      <c r="B74">
        <v>55860754</v>
      </c>
      <c r="C74">
        <v>55873909</v>
      </c>
      <c r="D74">
        <v>46157310</v>
      </c>
      <c r="E74">
        <v>1</v>
      </c>
      <c r="F74">
        <v>1</v>
      </c>
      <c r="G74">
        <v>1</v>
      </c>
      <c r="H74">
        <v>3</v>
      </c>
      <c r="I74" t="s">
        <v>152</v>
      </c>
      <c r="J74" t="s">
        <v>155</v>
      </c>
      <c r="K74" t="s">
        <v>153</v>
      </c>
      <c r="L74">
        <v>1346</v>
      </c>
      <c r="N74">
        <v>1009</v>
      </c>
      <c r="O74" t="s">
        <v>154</v>
      </c>
      <c r="P74" t="s">
        <v>154</v>
      </c>
      <c r="Q74">
        <v>1</v>
      </c>
      <c r="W74">
        <v>0</v>
      </c>
      <c r="X74">
        <v>-1937539334</v>
      </c>
      <c r="Y74">
        <f>AT74</f>
        <v>45</v>
      </c>
      <c r="AA74">
        <v>29.92</v>
      </c>
      <c r="AB74">
        <v>0</v>
      </c>
      <c r="AC74">
        <v>0</v>
      </c>
      <c r="AD74">
        <v>0</v>
      </c>
      <c r="AE74">
        <v>29.92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1</v>
      </c>
      <c r="AQ74">
        <v>0</v>
      </c>
      <c r="AR74">
        <v>0</v>
      </c>
      <c r="AS74" t="s">
        <v>3</v>
      </c>
      <c r="AT74">
        <v>45</v>
      </c>
      <c r="AU74" t="s">
        <v>3</v>
      </c>
      <c r="AV74">
        <v>0</v>
      </c>
      <c r="AW74">
        <v>1</v>
      </c>
      <c r="AX74">
        <v>-1</v>
      </c>
      <c r="AY74">
        <v>0</v>
      </c>
      <c r="AZ74">
        <v>0</v>
      </c>
      <c r="BA74" t="s">
        <v>3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ROUND(Y74*Source!I47,7)</f>
        <v>234</v>
      </c>
      <c r="CY74">
        <f>AA74</f>
        <v>29.92</v>
      </c>
      <c r="CZ74">
        <f>AE74</f>
        <v>29.92</v>
      </c>
      <c r="DA74">
        <f>AI74</f>
        <v>1</v>
      </c>
      <c r="DB74">
        <f>ROUND(ROUND(AT74*CZ74,2),6)</f>
        <v>1346.4</v>
      </c>
      <c r="DC74">
        <f>ROUND(ROUND(AT74*AG74,2),6)</f>
        <v>0</v>
      </c>
      <c r="DD74" t="s">
        <v>3</v>
      </c>
      <c r="DE74" t="s">
        <v>3</v>
      </c>
      <c r="DF74">
        <f t="shared" si="16"/>
        <v>7001.28</v>
      </c>
      <c r="DG74">
        <f t="shared" si="12"/>
        <v>0</v>
      </c>
      <c r="DH74">
        <f t="shared" si="14"/>
        <v>0</v>
      </c>
      <c r="DI74">
        <f t="shared" si="15"/>
        <v>0</v>
      </c>
      <c r="DJ74">
        <f>DF74</f>
        <v>7001.28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ROW(Source!A49)</f>
        <v>49</v>
      </c>
      <c r="B75">
        <v>55860754</v>
      </c>
      <c r="C75">
        <v>55873919</v>
      </c>
      <c r="D75">
        <v>35812920</v>
      </c>
      <c r="E75">
        <v>111</v>
      </c>
      <c r="F75">
        <v>1</v>
      </c>
      <c r="G75">
        <v>1</v>
      </c>
      <c r="H75">
        <v>1</v>
      </c>
      <c r="I75" t="s">
        <v>405</v>
      </c>
      <c r="J75" t="s">
        <v>3</v>
      </c>
      <c r="K75" t="s">
        <v>406</v>
      </c>
      <c r="L75">
        <v>1191</v>
      </c>
      <c r="N75">
        <v>1013</v>
      </c>
      <c r="O75" t="s">
        <v>346</v>
      </c>
      <c r="P75" t="s">
        <v>346</v>
      </c>
      <c r="Q75">
        <v>1</v>
      </c>
      <c r="W75">
        <v>0</v>
      </c>
      <c r="X75">
        <v>-2012709214</v>
      </c>
      <c r="Y75">
        <f>(AT75*ROUND(1.15,7))</f>
        <v>16.513999999999999</v>
      </c>
      <c r="AA75">
        <v>0</v>
      </c>
      <c r="AB75">
        <v>0</v>
      </c>
      <c r="AC75">
        <v>0</v>
      </c>
      <c r="AD75">
        <v>395.92</v>
      </c>
      <c r="AE75">
        <v>0</v>
      </c>
      <c r="AF75">
        <v>0</v>
      </c>
      <c r="AG75">
        <v>0</v>
      </c>
      <c r="AH75">
        <v>395.92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0</v>
      </c>
      <c r="AP75">
        <v>1</v>
      </c>
      <c r="AQ75">
        <v>1</v>
      </c>
      <c r="AR75">
        <v>0</v>
      </c>
      <c r="AS75" t="s">
        <v>3</v>
      </c>
      <c r="AT75">
        <v>14.36</v>
      </c>
      <c r="AU75" t="s">
        <v>99</v>
      </c>
      <c r="AV75">
        <v>1</v>
      </c>
      <c r="AW75">
        <v>2</v>
      </c>
      <c r="AX75">
        <v>55873928</v>
      </c>
      <c r="AY75">
        <v>2</v>
      </c>
      <c r="AZ75">
        <v>131072</v>
      </c>
      <c r="BA75">
        <v>80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5685.4111999999996</v>
      </c>
      <c r="BN75">
        <v>14.36</v>
      </c>
      <c r="BO75">
        <v>0</v>
      </c>
      <c r="BP75">
        <v>1</v>
      </c>
      <c r="BQ75">
        <v>0</v>
      </c>
      <c r="BR75">
        <v>0</v>
      </c>
      <c r="BS75">
        <v>0</v>
      </c>
      <c r="BT75">
        <v>6538.2228800000003</v>
      </c>
      <c r="BU75">
        <v>16.513999999999999</v>
      </c>
      <c r="BV75">
        <v>0</v>
      </c>
      <c r="BW75">
        <v>1</v>
      </c>
      <c r="CU75">
        <f>ROUND(AT75*Source!I49*AH75*AL75,2)</f>
        <v>29564.14</v>
      </c>
      <c r="CV75">
        <f>ROUND(Y75*Source!I49,7)</f>
        <v>85.872799999999998</v>
      </c>
      <c r="CW75">
        <v>0</v>
      </c>
      <c r="CX75">
        <f>ROUND(Y75*Source!I49,7)</f>
        <v>85.872799999999998</v>
      </c>
      <c r="CY75">
        <f>AD75</f>
        <v>395.92</v>
      </c>
      <c r="CZ75">
        <f>AH75</f>
        <v>395.92</v>
      </c>
      <c r="DA75">
        <f>AL75</f>
        <v>1</v>
      </c>
      <c r="DB75">
        <f>ROUND((ROUND(AT75*CZ75,2)*ROUND(1.15,7)),6)</f>
        <v>6538.2214999999997</v>
      </c>
      <c r="DC75">
        <f>ROUND((ROUND(AT75*AG75,2)*ROUND(1.15,7)),6)</f>
        <v>0</v>
      </c>
      <c r="DD75" t="s">
        <v>3</v>
      </c>
      <c r="DE75" t="s">
        <v>3</v>
      </c>
      <c r="DF75">
        <f t="shared" si="16"/>
        <v>0</v>
      </c>
      <c r="DG75">
        <f t="shared" si="12"/>
        <v>0</v>
      </c>
      <c r="DH75">
        <f t="shared" si="14"/>
        <v>0</v>
      </c>
      <c r="DI75">
        <f t="shared" si="15"/>
        <v>33998.76</v>
      </c>
      <c r="DJ75">
        <f>DI75</f>
        <v>33998.76</v>
      </c>
      <c r="DK75">
        <v>1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ROW(Source!A49)</f>
        <v>49</v>
      </c>
      <c r="B76">
        <v>55860754</v>
      </c>
      <c r="C76">
        <v>55873919</v>
      </c>
      <c r="D76">
        <v>35812888</v>
      </c>
      <c r="E76">
        <v>111</v>
      </c>
      <c r="F76">
        <v>1</v>
      </c>
      <c r="G76">
        <v>1</v>
      </c>
      <c r="H76">
        <v>1</v>
      </c>
      <c r="I76" t="s">
        <v>353</v>
      </c>
      <c r="J76" t="s">
        <v>3</v>
      </c>
      <c r="K76" t="s">
        <v>354</v>
      </c>
      <c r="L76">
        <v>1191</v>
      </c>
      <c r="N76">
        <v>1013</v>
      </c>
      <c r="O76" t="s">
        <v>346</v>
      </c>
      <c r="P76" t="s">
        <v>346</v>
      </c>
      <c r="Q76">
        <v>1</v>
      </c>
      <c r="W76">
        <v>0</v>
      </c>
      <c r="X76">
        <v>-1417349443</v>
      </c>
      <c r="Y76">
        <f>(AT76*ROUND(1.25,7))</f>
        <v>0.36249999999999999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3</v>
      </c>
      <c r="AT76">
        <v>0.28999999999999998</v>
      </c>
      <c r="AU76" t="s">
        <v>98</v>
      </c>
      <c r="AV76">
        <v>2</v>
      </c>
      <c r="AW76">
        <v>2</v>
      </c>
      <c r="AX76">
        <v>55873929</v>
      </c>
      <c r="AY76">
        <v>1</v>
      </c>
      <c r="AZ76">
        <v>0</v>
      </c>
      <c r="BA76">
        <v>81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V76">
        <v>0</v>
      </c>
      <c r="CW76">
        <v>0</v>
      </c>
      <c r="CX76">
        <f>ROUND(Y76*Source!I49,7)</f>
        <v>1.885</v>
      </c>
      <c r="CY76">
        <f>AD76</f>
        <v>0</v>
      </c>
      <c r="CZ76">
        <f>AH76</f>
        <v>0</v>
      </c>
      <c r="DA76">
        <f>AL76</f>
        <v>1</v>
      </c>
      <c r="DB76">
        <f>ROUND((ROUND(AT76*CZ76,2)*ROUND(1.25,7)),6)</f>
        <v>0</v>
      </c>
      <c r="DC76">
        <f>ROUND((ROUND(AT76*AG76,2)*ROUND(1.25,7)),6)</f>
        <v>0</v>
      </c>
      <c r="DD76" t="s">
        <v>3</v>
      </c>
      <c r="DE76" t="s">
        <v>3</v>
      </c>
      <c r="DF76">
        <f t="shared" si="16"/>
        <v>0</v>
      </c>
      <c r="DG76">
        <f t="shared" si="12"/>
        <v>0</v>
      </c>
      <c r="DH76">
        <f t="shared" si="14"/>
        <v>0</v>
      </c>
      <c r="DI76">
        <f t="shared" si="15"/>
        <v>0</v>
      </c>
      <c r="DJ76">
        <f>DI76</f>
        <v>0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ROW(Source!A49)</f>
        <v>49</v>
      </c>
      <c r="B77">
        <v>55860754</v>
      </c>
      <c r="C77">
        <v>55873919</v>
      </c>
      <c r="D77">
        <v>46205366</v>
      </c>
      <c r="E77">
        <v>1</v>
      </c>
      <c r="F77">
        <v>1</v>
      </c>
      <c r="G77">
        <v>1</v>
      </c>
      <c r="H77">
        <v>2</v>
      </c>
      <c r="I77" t="s">
        <v>355</v>
      </c>
      <c r="J77" t="s">
        <v>356</v>
      </c>
      <c r="K77" t="s">
        <v>357</v>
      </c>
      <c r="L77">
        <v>1368</v>
      </c>
      <c r="N77">
        <v>1011</v>
      </c>
      <c r="O77" t="s">
        <v>350</v>
      </c>
      <c r="P77" t="s">
        <v>350</v>
      </c>
      <c r="Q77">
        <v>1</v>
      </c>
      <c r="W77">
        <v>0</v>
      </c>
      <c r="X77">
        <v>2016779784</v>
      </c>
      <c r="Y77">
        <f>(AT77*ROUND(1.25,7))</f>
        <v>0.1875</v>
      </c>
      <c r="AA77">
        <v>0</v>
      </c>
      <c r="AB77">
        <v>1098</v>
      </c>
      <c r="AC77">
        <v>544.01</v>
      </c>
      <c r="AD77">
        <v>0</v>
      </c>
      <c r="AE77">
        <v>0</v>
      </c>
      <c r="AF77">
        <v>1098</v>
      </c>
      <c r="AG77">
        <v>544.01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3</v>
      </c>
      <c r="AT77">
        <v>0.15</v>
      </c>
      <c r="AU77" t="s">
        <v>98</v>
      </c>
      <c r="AV77">
        <v>1</v>
      </c>
      <c r="AW77">
        <v>2</v>
      </c>
      <c r="AX77">
        <v>55873930</v>
      </c>
      <c r="AY77">
        <v>2</v>
      </c>
      <c r="AZ77">
        <v>98304</v>
      </c>
      <c r="BA77">
        <v>82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164.7</v>
      </c>
      <c r="BL77">
        <v>81.601500000000001</v>
      </c>
      <c r="BM77">
        <v>0</v>
      </c>
      <c r="BN77">
        <v>0</v>
      </c>
      <c r="BO77">
        <v>0.15</v>
      </c>
      <c r="BP77">
        <v>1</v>
      </c>
      <c r="BQ77">
        <v>0</v>
      </c>
      <c r="BR77">
        <v>205.875</v>
      </c>
      <c r="BS77">
        <v>102.001875</v>
      </c>
      <c r="BT77">
        <v>0</v>
      </c>
      <c r="BU77">
        <v>0</v>
      </c>
      <c r="BV77">
        <v>0.1875</v>
      </c>
      <c r="BW77">
        <v>1</v>
      </c>
      <c r="CV77">
        <v>0</v>
      </c>
      <c r="CW77">
        <f>ROUND(Y77*Source!I49*DO77,7)</f>
        <v>0.97499999999999998</v>
      </c>
      <c r="CX77">
        <f>ROUND(Y77*Source!I49,7)</f>
        <v>0.97499999999999998</v>
      </c>
      <c r="CY77">
        <f>AB77</f>
        <v>1098</v>
      </c>
      <c r="CZ77">
        <f>AF77</f>
        <v>1098</v>
      </c>
      <c r="DA77">
        <f>AJ77</f>
        <v>1</v>
      </c>
      <c r="DB77">
        <f>ROUND((ROUND(AT77*CZ77,2)*ROUND(1.25,7)),6)</f>
        <v>205.875</v>
      </c>
      <c r="DC77">
        <f>ROUND((ROUND(AT77*AG77,2)*ROUND(1.25,7)),6)</f>
        <v>102</v>
      </c>
      <c r="DD77" t="s">
        <v>3</v>
      </c>
      <c r="DE77" t="s">
        <v>3</v>
      </c>
      <c r="DF77">
        <f t="shared" si="16"/>
        <v>0</v>
      </c>
      <c r="DG77">
        <f t="shared" si="12"/>
        <v>1070.55</v>
      </c>
      <c r="DH77">
        <f t="shared" si="14"/>
        <v>530.41</v>
      </c>
      <c r="DI77">
        <f t="shared" si="15"/>
        <v>0</v>
      </c>
      <c r="DJ77">
        <f>DG77+DH77</f>
        <v>1600.96</v>
      </c>
      <c r="DK77">
        <v>1</v>
      </c>
      <c r="DL77" t="s">
        <v>358</v>
      </c>
      <c r="DM77">
        <v>6</v>
      </c>
      <c r="DN77" t="s">
        <v>346</v>
      </c>
      <c r="DO77">
        <v>1</v>
      </c>
    </row>
    <row r="78" spans="1:119" x14ac:dyDescent="0.2">
      <c r="A78">
        <f>ROW(Source!A49)</f>
        <v>49</v>
      </c>
      <c r="B78">
        <v>55860754</v>
      </c>
      <c r="C78">
        <v>55873919</v>
      </c>
      <c r="D78">
        <v>46205418</v>
      </c>
      <c r="E78">
        <v>1</v>
      </c>
      <c r="F78">
        <v>1</v>
      </c>
      <c r="G78">
        <v>1</v>
      </c>
      <c r="H78">
        <v>2</v>
      </c>
      <c r="I78" t="s">
        <v>397</v>
      </c>
      <c r="J78" t="s">
        <v>398</v>
      </c>
      <c r="K78" t="s">
        <v>399</v>
      </c>
      <c r="L78">
        <v>1368</v>
      </c>
      <c r="N78">
        <v>1011</v>
      </c>
      <c r="O78" t="s">
        <v>350</v>
      </c>
      <c r="P78" t="s">
        <v>350</v>
      </c>
      <c r="Q78">
        <v>1</v>
      </c>
      <c r="W78">
        <v>0</v>
      </c>
      <c r="X78">
        <v>-6703044</v>
      </c>
      <c r="Y78">
        <f>(AT78*ROUND(1.25,7))</f>
        <v>6.25E-2</v>
      </c>
      <c r="AA78">
        <v>0</v>
      </c>
      <c r="AB78">
        <v>1719.93</v>
      </c>
      <c r="AC78">
        <v>544.01</v>
      </c>
      <c r="AD78">
        <v>0</v>
      </c>
      <c r="AE78">
        <v>0</v>
      </c>
      <c r="AF78">
        <v>1719.93</v>
      </c>
      <c r="AG78">
        <v>544.01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0.05</v>
      </c>
      <c r="AU78" t="s">
        <v>98</v>
      </c>
      <c r="AV78">
        <v>1</v>
      </c>
      <c r="AW78">
        <v>2</v>
      </c>
      <c r="AX78">
        <v>55873931</v>
      </c>
      <c r="AY78">
        <v>2</v>
      </c>
      <c r="AZ78">
        <v>98304</v>
      </c>
      <c r="BA78">
        <v>83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85.996500000000012</v>
      </c>
      <c r="BL78">
        <v>27.200500000000002</v>
      </c>
      <c r="BM78">
        <v>0</v>
      </c>
      <c r="BN78">
        <v>0</v>
      </c>
      <c r="BO78">
        <v>0.05</v>
      </c>
      <c r="BP78">
        <v>1</v>
      </c>
      <c r="BQ78">
        <v>0</v>
      </c>
      <c r="BR78">
        <v>107.495625</v>
      </c>
      <c r="BS78">
        <v>34.000624999999999</v>
      </c>
      <c r="BT78">
        <v>0</v>
      </c>
      <c r="BU78">
        <v>0</v>
      </c>
      <c r="BV78">
        <v>6.25E-2</v>
      </c>
      <c r="BW78">
        <v>1</v>
      </c>
      <c r="CV78">
        <v>0</v>
      </c>
      <c r="CW78">
        <f>ROUND(Y78*Source!I49*DO78,7)</f>
        <v>0.32500000000000001</v>
      </c>
      <c r="CX78">
        <f>ROUND(Y78*Source!I49,7)</f>
        <v>0.32500000000000001</v>
      </c>
      <c r="CY78">
        <f>AB78</f>
        <v>1719.93</v>
      </c>
      <c r="CZ78">
        <f>AF78</f>
        <v>1719.93</v>
      </c>
      <c r="DA78">
        <f>AJ78</f>
        <v>1</v>
      </c>
      <c r="DB78">
        <f>ROUND((ROUND(AT78*CZ78,2)*ROUND(1.25,7)),6)</f>
        <v>107.5</v>
      </c>
      <c r="DC78">
        <f>ROUND((ROUND(AT78*AG78,2)*ROUND(1.25,7)),6)</f>
        <v>34</v>
      </c>
      <c r="DD78" t="s">
        <v>3</v>
      </c>
      <c r="DE78" t="s">
        <v>3</v>
      </c>
      <c r="DF78">
        <f t="shared" si="16"/>
        <v>0</v>
      </c>
      <c r="DG78">
        <f t="shared" si="12"/>
        <v>558.98</v>
      </c>
      <c r="DH78">
        <f t="shared" si="14"/>
        <v>176.8</v>
      </c>
      <c r="DI78">
        <f t="shared" si="15"/>
        <v>0</v>
      </c>
      <c r="DJ78">
        <f>DG78+DH78</f>
        <v>735.78</v>
      </c>
      <c r="DK78">
        <v>1</v>
      </c>
      <c r="DL78" t="s">
        <v>358</v>
      </c>
      <c r="DM78">
        <v>6</v>
      </c>
      <c r="DN78" t="s">
        <v>346</v>
      </c>
      <c r="DO78">
        <v>1</v>
      </c>
    </row>
    <row r="79" spans="1:119" x14ac:dyDescent="0.2">
      <c r="A79">
        <f>ROW(Source!A49)</f>
        <v>49</v>
      </c>
      <c r="B79">
        <v>55860754</v>
      </c>
      <c r="C79">
        <v>55873919</v>
      </c>
      <c r="D79">
        <v>46206301</v>
      </c>
      <c r="E79">
        <v>1</v>
      </c>
      <c r="F79">
        <v>1</v>
      </c>
      <c r="G79">
        <v>1</v>
      </c>
      <c r="H79">
        <v>2</v>
      </c>
      <c r="I79" t="s">
        <v>363</v>
      </c>
      <c r="J79" t="s">
        <v>364</v>
      </c>
      <c r="K79" t="s">
        <v>365</v>
      </c>
      <c r="L79">
        <v>1368</v>
      </c>
      <c r="N79">
        <v>1011</v>
      </c>
      <c r="O79" t="s">
        <v>350</v>
      </c>
      <c r="P79" t="s">
        <v>350</v>
      </c>
      <c r="Q79">
        <v>1</v>
      </c>
      <c r="W79">
        <v>0</v>
      </c>
      <c r="X79">
        <v>-773430059</v>
      </c>
      <c r="Y79">
        <f>(AT79*ROUND(1.25,7))</f>
        <v>0.11249999999999999</v>
      </c>
      <c r="AA79">
        <v>0</v>
      </c>
      <c r="AB79">
        <v>680.75</v>
      </c>
      <c r="AC79">
        <v>404.99</v>
      </c>
      <c r="AD79">
        <v>0</v>
      </c>
      <c r="AE79">
        <v>0</v>
      </c>
      <c r="AF79">
        <v>680.75</v>
      </c>
      <c r="AG79">
        <v>404.99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0.09</v>
      </c>
      <c r="AU79" t="s">
        <v>98</v>
      </c>
      <c r="AV79">
        <v>1</v>
      </c>
      <c r="AW79">
        <v>2</v>
      </c>
      <c r="AX79">
        <v>55873932</v>
      </c>
      <c r="AY79">
        <v>2</v>
      </c>
      <c r="AZ79">
        <v>98304</v>
      </c>
      <c r="BA79">
        <v>84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61.267499999999998</v>
      </c>
      <c r="BL79">
        <v>36.449100000000001</v>
      </c>
      <c r="BM79">
        <v>0</v>
      </c>
      <c r="BN79">
        <v>0</v>
      </c>
      <c r="BO79">
        <v>0.09</v>
      </c>
      <c r="BP79">
        <v>1</v>
      </c>
      <c r="BQ79">
        <v>0</v>
      </c>
      <c r="BR79">
        <v>76.584374999999994</v>
      </c>
      <c r="BS79">
        <v>45.561374999999998</v>
      </c>
      <c r="BT79">
        <v>0</v>
      </c>
      <c r="BU79">
        <v>0</v>
      </c>
      <c r="BV79">
        <v>0.11249999999999999</v>
      </c>
      <c r="BW79">
        <v>1</v>
      </c>
      <c r="CV79">
        <v>0</v>
      </c>
      <c r="CW79">
        <f>ROUND(Y79*Source!I49*DO79,7)</f>
        <v>0.58499999999999996</v>
      </c>
      <c r="CX79">
        <f>ROUND(Y79*Source!I49,7)</f>
        <v>0.58499999999999996</v>
      </c>
      <c r="CY79">
        <f>AB79</f>
        <v>680.75</v>
      </c>
      <c r="CZ79">
        <f>AF79</f>
        <v>680.75</v>
      </c>
      <c r="DA79">
        <f>AJ79</f>
        <v>1</v>
      </c>
      <c r="DB79">
        <f>ROUND((ROUND(AT79*CZ79,2)*ROUND(1.25,7)),6)</f>
        <v>76.587500000000006</v>
      </c>
      <c r="DC79">
        <f>ROUND((ROUND(AT79*AG79,2)*ROUND(1.25,7)),6)</f>
        <v>45.5625</v>
      </c>
      <c r="DD79" t="s">
        <v>3</v>
      </c>
      <c r="DE79" t="s">
        <v>3</v>
      </c>
      <c r="DF79">
        <f t="shared" si="16"/>
        <v>0</v>
      </c>
      <c r="DG79">
        <f t="shared" si="12"/>
        <v>398.24</v>
      </c>
      <c r="DH79">
        <f t="shared" si="14"/>
        <v>236.92</v>
      </c>
      <c r="DI79">
        <f t="shared" si="15"/>
        <v>0</v>
      </c>
      <c r="DJ79">
        <f>DG79+DH79</f>
        <v>635.16</v>
      </c>
      <c r="DK79">
        <v>1</v>
      </c>
      <c r="DL79" t="s">
        <v>366</v>
      </c>
      <c r="DM79">
        <v>4</v>
      </c>
      <c r="DN79" t="s">
        <v>346</v>
      </c>
      <c r="DO79">
        <v>1</v>
      </c>
    </row>
    <row r="80" spans="1:119" x14ac:dyDescent="0.2">
      <c r="A80">
        <f>ROW(Source!A49)</f>
        <v>49</v>
      </c>
      <c r="B80">
        <v>55860754</v>
      </c>
      <c r="C80">
        <v>55873919</v>
      </c>
      <c r="D80">
        <v>46157415</v>
      </c>
      <c r="E80">
        <v>1</v>
      </c>
      <c r="F80">
        <v>1</v>
      </c>
      <c r="G80">
        <v>1</v>
      </c>
      <c r="H80">
        <v>3</v>
      </c>
      <c r="I80" t="s">
        <v>407</v>
      </c>
      <c r="J80" t="s">
        <v>408</v>
      </c>
      <c r="K80" t="s">
        <v>409</v>
      </c>
      <c r="L80">
        <v>1346</v>
      </c>
      <c r="N80">
        <v>1009</v>
      </c>
      <c r="O80" t="s">
        <v>154</v>
      </c>
      <c r="P80" t="s">
        <v>154</v>
      </c>
      <c r="Q80">
        <v>1</v>
      </c>
      <c r="W80">
        <v>0</v>
      </c>
      <c r="X80">
        <v>-557690053</v>
      </c>
      <c r="Y80">
        <f t="shared" ref="Y80:Y95" si="17">AT80</f>
        <v>29.94</v>
      </c>
      <c r="AA80">
        <v>54.62</v>
      </c>
      <c r="AB80">
        <v>0</v>
      </c>
      <c r="AC80">
        <v>0</v>
      </c>
      <c r="AD80">
        <v>0</v>
      </c>
      <c r="AE80">
        <v>41.38</v>
      </c>
      <c r="AF80">
        <v>0</v>
      </c>
      <c r="AG80">
        <v>0</v>
      </c>
      <c r="AH80">
        <v>0</v>
      </c>
      <c r="AI80">
        <v>1.32</v>
      </c>
      <c r="AJ80">
        <v>1</v>
      </c>
      <c r="AK80">
        <v>1</v>
      </c>
      <c r="AL80">
        <v>1</v>
      </c>
      <c r="AM80">
        <v>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29.94</v>
      </c>
      <c r="AU80" t="s">
        <v>3</v>
      </c>
      <c r="AV80">
        <v>0</v>
      </c>
      <c r="AW80">
        <v>2</v>
      </c>
      <c r="AX80">
        <v>55873933</v>
      </c>
      <c r="AY80">
        <v>1</v>
      </c>
      <c r="AZ80">
        <v>0</v>
      </c>
      <c r="BA80">
        <v>85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1238.9172000000001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</v>
      </c>
      <c r="BQ80">
        <v>1238.9172000000001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CV80">
        <v>0</v>
      </c>
      <c r="CW80">
        <v>0</v>
      </c>
      <c r="CX80">
        <f>ROUND(Y80*Source!I49,7)</f>
        <v>155.68799999999999</v>
      </c>
      <c r="CY80">
        <f>AA80</f>
        <v>54.62</v>
      </c>
      <c r="CZ80">
        <f>AE80</f>
        <v>41.38</v>
      </c>
      <c r="DA80">
        <f>AI80</f>
        <v>1.32</v>
      </c>
      <c r="DB80">
        <f t="shared" ref="DB80:DB95" si="18">ROUND(ROUND(AT80*CZ80,2),6)</f>
        <v>1238.92</v>
      </c>
      <c r="DC80">
        <f t="shared" ref="DC80:DC95" si="19">ROUND(ROUND(AT80*AG80,2),6)</f>
        <v>0</v>
      </c>
      <c r="DD80" t="s">
        <v>3</v>
      </c>
      <c r="DE80" t="s">
        <v>3</v>
      </c>
      <c r="DF80">
        <f>ROUND(ROUND(AE80*AI80,2)*CX80,2)</f>
        <v>8503.68</v>
      </c>
      <c r="DG80">
        <f t="shared" si="12"/>
        <v>0</v>
      </c>
      <c r="DH80">
        <f t="shared" si="14"/>
        <v>0</v>
      </c>
      <c r="DI80">
        <f t="shared" si="15"/>
        <v>0</v>
      </c>
      <c r="DJ80">
        <f>DF80</f>
        <v>8503.68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ROW(Source!A49)</f>
        <v>49</v>
      </c>
      <c r="B81">
        <v>55860754</v>
      </c>
      <c r="C81">
        <v>55873919</v>
      </c>
      <c r="D81">
        <v>46170565</v>
      </c>
      <c r="E81">
        <v>1</v>
      </c>
      <c r="F81">
        <v>1</v>
      </c>
      <c r="G81">
        <v>1</v>
      </c>
      <c r="H81">
        <v>3</v>
      </c>
      <c r="I81" t="s">
        <v>164</v>
      </c>
      <c r="J81" t="s">
        <v>166</v>
      </c>
      <c r="K81" t="s">
        <v>165</v>
      </c>
      <c r="L81">
        <v>1327</v>
      </c>
      <c r="N81">
        <v>1005</v>
      </c>
      <c r="O81" t="s">
        <v>145</v>
      </c>
      <c r="P81" t="s">
        <v>145</v>
      </c>
      <c r="Q81">
        <v>1</v>
      </c>
      <c r="W81">
        <v>0</v>
      </c>
      <c r="X81">
        <v>2131258565</v>
      </c>
      <c r="Y81">
        <f t="shared" si="17"/>
        <v>116</v>
      </c>
      <c r="AA81">
        <v>339.03</v>
      </c>
      <c r="AB81">
        <v>0</v>
      </c>
      <c r="AC81">
        <v>0</v>
      </c>
      <c r="AD81">
        <v>0</v>
      </c>
      <c r="AE81">
        <v>339.03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0</v>
      </c>
      <c r="AP81">
        <v>0</v>
      </c>
      <c r="AQ81">
        <v>0</v>
      </c>
      <c r="AR81">
        <v>0</v>
      </c>
      <c r="AS81" t="s">
        <v>3</v>
      </c>
      <c r="AT81">
        <v>116</v>
      </c>
      <c r="AU81" t="s">
        <v>3</v>
      </c>
      <c r="AV81">
        <v>0</v>
      </c>
      <c r="AW81">
        <v>1</v>
      </c>
      <c r="AX81">
        <v>-1</v>
      </c>
      <c r="AY81">
        <v>0</v>
      </c>
      <c r="AZ81">
        <v>0</v>
      </c>
      <c r="BA81" t="s">
        <v>3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V81">
        <v>0</v>
      </c>
      <c r="CW81">
        <v>0</v>
      </c>
      <c r="CX81">
        <f>ROUND(Y81*Source!I49,7)</f>
        <v>603.20000000000005</v>
      </c>
      <c r="CY81">
        <f>AA81</f>
        <v>339.03</v>
      </c>
      <c r="CZ81">
        <f>AE81</f>
        <v>339.03</v>
      </c>
      <c r="DA81">
        <f>AI81</f>
        <v>1</v>
      </c>
      <c r="DB81">
        <f t="shared" si="18"/>
        <v>39327.480000000003</v>
      </c>
      <c r="DC81">
        <f t="shared" si="19"/>
        <v>0</v>
      </c>
      <c r="DD81" t="s">
        <v>3</v>
      </c>
      <c r="DE81" t="s">
        <v>3</v>
      </c>
      <c r="DF81">
        <f t="shared" ref="DF81:DF92" si="20">ROUND(ROUND(AE81,2)*CX81,2)</f>
        <v>204502.9</v>
      </c>
      <c r="DG81">
        <f t="shared" si="12"/>
        <v>0</v>
      </c>
      <c r="DH81">
        <f t="shared" si="14"/>
        <v>0</v>
      </c>
      <c r="DI81">
        <f t="shared" si="15"/>
        <v>0</v>
      </c>
      <c r="DJ81">
        <f>DF81</f>
        <v>204502.9</v>
      </c>
      <c r="DK81">
        <v>1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ROW(Source!A49)</f>
        <v>49</v>
      </c>
      <c r="B82">
        <v>55860754</v>
      </c>
      <c r="C82">
        <v>55873919</v>
      </c>
      <c r="D82">
        <v>46170596</v>
      </c>
      <c r="E82">
        <v>1</v>
      </c>
      <c r="F82">
        <v>1</v>
      </c>
      <c r="G82">
        <v>1</v>
      </c>
      <c r="H82">
        <v>3</v>
      </c>
      <c r="I82" t="s">
        <v>161</v>
      </c>
      <c r="J82" t="s">
        <v>162</v>
      </c>
      <c r="K82" t="s">
        <v>448</v>
      </c>
      <c r="L82">
        <v>1327</v>
      </c>
      <c r="N82">
        <v>1005</v>
      </c>
      <c r="O82" t="s">
        <v>145</v>
      </c>
      <c r="P82" t="s">
        <v>145</v>
      </c>
      <c r="Q82">
        <v>1</v>
      </c>
      <c r="W82">
        <v>0</v>
      </c>
      <c r="X82">
        <v>959419674</v>
      </c>
      <c r="Y82">
        <f t="shared" si="17"/>
        <v>114</v>
      </c>
      <c r="AA82">
        <v>584.16999999999996</v>
      </c>
      <c r="AB82">
        <v>0</v>
      </c>
      <c r="AC82">
        <v>0</v>
      </c>
      <c r="AD82">
        <v>0</v>
      </c>
      <c r="AE82">
        <v>584.16999999999996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0</v>
      </c>
      <c r="AP82">
        <v>0</v>
      </c>
      <c r="AQ82">
        <v>0</v>
      </c>
      <c r="AR82">
        <v>0</v>
      </c>
      <c r="AS82" t="s">
        <v>3</v>
      </c>
      <c r="AT82">
        <v>114</v>
      </c>
      <c r="AU82" t="s">
        <v>3</v>
      </c>
      <c r="AV82">
        <v>0</v>
      </c>
      <c r="AW82">
        <v>1</v>
      </c>
      <c r="AX82">
        <v>-1</v>
      </c>
      <c r="AY82">
        <v>0</v>
      </c>
      <c r="AZ82">
        <v>0</v>
      </c>
      <c r="BA82" t="s">
        <v>3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V82">
        <v>0</v>
      </c>
      <c r="CW82">
        <v>0</v>
      </c>
      <c r="CX82">
        <f>ROUND(Y82*Source!I49,7)</f>
        <v>592.79999999999995</v>
      </c>
      <c r="CY82">
        <f>AA82</f>
        <v>584.16999999999996</v>
      </c>
      <c r="CZ82">
        <f>AE82</f>
        <v>584.16999999999996</v>
      </c>
      <c r="DA82">
        <f>AI82</f>
        <v>1</v>
      </c>
      <c r="DB82">
        <f t="shared" si="18"/>
        <v>66595.38</v>
      </c>
      <c r="DC82">
        <f t="shared" si="19"/>
        <v>0</v>
      </c>
      <c r="DD82" t="s">
        <v>3</v>
      </c>
      <c r="DE82" t="s">
        <v>3</v>
      </c>
      <c r="DF82">
        <f t="shared" si="20"/>
        <v>346295.98</v>
      </c>
      <c r="DG82">
        <f t="shared" si="12"/>
        <v>0</v>
      </c>
      <c r="DH82">
        <f t="shared" si="14"/>
        <v>0</v>
      </c>
      <c r="DI82">
        <f t="shared" si="15"/>
        <v>0</v>
      </c>
      <c r="DJ82">
        <f>DF82</f>
        <v>346295.98</v>
      </c>
      <c r="DK82">
        <v>1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ROW(Source!A52)</f>
        <v>52</v>
      </c>
      <c r="B83">
        <v>55860754</v>
      </c>
      <c r="C83">
        <v>55873941</v>
      </c>
      <c r="D83">
        <v>35812902</v>
      </c>
      <c r="E83">
        <v>111</v>
      </c>
      <c r="F83">
        <v>1</v>
      </c>
      <c r="G83">
        <v>1</v>
      </c>
      <c r="H83">
        <v>1</v>
      </c>
      <c r="I83" t="s">
        <v>344</v>
      </c>
      <c r="J83" t="s">
        <v>3</v>
      </c>
      <c r="K83" t="s">
        <v>392</v>
      </c>
      <c r="L83">
        <v>1191</v>
      </c>
      <c r="N83">
        <v>1013</v>
      </c>
      <c r="O83" t="s">
        <v>346</v>
      </c>
      <c r="P83" t="s">
        <v>346</v>
      </c>
      <c r="Q83">
        <v>1</v>
      </c>
      <c r="W83">
        <v>0</v>
      </c>
      <c r="X83">
        <v>2031828327</v>
      </c>
      <c r="Y83">
        <f t="shared" si="17"/>
        <v>9.1</v>
      </c>
      <c r="AA83">
        <v>0</v>
      </c>
      <c r="AB83">
        <v>0</v>
      </c>
      <c r="AC83">
        <v>0</v>
      </c>
      <c r="AD83">
        <v>329.43</v>
      </c>
      <c r="AE83">
        <v>0</v>
      </c>
      <c r="AF83">
        <v>0</v>
      </c>
      <c r="AG83">
        <v>0</v>
      </c>
      <c r="AH83">
        <v>329.43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0</v>
      </c>
      <c r="AP83">
        <v>1</v>
      </c>
      <c r="AQ83">
        <v>1</v>
      </c>
      <c r="AR83">
        <v>0</v>
      </c>
      <c r="AS83" t="s">
        <v>3</v>
      </c>
      <c r="AT83">
        <v>9.1</v>
      </c>
      <c r="AU83" t="s">
        <v>3</v>
      </c>
      <c r="AV83">
        <v>1</v>
      </c>
      <c r="AW83">
        <v>2</v>
      </c>
      <c r="AX83">
        <v>55873945</v>
      </c>
      <c r="AY83">
        <v>2</v>
      </c>
      <c r="AZ83">
        <v>131072</v>
      </c>
      <c r="BA83">
        <v>88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2997.8130000000001</v>
      </c>
      <c r="BN83">
        <v>9.1</v>
      </c>
      <c r="BO83">
        <v>0</v>
      </c>
      <c r="BP83">
        <v>1</v>
      </c>
      <c r="BQ83">
        <v>0</v>
      </c>
      <c r="BR83">
        <v>0</v>
      </c>
      <c r="BS83">
        <v>0</v>
      </c>
      <c r="BT83">
        <v>2997.8130000000001</v>
      </c>
      <c r="BU83">
        <v>9.1</v>
      </c>
      <c r="BV83">
        <v>0</v>
      </c>
      <c r="BW83">
        <v>1</v>
      </c>
      <c r="CU83">
        <f>ROUND(AT83*Source!I52*AH83*AL83,2)</f>
        <v>3057.77</v>
      </c>
      <c r="CV83">
        <f>ROUND(Y83*Source!I52,7)</f>
        <v>9.282</v>
      </c>
      <c r="CW83">
        <v>0</v>
      </c>
      <c r="CX83">
        <f>ROUND(Y83*Source!I52,7)</f>
        <v>9.282</v>
      </c>
      <c r="CY83">
        <f>AD83</f>
        <v>329.43</v>
      </c>
      <c r="CZ83">
        <f>AH83</f>
        <v>329.43</v>
      </c>
      <c r="DA83">
        <f>AL83</f>
        <v>1</v>
      </c>
      <c r="DB83">
        <f t="shared" si="18"/>
        <v>2997.81</v>
      </c>
      <c r="DC83">
        <f t="shared" si="19"/>
        <v>0</v>
      </c>
      <c r="DD83" t="s">
        <v>3</v>
      </c>
      <c r="DE83" t="s">
        <v>3</v>
      </c>
      <c r="DF83">
        <f t="shared" si="20"/>
        <v>0</v>
      </c>
      <c r="DG83">
        <f t="shared" si="12"/>
        <v>0</v>
      </c>
      <c r="DH83">
        <f t="shared" si="14"/>
        <v>0</v>
      </c>
      <c r="DI83">
        <f t="shared" si="15"/>
        <v>3057.77</v>
      </c>
      <c r="DJ83">
        <f>DI83</f>
        <v>3057.77</v>
      </c>
      <c r="DK83">
        <v>1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ROW(Source!A52)</f>
        <v>52</v>
      </c>
      <c r="B84">
        <v>55860754</v>
      </c>
      <c r="C84">
        <v>55873941</v>
      </c>
      <c r="D84">
        <v>46205557</v>
      </c>
      <c r="E84">
        <v>1</v>
      </c>
      <c r="F84">
        <v>1</v>
      </c>
      <c r="G84">
        <v>1</v>
      </c>
      <c r="H84">
        <v>2</v>
      </c>
      <c r="I84" t="s">
        <v>410</v>
      </c>
      <c r="J84" t="s">
        <v>411</v>
      </c>
      <c r="K84" t="s">
        <v>412</v>
      </c>
      <c r="L84">
        <v>1368</v>
      </c>
      <c r="N84">
        <v>1011</v>
      </c>
      <c r="O84" t="s">
        <v>350</v>
      </c>
      <c r="P84" t="s">
        <v>350</v>
      </c>
      <c r="Q84">
        <v>1</v>
      </c>
      <c r="W84">
        <v>0</v>
      </c>
      <c r="X84">
        <v>-1027711069</v>
      </c>
      <c r="Y84">
        <f t="shared" si="17"/>
        <v>0.12</v>
      </c>
      <c r="AA84">
        <v>0</v>
      </c>
      <c r="AB84">
        <v>10.33</v>
      </c>
      <c r="AC84">
        <v>0</v>
      </c>
      <c r="AD84">
        <v>0</v>
      </c>
      <c r="AE84">
        <v>0</v>
      </c>
      <c r="AF84">
        <v>6.62</v>
      </c>
      <c r="AG84">
        <v>0</v>
      </c>
      <c r="AH84">
        <v>0</v>
      </c>
      <c r="AI84">
        <v>1</v>
      </c>
      <c r="AJ84">
        <v>1.56</v>
      </c>
      <c r="AK84">
        <v>1</v>
      </c>
      <c r="AL84">
        <v>1</v>
      </c>
      <c r="AM84">
        <v>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3</v>
      </c>
      <c r="AT84">
        <v>0.12</v>
      </c>
      <c r="AU84" t="s">
        <v>3</v>
      </c>
      <c r="AV84">
        <v>1</v>
      </c>
      <c r="AW84">
        <v>2</v>
      </c>
      <c r="AX84">
        <v>55873946</v>
      </c>
      <c r="AY84">
        <v>1</v>
      </c>
      <c r="AZ84">
        <v>0</v>
      </c>
      <c r="BA84">
        <v>89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0.7944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0.7944</v>
      </c>
      <c r="BS84">
        <v>0</v>
      </c>
      <c r="BT84">
        <v>0</v>
      </c>
      <c r="BU84">
        <v>0</v>
      </c>
      <c r="BV84">
        <v>0</v>
      </c>
      <c r="BW84">
        <v>1</v>
      </c>
      <c r="CV84">
        <v>0</v>
      </c>
      <c r="CW84">
        <f>ROUND(Y84*Source!I52*DO84,7)</f>
        <v>0</v>
      </c>
      <c r="CX84">
        <f>ROUND(Y84*Source!I52,7)</f>
        <v>0.12239999999999999</v>
      </c>
      <c r="CY84">
        <f>AB84</f>
        <v>10.33</v>
      </c>
      <c r="CZ84">
        <f>AF84</f>
        <v>6.62</v>
      </c>
      <c r="DA84">
        <f>AJ84</f>
        <v>1.56</v>
      </c>
      <c r="DB84">
        <f t="shared" si="18"/>
        <v>0.79</v>
      </c>
      <c r="DC84">
        <f t="shared" si="19"/>
        <v>0</v>
      </c>
      <c r="DD84" t="s">
        <v>3</v>
      </c>
      <c r="DE84" t="s">
        <v>3</v>
      </c>
      <c r="DF84">
        <f t="shared" si="20"/>
        <v>0</v>
      </c>
      <c r="DG84">
        <f>ROUND(ROUND(AF84*AJ84,2)*CX84,2)</f>
        <v>1.26</v>
      </c>
      <c r="DH84">
        <f t="shared" si="14"/>
        <v>0</v>
      </c>
      <c r="DI84">
        <f t="shared" si="15"/>
        <v>0</v>
      </c>
      <c r="DJ84">
        <f>DG84+DH84</f>
        <v>1.26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ROW(Source!A52)</f>
        <v>52</v>
      </c>
      <c r="B85">
        <v>55860754</v>
      </c>
      <c r="C85">
        <v>55873941</v>
      </c>
      <c r="D85">
        <v>46090489</v>
      </c>
      <c r="E85">
        <v>111</v>
      </c>
      <c r="F85">
        <v>1</v>
      </c>
      <c r="G85">
        <v>1</v>
      </c>
      <c r="H85">
        <v>3</v>
      </c>
      <c r="I85" t="s">
        <v>39</v>
      </c>
      <c r="J85" t="s">
        <v>3</v>
      </c>
      <c r="K85" t="s">
        <v>40</v>
      </c>
      <c r="L85">
        <v>1348</v>
      </c>
      <c r="N85">
        <v>1009</v>
      </c>
      <c r="O85" t="s">
        <v>41</v>
      </c>
      <c r="P85" t="s">
        <v>41</v>
      </c>
      <c r="Q85">
        <v>1000</v>
      </c>
      <c r="W85">
        <v>0</v>
      </c>
      <c r="X85">
        <v>2102561428</v>
      </c>
      <c r="Y85">
        <f t="shared" si="17"/>
        <v>0.12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-2</v>
      </c>
      <c r="AN85">
        <v>0</v>
      </c>
      <c r="AO85">
        <v>0</v>
      </c>
      <c r="AP85">
        <v>1</v>
      </c>
      <c r="AQ85">
        <v>0</v>
      </c>
      <c r="AR85">
        <v>0</v>
      </c>
      <c r="AS85" t="s">
        <v>3</v>
      </c>
      <c r="AT85">
        <v>0.12</v>
      </c>
      <c r="AU85" t="s">
        <v>3</v>
      </c>
      <c r="AV85">
        <v>0</v>
      </c>
      <c r="AW85">
        <v>2</v>
      </c>
      <c r="AX85">
        <v>55873947</v>
      </c>
      <c r="AY85">
        <v>1</v>
      </c>
      <c r="AZ85">
        <v>0</v>
      </c>
      <c r="BA85">
        <v>90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v>0</v>
      </c>
      <c r="CX85">
        <f>ROUND(Y85*Source!I52,7)</f>
        <v>0.12239999999999999</v>
      </c>
      <c r="CY85">
        <f>AA85</f>
        <v>0</v>
      </c>
      <c r="CZ85">
        <f>AE85</f>
        <v>0</v>
      </c>
      <c r="DA85">
        <f>AI85</f>
        <v>1</v>
      </c>
      <c r="DB85">
        <f t="shared" si="18"/>
        <v>0</v>
      </c>
      <c r="DC85">
        <f t="shared" si="19"/>
        <v>0</v>
      </c>
      <c r="DD85" t="s">
        <v>3</v>
      </c>
      <c r="DE85" t="s">
        <v>3</v>
      </c>
      <c r="DF85">
        <f t="shared" si="20"/>
        <v>0</v>
      </c>
      <c r="DG85">
        <f>ROUND(ROUND(AF85,2)*CX85,2)</f>
        <v>0</v>
      </c>
      <c r="DH85">
        <f t="shared" si="14"/>
        <v>0</v>
      </c>
      <c r="DI85">
        <f t="shared" si="15"/>
        <v>0</v>
      </c>
      <c r="DJ85">
        <f>DF85</f>
        <v>0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ROW(Source!A54)</f>
        <v>54</v>
      </c>
      <c r="B86">
        <v>55860754</v>
      </c>
      <c r="C86">
        <v>55873949</v>
      </c>
      <c r="D86">
        <v>35812902</v>
      </c>
      <c r="E86">
        <v>111</v>
      </c>
      <c r="F86">
        <v>1</v>
      </c>
      <c r="G86">
        <v>1</v>
      </c>
      <c r="H86">
        <v>1</v>
      </c>
      <c r="I86" t="s">
        <v>344</v>
      </c>
      <c r="J86" t="s">
        <v>3</v>
      </c>
      <c r="K86" t="s">
        <v>392</v>
      </c>
      <c r="L86">
        <v>1191</v>
      </c>
      <c r="N86">
        <v>1013</v>
      </c>
      <c r="O86" t="s">
        <v>346</v>
      </c>
      <c r="P86" t="s">
        <v>346</v>
      </c>
      <c r="Q86">
        <v>1</v>
      </c>
      <c r="W86">
        <v>0</v>
      </c>
      <c r="X86">
        <v>2031828327</v>
      </c>
      <c r="Y86">
        <f t="shared" si="17"/>
        <v>14.38</v>
      </c>
      <c r="AA86">
        <v>0</v>
      </c>
      <c r="AB86">
        <v>0</v>
      </c>
      <c r="AC86">
        <v>0</v>
      </c>
      <c r="AD86">
        <v>329.43</v>
      </c>
      <c r="AE86">
        <v>0</v>
      </c>
      <c r="AF86">
        <v>0</v>
      </c>
      <c r="AG86">
        <v>0</v>
      </c>
      <c r="AH86">
        <v>329.43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14.38</v>
      </c>
      <c r="AU86" t="s">
        <v>3</v>
      </c>
      <c r="AV86">
        <v>1</v>
      </c>
      <c r="AW86">
        <v>2</v>
      </c>
      <c r="AX86">
        <v>55873952</v>
      </c>
      <c r="AY86">
        <v>2</v>
      </c>
      <c r="AZ86">
        <v>131072</v>
      </c>
      <c r="BA86">
        <v>91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4737.2034000000003</v>
      </c>
      <c r="BN86">
        <v>14.38</v>
      </c>
      <c r="BO86">
        <v>0</v>
      </c>
      <c r="BP86">
        <v>1</v>
      </c>
      <c r="BQ86">
        <v>0</v>
      </c>
      <c r="BR86">
        <v>0</v>
      </c>
      <c r="BS86">
        <v>0</v>
      </c>
      <c r="BT86">
        <v>4737.2034000000003</v>
      </c>
      <c r="BU86">
        <v>14.38</v>
      </c>
      <c r="BV86">
        <v>0</v>
      </c>
      <c r="BW86">
        <v>1</v>
      </c>
      <c r="CU86">
        <f>ROUND(AT86*Source!I54*AH86*AL86,2)</f>
        <v>2415.9699999999998</v>
      </c>
      <c r="CV86">
        <f>ROUND(Y86*Source!I54,7)</f>
        <v>7.3338000000000001</v>
      </c>
      <c r="CW86">
        <v>0</v>
      </c>
      <c r="CX86">
        <f>ROUND(Y86*Source!I54,7)</f>
        <v>7.3338000000000001</v>
      </c>
      <c r="CY86">
        <f>AD86</f>
        <v>329.43</v>
      </c>
      <c r="CZ86">
        <f>AH86</f>
        <v>329.43</v>
      </c>
      <c r="DA86">
        <f>AL86</f>
        <v>1</v>
      </c>
      <c r="DB86">
        <f t="shared" si="18"/>
        <v>4737.2</v>
      </c>
      <c r="DC86">
        <f t="shared" si="19"/>
        <v>0</v>
      </c>
      <c r="DD86" t="s">
        <v>3</v>
      </c>
      <c r="DE86" t="s">
        <v>3</v>
      </c>
      <c r="DF86">
        <f t="shared" si="20"/>
        <v>0</v>
      </c>
      <c r="DG86">
        <f>ROUND(ROUND(AF86,2)*CX86,2)</f>
        <v>0</v>
      </c>
      <c r="DH86">
        <f t="shared" si="14"/>
        <v>0</v>
      </c>
      <c r="DI86">
        <f t="shared" si="15"/>
        <v>2415.9699999999998</v>
      </c>
      <c r="DJ86">
        <f>DI86</f>
        <v>2415.9699999999998</v>
      </c>
      <c r="DK86">
        <v>1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ROW(Source!A54)</f>
        <v>54</v>
      </c>
      <c r="B87">
        <v>55860754</v>
      </c>
      <c r="C87">
        <v>55873949</v>
      </c>
      <c r="D87">
        <v>46205552</v>
      </c>
      <c r="E87">
        <v>1</v>
      </c>
      <c r="F87">
        <v>1</v>
      </c>
      <c r="G87">
        <v>1</v>
      </c>
      <c r="H87">
        <v>2</v>
      </c>
      <c r="I87" t="s">
        <v>347</v>
      </c>
      <c r="J87" t="s">
        <v>348</v>
      </c>
      <c r="K87" t="s">
        <v>349</v>
      </c>
      <c r="L87">
        <v>1368</v>
      </c>
      <c r="N87">
        <v>1011</v>
      </c>
      <c r="O87" t="s">
        <v>350</v>
      </c>
      <c r="P87" t="s">
        <v>350</v>
      </c>
      <c r="Q87">
        <v>1</v>
      </c>
      <c r="W87">
        <v>0</v>
      </c>
      <c r="X87">
        <v>-2067907910</v>
      </c>
      <c r="Y87">
        <f t="shared" si="17"/>
        <v>6.22</v>
      </c>
      <c r="AA87">
        <v>0</v>
      </c>
      <c r="AB87">
        <v>17.86</v>
      </c>
      <c r="AC87">
        <v>0</v>
      </c>
      <c r="AD87">
        <v>0</v>
      </c>
      <c r="AE87">
        <v>0</v>
      </c>
      <c r="AF87">
        <v>11.45</v>
      </c>
      <c r="AG87">
        <v>0</v>
      </c>
      <c r="AH87">
        <v>0</v>
      </c>
      <c r="AI87">
        <v>1</v>
      </c>
      <c r="AJ87">
        <v>1.56</v>
      </c>
      <c r="AK87">
        <v>1</v>
      </c>
      <c r="AL87">
        <v>1</v>
      </c>
      <c r="AM87">
        <v>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3</v>
      </c>
      <c r="AT87">
        <v>6.22</v>
      </c>
      <c r="AU87" t="s">
        <v>3</v>
      </c>
      <c r="AV87">
        <v>1</v>
      </c>
      <c r="AW87">
        <v>2</v>
      </c>
      <c r="AX87">
        <v>55873953</v>
      </c>
      <c r="AY87">
        <v>2</v>
      </c>
      <c r="AZ87">
        <v>32768</v>
      </c>
      <c r="BA87">
        <v>92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71.218999999999994</v>
      </c>
      <c r="BL87">
        <v>0</v>
      </c>
      <c r="BM87">
        <v>0</v>
      </c>
      <c r="BN87">
        <v>0</v>
      </c>
      <c r="BO87">
        <v>0</v>
      </c>
      <c r="BP87">
        <v>1</v>
      </c>
      <c r="BQ87">
        <v>0</v>
      </c>
      <c r="BR87">
        <v>71.218999999999994</v>
      </c>
      <c r="BS87">
        <v>0</v>
      </c>
      <c r="BT87">
        <v>0</v>
      </c>
      <c r="BU87">
        <v>0</v>
      </c>
      <c r="BV87">
        <v>0</v>
      </c>
      <c r="BW87">
        <v>1</v>
      </c>
      <c r="CV87">
        <v>0</v>
      </c>
      <c r="CW87">
        <f>ROUND(Y87*Source!I54*DO87,7)</f>
        <v>0</v>
      </c>
      <c r="CX87">
        <f>ROUND(Y87*Source!I54,7)</f>
        <v>3.1722000000000001</v>
      </c>
      <c r="CY87">
        <f>AB87</f>
        <v>17.86</v>
      </c>
      <c r="CZ87">
        <f>AF87</f>
        <v>11.45</v>
      </c>
      <c r="DA87">
        <f>AJ87</f>
        <v>1.56</v>
      </c>
      <c r="DB87">
        <f t="shared" si="18"/>
        <v>71.22</v>
      </c>
      <c r="DC87">
        <f t="shared" si="19"/>
        <v>0</v>
      </c>
      <c r="DD87" t="s">
        <v>3</v>
      </c>
      <c r="DE87" t="s">
        <v>3</v>
      </c>
      <c r="DF87">
        <f t="shared" si="20"/>
        <v>0</v>
      </c>
      <c r="DG87">
        <f>ROUND(ROUND(AF87*AJ87,2)*CX87,2)</f>
        <v>56.66</v>
      </c>
      <c r="DH87">
        <f t="shared" si="14"/>
        <v>0</v>
      </c>
      <c r="DI87">
        <f t="shared" si="15"/>
        <v>0</v>
      </c>
      <c r="DJ87">
        <f>DG87+DH87</f>
        <v>56.66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ROW(Source!A55)</f>
        <v>55</v>
      </c>
      <c r="B88">
        <v>55860754</v>
      </c>
      <c r="C88">
        <v>55873954</v>
      </c>
      <c r="D88">
        <v>35812918</v>
      </c>
      <c r="E88">
        <v>111</v>
      </c>
      <c r="F88">
        <v>1</v>
      </c>
      <c r="G88">
        <v>1</v>
      </c>
      <c r="H88">
        <v>1</v>
      </c>
      <c r="I88" t="s">
        <v>413</v>
      </c>
      <c r="J88" t="s">
        <v>3</v>
      </c>
      <c r="K88" t="s">
        <v>414</v>
      </c>
      <c r="L88">
        <v>1191</v>
      </c>
      <c r="N88">
        <v>1013</v>
      </c>
      <c r="O88" t="s">
        <v>346</v>
      </c>
      <c r="P88" t="s">
        <v>346</v>
      </c>
      <c r="Q88">
        <v>1</v>
      </c>
      <c r="W88">
        <v>0</v>
      </c>
      <c r="X88">
        <v>-1810713292</v>
      </c>
      <c r="Y88">
        <f t="shared" si="17"/>
        <v>35.5</v>
      </c>
      <c r="AA88">
        <v>0</v>
      </c>
      <c r="AB88">
        <v>0</v>
      </c>
      <c r="AC88">
        <v>0</v>
      </c>
      <c r="AD88">
        <v>386.85</v>
      </c>
      <c r="AE88">
        <v>0</v>
      </c>
      <c r="AF88">
        <v>0</v>
      </c>
      <c r="AG88">
        <v>0</v>
      </c>
      <c r="AH88">
        <v>386.85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35.5</v>
      </c>
      <c r="AU88" t="s">
        <v>3</v>
      </c>
      <c r="AV88">
        <v>1</v>
      </c>
      <c r="AW88">
        <v>2</v>
      </c>
      <c r="AX88">
        <v>55873963</v>
      </c>
      <c r="AY88">
        <v>2</v>
      </c>
      <c r="AZ88">
        <v>131072</v>
      </c>
      <c r="BA88">
        <v>93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13733.175000000001</v>
      </c>
      <c r="BN88">
        <v>35.5</v>
      </c>
      <c r="BO88">
        <v>0</v>
      </c>
      <c r="BP88">
        <v>1</v>
      </c>
      <c r="BQ88">
        <v>0</v>
      </c>
      <c r="BR88">
        <v>0</v>
      </c>
      <c r="BS88">
        <v>0</v>
      </c>
      <c r="BT88">
        <v>13733.175000000001</v>
      </c>
      <c r="BU88">
        <v>35.5</v>
      </c>
      <c r="BV88">
        <v>0</v>
      </c>
      <c r="BW88">
        <v>1</v>
      </c>
      <c r="CU88">
        <f>ROUND(AT88*Source!I55*AH88*AL88,2)</f>
        <v>14007.84</v>
      </c>
      <c r="CV88">
        <f>ROUND(Y88*Source!I55,7)</f>
        <v>36.21</v>
      </c>
      <c r="CW88">
        <v>0</v>
      </c>
      <c r="CX88">
        <f>ROUND(Y88*Source!I55,7)</f>
        <v>36.21</v>
      </c>
      <c r="CY88">
        <f>AD88</f>
        <v>386.85</v>
      </c>
      <c r="CZ88">
        <f>AH88</f>
        <v>386.85</v>
      </c>
      <c r="DA88">
        <f>AL88</f>
        <v>1</v>
      </c>
      <c r="DB88">
        <f t="shared" si="18"/>
        <v>13733.18</v>
      </c>
      <c r="DC88">
        <f t="shared" si="19"/>
        <v>0</v>
      </c>
      <c r="DD88" t="s">
        <v>3</v>
      </c>
      <c r="DE88" t="s">
        <v>3</v>
      </c>
      <c r="DF88">
        <f t="shared" si="20"/>
        <v>0</v>
      </c>
      <c r="DG88">
        <f t="shared" ref="DG88:DG102" si="21">ROUND(ROUND(AF88,2)*CX88,2)</f>
        <v>0</v>
      </c>
      <c r="DH88">
        <f t="shared" si="14"/>
        <v>0</v>
      </c>
      <c r="DI88">
        <f t="shared" si="15"/>
        <v>14007.84</v>
      </c>
      <c r="DJ88">
        <f>DI88</f>
        <v>14007.84</v>
      </c>
      <c r="DK88">
        <v>1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ROW(Source!A55)</f>
        <v>55</v>
      </c>
      <c r="B89">
        <v>55860754</v>
      </c>
      <c r="C89">
        <v>55873954</v>
      </c>
      <c r="D89">
        <v>35812888</v>
      </c>
      <c r="E89">
        <v>111</v>
      </c>
      <c r="F89">
        <v>1</v>
      </c>
      <c r="G89">
        <v>1</v>
      </c>
      <c r="H89">
        <v>1</v>
      </c>
      <c r="I89" t="s">
        <v>353</v>
      </c>
      <c r="J89" t="s">
        <v>3</v>
      </c>
      <c r="K89" t="s">
        <v>354</v>
      </c>
      <c r="L89">
        <v>1191</v>
      </c>
      <c r="N89">
        <v>1013</v>
      </c>
      <c r="O89" t="s">
        <v>346</v>
      </c>
      <c r="P89" t="s">
        <v>346</v>
      </c>
      <c r="Q89">
        <v>1</v>
      </c>
      <c r="W89">
        <v>0</v>
      </c>
      <c r="X89">
        <v>-1417349443</v>
      </c>
      <c r="Y89">
        <f t="shared" si="17"/>
        <v>0.86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0.86</v>
      </c>
      <c r="AU89" t="s">
        <v>3</v>
      </c>
      <c r="AV89">
        <v>2</v>
      </c>
      <c r="AW89">
        <v>2</v>
      </c>
      <c r="AX89">
        <v>55873964</v>
      </c>
      <c r="AY89">
        <v>1</v>
      </c>
      <c r="AZ89">
        <v>0</v>
      </c>
      <c r="BA89">
        <v>94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ROUND(Y89*Source!I55,7)</f>
        <v>0.87719999999999998</v>
      </c>
      <c r="CY89">
        <f>AD89</f>
        <v>0</v>
      </c>
      <c r="CZ89">
        <f>AH89</f>
        <v>0</v>
      </c>
      <c r="DA89">
        <f>AL89</f>
        <v>1</v>
      </c>
      <c r="DB89">
        <f t="shared" si="18"/>
        <v>0</v>
      </c>
      <c r="DC89">
        <f t="shared" si="19"/>
        <v>0</v>
      </c>
      <c r="DD89" t="s">
        <v>3</v>
      </c>
      <c r="DE89" t="s">
        <v>3</v>
      </c>
      <c r="DF89">
        <f t="shared" si="20"/>
        <v>0</v>
      </c>
      <c r="DG89">
        <f t="shared" si="21"/>
        <v>0</v>
      </c>
      <c r="DH89">
        <f t="shared" si="14"/>
        <v>0</v>
      </c>
      <c r="DI89">
        <f t="shared" si="15"/>
        <v>0</v>
      </c>
      <c r="DJ89">
        <f>DI89</f>
        <v>0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ROW(Source!A55)</f>
        <v>55</v>
      </c>
      <c r="B90">
        <v>55860754</v>
      </c>
      <c r="C90">
        <v>55873954</v>
      </c>
      <c r="D90">
        <v>46205366</v>
      </c>
      <c r="E90">
        <v>1</v>
      </c>
      <c r="F90">
        <v>1</v>
      </c>
      <c r="G90">
        <v>1</v>
      </c>
      <c r="H90">
        <v>2</v>
      </c>
      <c r="I90" t="s">
        <v>355</v>
      </c>
      <c r="J90" t="s">
        <v>356</v>
      </c>
      <c r="K90" t="s">
        <v>357</v>
      </c>
      <c r="L90">
        <v>1368</v>
      </c>
      <c r="N90">
        <v>1011</v>
      </c>
      <c r="O90" t="s">
        <v>350</v>
      </c>
      <c r="P90" t="s">
        <v>350</v>
      </c>
      <c r="Q90">
        <v>1</v>
      </c>
      <c r="W90">
        <v>0</v>
      </c>
      <c r="X90">
        <v>2016779784</v>
      </c>
      <c r="Y90">
        <f t="shared" si="17"/>
        <v>0.61</v>
      </c>
      <c r="AA90">
        <v>0</v>
      </c>
      <c r="AB90">
        <v>1098</v>
      </c>
      <c r="AC90">
        <v>544.01</v>
      </c>
      <c r="AD90">
        <v>0</v>
      </c>
      <c r="AE90">
        <v>0</v>
      </c>
      <c r="AF90">
        <v>1098</v>
      </c>
      <c r="AG90">
        <v>544.01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3</v>
      </c>
      <c r="AT90">
        <v>0.61</v>
      </c>
      <c r="AU90" t="s">
        <v>3</v>
      </c>
      <c r="AV90">
        <v>1</v>
      </c>
      <c r="AW90">
        <v>2</v>
      </c>
      <c r="AX90">
        <v>55873965</v>
      </c>
      <c r="AY90">
        <v>2</v>
      </c>
      <c r="AZ90">
        <v>98304</v>
      </c>
      <c r="BA90">
        <v>95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669.78</v>
      </c>
      <c r="BL90">
        <v>331.84609999999998</v>
      </c>
      <c r="BM90">
        <v>0</v>
      </c>
      <c r="BN90">
        <v>0</v>
      </c>
      <c r="BO90">
        <v>0.61</v>
      </c>
      <c r="BP90">
        <v>1</v>
      </c>
      <c r="BQ90">
        <v>0</v>
      </c>
      <c r="BR90">
        <v>669.78</v>
      </c>
      <c r="BS90">
        <v>331.84609999999998</v>
      </c>
      <c r="BT90">
        <v>0</v>
      </c>
      <c r="BU90">
        <v>0</v>
      </c>
      <c r="BV90">
        <v>0.61</v>
      </c>
      <c r="BW90">
        <v>1</v>
      </c>
      <c r="CV90">
        <v>0</v>
      </c>
      <c r="CW90">
        <f>ROUND(Y90*Source!I55*DO90,7)</f>
        <v>0.62219999999999998</v>
      </c>
      <c r="CX90">
        <f>ROUND(Y90*Source!I55,7)</f>
        <v>0.62219999999999998</v>
      </c>
      <c r="CY90">
        <f>AB90</f>
        <v>1098</v>
      </c>
      <c r="CZ90">
        <f>AF90</f>
        <v>1098</v>
      </c>
      <c r="DA90">
        <f>AJ90</f>
        <v>1</v>
      </c>
      <c r="DB90">
        <f t="shared" si="18"/>
        <v>669.78</v>
      </c>
      <c r="DC90">
        <f t="shared" si="19"/>
        <v>331.85</v>
      </c>
      <c r="DD90" t="s">
        <v>3</v>
      </c>
      <c r="DE90" t="s">
        <v>3</v>
      </c>
      <c r="DF90">
        <f t="shared" si="20"/>
        <v>0</v>
      </c>
      <c r="DG90">
        <f t="shared" si="21"/>
        <v>683.18</v>
      </c>
      <c r="DH90">
        <f t="shared" si="14"/>
        <v>338.48</v>
      </c>
      <c r="DI90">
        <f t="shared" si="15"/>
        <v>0</v>
      </c>
      <c r="DJ90">
        <f>DG90+DH90</f>
        <v>1021.66</v>
      </c>
      <c r="DK90">
        <v>1</v>
      </c>
      <c r="DL90" t="s">
        <v>358</v>
      </c>
      <c r="DM90">
        <v>6</v>
      </c>
      <c r="DN90" t="s">
        <v>346</v>
      </c>
      <c r="DO90">
        <v>1</v>
      </c>
    </row>
    <row r="91" spans="1:119" x14ac:dyDescent="0.2">
      <c r="A91">
        <f>ROW(Source!A55)</f>
        <v>55</v>
      </c>
      <c r="B91">
        <v>55860754</v>
      </c>
      <c r="C91">
        <v>55873954</v>
      </c>
      <c r="D91">
        <v>46205418</v>
      </c>
      <c r="E91">
        <v>1</v>
      </c>
      <c r="F91">
        <v>1</v>
      </c>
      <c r="G91">
        <v>1</v>
      </c>
      <c r="H91">
        <v>2</v>
      </c>
      <c r="I91" t="s">
        <v>397</v>
      </c>
      <c r="J91" t="s">
        <v>398</v>
      </c>
      <c r="K91" t="s">
        <v>399</v>
      </c>
      <c r="L91">
        <v>1368</v>
      </c>
      <c r="N91">
        <v>1011</v>
      </c>
      <c r="O91" t="s">
        <v>350</v>
      </c>
      <c r="P91" t="s">
        <v>350</v>
      </c>
      <c r="Q91">
        <v>1</v>
      </c>
      <c r="W91">
        <v>0</v>
      </c>
      <c r="X91">
        <v>-6703044</v>
      </c>
      <c r="Y91">
        <f t="shared" si="17"/>
        <v>0.1</v>
      </c>
      <c r="AA91">
        <v>0</v>
      </c>
      <c r="AB91">
        <v>1719.93</v>
      </c>
      <c r="AC91">
        <v>544.01</v>
      </c>
      <c r="AD91">
        <v>0</v>
      </c>
      <c r="AE91">
        <v>0</v>
      </c>
      <c r="AF91">
        <v>1719.93</v>
      </c>
      <c r="AG91">
        <v>544.01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1</v>
      </c>
      <c r="AQ91">
        <v>1</v>
      </c>
      <c r="AR91">
        <v>0</v>
      </c>
      <c r="AS91" t="s">
        <v>3</v>
      </c>
      <c r="AT91">
        <v>0.1</v>
      </c>
      <c r="AU91" t="s">
        <v>3</v>
      </c>
      <c r="AV91">
        <v>1</v>
      </c>
      <c r="AW91">
        <v>2</v>
      </c>
      <c r="AX91">
        <v>55873966</v>
      </c>
      <c r="AY91">
        <v>2</v>
      </c>
      <c r="AZ91">
        <v>98304</v>
      </c>
      <c r="BA91">
        <v>96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171.99300000000002</v>
      </c>
      <c r="BL91">
        <v>54.401000000000003</v>
      </c>
      <c r="BM91">
        <v>0</v>
      </c>
      <c r="BN91">
        <v>0</v>
      </c>
      <c r="BO91">
        <v>0.1</v>
      </c>
      <c r="BP91">
        <v>1</v>
      </c>
      <c r="BQ91">
        <v>0</v>
      </c>
      <c r="BR91">
        <v>171.99300000000002</v>
      </c>
      <c r="BS91">
        <v>54.401000000000003</v>
      </c>
      <c r="BT91">
        <v>0</v>
      </c>
      <c r="BU91">
        <v>0</v>
      </c>
      <c r="BV91">
        <v>0.1</v>
      </c>
      <c r="BW91">
        <v>1</v>
      </c>
      <c r="CV91">
        <v>0</v>
      </c>
      <c r="CW91">
        <f>ROUND(Y91*Source!I55*DO91,7)</f>
        <v>0.10199999999999999</v>
      </c>
      <c r="CX91">
        <f>ROUND(Y91*Source!I55,7)</f>
        <v>0.10199999999999999</v>
      </c>
      <c r="CY91">
        <f>AB91</f>
        <v>1719.93</v>
      </c>
      <c r="CZ91">
        <f>AF91</f>
        <v>1719.93</v>
      </c>
      <c r="DA91">
        <f>AJ91</f>
        <v>1</v>
      </c>
      <c r="DB91">
        <f t="shared" si="18"/>
        <v>171.99</v>
      </c>
      <c r="DC91">
        <f t="shared" si="19"/>
        <v>54.4</v>
      </c>
      <c r="DD91" t="s">
        <v>3</v>
      </c>
      <c r="DE91" t="s">
        <v>3</v>
      </c>
      <c r="DF91">
        <f t="shared" si="20"/>
        <v>0</v>
      </c>
      <c r="DG91">
        <f t="shared" si="21"/>
        <v>175.43</v>
      </c>
      <c r="DH91">
        <f t="shared" si="14"/>
        <v>55.49</v>
      </c>
      <c r="DI91">
        <f t="shared" si="15"/>
        <v>0</v>
      </c>
      <c r="DJ91">
        <f>DG91+DH91</f>
        <v>230.92000000000002</v>
      </c>
      <c r="DK91">
        <v>1</v>
      </c>
      <c r="DL91" t="s">
        <v>358</v>
      </c>
      <c r="DM91">
        <v>6</v>
      </c>
      <c r="DN91" t="s">
        <v>346</v>
      </c>
      <c r="DO91">
        <v>1</v>
      </c>
    </row>
    <row r="92" spans="1:119" x14ac:dyDescent="0.2">
      <c r="A92">
        <f>ROW(Source!A55)</f>
        <v>55</v>
      </c>
      <c r="B92">
        <v>55860754</v>
      </c>
      <c r="C92">
        <v>55873954</v>
      </c>
      <c r="D92">
        <v>46206301</v>
      </c>
      <c r="E92">
        <v>1</v>
      </c>
      <c r="F92">
        <v>1</v>
      </c>
      <c r="G92">
        <v>1</v>
      </c>
      <c r="H92">
        <v>2</v>
      </c>
      <c r="I92" t="s">
        <v>363</v>
      </c>
      <c r="J92" t="s">
        <v>364</v>
      </c>
      <c r="K92" t="s">
        <v>365</v>
      </c>
      <c r="L92">
        <v>1368</v>
      </c>
      <c r="N92">
        <v>1011</v>
      </c>
      <c r="O92" t="s">
        <v>350</v>
      </c>
      <c r="P92" t="s">
        <v>350</v>
      </c>
      <c r="Q92">
        <v>1</v>
      </c>
      <c r="W92">
        <v>0</v>
      </c>
      <c r="X92">
        <v>-773430059</v>
      </c>
      <c r="Y92">
        <f t="shared" si="17"/>
        <v>0.15</v>
      </c>
      <c r="AA92">
        <v>0</v>
      </c>
      <c r="AB92">
        <v>680.75</v>
      </c>
      <c r="AC92">
        <v>404.99</v>
      </c>
      <c r="AD92">
        <v>0</v>
      </c>
      <c r="AE92">
        <v>0</v>
      </c>
      <c r="AF92">
        <v>680.75</v>
      </c>
      <c r="AG92">
        <v>404.99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3</v>
      </c>
      <c r="AT92">
        <v>0.15</v>
      </c>
      <c r="AU92" t="s">
        <v>3</v>
      </c>
      <c r="AV92">
        <v>1</v>
      </c>
      <c r="AW92">
        <v>2</v>
      </c>
      <c r="AX92">
        <v>55873967</v>
      </c>
      <c r="AY92">
        <v>2</v>
      </c>
      <c r="AZ92">
        <v>98304</v>
      </c>
      <c r="BA92">
        <v>97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102.1125</v>
      </c>
      <c r="BL92">
        <v>60.7485</v>
      </c>
      <c r="BM92">
        <v>0</v>
      </c>
      <c r="BN92">
        <v>0</v>
      </c>
      <c r="BO92">
        <v>0.15</v>
      </c>
      <c r="BP92">
        <v>1</v>
      </c>
      <c r="BQ92">
        <v>0</v>
      </c>
      <c r="BR92">
        <v>102.1125</v>
      </c>
      <c r="BS92">
        <v>60.7485</v>
      </c>
      <c r="BT92">
        <v>0</v>
      </c>
      <c r="BU92">
        <v>0</v>
      </c>
      <c r="BV92">
        <v>0.15</v>
      </c>
      <c r="BW92">
        <v>1</v>
      </c>
      <c r="CV92">
        <v>0</v>
      </c>
      <c r="CW92">
        <f>ROUND(Y92*Source!I55*DO92,7)</f>
        <v>0.153</v>
      </c>
      <c r="CX92">
        <f>ROUND(Y92*Source!I55,7)</f>
        <v>0.153</v>
      </c>
      <c r="CY92">
        <f>AB92</f>
        <v>680.75</v>
      </c>
      <c r="CZ92">
        <f>AF92</f>
        <v>680.75</v>
      </c>
      <c r="DA92">
        <f>AJ92</f>
        <v>1</v>
      </c>
      <c r="DB92">
        <f t="shared" si="18"/>
        <v>102.11</v>
      </c>
      <c r="DC92">
        <f t="shared" si="19"/>
        <v>60.75</v>
      </c>
      <c r="DD92" t="s">
        <v>3</v>
      </c>
      <c r="DE92" t="s">
        <v>3</v>
      </c>
      <c r="DF92">
        <f t="shared" si="20"/>
        <v>0</v>
      </c>
      <c r="DG92">
        <f t="shared" si="21"/>
        <v>104.15</v>
      </c>
      <c r="DH92">
        <f t="shared" si="14"/>
        <v>61.96</v>
      </c>
      <c r="DI92">
        <f t="shared" si="15"/>
        <v>0</v>
      </c>
      <c r="DJ92">
        <f>DG92+DH92</f>
        <v>166.11</v>
      </c>
      <c r="DK92">
        <v>1</v>
      </c>
      <c r="DL92" t="s">
        <v>366</v>
      </c>
      <c r="DM92">
        <v>4</v>
      </c>
      <c r="DN92" t="s">
        <v>346</v>
      </c>
      <c r="DO92">
        <v>1</v>
      </c>
    </row>
    <row r="93" spans="1:119" x14ac:dyDescent="0.2">
      <c r="A93">
        <f>ROW(Source!A55)</f>
        <v>55</v>
      </c>
      <c r="B93">
        <v>55860754</v>
      </c>
      <c r="C93">
        <v>55873954</v>
      </c>
      <c r="D93">
        <v>46157415</v>
      </c>
      <c r="E93">
        <v>1</v>
      </c>
      <c r="F93">
        <v>1</v>
      </c>
      <c r="G93">
        <v>1</v>
      </c>
      <c r="H93">
        <v>3</v>
      </c>
      <c r="I93" t="s">
        <v>407</v>
      </c>
      <c r="J93" t="s">
        <v>408</v>
      </c>
      <c r="K93" t="s">
        <v>409</v>
      </c>
      <c r="L93">
        <v>1346</v>
      </c>
      <c r="N93">
        <v>1009</v>
      </c>
      <c r="O93" t="s">
        <v>154</v>
      </c>
      <c r="P93" t="s">
        <v>154</v>
      </c>
      <c r="Q93">
        <v>1</v>
      </c>
      <c r="W93">
        <v>0</v>
      </c>
      <c r="X93">
        <v>-557690053</v>
      </c>
      <c r="Y93">
        <f t="shared" si="17"/>
        <v>32.49</v>
      </c>
      <c r="AA93">
        <v>54.62</v>
      </c>
      <c r="AB93">
        <v>0</v>
      </c>
      <c r="AC93">
        <v>0</v>
      </c>
      <c r="AD93">
        <v>0</v>
      </c>
      <c r="AE93">
        <v>41.38</v>
      </c>
      <c r="AF93">
        <v>0</v>
      </c>
      <c r="AG93">
        <v>0</v>
      </c>
      <c r="AH93">
        <v>0</v>
      </c>
      <c r="AI93">
        <v>1.32</v>
      </c>
      <c r="AJ93">
        <v>1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32.49</v>
      </c>
      <c r="AU93" t="s">
        <v>3</v>
      </c>
      <c r="AV93">
        <v>0</v>
      </c>
      <c r="AW93">
        <v>2</v>
      </c>
      <c r="AX93">
        <v>55873968</v>
      </c>
      <c r="AY93">
        <v>1</v>
      </c>
      <c r="AZ93">
        <v>0</v>
      </c>
      <c r="BA93">
        <v>98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1344.4362000000001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1344.4362000000001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v>0</v>
      </c>
      <c r="CX93">
        <f>ROUND(Y93*Source!I55,7)</f>
        <v>33.139800000000001</v>
      </c>
      <c r="CY93">
        <f>AA93</f>
        <v>54.62</v>
      </c>
      <c r="CZ93">
        <f>AE93</f>
        <v>41.38</v>
      </c>
      <c r="DA93">
        <f>AI93</f>
        <v>1.32</v>
      </c>
      <c r="DB93">
        <f t="shared" si="18"/>
        <v>1344.44</v>
      </c>
      <c r="DC93">
        <f t="shared" si="19"/>
        <v>0</v>
      </c>
      <c r="DD93" t="s">
        <v>3</v>
      </c>
      <c r="DE93" t="s">
        <v>3</v>
      </c>
      <c r="DF93">
        <f>ROUND(ROUND(AE93*AI93,2)*CX93,2)</f>
        <v>1810.1</v>
      </c>
      <c r="DG93">
        <f t="shared" si="21"/>
        <v>0</v>
      </c>
      <c r="DH93">
        <f t="shared" si="14"/>
        <v>0</v>
      </c>
      <c r="DI93">
        <f t="shared" si="15"/>
        <v>0</v>
      </c>
      <c r="DJ93">
        <f>DF93</f>
        <v>1810.1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ROW(Source!A55)</f>
        <v>55</v>
      </c>
      <c r="B94">
        <v>55860754</v>
      </c>
      <c r="C94">
        <v>55873954</v>
      </c>
      <c r="D94">
        <v>46162523</v>
      </c>
      <c r="E94">
        <v>1</v>
      </c>
      <c r="F94">
        <v>1</v>
      </c>
      <c r="G94">
        <v>1</v>
      </c>
      <c r="H94">
        <v>3</v>
      </c>
      <c r="I94" t="s">
        <v>415</v>
      </c>
      <c r="J94" t="s">
        <v>416</v>
      </c>
      <c r="K94" t="s">
        <v>417</v>
      </c>
      <c r="L94">
        <v>1339</v>
      </c>
      <c r="N94">
        <v>1007</v>
      </c>
      <c r="O94" t="s">
        <v>92</v>
      </c>
      <c r="P94" t="s">
        <v>92</v>
      </c>
      <c r="Q94">
        <v>1</v>
      </c>
      <c r="W94">
        <v>0</v>
      </c>
      <c r="X94">
        <v>-1914241109</v>
      </c>
      <c r="Y94">
        <f t="shared" si="17"/>
        <v>0.51</v>
      </c>
      <c r="AA94">
        <v>5742.96</v>
      </c>
      <c r="AB94">
        <v>0</v>
      </c>
      <c r="AC94">
        <v>0</v>
      </c>
      <c r="AD94">
        <v>0</v>
      </c>
      <c r="AE94">
        <v>5742.96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0.51</v>
      </c>
      <c r="AU94" t="s">
        <v>3</v>
      </c>
      <c r="AV94">
        <v>0</v>
      </c>
      <c r="AW94">
        <v>2</v>
      </c>
      <c r="AX94">
        <v>55873969</v>
      </c>
      <c r="AY94">
        <v>2</v>
      </c>
      <c r="AZ94">
        <v>16384</v>
      </c>
      <c r="BA94">
        <v>99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2928.9096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2928.9096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</v>
      </c>
      <c r="CV94">
        <v>0</v>
      </c>
      <c r="CW94">
        <v>0</v>
      </c>
      <c r="CX94">
        <f>ROUND(Y94*Source!I55,7)</f>
        <v>0.5202</v>
      </c>
      <c r="CY94">
        <f>AA94</f>
        <v>5742.96</v>
      </c>
      <c r="CZ94">
        <f>AE94</f>
        <v>5742.96</v>
      </c>
      <c r="DA94">
        <f>AI94</f>
        <v>1</v>
      </c>
      <c r="DB94">
        <f t="shared" si="18"/>
        <v>2928.91</v>
      </c>
      <c r="DC94">
        <f t="shared" si="19"/>
        <v>0</v>
      </c>
      <c r="DD94" t="s">
        <v>3</v>
      </c>
      <c r="DE94" t="s">
        <v>3</v>
      </c>
      <c r="DF94">
        <f t="shared" ref="DF94:DF99" si="22">ROUND(ROUND(AE94,2)*CX94,2)</f>
        <v>2987.49</v>
      </c>
      <c r="DG94">
        <f t="shared" si="21"/>
        <v>0</v>
      </c>
      <c r="DH94">
        <f t="shared" si="14"/>
        <v>0</v>
      </c>
      <c r="DI94">
        <f t="shared" si="15"/>
        <v>0</v>
      </c>
      <c r="DJ94">
        <f>DF94</f>
        <v>2987.49</v>
      </c>
      <c r="DK94">
        <v>1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ROW(Source!A55)</f>
        <v>55</v>
      </c>
      <c r="B95">
        <v>55860754</v>
      </c>
      <c r="C95">
        <v>55873954</v>
      </c>
      <c r="D95">
        <v>46170596</v>
      </c>
      <c r="E95">
        <v>1</v>
      </c>
      <c r="F95">
        <v>1</v>
      </c>
      <c r="G95">
        <v>1</v>
      </c>
      <c r="H95">
        <v>3</v>
      </c>
      <c r="I95" t="s">
        <v>161</v>
      </c>
      <c r="J95" t="s">
        <v>162</v>
      </c>
      <c r="K95" t="s">
        <v>448</v>
      </c>
      <c r="L95">
        <v>1327</v>
      </c>
      <c r="N95">
        <v>1005</v>
      </c>
      <c r="O95" t="s">
        <v>145</v>
      </c>
      <c r="P95" t="s">
        <v>145</v>
      </c>
      <c r="Q95">
        <v>1</v>
      </c>
      <c r="W95">
        <v>0</v>
      </c>
      <c r="X95">
        <v>959419674</v>
      </c>
      <c r="Y95">
        <f t="shared" si="17"/>
        <v>252</v>
      </c>
      <c r="AA95">
        <v>584.16999999999996</v>
      </c>
      <c r="AB95">
        <v>0</v>
      </c>
      <c r="AC95">
        <v>0</v>
      </c>
      <c r="AD95">
        <v>0</v>
      </c>
      <c r="AE95">
        <v>584.16999999999996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1</v>
      </c>
      <c r="AQ95">
        <v>0</v>
      </c>
      <c r="AR95">
        <v>0</v>
      </c>
      <c r="AS95" t="s">
        <v>3</v>
      </c>
      <c r="AT95">
        <v>252</v>
      </c>
      <c r="AU95" t="s">
        <v>3</v>
      </c>
      <c r="AV95">
        <v>0</v>
      </c>
      <c r="AW95">
        <v>1</v>
      </c>
      <c r="AX95">
        <v>-1</v>
      </c>
      <c r="AY95">
        <v>0</v>
      </c>
      <c r="AZ95">
        <v>0</v>
      </c>
      <c r="BA95" t="s">
        <v>3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V95">
        <v>0</v>
      </c>
      <c r="CW95">
        <v>0</v>
      </c>
      <c r="CX95">
        <f>ROUND(Y95*Source!I55,7)</f>
        <v>257.04000000000002</v>
      </c>
      <c r="CY95">
        <f>AA95</f>
        <v>584.16999999999996</v>
      </c>
      <c r="CZ95">
        <f>AE95</f>
        <v>584.16999999999996</v>
      </c>
      <c r="DA95">
        <f>AI95</f>
        <v>1</v>
      </c>
      <c r="DB95">
        <f t="shared" si="18"/>
        <v>147210.84</v>
      </c>
      <c r="DC95">
        <f t="shared" si="19"/>
        <v>0</v>
      </c>
      <c r="DD95" t="s">
        <v>3</v>
      </c>
      <c r="DE95" t="s">
        <v>3</v>
      </c>
      <c r="DF95">
        <f t="shared" si="22"/>
        <v>150155.06</v>
      </c>
      <c r="DG95">
        <f t="shared" si="21"/>
        <v>0</v>
      </c>
      <c r="DH95">
        <f t="shared" si="14"/>
        <v>0</v>
      </c>
      <c r="DI95">
        <f t="shared" si="15"/>
        <v>0</v>
      </c>
      <c r="DJ95">
        <f>DF95</f>
        <v>150155.06</v>
      </c>
      <c r="DK95">
        <v>1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ROW(Source!A57)</f>
        <v>57</v>
      </c>
      <c r="B96">
        <v>55860754</v>
      </c>
      <c r="C96">
        <v>55873972</v>
      </c>
      <c r="D96">
        <v>35812912</v>
      </c>
      <c r="E96">
        <v>111</v>
      </c>
      <c r="F96">
        <v>1</v>
      </c>
      <c r="G96">
        <v>1</v>
      </c>
      <c r="H96">
        <v>1</v>
      </c>
      <c r="I96" t="s">
        <v>361</v>
      </c>
      <c r="J96" t="s">
        <v>3</v>
      </c>
      <c r="K96" t="s">
        <v>418</v>
      </c>
      <c r="L96">
        <v>1191</v>
      </c>
      <c r="N96">
        <v>1013</v>
      </c>
      <c r="O96" t="s">
        <v>346</v>
      </c>
      <c r="P96" t="s">
        <v>346</v>
      </c>
      <c r="Q96">
        <v>1</v>
      </c>
      <c r="W96">
        <v>0</v>
      </c>
      <c r="X96">
        <v>1049124552</v>
      </c>
      <c r="Y96">
        <f>(AT96*ROUND(1.15,7))</f>
        <v>111.78</v>
      </c>
      <c r="AA96">
        <v>0</v>
      </c>
      <c r="AB96">
        <v>0</v>
      </c>
      <c r="AC96">
        <v>0</v>
      </c>
      <c r="AD96">
        <v>359.65</v>
      </c>
      <c r="AE96">
        <v>0</v>
      </c>
      <c r="AF96">
        <v>0</v>
      </c>
      <c r="AG96">
        <v>0</v>
      </c>
      <c r="AH96">
        <v>359.65</v>
      </c>
      <c r="AI96">
        <v>1</v>
      </c>
      <c r="AJ96">
        <v>1</v>
      </c>
      <c r="AK96">
        <v>1</v>
      </c>
      <c r="AL96">
        <v>1</v>
      </c>
      <c r="AM96">
        <v>-2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97.2</v>
      </c>
      <c r="AU96" t="s">
        <v>99</v>
      </c>
      <c r="AV96">
        <v>1</v>
      </c>
      <c r="AW96">
        <v>2</v>
      </c>
      <c r="AX96">
        <v>55873980</v>
      </c>
      <c r="AY96">
        <v>2</v>
      </c>
      <c r="AZ96">
        <v>131072</v>
      </c>
      <c r="BA96">
        <v>101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34957.979999999996</v>
      </c>
      <c r="BN96">
        <v>97.2</v>
      </c>
      <c r="BO96">
        <v>0</v>
      </c>
      <c r="BP96">
        <v>1</v>
      </c>
      <c r="BQ96">
        <v>0</v>
      </c>
      <c r="BR96">
        <v>0</v>
      </c>
      <c r="BS96">
        <v>0</v>
      </c>
      <c r="BT96">
        <v>40201.676999999996</v>
      </c>
      <c r="BU96">
        <v>111.78</v>
      </c>
      <c r="BV96">
        <v>0</v>
      </c>
      <c r="BW96">
        <v>1</v>
      </c>
      <c r="CU96">
        <f>ROUND(AT96*Source!I57*AH96*AL96,2)</f>
        <v>19995.96</v>
      </c>
      <c r="CV96">
        <f>ROUND(Y96*Source!I57,7)</f>
        <v>63.938160000000003</v>
      </c>
      <c r="CW96">
        <v>0</v>
      </c>
      <c r="CX96">
        <f>ROUND(Y96*Source!I57,7)</f>
        <v>63.938160000000003</v>
      </c>
      <c r="CY96">
        <f>AD96</f>
        <v>359.65</v>
      </c>
      <c r="CZ96">
        <f>AH96</f>
        <v>359.65</v>
      </c>
      <c r="DA96">
        <f>AL96</f>
        <v>1</v>
      </c>
      <c r="DB96">
        <f>ROUND((ROUND(AT96*CZ96,2)*ROUND(1.15,7)),6)</f>
        <v>40201.677000000003</v>
      </c>
      <c r="DC96">
        <f>ROUND((ROUND(AT96*AG96,2)*ROUND(1.15,7)),6)</f>
        <v>0</v>
      </c>
      <c r="DD96" t="s">
        <v>3</v>
      </c>
      <c r="DE96" t="s">
        <v>3</v>
      </c>
      <c r="DF96">
        <f t="shared" si="22"/>
        <v>0</v>
      </c>
      <c r="DG96">
        <f t="shared" si="21"/>
        <v>0</v>
      </c>
      <c r="DH96">
        <f t="shared" si="14"/>
        <v>0</v>
      </c>
      <c r="DI96">
        <f t="shared" si="15"/>
        <v>22995.360000000001</v>
      </c>
      <c r="DJ96">
        <f>DI96</f>
        <v>22995.360000000001</v>
      </c>
      <c r="DK96">
        <v>1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ROW(Source!A57)</f>
        <v>57</v>
      </c>
      <c r="B97">
        <v>55860754</v>
      </c>
      <c r="C97">
        <v>55873972</v>
      </c>
      <c r="D97">
        <v>35812888</v>
      </c>
      <c r="E97">
        <v>111</v>
      </c>
      <c r="F97">
        <v>1</v>
      </c>
      <c r="G97">
        <v>1</v>
      </c>
      <c r="H97">
        <v>1</v>
      </c>
      <c r="I97" t="s">
        <v>353</v>
      </c>
      <c r="J97" t="s">
        <v>3</v>
      </c>
      <c r="K97" t="s">
        <v>354</v>
      </c>
      <c r="L97">
        <v>1191</v>
      </c>
      <c r="N97">
        <v>1013</v>
      </c>
      <c r="O97" t="s">
        <v>346</v>
      </c>
      <c r="P97" t="s">
        <v>346</v>
      </c>
      <c r="Q97">
        <v>1</v>
      </c>
      <c r="W97">
        <v>0</v>
      </c>
      <c r="X97">
        <v>-1417349443</v>
      </c>
      <c r="Y97">
        <f>(AT97*ROUND(1.25,7))</f>
        <v>0.33750000000000002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0.27</v>
      </c>
      <c r="AU97" t="s">
        <v>98</v>
      </c>
      <c r="AV97">
        <v>2</v>
      </c>
      <c r="AW97">
        <v>2</v>
      </c>
      <c r="AX97">
        <v>55873981</v>
      </c>
      <c r="AY97">
        <v>1</v>
      </c>
      <c r="AZ97">
        <v>0</v>
      </c>
      <c r="BA97">
        <v>102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V97">
        <v>0</v>
      </c>
      <c r="CW97">
        <v>0</v>
      </c>
      <c r="CX97">
        <f>ROUND(Y97*Source!I57,7)</f>
        <v>0.19305</v>
      </c>
      <c r="CY97">
        <f>AD97</f>
        <v>0</v>
      </c>
      <c r="CZ97">
        <f>AH97</f>
        <v>0</v>
      </c>
      <c r="DA97">
        <f>AL97</f>
        <v>1</v>
      </c>
      <c r="DB97">
        <f>ROUND((ROUND(AT97*CZ97,2)*ROUND(1.25,7)),6)</f>
        <v>0</v>
      </c>
      <c r="DC97">
        <f>ROUND((ROUND(AT97*AG97,2)*ROUND(1.25,7)),6)</f>
        <v>0</v>
      </c>
      <c r="DD97" t="s">
        <v>3</v>
      </c>
      <c r="DE97" t="s">
        <v>3</v>
      </c>
      <c r="DF97">
        <f t="shared" si="22"/>
        <v>0</v>
      </c>
      <c r="DG97">
        <f t="shared" si="21"/>
        <v>0</v>
      </c>
      <c r="DH97">
        <f t="shared" ref="DH97:DH102" si="23">ROUND(ROUND(AG97,2)*CX97,2)</f>
        <v>0</v>
      </c>
      <c r="DI97">
        <f t="shared" ref="DI97:DI102" si="24">ROUND(ROUND(AH97,2)*CX97,2)</f>
        <v>0</v>
      </c>
      <c r="DJ97">
        <f>DI97</f>
        <v>0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ROW(Source!A57)</f>
        <v>57</v>
      </c>
      <c r="B98">
        <v>55860754</v>
      </c>
      <c r="C98">
        <v>55873972</v>
      </c>
      <c r="D98">
        <v>46205366</v>
      </c>
      <c r="E98">
        <v>1</v>
      </c>
      <c r="F98">
        <v>1</v>
      </c>
      <c r="G98">
        <v>1</v>
      </c>
      <c r="H98">
        <v>2</v>
      </c>
      <c r="I98" t="s">
        <v>355</v>
      </c>
      <c r="J98" t="s">
        <v>356</v>
      </c>
      <c r="K98" t="s">
        <v>357</v>
      </c>
      <c r="L98">
        <v>1368</v>
      </c>
      <c r="N98">
        <v>1011</v>
      </c>
      <c r="O98" t="s">
        <v>350</v>
      </c>
      <c r="P98" t="s">
        <v>350</v>
      </c>
      <c r="Q98">
        <v>1</v>
      </c>
      <c r="W98">
        <v>0</v>
      </c>
      <c r="X98">
        <v>2016779784</v>
      </c>
      <c r="Y98">
        <f>(AT98*ROUND(1.25,7))</f>
        <v>0.25</v>
      </c>
      <c r="AA98">
        <v>0</v>
      </c>
      <c r="AB98">
        <v>1098</v>
      </c>
      <c r="AC98">
        <v>544.01</v>
      </c>
      <c r="AD98">
        <v>0</v>
      </c>
      <c r="AE98">
        <v>0</v>
      </c>
      <c r="AF98">
        <v>1098</v>
      </c>
      <c r="AG98">
        <v>544.01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-2</v>
      </c>
      <c r="AN98">
        <v>0</v>
      </c>
      <c r="AO98">
        <v>0</v>
      </c>
      <c r="AP98">
        <v>1</v>
      </c>
      <c r="AQ98">
        <v>1</v>
      </c>
      <c r="AR98">
        <v>0</v>
      </c>
      <c r="AS98" t="s">
        <v>3</v>
      </c>
      <c r="AT98">
        <v>0.2</v>
      </c>
      <c r="AU98" t="s">
        <v>98</v>
      </c>
      <c r="AV98">
        <v>1</v>
      </c>
      <c r="AW98">
        <v>2</v>
      </c>
      <c r="AX98">
        <v>55873982</v>
      </c>
      <c r="AY98">
        <v>2</v>
      </c>
      <c r="AZ98">
        <v>98304</v>
      </c>
      <c r="BA98">
        <v>103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219.60000000000002</v>
      </c>
      <c r="BL98">
        <v>108.80200000000001</v>
      </c>
      <c r="BM98">
        <v>0</v>
      </c>
      <c r="BN98">
        <v>0</v>
      </c>
      <c r="BO98">
        <v>0.2</v>
      </c>
      <c r="BP98">
        <v>1</v>
      </c>
      <c r="BQ98">
        <v>0</v>
      </c>
      <c r="BR98">
        <v>274.5</v>
      </c>
      <c r="BS98">
        <v>136.0025</v>
      </c>
      <c r="BT98">
        <v>0</v>
      </c>
      <c r="BU98">
        <v>0</v>
      </c>
      <c r="BV98">
        <v>0.25</v>
      </c>
      <c r="BW98">
        <v>1</v>
      </c>
      <c r="CV98">
        <v>0</v>
      </c>
      <c r="CW98">
        <f>ROUND(Y98*Source!I57*DO98,7)</f>
        <v>0.14299999999999999</v>
      </c>
      <c r="CX98">
        <f>ROUND(Y98*Source!I57,7)</f>
        <v>0.14299999999999999</v>
      </c>
      <c r="CY98">
        <f>AB98</f>
        <v>1098</v>
      </c>
      <c r="CZ98">
        <f>AF98</f>
        <v>1098</v>
      </c>
      <c r="DA98">
        <f>AJ98</f>
        <v>1</v>
      </c>
      <c r="DB98">
        <f>ROUND((ROUND(AT98*CZ98,2)*ROUND(1.25,7)),6)</f>
        <v>274.5</v>
      </c>
      <c r="DC98">
        <f>ROUND((ROUND(AT98*AG98,2)*ROUND(1.25,7)),6)</f>
        <v>136</v>
      </c>
      <c r="DD98" t="s">
        <v>3</v>
      </c>
      <c r="DE98" t="s">
        <v>3</v>
      </c>
      <c r="DF98">
        <f t="shared" si="22"/>
        <v>0</v>
      </c>
      <c r="DG98">
        <f t="shared" si="21"/>
        <v>157.01</v>
      </c>
      <c r="DH98">
        <f t="shared" si="23"/>
        <v>77.790000000000006</v>
      </c>
      <c r="DI98">
        <f t="shared" si="24"/>
        <v>0</v>
      </c>
      <c r="DJ98">
        <f>DG98+DH98</f>
        <v>234.8</v>
      </c>
      <c r="DK98">
        <v>1</v>
      </c>
      <c r="DL98" t="s">
        <v>358</v>
      </c>
      <c r="DM98">
        <v>6</v>
      </c>
      <c r="DN98" t="s">
        <v>346</v>
      </c>
      <c r="DO98">
        <v>1</v>
      </c>
    </row>
    <row r="99" spans="1:119" x14ac:dyDescent="0.2">
      <c r="A99">
        <f>ROW(Source!A57)</f>
        <v>57</v>
      </c>
      <c r="B99">
        <v>55860754</v>
      </c>
      <c r="C99">
        <v>55873972</v>
      </c>
      <c r="D99">
        <v>46206301</v>
      </c>
      <c r="E99">
        <v>1</v>
      </c>
      <c r="F99">
        <v>1</v>
      </c>
      <c r="G99">
        <v>1</v>
      </c>
      <c r="H99">
        <v>2</v>
      </c>
      <c r="I99" t="s">
        <v>363</v>
      </c>
      <c r="J99" t="s">
        <v>364</v>
      </c>
      <c r="K99" t="s">
        <v>365</v>
      </c>
      <c r="L99">
        <v>1368</v>
      </c>
      <c r="N99">
        <v>1011</v>
      </c>
      <c r="O99" t="s">
        <v>350</v>
      </c>
      <c r="P99" t="s">
        <v>350</v>
      </c>
      <c r="Q99">
        <v>1</v>
      </c>
      <c r="W99">
        <v>0</v>
      </c>
      <c r="X99">
        <v>-773430059</v>
      </c>
      <c r="Y99">
        <f>(AT99*ROUND(1.25,7))</f>
        <v>8.7500000000000008E-2</v>
      </c>
      <c r="AA99">
        <v>0</v>
      </c>
      <c r="AB99">
        <v>680.75</v>
      </c>
      <c r="AC99">
        <v>404.99</v>
      </c>
      <c r="AD99">
        <v>0</v>
      </c>
      <c r="AE99">
        <v>0</v>
      </c>
      <c r="AF99">
        <v>680.75</v>
      </c>
      <c r="AG99">
        <v>404.99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1</v>
      </c>
      <c r="AQ99">
        <v>1</v>
      </c>
      <c r="AR99">
        <v>0</v>
      </c>
      <c r="AS99" t="s">
        <v>3</v>
      </c>
      <c r="AT99">
        <v>7.0000000000000007E-2</v>
      </c>
      <c r="AU99" t="s">
        <v>98</v>
      </c>
      <c r="AV99">
        <v>1</v>
      </c>
      <c r="AW99">
        <v>2</v>
      </c>
      <c r="AX99">
        <v>55873983</v>
      </c>
      <c r="AY99">
        <v>2</v>
      </c>
      <c r="AZ99">
        <v>98304</v>
      </c>
      <c r="BA99">
        <v>104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47.652500000000003</v>
      </c>
      <c r="BL99">
        <v>28.349300000000003</v>
      </c>
      <c r="BM99">
        <v>0</v>
      </c>
      <c r="BN99">
        <v>0</v>
      </c>
      <c r="BO99">
        <v>7.0000000000000007E-2</v>
      </c>
      <c r="BP99">
        <v>1</v>
      </c>
      <c r="BQ99">
        <v>0</v>
      </c>
      <c r="BR99">
        <v>59.565625000000004</v>
      </c>
      <c r="BS99">
        <v>35.436625000000006</v>
      </c>
      <c r="BT99">
        <v>0</v>
      </c>
      <c r="BU99">
        <v>0</v>
      </c>
      <c r="BV99">
        <v>8.7500000000000008E-2</v>
      </c>
      <c r="BW99">
        <v>1</v>
      </c>
      <c r="CV99">
        <v>0</v>
      </c>
      <c r="CW99">
        <f>ROUND(Y99*Source!I57*DO99,7)</f>
        <v>5.0049999999999997E-2</v>
      </c>
      <c r="CX99">
        <f>ROUND(Y99*Source!I57,7)</f>
        <v>5.0049999999999997E-2</v>
      </c>
      <c r="CY99">
        <f>AB99</f>
        <v>680.75</v>
      </c>
      <c r="CZ99">
        <f>AF99</f>
        <v>680.75</v>
      </c>
      <c r="DA99">
        <f>AJ99</f>
        <v>1</v>
      </c>
      <c r="DB99">
        <f>ROUND((ROUND(AT99*CZ99,2)*ROUND(1.25,7)),6)</f>
        <v>59.5625</v>
      </c>
      <c r="DC99">
        <f>ROUND((ROUND(AT99*AG99,2)*ROUND(1.25,7)),6)</f>
        <v>35.4375</v>
      </c>
      <c r="DD99" t="s">
        <v>3</v>
      </c>
      <c r="DE99" t="s">
        <v>3</v>
      </c>
      <c r="DF99">
        <f t="shared" si="22"/>
        <v>0</v>
      </c>
      <c r="DG99">
        <f t="shared" si="21"/>
        <v>34.07</v>
      </c>
      <c r="DH99">
        <f t="shared" si="23"/>
        <v>20.27</v>
      </c>
      <c r="DI99">
        <f t="shared" si="24"/>
        <v>0</v>
      </c>
      <c r="DJ99">
        <f>DG99+DH99</f>
        <v>54.34</v>
      </c>
      <c r="DK99">
        <v>1</v>
      </c>
      <c r="DL99" t="s">
        <v>366</v>
      </c>
      <c r="DM99">
        <v>4</v>
      </c>
      <c r="DN99" t="s">
        <v>346</v>
      </c>
      <c r="DO99">
        <v>1</v>
      </c>
    </row>
    <row r="100" spans="1:119" x14ac:dyDescent="0.2">
      <c r="A100">
        <f>ROW(Source!A57)</f>
        <v>57</v>
      </c>
      <c r="B100">
        <v>55860754</v>
      </c>
      <c r="C100">
        <v>55873972</v>
      </c>
      <c r="D100">
        <v>46160416</v>
      </c>
      <c r="E100">
        <v>1</v>
      </c>
      <c r="F100">
        <v>1</v>
      </c>
      <c r="G100">
        <v>1</v>
      </c>
      <c r="H100">
        <v>3</v>
      </c>
      <c r="I100" t="s">
        <v>419</v>
      </c>
      <c r="J100" t="s">
        <v>420</v>
      </c>
      <c r="K100" t="s">
        <v>421</v>
      </c>
      <c r="L100">
        <v>1346</v>
      </c>
      <c r="N100">
        <v>1009</v>
      </c>
      <c r="O100" t="s">
        <v>154</v>
      </c>
      <c r="P100" t="s">
        <v>154</v>
      </c>
      <c r="Q100">
        <v>1</v>
      </c>
      <c r="W100">
        <v>0</v>
      </c>
      <c r="X100">
        <v>-739226307</v>
      </c>
      <c r="Y100">
        <f>AT100</f>
        <v>4</v>
      </c>
      <c r="AA100">
        <v>86.83</v>
      </c>
      <c r="AB100">
        <v>0</v>
      </c>
      <c r="AC100">
        <v>0</v>
      </c>
      <c r="AD100">
        <v>0</v>
      </c>
      <c r="AE100">
        <v>72.97</v>
      </c>
      <c r="AF100">
        <v>0</v>
      </c>
      <c r="AG100">
        <v>0</v>
      </c>
      <c r="AH100">
        <v>0</v>
      </c>
      <c r="AI100">
        <v>1.19</v>
      </c>
      <c r="AJ100">
        <v>1</v>
      </c>
      <c r="AK100">
        <v>1</v>
      </c>
      <c r="AL100">
        <v>1</v>
      </c>
      <c r="AM100">
        <v>2</v>
      </c>
      <c r="AN100">
        <v>0</v>
      </c>
      <c r="AO100">
        <v>0</v>
      </c>
      <c r="AP100">
        <v>1</v>
      </c>
      <c r="AQ100">
        <v>1</v>
      </c>
      <c r="AR100">
        <v>0</v>
      </c>
      <c r="AS100" t="s">
        <v>3</v>
      </c>
      <c r="AT100">
        <v>4</v>
      </c>
      <c r="AU100" t="s">
        <v>3</v>
      </c>
      <c r="AV100">
        <v>0</v>
      </c>
      <c r="AW100">
        <v>2</v>
      </c>
      <c r="AX100">
        <v>55873984</v>
      </c>
      <c r="AY100">
        <v>1</v>
      </c>
      <c r="AZ100">
        <v>0</v>
      </c>
      <c r="BA100">
        <v>105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291.88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291.88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1</v>
      </c>
      <c r="CV100">
        <v>0</v>
      </c>
      <c r="CW100">
        <v>0</v>
      </c>
      <c r="CX100">
        <f>ROUND(Y100*Source!I57,7)</f>
        <v>2.2879999999999998</v>
      </c>
      <c r="CY100">
        <f>AA100</f>
        <v>86.83</v>
      </c>
      <c r="CZ100">
        <f>AE100</f>
        <v>72.97</v>
      </c>
      <c r="DA100">
        <f>AI100</f>
        <v>1.19</v>
      </c>
      <c r="DB100">
        <f>ROUND(ROUND(AT100*CZ100,2),6)</f>
        <v>291.88</v>
      </c>
      <c r="DC100">
        <f>ROUND(ROUND(AT100*AG100,2),6)</f>
        <v>0</v>
      </c>
      <c r="DD100" t="s">
        <v>3</v>
      </c>
      <c r="DE100" t="s">
        <v>3</v>
      </c>
      <c r="DF100">
        <f>ROUND(ROUND(AE100*AI100,2)*CX100,2)</f>
        <v>198.67</v>
      </c>
      <c r="DG100">
        <f t="shared" si="21"/>
        <v>0</v>
      </c>
      <c r="DH100">
        <f t="shared" si="23"/>
        <v>0</v>
      </c>
      <c r="DI100">
        <f t="shared" si="24"/>
        <v>0</v>
      </c>
      <c r="DJ100">
        <f>DF100</f>
        <v>198.67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ROW(Source!A57)</f>
        <v>57</v>
      </c>
      <c r="B101">
        <v>55860754</v>
      </c>
      <c r="C101">
        <v>55873972</v>
      </c>
      <c r="D101">
        <v>46167125</v>
      </c>
      <c r="E101">
        <v>1</v>
      </c>
      <c r="F101">
        <v>1</v>
      </c>
      <c r="G101">
        <v>1</v>
      </c>
      <c r="H101">
        <v>3</v>
      </c>
      <c r="I101" t="s">
        <v>422</v>
      </c>
      <c r="J101" t="s">
        <v>423</v>
      </c>
      <c r="K101" t="s">
        <v>424</v>
      </c>
      <c r="L101">
        <v>1348</v>
      </c>
      <c r="N101">
        <v>1009</v>
      </c>
      <c r="O101" t="s">
        <v>41</v>
      </c>
      <c r="P101" t="s">
        <v>41</v>
      </c>
      <c r="Q101">
        <v>1000</v>
      </c>
      <c r="W101">
        <v>0</v>
      </c>
      <c r="X101">
        <v>-2019957417</v>
      </c>
      <c r="Y101">
        <f>AT101</f>
        <v>1.2E-2</v>
      </c>
      <c r="AA101">
        <v>146931.57</v>
      </c>
      <c r="AB101">
        <v>0</v>
      </c>
      <c r="AC101">
        <v>0</v>
      </c>
      <c r="AD101">
        <v>0</v>
      </c>
      <c r="AE101">
        <v>149930.17000000001</v>
      </c>
      <c r="AF101">
        <v>0</v>
      </c>
      <c r="AG101">
        <v>0</v>
      </c>
      <c r="AH101">
        <v>0</v>
      </c>
      <c r="AI101">
        <v>0.98</v>
      </c>
      <c r="AJ101">
        <v>1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1</v>
      </c>
      <c r="AQ101">
        <v>1</v>
      </c>
      <c r="AR101">
        <v>0</v>
      </c>
      <c r="AS101" t="s">
        <v>3</v>
      </c>
      <c r="AT101">
        <v>1.2E-2</v>
      </c>
      <c r="AU101" t="s">
        <v>3</v>
      </c>
      <c r="AV101">
        <v>0</v>
      </c>
      <c r="AW101">
        <v>2</v>
      </c>
      <c r="AX101">
        <v>55873985</v>
      </c>
      <c r="AY101">
        <v>1</v>
      </c>
      <c r="AZ101">
        <v>0</v>
      </c>
      <c r="BA101">
        <v>106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1799.1620400000002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</v>
      </c>
      <c r="BQ101">
        <v>1799.1620400000002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CV101">
        <v>0</v>
      </c>
      <c r="CW101">
        <v>0</v>
      </c>
      <c r="CX101">
        <f>ROUND(Y101*Source!I57,7)</f>
        <v>6.8640000000000003E-3</v>
      </c>
      <c r="CY101">
        <f>AA101</f>
        <v>146931.57</v>
      </c>
      <c r="CZ101">
        <f>AE101</f>
        <v>149930.17000000001</v>
      </c>
      <c r="DA101">
        <f>AI101</f>
        <v>0.98</v>
      </c>
      <c r="DB101">
        <f>ROUND(ROUND(AT101*CZ101,2),6)</f>
        <v>1799.16</v>
      </c>
      <c r="DC101">
        <f>ROUND(ROUND(AT101*AG101,2),6)</f>
        <v>0</v>
      </c>
      <c r="DD101" t="s">
        <v>3</v>
      </c>
      <c r="DE101" t="s">
        <v>3</v>
      </c>
      <c r="DF101">
        <f>ROUND(ROUND(AE101*AI101,2)*CX101,2)</f>
        <v>1008.54</v>
      </c>
      <c r="DG101">
        <f t="shared" si="21"/>
        <v>0</v>
      </c>
      <c r="DH101">
        <f t="shared" si="23"/>
        <v>0</v>
      </c>
      <c r="DI101">
        <f t="shared" si="24"/>
        <v>0</v>
      </c>
      <c r="DJ101">
        <f>DF101</f>
        <v>1008.54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ROW(Source!A57)</f>
        <v>57</v>
      </c>
      <c r="B102">
        <v>55860754</v>
      </c>
      <c r="C102">
        <v>55873972</v>
      </c>
      <c r="D102">
        <v>46167283</v>
      </c>
      <c r="E102">
        <v>1</v>
      </c>
      <c r="F102">
        <v>1</v>
      </c>
      <c r="G102">
        <v>1</v>
      </c>
      <c r="H102">
        <v>3</v>
      </c>
      <c r="I102" t="s">
        <v>425</v>
      </c>
      <c r="J102" t="s">
        <v>426</v>
      </c>
      <c r="K102" t="s">
        <v>427</v>
      </c>
      <c r="L102">
        <v>1348</v>
      </c>
      <c r="N102">
        <v>1009</v>
      </c>
      <c r="O102" t="s">
        <v>41</v>
      </c>
      <c r="P102" t="s">
        <v>41</v>
      </c>
      <c r="Q102">
        <v>1000</v>
      </c>
      <c r="W102">
        <v>0</v>
      </c>
      <c r="X102">
        <v>-2068225251</v>
      </c>
      <c r="Y102">
        <f>AT102</f>
        <v>0.56999999999999995</v>
      </c>
      <c r="AA102">
        <v>84895.05</v>
      </c>
      <c r="AB102">
        <v>0</v>
      </c>
      <c r="AC102">
        <v>0</v>
      </c>
      <c r="AD102">
        <v>0</v>
      </c>
      <c r="AE102">
        <v>91285</v>
      </c>
      <c r="AF102">
        <v>0</v>
      </c>
      <c r="AG102">
        <v>0</v>
      </c>
      <c r="AH102">
        <v>0</v>
      </c>
      <c r="AI102">
        <v>0.93</v>
      </c>
      <c r="AJ102">
        <v>1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0.56999999999999995</v>
      </c>
      <c r="AU102" t="s">
        <v>3</v>
      </c>
      <c r="AV102">
        <v>0</v>
      </c>
      <c r="AW102">
        <v>2</v>
      </c>
      <c r="AX102">
        <v>55873986</v>
      </c>
      <c r="AY102">
        <v>1</v>
      </c>
      <c r="AZ102">
        <v>0</v>
      </c>
      <c r="BA102">
        <v>107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52032.45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52032.45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1</v>
      </c>
      <c r="CV102">
        <v>0</v>
      </c>
      <c r="CW102">
        <v>0</v>
      </c>
      <c r="CX102">
        <f>ROUND(Y102*Source!I57,7)</f>
        <v>0.32604</v>
      </c>
      <c r="CY102">
        <f>AA102</f>
        <v>84895.05</v>
      </c>
      <c r="CZ102">
        <f>AE102</f>
        <v>91285</v>
      </c>
      <c r="DA102">
        <f>AI102</f>
        <v>0.93</v>
      </c>
      <c r="DB102">
        <f>ROUND(ROUND(AT102*CZ102,2),6)</f>
        <v>52032.45</v>
      </c>
      <c r="DC102">
        <f>ROUND(ROUND(AT102*AG102,2),6)</f>
        <v>0</v>
      </c>
      <c r="DD102" t="s">
        <v>3</v>
      </c>
      <c r="DE102" t="s">
        <v>3</v>
      </c>
      <c r="DF102">
        <f>ROUND(ROUND(AE102*AI102,2)*CX102,2)</f>
        <v>27679.18</v>
      </c>
      <c r="DG102">
        <f t="shared" si="21"/>
        <v>0</v>
      </c>
      <c r="DH102">
        <f t="shared" si="23"/>
        <v>0</v>
      </c>
      <c r="DI102">
        <f t="shared" si="24"/>
        <v>0</v>
      </c>
      <c r="DJ102">
        <f>DF102</f>
        <v>27679.18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7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ROW(Source!A24)</f>
        <v>24</v>
      </c>
      <c r="B1">
        <v>55860830</v>
      </c>
      <c r="C1">
        <v>55860827</v>
      </c>
      <c r="D1">
        <v>54569555</v>
      </c>
      <c r="E1">
        <v>117</v>
      </c>
      <c r="F1">
        <v>1</v>
      </c>
      <c r="G1">
        <v>1</v>
      </c>
      <c r="H1">
        <v>1</v>
      </c>
      <c r="I1" t="s">
        <v>344</v>
      </c>
      <c r="J1" t="s">
        <v>3</v>
      </c>
      <c r="K1" t="s">
        <v>345</v>
      </c>
      <c r="L1">
        <v>1191</v>
      </c>
      <c r="N1">
        <v>1013</v>
      </c>
      <c r="O1" t="s">
        <v>346</v>
      </c>
      <c r="P1" t="s">
        <v>346</v>
      </c>
      <c r="Q1">
        <v>1</v>
      </c>
      <c r="X1">
        <v>8.58</v>
      </c>
      <c r="Y1">
        <v>0</v>
      </c>
      <c r="Z1">
        <v>0</v>
      </c>
      <c r="AA1">
        <v>0</v>
      </c>
      <c r="AB1">
        <v>329.43</v>
      </c>
      <c r="AC1">
        <v>0</v>
      </c>
      <c r="AD1">
        <v>1</v>
      </c>
      <c r="AE1">
        <v>1</v>
      </c>
      <c r="AF1" t="s">
        <v>3</v>
      </c>
      <c r="AG1">
        <v>8.58</v>
      </c>
      <c r="AH1">
        <v>2</v>
      </c>
      <c r="AI1">
        <v>55860828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ROW(Source!A24)</f>
        <v>24</v>
      </c>
      <c r="B2">
        <v>55860831</v>
      </c>
      <c r="C2">
        <v>55860827</v>
      </c>
      <c r="D2">
        <v>54576412</v>
      </c>
      <c r="E2">
        <v>1</v>
      </c>
      <c r="F2">
        <v>1</v>
      </c>
      <c r="G2">
        <v>1</v>
      </c>
      <c r="H2">
        <v>2</v>
      </c>
      <c r="I2" t="s">
        <v>347</v>
      </c>
      <c r="J2" t="s">
        <v>348</v>
      </c>
      <c r="K2" t="s">
        <v>349</v>
      </c>
      <c r="L2">
        <v>1368</v>
      </c>
      <c r="N2">
        <v>1011</v>
      </c>
      <c r="O2" t="s">
        <v>350</v>
      </c>
      <c r="P2" t="s">
        <v>350</v>
      </c>
      <c r="Q2">
        <v>1</v>
      </c>
      <c r="X2">
        <v>1.88</v>
      </c>
      <c r="Y2">
        <v>0</v>
      </c>
      <c r="Z2">
        <v>11.45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3</v>
      </c>
      <c r="AG2">
        <v>1.88</v>
      </c>
      <c r="AH2">
        <v>2</v>
      </c>
      <c r="AI2">
        <v>55860829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ROW(Source!A25)</f>
        <v>25</v>
      </c>
      <c r="B3">
        <v>55860837</v>
      </c>
      <c r="C3">
        <v>55860832</v>
      </c>
      <c r="D3">
        <v>54569563</v>
      </c>
      <c r="E3">
        <v>117</v>
      </c>
      <c r="F3">
        <v>1</v>
      </c>
      <c r="G3">
        <v>1</v>
      </c>
      <c r="H3">
        <v>1</v>
      </c>
      <c r="I3" t="s">
        <v>351</v>
      </c>
      <c r="J3" t="s">
        <v>3</v>
      </c>
      <c r="K3" t="s">
        <v>352</v>
      </c>
      <c r="L3">
        <v>1191</v>
      </c>
      <c r="N3">
        <v>1013</v>
      </c>
      <c r="O3" t="s">
        <v>346</v>
      </c>
      <c r="P3" t="s">
        <v>346</v>
      </c>
      <c r="Q3">
        <v>1</v>
      </c>
      <c r="X3">
        <v>15.16</v>
      </c>
      <c r="Y3">
        <v>0</v>
      </c>
      <c r="Z3">
        <v>0</v>
      </c>
      <c r="AA3">
        <v>0</v>
      </c>
      <c r="AB3">
        <v>335.48</v>
      </c>
      <c r="AC3">
        <v>0</v>
      </c>
      <c r="AD3">
        <v>1</v>
      </c>
      <c r="AE3">
        <v>1</v>
      </c>
      <c r="AF3" t="s">
        <v>3</v>
      </c>
      <c r="AG3">
        <v>15.16</v>
      </c>
      <c r="AH3">
        <v>2</v>
      </c>
      <c r="AI3">
        <v>55860833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ROW(Source!A25)</f>
        <v>25</v>
      </c>
      <c r="B4">
        <v>55860838</v>
      </c>
      <c r="C4">
        <v>55860832</v>
      </c>
      <c r="D4">
        <v>54569789</v>
      </c>
      <c r="E4">
        <v>117</v>
      </c>
      <c r="F4">
        <v>1</v>
      </c>
      <c r="G4">
        <v>1</v>
      </c>
      <c r="H4">
        <v>1</v>
      </c>
      <c r="I4" t="s">
        <v>353</v>
      </c>
      <c r="J4" t="s">
        <v>3</v>
      </c>
      <c r="K4" t="s">
        <v>354</v>
      </c>
      <c r="L4">
        <v>1191</v>
      </c>
      <c r="N4">
        <v>1013</v>
      </c>
      <c r="O4" t="s">
        <v>346</v>
      </c>
      <c r="P4" t="s">
        <v>346</v>
      </c>
      <c r="Q4">
        <v>1</v>
      </c>
      <c r="X4">
        <v>0.46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2</v>
      </c>
      <c r="AF4" t="s">
        <v>3</v>
      </c>
      <c r="AG4">
        <v>0.46</v>
      </c>
      <c r="AH4">
        <v>2</v>
      </c>
      <c r="AI4">
        <v>55860834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ROW(Source!A25)</f>
        <v>25</v>
      </c>
      <c r="B5">
        <v>55860839</v>
      </c>
      <c r="C5">
        <v>55860832</v>
      </c>
      <c r="D5">
        <v>54576226</v>
      </c>
      <c r="E5">
        <v>1</v>
      </c>
      <c r="F5">
        <v>1</v>
      </c>
      <c r="G5">
        <v>1</v>
      </c>
      <c r="H5">
        <v>2</v>
      </c>
      <c r="I5" t="s">
        <v>355</v>
      </c>
      <c r="J5" t="s">
        <v>356</v>
      </c>
      <c r="K5" t="s">
        <v>357</v>
      </c>
      <c r="L5">
        <v>1368</v>
      </c>
      <c r="N5">
        <v>1011</v>
      </c>
      <c r="O5" t="s">
        <v>350</v>
      </c>
      <c r="P5" t="s">
        <v>350</v>
      </c>
      <c r="Q5">
        <v>1</v>
      </c>
      <c r="X5">
        <v>0.46</v>
      </c>
      <c r="Y5">
        <v>0</v>
      </c>
      <c r="Z5">
        <v>1098</v>
      </c>
      <c r="AA5">
        <v>544.01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0.46</v>
      </c>
      <c r="AH5">
        <v>2</v>
      </c>
      <c r="AI5">
        <v>55860835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ROW(Source!A25)</f>
        <v>25</v>
      </c>
      <c r="B6">
        <v>55860840</v>
      </c>
      <c r="C6">
        <v>55860832</v>
      </c>
      <c r="D6">
        <v>54575628</v>
      </c>
      <c r="E6">
        <v>117</v>
      </c>
      <c r="F6">
        <v>1</v>
      </c>
      <c r="G6">
        <v>1</v>
      </c>
      <c r="H6">
        <v>3</v>
      </c>
      <c r="I6" t="s">
        <v>39</v>
      </c>
      <c r="J6" t="s">
        <v>3</v>
      </c>
      <c r="K6" t="s">
        <v>40</v>
      </c>
      <c r="L6">
        <v>1348</v>
      </c>
      <c r="N6">
        <v>1009</v>
      </c>
      <c r="O6" t="s">
        <v>41</v>
      </c>
      <c r="P6" t="s">
        <v>41</v>
      </c>
      <c r="Q6">
        <v>1000</v>
      </c>
      <c r="X6">
        <v>1.4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3</v>
      </c>
      <c r="AG6">
        <v>1.4</v>
      </c>
      <c r="AH6">
        <v>2</v>
      </c>
      <c r="AI6">
        <v>55860836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ROW(Source!A27)</f>
        <v>27</v>
      </c>
      <c r="B7">
        <v>55860847</v>
      </c>
      <c r="C7">
        <v>55860842</v>
      </c>
      <c r="D7">
        <v>54569573</v>
      </c>
      <c r="E7">
        <v>117</v>
      </c>
      <c r="F7">
        <v>1</v>
      </c>
      <c r="G7">
        <v>1</v>
      </c>
      <c r="H7">
        <v>1</v>
      </c>
      <c r="I7" t="s">
        <v>359</v>
      </c>
      <c r="J7" t="s">
        <v>3</v>
      </c>
      <c r="K7" t="s">
        <v>360</v>
      </c>
      <c r="L7">
        <v>1191</v>
      </c>
      <c r="N7">
        <v>1013</v>
      </c>
      <c r="O7" t="s">
        <v>346</v>
      </c>
      <c r="P7" t="s">
        <v>346</v>
      </c>
      <c r="Q7">
        <v>1</v>
      </c>
      <c r="X7">
        <v>27.08</v>
      </c>
      <c r="Y7">
        <v>0</v>
      </c>
      <c r="Z7">
        <v>0</v>
      </c>
      <c r="AA7">
        <v>0</v>
      </c>
      <c r="AB7">
        <v>341.52</v>
      </c>
      <c r="AC7">
        <v>0</v>
      </c>
      <c r="AD7">
        <v>1</v>
      </c>
      <c r="AE7">
        <v>1</v>
      </c>
      <c r="AF7" t="s">
        <v>3</v>
      </c>
      <c r="AG7">
        <v>27.08</v>
      </c>
      <c r="AH7">
        <v>2</v>
      </c>
      <c r="AI7">
        <v>55860843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ROW(Source!A27)</f>
        <v>27</v>
      </c>
      <c r="B8">
        <v>55860848</v>
      </c>
      <c r="C8">
        <v>55860842</v>
      </c>
      <c r="D8">
        <v>54569789</v>
      </c>
      <c r="E8">
        <v>117</v>
      </c>
      <c r="F8">
        <v>1</v>
      </c>
      <c r="G8">
        <v>1</v>
      </c>
      <c r="H8">
        <v>1</v>
      </c>
      <c r="I8" t="s">
        <v>353</v>
      </c>
      <c r="J8" t="s">
        <v>3</v>
      </c>
      <c r="K8" t="s">
        <v>354</v>
      </c>
      <c r="L8">
        <v>1191</v>
      </c>
      <c r="N8">
        <v>1013</v>
      </c>
      <c r="O8" t="s">
        <v>346</v>
      </c>
      <c r="P8" t="s">
        <v>346</v>
      </c>
      <c r="Q8">
        <v>1</v>
      </c>
      <c r="X8">
        <v>0.42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2</v>
      </c>
      <c r="AF8" t="s">
        <v>3</v>
      </c>
      <c r="AG8">
        <v>0.42</v>
      </c>
      <c r="AH8">
        <v>2</v>
      </c>
      <c r="AI8">
        <v>55860844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ROW(Source!A27)</f>
        <v>27</v>
      </c>
      <c r="B9">
        <v>55860849</v>
      </c>
      <c r="C9">
        <v>55860842</v>
      </c>
      <c r="D9">
        <v>54576226</v>
      </c>
      <c r="E9">
        <v>1</v>
      </c>
      <c r="F9">
        <v>1</v>
      </c>
      <c r="G9">
        <v>1</v>
      </c>
      <c r="H9">
        <v>2</v>
      </c>
      <c r="I9" t="s">
        <v>355</v>
      </c>
      <c r="J9" t="s">
        <v>356</v>
      </c>
      <c r="K9" t="s">
        <v>357</v>
      </c>
      <c r="L9">
        <v>1368</v>
      </c>
      <c r="N9">
        <v>1011</v>
      </c>
      <c r="O9" t="s">
        <v>350</v>
      </c>
      <c r="P9" t="s">
        <v>350</v>
      </c>
      <c r="Q9">
        <v>1</v>
      </c>
      <c r="X9">
        <v>0.42</v>
      </c>
      <c r="Y9">
        <v>0</v>
      </c>
      <c r="Z9">
        <v>1098</v>
      </c>
      <c r="AA9">
        <v>544.01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0.42</v>
      </c>
      <c r="AH9">
        <v>2</v>
      </c>
      <c r="AI9">
        <v>55860845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ROW(Source!A27)</f>
        <v>27</v>
      </c>
      <c r="B10">
        <v>55860850</v>
      </c>
      <c r="C10">
        <v>55860842</v>
      </c>
      <c r="D10">
        <v>54575628</v>
      </c>
      <c r="E10">
        <v>117</v>
      </c>
      <c r="F10">
        <v>1</v>
      </c>
      <c r="G10">
        <v>1</v>
      </c>
      <c r="H10">
        <v>3</v>
      </c>
      <c r="I10" t="s">
        <v>39</v>
      </c>
      <c r="J10" t="s">
        <v>3</v>
      </c>
      <c r="K10" t="s">
        <v>40</v>
      </c>
      <c r="L10">
        <v>1348</v>
      </c>
      <c r="N10">
        <v>1009</v>
      </c>
      <c r="O10" t="s">
        <v>41</v>
      </c>
      <c r="P10" t="s">
        <v>41</v>
      </c>
      <c r="Q10">
        <v>1000</v>
      </c>
      <c r="X10">
        <v>1.25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3</v>
      </c>
      <c r="AG10">
        <v>1.25</v>
      </c>
      <c r="AH10">
        <v>2</v>
      </c>
      <c r="AI10">
        <v>55860846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ROW(Source!A29)</f>
        <v>29</v>
      </c>
      <c r="B11">
        <v>55860857</v>
      </c>
      <c r="C11">
        <v>55860852</v>
      </c>
      <c r="D11">
        <v>54569563</v>
      </c>
      <c r="E11">
        <v>117</v>
      </c>
      <c r="F11">
        <v>1</v>
      </c>
      <c r="G11">
        <v>1</v>
      </c>
      <c r="H11">
        <v>1</v>
      </c>
      <c r="I11" t="s">
        <v>351</v>
      </c>
      <c r="J11" t="s">
        <v>3</v>
      </c>
      <c r="K11" t="s">
        <v>352</v>
      </c>
      <c r="L11">
        <v>1191</v>
      </c>
      <c r="N11">
        <v>1013</v>
      </c>
      <c r="O11" t="s">
        <v>346</v>
      </c>
      <c r="P11" t="s">
        <v>346</v>
      </c>
      <c r="Q11">
        <v>1</v>
      </c>
      <c r="X11">
        <v>6.73</v>
      </c>
      <c r="Y11">
        <v>0</v>
      </c>
      <c r="Z11">
        <v>0</v>
      </c>
      <c r="AA11">
        <v>0</v>
      </c>
      <c r="AB11">
        <v>335.48</v>
      </c>
      <c r="AC11">
        <v>0</v>
      </c>
      <c r="AD11">
        <v>1</v>
      </c>
      <c r="AE11">
        <v>1</v>
      </c>
      <c r="AF11" t="s">
        <v>3</v>
      </c>
      <c r="AG11">
        <v>6.73</v>
      </c>
      <c r="AH11">
        <v>2</v>
      </c>
      <c r="AI11">
        <v>55860853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ROW(Source!A29)</f>
        <v>29</v>
      </c>
      <c r="B12">
        <v>55860858</v>
      </c>
      <c r="C12">
        <v>55860852</v>
      </c>
      <c r="D12">
        <v>54569789</v>
      </c>
      <c r="E12">
        <v>117</v>
      </c>
      <c r="F12">
        <v>1</v>
      </c>
      <c r="G12">
        <v>1</v>
      </c>
      <c r="H12">
        <v>1</v>
      </c>
      <c r="I12" t="s">
        <v>353</v>
      </c>
      <c r="J12" t="s">
        <v>3</v>
      </c>
      <c r="K12" t="s">
        <v>354</v>
      </c>
      <c r="L12">
        <v>1191</v>
      </c>
      <c r="N12">
        <v>1013</v>
      </c>
      <c r="O12" t="s">
        <v>346</v>
      </c>
      <c r="P12" t="s">
        <v>346</v>
      </c>
      <c r="Q12">
        <v>1</v>
      </c>
      <c r="X12">
        <v>0.27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 t="s">
        <v>3</v>
      </c>
      <c r="AG12">
        <v>0.27</v>
      </c>
      <c r="AH12">
        <v>2</v>
      </c>
      <c r="AI12">
        <v>55860854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ROW(Source!A29)</f>
        <v>29</v>
      </c>
      <c r="B13">
        <v>55860859</v>
      </c>
      <c r="C13">
        <v>55860852</v>
      </c>
      <c r="D13">
        <v>54576226</v>
      </c>
      <c r="E13">
        <v>1</v>
      </c>
      <c r="F13">
        <v>1</v>
      </c>
      <c r="G13">
        <v>1</v>
      </c>
      <c r="H13">
        <v>2</v>
      </c>
      <c r="I13" t="s">
        <v>355</v>
      </c>
      <c r="J13" t="s">
        <v>356</v>
      </c>
      <c r="K13" t="s">
        <v>357</v>
      </c>
      <c r="L13">
        <v>1368</v>
      </c>
      <c r="N13">
        <v>1011</v>
      </c>
      <c r="O13" t="s">
        <v>350</v>
      </c>
      <c r="P13" t="s">
        <v>350</v>
      </c>
      <c r="Q13">
        <v>1</v>
      </c>
      <c r="X13">
        <v>0.27</v>
      </c>
      <c r="Y13">
        <v>0</v>
      </c>
      <c r="Z13">
        <v>1098</v>
      </c>
      <c r="AA13">
        <v>544.01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0.27</v>
      </c>
      <c r="AH13">
        <v>2</v>
      </c>
      <c r="AI13">
        <v>55860855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ROW(Source!A29)</f>
        <v>29</v>
      </c>
      <c r="B14">
        <v>55860860</v>
      </c>
      <c r="C14">
        <v>55860852</v>
      </c>
      <c r="D14">
        <v>54575628</v>
      </c>
      <c r="E14">
        <v>117</v>
      </c>
      <c r="F14">
        <v>1</v>
      </c>
      <c r="G14">
        <v>1</v>
      </c>
      <c r="H14">
        <v>3</v>
      </c>
      <c r="I14" t="s">
        <v>39</v>
      </c>
      <c r="J14" t="s">
        <v>3</v>
      </c>
      <c r="K14" t="s">
        <v>40</v>
      </c>
      <c r="L14">
        <v>1348</v>
      </c>
      <c r="N14">
        <v>1009</v>
      </c>
      <c r="O14" t="s">
        <v>41</v>
      </c>
      <c r="P14" t="s">
        <v>41</v>
      </c>
      <c r="Q14">
        <v>1000</v>
      </c>
      <c r="X14">
        <v>0.81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3</v>
      </c>
      <c r="AG14">
        <v>0.81</v>
      </c>
      <c r="AH14">
        <v>2</v>
      </c>
      <c r="AI14">
        <v>55860856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ROW(Source!A31)</f>
        <v>31</v>
      </c>
      <c r="B15">
        <v>55860869</v>
      </c>
      <c r="C15">
        <v>55860862</v>
      </c>
      <c r="D15">
        <v>54569595</v>
      </c>
      <c r="E15">
        <v>117</v>
      </c>
      <c r="F15">
        <v>1</v>
      </c>
      <c r="G15">
        <v>1</v>
      </c>
      <c r="H15">
        <v>1</v>
      </c>
      <c r="I15" t="s">
        <v>361</v>
      </c>
      <c r="J15" t="s">
        <v>3</v>
      </c>
      <c r="K15" t="s">
        <v>362</v>
      </c>
      <c r="L15">
        <v>1191</v>
      </c>
      <c r="N15">
        <v>1013</v>
      </c>
      <c r="O15" t="s">
        <v>346</v>
      </c>
      <c r="P15" t="s">
        <v>346</v>
      </c>
      <c r="Q15">
        <v>1</v>
      </c>
      <c r="X15">
        <v>68</v>
      </c>
      <c r="Y15">
        <v>0</v>
      </c>
      <c r="Z15">
        <v>0</v>
      </c>
      <c r="AA15">
        <v>0</v>
      </c>
      <c r="AB15">
        <v>359.65</v>
      </c>
      <c r="AC15">
        <v>0</v>
      </c>
      <c r="AD15">
        <v>1</v>
      </c>
      <c r="AE15">
        <v>1</v>
      </c>
      <c r="AF15" t="s">
        <v>58</v>
      </c>
      <c r="AG15">
        <v>54.400000000000006</v>
      </c>
      <c r="AH15">
        <v>2</v>
      </c>
      <c r="AI15">
        <v>55860863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ROW(Source!A31)</f>
        <v>31</v>
      </c>
      <c r="B16">
        <v>55860870</v>
      </c>
      <c r="C16">
        <v>55860862</v>
      </c>
      <c r="D16">
        <v>54569789</v>
      </c>
      <c r="E16">
        <v>117</v>
      </c>
      <c r="F16">
        <v>1</v>
      </c>
      <c r="G16">
        <v>1</v>
      </c>
      <c r="H16">
        <v>1</v>
      </c>
      <c r="I16" t="s">
        <v>353</v>
      </c>
      <c r="J16" t="s">
        <v>3</v>
      </c>
      <c r="K16" t="s">
        <v>354</v>
      </c>
      <c r="L16">
        <v>1191</v>
      </c>
      <c r="N16">
        <v>1013</v>
      </c>
      <c r="O16" t="s">
        <v>346</v>
      </c>
      <c r="P16" t="s">
        <v>346</v>
      </c>
      <c r="Q16">
        <v>1</v>
      </c>
      <c r="X16">
        <v>1.05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2</v>
      </c>
      <c r="AF16" t="s">
        <v>58</v>
      </c>
      <c r="AG16">
        <v>0.84000000000000008</v>
      </c>
      <c r="AH16">
        <v>2</v>
      </c>
      <c r="AI16">
        <v>55860864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ROW(Source!A31)</f>
        <v>31</v>
      </c>
      <c r="B17">
        <v>55860871</v>
      </c>
      <c r="C17">
        <v>55860862</v>
      </c>
      <c r="D17">
        <v>54577173</v>
      </c>
      <c r="E17">
        <v>1</v>
      </c>
      <c r="F17">
        <v>1</v>
      </c>
      <c r="G17">
        <v>1</v>
      </c>
      <c r="H17">
        <v>2</v>
      </c>
      <c r="I17" t="s">
        <v>363</v>
      </c>
      <c r="J17" t="s">
        <v>364</v>
      </c>
      <c r="K17" t="s">
        <v>365</v>
      </c>
      <c r="L17">
        <v>1368</v>
      </c>
      <c r="N17">
        <v>1011</v>
      </c>
      <c r="O17" t="s">
        <v>350</v>
      </c>
      <c r="P17" t="s">
        <v>350</v>
      </c>
      <c r="Q17">
        <v>1</v>
      </c>
      <c r="X17">
        <v>1.05</v>
      </c>
      <c r="Y17">
        <v>0</v>
      </c>
      <c r="Z17">
        <v>680.75</v>
      </c>
      <c r="AA17">
        <v>404.99</v>
      </c>
      <c r="AB17">
        <v>0</v>
      </c>
      <c r="AC17">
        <v>0</v>
      </c>
      <c r="AD17">
        <v>1</v>
      </c>
      <c r="AE17">
        <v>0</v>
      </c>
      <c r="AF17" t="s">
        <v>58</v>
      </c>
      <c r="AG17">
        <v>0.84000000000000008</v>
      </c>
      <c r="AH17">
        <v>2</v>
      </c>
      <c r="AI17">
        <v>55860865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ROW(Source!A31)</f>
        <v>31</v>
      </c>
      <c r="B18">
        <v>55860872</v>
      </c>
      <c r="C18">
        <v>55860862</v>
      </c>
      <c r="D18">
        <v>54643943</v>
      </c>
      <c r="E18">
        <v>1</v>
      </c>
      <c r="F18">
        <v>1</v>
      </c>
      <c r="G18">
        <v>1</v>
      </c>
      <c r="H18">
        <v>3</v>
      </c>
      <c r="I18" t="s">
        <v>367</v>
      </c>
      <c r="J18" t="s">
        <v>368</v>
      </c>
      <c r="K18" t="s">
        <v>369</v>
      </c>
      <c r="L18">
        <v>1383</v>
      </c>
      <c r="N18">
        <v>1013</v>
      </c>
      <c r="O18" t="s">
        <v>370</v>
      </c>
      <c r="P18" t="s">
        <v>370</v>
      </c>
      <c r="Q18">
        <v>1</v>
      </c>
      <c r="X18">
        <v>0.47599999999999998</v>
      </c>
      <c r="Y18">
        <v>7.71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57</v>
      </c>
      <c r="AG18">
        <v>0</v>
      </c>
      <c r="AH18">
        <v>2</v>
      </c>
      <c r="AI18">
        <v>55860866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ROW(Source!A31)</f>
        <v>31</v>
      </c>
      <c r="B19">
        <v>55860873</v>
      </c>
      <c r="C19">
        <v>55860862</v>
      </c>
      <c r="D19">
        <v>54645496</v>
      </c>
      <c r="E19">
        <v>1</v>
      </c>
      <c r="F19">
        <v>1</v>
      </c>
      <c r="G19">
        <v>1</v>
      </c>
      <c r="H19">
        <v>3</v>
      </c>
      <c r="I19" t="s">
        <v>371</v>
      </c>
      <c r="J19" t="s">
        <v>372</v>
      </c>
      <c r="K19" t="s">
        <v>373</v>
      </c>
      <c r="L19">
        <v>1348</v>
      </c>
      <c r="N19">
        <v>1009</v>
      </c>
      <c r="O19" t="s">
        <v>41</v>
      </c>
      <c r="P19" t="s">
        <v>41</v>
      </c>
      <c r="Q19">
        <v>1000</v>
      </c>
      <c r="X19">
        <v>4.1000000000000003E-3</v>
      </c>
      <c r="Y19">
        <v>76729.919999999998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57</v>
      </c>
      <c r="AG19">
        <v>0</v>
      </c>
      <c r="AH19">
        <v>2</v>
      </c>
      <c r="AI19">
        <v>55860867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ROW(Source!A31)</f>
        <v>31</v>
      </c>
      <c r="B20">
        <v>55860874</v>
      </c>
      <c r="C20">
        <v>55860862</v>
      </c>
      <c r="D20">
        <v>54654712</v>
      </c>
      <c r="E20">
        <v>1</v>
      </c>
      <c r="F20">
        <v>1</v>
      </c>
      <c r="G20">
        <v>1</v>
      </c>
      <c r="H20">
        <v>3</v>
      </c>
      <c r="I20" t="s">
        <v>374</v>
      </c>
      <c r="J20" t="s">
        <v>375</v>
      </c>
      <c r="K20" t="s">
        <v>376</v>
      </c>
      <c r="L20">
        <v>1339</v>
      </c>
      <c r="N20">
        <v>1007</v>
      </c>
      <c r="O20" t="s">
        <v>92</v>
      </c>
      <c r="P20" t="s">
        <v>92</v>
      </c>
      <c r="Q20">
        <v>1</v>
      </c>
      <c r="X20">
        <v>1.58</v>
      </c>
      <c r="Y20">
        <v>28414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57</v>
      </c>
      <c r="AG20">
        <v>0</v>
      </c>
      <c r="AH20">
        <v>2</v>
      </c>
      <c r="AI20">
        <v>55860868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ROW(Source!A31)</f>
        <v>31</v>
      </c>
      <c r="B21">
        <v>55860875</v>
      </c>
      <c r="C21">
        <v>55860862</v>
      </c>
      <c r="D21">
        <v>54572691</v>
      </c>
      <c r="E21">
        <v>117</v>
      </c>
      <c r="F21">
        <v>1</v>
      </c>
      <c r="G21">
        <v>1</v>
      </c>
      <c r="H21">
        <v>3</v>
      </c>
      <c r="I21" t="s">
        <v>428</v>
      </c>
      <c r="J21" t="s">
        <v>3</v>
      </c>
      <c r="K21" t="s">
        <v>429</v>
      </c>
      <c r="L21">
        <v>1339</v>
      </c>
      <c r="N21">
        <v>1007</v>
      </c>
      <c r="O21" t="s">
        <v>92</v>
      </c>
      <c r="P21" t="s">
        <v>92</v>
      </c>
      <c r="Q21">
        <v>1</v>
      </c>
      <c r="X21">
        <v>1.36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57</v>
      </c>
      <c r="AG21">
        <v>0</v>
      </c>
      <c r="AH21">
        <v>3</v>
      </c>
      <c r="AI21">
        <v>-1</v>
      </c>
      <c r="AJ21" t="s">
        <v>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ROW(Source!A32)</f>
        <v>32</v>
      </c>
      <c r="B22">
        <v>55860883</v>
      </c>
      <c r="C22">
        <v>55860876</v>
      </c>
      <c r="D22">
        <v>54569595</v>
      </c>
      <c r="E22">
        <v>117</v>
      </c>
      <c r="F22">
        <v>1</v>
      </c>
      <c r="G22">
        <v>1</v>
      </c>
      <c r="H22">
        <v>1</v>
      </c>
      <c r="I22" t="s">
        <v>361</v>
      </c>
      <c r="J22" t="s">
        <v>3</v>
      </c>
      <c r="K22" t="s">
        <v>362</v>
      </c>
      <c r="L22">
        <v>1191</v>
      </c>
      <c r="N22">
        <v>1013</v>
      </c>
      <c r="O22" t="s">
        <v>346</v>
      </c>
      <c r="P22" t="s">
        <v>346</v>
      </c>
      <c r="Q22">
        <v>1</v>
      </c>
      <c r="X22">
        <v>143</v>
      </c>
      <c r="Y22">
        <v>0</v>
      </c>
      <c r="Z22">
        <v>0</v>
      </c>
      <c r="AA22">
        <v>0</v>
      </c>
      <c r="AB22">
        <v>359.65</v>
      </c>
      <c r="AC22">
        <v>0</v>
      </c>
      <c r="AD22">
        <v>1</v>
      </c>
      <c r="AE22">
        <v>1</v>
      </c>
      <c r="AF22" t="s">
        <v>58</v>
      </c>
      <c r="AG22">
        <v>114.4</v>
      </c>
      <c r="AH22">
        <v>2</v>
      </c>
      <c r="AI22">
        <v>55860877</v>
      </c>
      <c r="AJ22">
        <v>21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ROW(Source!A32)</f>
        <v>32</v>
      </c>
      <c r="B23">
        <v>55860884</v>
      </c>
      <c r="C23">
        <v>55860876</v>
      </c>
      <c r="D23">
        <v>54569789</v>
      </c>
      <c r="E23">
        <v>117</v>
      </c>
      <c r="F23">
        <v>1</v>
      </c>
      <c r="G23">
        <v>1</v>
      </c>
      <c r="H23">
        <v>1</v>
      </c>
      <c r="I23" t="s">
        <v>353</v>
      </c>
      <c r="J23" t="s">
        <v>3</v>
      </c>
      <c r="K23" t="s">
        <v>354</v>
      </c>
      <c r="L23">
        <v>1191</v>
      </c>
      <c r="N23">
        <v>1013</v>
      </c>
      <c r="O23" t="s">
        <v>346</v>
      </c>
      <c r="P23" t="s">
        <v>346</v>
      </c>
      <c r="Q23">
        <v>1</v>
      </c>
      <c r="X23">
        <v>0.9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2</v>
      </c>
      <c r="AF23" t="s">
        <v>58</v>
      </c>
      <c r="AG23">
        <v>0.72000000000000008</v>
      </c>
      <c r="AH23">
        <v>2</v>
      </c>
      <c r="AI23">
        <v>55860878</v>
      </c>
      <c r="AJ23">
        <v>22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ROW(Source!A32)</f>
        <v>32</v>
      </c>
      <c r="B24">
        <v>55860885</v>
      </c>
      <c r="C24">
        <v>55860876</v>
      </c>
      <c r="D24">
        <v>54577173</v>
      </c>
      <c r="E24">
        <v>1</v>
      </c>
      <c r="F24">
        <v>1</v>
      </c>
      <c r="G24">
        <v>1</v>
      </c>
      <c r="H24">
        <v>2</v>
      </c>
      <c r="I24" t="s">
        <v>363</v>
      </c>
      <c r="J24" t="s">
        <v>364</v>
      </c>
      <c r="K24" t="s">
        <v>365</v>
      </c>
      <c r="L24">
        <v>1368</v>
      </c>
      <c r="N24">
        <v>1011</v>
      </c>
      <c r="O24" t="s">
        <v>350</v>
      </c>
      <c r="P24" t="s">
        <v>350</v>
      </c>
      <c r="Q24">
        <v>1</v>
      </c>
      <c r="X24">
        <v>0.9</v>
      </c>
      <c r="Y24">
        <v>0</v>
      </c>
      <c r="Z24">
        <v>680.75</v>
      </c>
      <c r="AA24">
        <v>404.99</v>
      </c>
      <c r="AB24">
        <v>0</v>
      </c>
      <c r="AC24">
        <v>0</v>
      </c>
      <c r="AD24">
        <v>1</v>
      </c>
      <c r="AE24">
        <v>0</v>
      </c>
      <c r="AF24" t="s">
        <v>58</v>
      </c>
      <c r="AG24">
        <v>0.72000000000000008</v>
      </c>
      <c r="AH24">
        <v>2</v>
      </c>
      <c r="AI24">
        <v>55860879</v>
      </c>
      <c r="AJ24">
        <v>23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ROW(Source!A32)</f>
        <v>32</v>
      </c>
      <c r="B25">
        <v>55860886</v>
      </c>
      <c r="C25">
        <v>55860876</v>
      </c>
      <c r="D25">
        <v>54643943</v>
      </c>
      <c r="E25">
        <v>1</v>
      </c>
      <c r="F25">
        <v>1</v>
      </c>
      <c r="G25">
        <v>1</v>
      </c>
      <c r="H25">
        <v>3</v>
      </c>
      <c r="I25" t="s">
        <v>367</v>
      </c>
      <c r="J25" t="s">
        <v>368</v>
      </c>
      <c r="K25" t="s">
        <v>369</v>
      </c>
      <c r="L25">
        <v>1383</v>
      </c>
      <c r="N25">
        <v>1013</v>
      </c>
      <c r="O25" t="s">
        <v>370</v>
      </c>
      <c r="P25" t="s">
        <v>370</v>
      </c>
      <c r="Q25">
        <v>1</v>
      </c>
      <c r="X25">
        <v>1.0009999999999999</v>
      </c>
      <c r="Y25">
        <v>7.71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57</v>
      </c>
      <c r="AG25">
        <v>0</v>
      </c>
      <c r="AH25">
        <v>2</v>
      </c>
      <c r="AI25">
        <v>55860880</v>
      </c>
      <c r="AJ25">
        <v>24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ROW(Source!A32)</f>
        <v>32</v>
      </c>
      <c r="B26">
        <v>55860887</v>
      </c>
      <c r="C26">
        <v>55860876</v>
      </c>
      <c r="D26">
        <v>54645496</v>
      </c>
      <c r="E26">
        <v>1</v>
      </c>
      <c r="F26">
        <v>1</v>
      </c>
      <c r="G26">
        <v>1</v>
      </c>
      <c r="H26">
        <v>3</v>
      </c>
      <c r="I26" t="s">
        <v>371</v>
      </c>
      <c r="J26" t="s">
        <v>372</v>
      </c>
      <c r="K26" t="s">
        <v>373</v>
      </c>
      <c r="L26">
        <v>1348</v>
      </c>
      <c r="N26">
        <v>1009</v>
      </c>
      <c r="O26" t="s">
        <v>41</v>
      </c>
      <c r="P26" t="s">
        <v>41</v>
      </c>
      <c r="Q26">
        <v>1000</v>
      </c>
      <c r="X26">
        <v>3.5999999999999999E-3</v>
      </c>
      <c r="Y26">
        <v>76729.919999999998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57</v>
      </c>
      <c r="AG26">
        <v>0</v>
      </c>
      <c r="AH26">
        <v>2</v>
      </c>
      <c r="AI26">
        <v>55860881</v>
      </c>
      <c r="AJ26">
        <v>25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ROW(Source!A32)</f>
        <v>32</v>
      </c>
      <c r="B27">
        <v>55860888</v>
      </c>
      <c r="C27">
        <v>55860876</v>
      </c>
      <c r="D27">
        <v>54654712</v>
      </c>
      <c r="E27">
        <v>1</v>
      </c>
      <c r="F27">
        <v>1</v>
      </c>
      <c r="G27">
        <v>1</v>
      </c>
      <c r="H27">
        <v>3</v>
      </c>
      <c r="I27" t="s">
        <v>374</v>
      </c>
      <c r="J27" t="s">
        <v>375</v>
      </c>
      <c r="K27" t="s">
        <v>376</v>
      </c>
      <c r="L27">
        <v>1339</v>
      </c>
      <c r="N27">
        <v>1007</v>
      </c>
      <c r="O27" t="s">
        <v>92</v>
      </c>
      <c r="P27" t="s">
        <v>92</v>
      </c>
      <c r="Q27">
        <v>1</v>
      </c>
      <c r="X27">
        <v>1.06</v>
      </c>
      <c r="Y27">
        <v>28414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57</v>
      </c>
      <c r="AG27">
        <v>0</v>
      </c>
      <c r="AH27">
        <v>2</v>
      </c>
      <c r="AI27">
        <v>55860882</v>
      </c>
      <c r="AJ27">
        <v>26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ROW(Source!A32)</f>
        <v>32</v>
      </c>
      <c r="B28">
        <v>55860889</v>
      </c>
      <c r="C28">
        <v>55860876</v>
      </c>
      <c r="D28">
        <v>54572691</v>
      </c>
      <c r="E28">
        <v>117</v>
      </c>
      <c r="F28">
        <v>1</v>
      </c>
      <c r="G28">
        <v>1</v>
      </c>
      <c r="H28">
        <v>3</v>
      </c>
      <c r="I28" t="s">
        <v>428</v>
      </c>
      <c r="J28" t="s">
        <v>3</v>
      </c>
      <c r="K28" t="s">
        <v>429</v>
      </c>
      <c r="L28">
        <v>1339</v>
      </c>
      <c r="N28">
        <v>1007</v>
      </c>
      <c r="O28" t="s">
        <v>92</v>
      </c>
      <c r="P28" t="s">
        <v>92</v>
      </c>
      <c r="Q28">
        <v>1</v>
      </c>
      <c r="X28">
        <v>0.92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 t="s">
        <v>57</v>
      </c>
      <c r="AG28">
        <v>0</v>
      </c>
      <c r="AH28">
        <v>3</v>
      </c>
      <c r="AI28">
        <v>-1</v>
      </c>
      <c r="AJ28" t="s">
        <v>3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ROW(Source!A32)</f>
        <v>32</v>
      </c>
      <c r="B29">
        <v>55860890</v>
      </c>
      <c r="C29">
        <v>55860876</v>
      </c>
      <c r="D29">
        <v>54572691</v>
      </c>
      <c r="E29">
        <v>117</v>
      </c>
      <c r="F29">
        <v>1</v>
      </c>
      <c r="G29">
        <v>1</v>
      </c>
      <c r="H29">
        <v>3</v>
      </c>
      <c r="I29" t="s">
        <v>428</v>
      </c>
      <c r="J29" t="s">
        <v>3</v>
      </c>
      <c r="K29" t="s">
        <v>430</v>
      </c>
      <c r="L29">
        <v>1339</v>
      </c>
      <c r="N29">
        <v>1007</v>
      </c>
      <c r="O29" t="s">
        <v>92</v>
      </c>
      <c r="P29" t="s">
        <v>92</v>
      </c>
      <c r="Q29">
        <v>1</v>
      </c>
      <c r="X29">
        <v>0.57999999999999996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t="s">
        <v>57</v>
      </c>
      <c r="AG29">
        <v>0</v>
      </c>
      <c r="AH29">
        <v>3</v>
      </c>
      <c r="AI29">
        <v>-1</v>
      </c>
      <c r="AJ29" t="s">
        <v>3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ROW(Source!A33)</f>
        <v>33</v>
      </c>
      <c r="B30">
        <v>55873808</v>
      </c>
      <c r="C30">
        <v>55873805</v>
      </c>
      <c r="D30">
        <v>35812902</v>
      </c>
      <c r="E30">
        <v>117</v>
      </c>
      <c r="F30">
        <v>1</v>
      </c>
      <c r="G30">
        <v>1</v>
      </c>
      <c r="H30">
        <v>1</v>
      </c>
      <c r="I30" t="s">
        <v>344</v>
      </c>
      <c r="J30" t="s">
        <v>3</v>
      </c>
      <c r="K30" t="s">
        <v>345</v>
      </c>
      <c r="L30">
        <v>1191</v>
      </c>
      <c r="N30">
        <v>1013</v>
      </c>
      <c r="O30" t="s">
        <v>346</v>
      </c>
      <c r="P30" t="s">
        <v>346</v>
      </c>
      <c r="Q30">
        <v>1</v>
      </c>
      <c r="X30">
        <v>14.38</v>
      </c>
      <c r="Y30">
        <v>0</v>
      </c>
      <c r="Z30">
        <v>0</v>
      </c>
      <c r="AA30">
        <v>0</v>
      </c>
      <c r="AB30">
        <v>329.43</v>
      </c>
      <c r="AC30">
        <v>0</v>
      </c>
      <c r="AD30">
        <v>1</v>
      </c>
      <c r="AE30">
        <v>1</v>
      </c>
      <c r="AF30" t="s">
        <v>3</v>
      </c>
      <c r="AG30">
        <v>14.38</v>
      </c>
      <c r="AH30">
        <v>2</v>
      </c>
      <c r="AI30">
        <v>55873806</v>
      </c>
      <c r="AJ30">
        <v>27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ROW(Source!A33)</f>
        <v>33</v>
      </c>
      <c r="B31">
        <v>55873809</v>
      </c>
      <c r="C31">
        <v>55873805</v>
      </c>
      <c r="D31">
        <v>54576412</v>
      </c>
      <c r="E31">
        <v>1</v>
      </c>
      <c r="F31">
        <v>1</v>
      </c>
      <c r="G31">
        <v>1</v>
      </c>
      <c r="H31">
        <v>2</v>
      </c>
      <c r="I31" t="s">
        <v>347</v>
      </c>
      <c r="J31" t="s">
        <v>348</v>
      </c>
      <c r="K31" t="s">
        <v>349</v>
      </c>
      <c r="L31">
        <v>1368</v>
      </c>
      <c r="N31">
        <v>1011</v>
      </c>
      <c r="O31" t="s">
        <v>350</v>
      </c>
      <c r="P31" t="s">
        <v>350</v>
      </c>
      <c r="Q31">
        <v>1</v>
      </c>
      <c r="X31">
        <v>6.22</v>
      </c>
      <c r="Y31">
        <v>0</v>
      </c>
      <c r="Z31">
        <v>11.45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6.22</v>
      </c>
      <c r="AH31">
        <v>2</v>
      </c>
      <c r="AI31">
        <v>55873807</v>
      </c>
      <c r="AJ31">
        <v>28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ROW(Source!A34)</f>
        <v>34</v>
      </c>
      <c r="B32">
        <v>55873818</v>
      </c>
      <c r="C32">
        <v>55873810</v>
      </c>
      <c r="D32">
        <v>35812913</v>
      </c>
      <c r="E32">
        <v>111</v>
      </c>
      <c r="F32">
        <v>1</v>
      </c>
      <c r="G32">
        <v>1</v>
      </c>
      <c r="H32">
        <v>1</v>
      </c>
      <c r="I32" t="s">
        <v>377</v>
      </c>
      <c r="J32" t="s">
        <v>3</v>
      </c>
      <c r="K32" t="s">
        <v>378</v>
      </c>
      <c r="L32">
        <v>1191</v>
      </c>
      <c r="N32">
        <v>1013</v>
      </c>
      <c r="O32" t="s">
        <v>346</v>
      </c>
      <c r="P32" t="s">
        <v>346</v>
      </c>
      <c r="Q32">
        <v>1</v>
      </c>
      <c r="X32">
        <v>24.3</v>
      </c>
      <c r="Y32">
        <v>0</v>
      </c>
      <c r="Z32">
        <v>0</v>
      </c>
      <c r="AA32">
        <v>0</v>
      </c>
      <c r="AB32">
        <v>288.89</v>
      </c>
      <c r="AC32">
        <v>0</v>
      </c>
      <c r="AD32">
        <v>1</v>
      </c>
      <c r="AE32">
        <v>1</v>
      </c>
      <c r="AF32" t="s">
        <v>78</v>
      </c>
      <c r="AG32">
        <v>19.440000000000001</v>
      </c>
      <c r="AH32">
        <v>2</v>
      </c>
      <c r="AI32">
        <v>55873811</v>
      </c>
      <c r="AJ32">
        <v>29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ROW(Source!A34)</f>
        <v>34</v>
      </c>
      <c r="B33">
        <v>55873819</v>
      </c>
      <c r="C33">
        <v>55873810</v>
      </c>
      <c r="D33">
        <v>35812888</v>
      </c>
      <c r="E33">
        <v>111</v>
      </c>
      <c r="F33">
        <v>1</v>
      </c>
      <c r="G33">
        <v>1</v>
      </c>
      <c r="H33">
        <v>1</v>
      </c>
      <c r="I33" t="s">
        <v>353</v>
      </c>
      <c r="J33" t="s">
        <v>3</v>
      </c>
      <c r="K33" t="s">
        <v>354</v>
      </c>
      <c r="L33">
        <v>1191</v>
      </c>
      <c r="N33">
        <v>1013</v>
      </c>
      <c r="O33" t="s">
        <v>346</v>
      </c>
      <c r="P33" t="s">
        <v>346</v>
      </c>
      <c r="Q33">
        <v>1</v>
      </c>
      <c r="X33">
        <v>1.94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2</v>
      </c>
      <c r="AF33" t="s">
        <v>78</v>
      </c>
      <c r="AG33">
        <v>1.552</v>
      </c>
      <c r="AH33">
        <v>2</v>
      </c>
      <c r="AI33">
        <v>55873812</v>
      </c>
      <c r="AJ33">
        <v>30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ROW(Source!A34)</f>
        <v>34</v>
      </c>
      <c r="B34">
        <v>55873820</v>
      </c>
      <c r="C34">
        <v>55873810</v>
      </c>
      <c r="D34">
        <v>46205366</v>
      </c>
      <c r="E34">
        <v>1</v>
      </c>
      <c r="F34">
        <v>1</v>
      </c>
      <c r="G34">
        <v>1</v>
      </c>
      <c r="H34">
        <v>2</v>
      </c>
      <c r="I34" t="s">
        <v>355</v>
      </c>
      <c r="J34" t="s">
        <v>356</v>
      </c>
      <c r="K34" t="s">
        <v>357</v>
      </c>
      <c r="L34">
        <v>1368</v>
      </c>
      <c r="N34">
        <v>1011</v>
      </c>
      <c r="O34" t="s">
        <v>350</v>
      </c>
      <c r="P34" t="s">
        <v>350</v>
      </c>
      <c r="Q34">
        <v>1</v>
      </c>
      <c r="X34">
        <v>0.68</v>
      </c>
      <c r="Y34">
        <v>0</v>
      </c>
      <c r="Z34">
        <v>980.88</v>
      </c>
      <c r="AA34">
        <v>431.53</v>
      </c>
      <c r="AB34">
        <v>0</v>
      </c>
      <c r="AC34">
        <v>0</v>
      </c>
      <c r="AD34">
        <v>1</v>
      </c>
      <c r="AE34">
        <v>0</v>
      </c>
      <c r="AF34" t="s">
        <v>78</v>
      </c>
      <c r="AG34">
        <v>0.54400000000000004</v>
      </c>
      <c r="AH34">
        <v>2</v>
      </c>
      <c r="AI34">
        <v>55873813</v>
      </c>
      <c r="AJ34">
        <v>31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ROW(Source!A34)</f>
        <v>34</v>
      </c>
      <c r="B35">
        <v>55873821</v>
      </c>
      <c r="C35">
        <v>55873810</v>
      </c>
      <c r="D35">
        <v>46205574</v>
      </c>
      <c r="E35">
        <v>1</v>
      </c>
      <c r="F35">
        <v>1</v>
      </c>
      <c r="G35">
        <v>1</v>
      </c>
      <c r="H35">
        <v>2</v>
      </c>
      <c r="I35" t="s">
        <v>379</v>
      </c>
      <c r="J35" t="s">
        <v>380</v>
      </c>
      <c r="K35" t="s">
        <v>381</v>
      </c>
      <c r="L35">
        <v>1368</v>
      </c>
      <c r="N35">
        <v>1011</v>
      </c>
      <c r="O35" t="s">
        <v>350</v>
      </c>
      <c r="P35" t="s">
        <v>350</v>
      </c>
      <c r="Q35">
        <v>1</v>
      </c>
      <c r="X35">
        <v>1.26</v>
      </c>
      <c r="Y35">
        <v>0</v>
      </c>
      <c r="Z35">
        <v>1612.23</v>
      </c>
      <c r="AA35">
        <v>369.2</v>
      </c>
      <c r="AB35">
        <v>0</v>
      </c>
      <c r="AC35">
        <v>0</v>
      </c>
      <c r="AD35">
        <v>1</v>
      </c>
      <c r="AE35">
        <v>0</v>
      </c>
      <c r="AF35" t="s">
        <v>78</v>
      </c>
      <c r="AG35">
        <v>1.008</v>
      </c>
      <c r="AH35">
        <v>2</v>
      </c>
      <c r="AI35">
        <v>55873814</v>
      </c>
      <c r="AJ35">
        <v>32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ROW(Source!A34)</f>
        <v>34</v>
      </c>
      <c r="B36">
        <v>55873822</v>
      </c>
      <c r="C36">
        <v>55873810</v>
      </c>
      <c r="D36">
        <v>46205695</v>
      </c>
      <c r="E36">
        <v>1</v>
      </c>
      <c r="F36">
        <v>1</v>
      </c>
      <c r="G36">
        <v>1</v>
      </c>
      <c r="H36">
        <v>2</v>
      </c>
      <c r="I36" t="s">
        <v>383</v>
      </c>
      <c r="J36" t="s">
        <v>384</v>
      </c>
      <c r="K36" t="s">
        <v>385</v>
      </c>
      <c r="L36">
        <v>1368</v>
      </c>
      <c r="N36">
        <v>1011</v>
      </c>
      <c r="O36" t="s">
        <v>350</v>
      </c>
      <c r="P36" t="s">
        <v>350</v>
      </c>
      <c r="Q36">
        <v>1</v>
      </c>
      <c r="X36">
        <v>2.29</v>
      </c>
      <c r="Y36">
        <v>0</v>
      </c>
      <c r="Z36">
        <v>13.69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78</v>
      </c>
      <c r="AG36">
        <v>1.8320000000000001</v>
      </c>
      <c r="AH36">
        <v>2</v>
      </c>
      <c r="AI36">
        <v>55873815</v>
      </c>
      <c r="AJ36">
        <v>33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ROW(Source!A34)</f>
        <v>34</v>
      </c>
      <c r="B37">
        <v>55873823</v>
      </c>
      <c r="C37">
        <v>55873810</v>
      </c>
      <c r="D37">
        <v>46159042</v>
      </c>
      <c r="E37">
        <v>1</v>
      </c>
      <c r="F37">
        <v>1</v>
      </c>
      <c r="G37">
        <v>1</v>
      </c>
      <c r="H37">
        <v>3</v>
      </c>
      <c r="I37" t="s">
        <v>386</v>
      </c>
      <c r="J37" t="s">
        <v>387</v>
      </c>
      <c r="K37" t="s">
        <v>388</v>
      </c>
      <c r="L37">
        <v>1339</v>
      </c>
      <c r="N37">
        <v>1007</v>
      </c>
      <c r="O37" t="s">
        <v>92</v>
      </c>
      <c r="P37" t="s">
        <v>92</v>
      </c>
      <c r="Q37">
        <v>1</v>
      </c>
      <c r="X37">
        <v>3.85</v>
      </c>
      <c r="Y37">
        <v>35.71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77</v>
      </c>
      <c r="AG37">
        <v>0</v>
      </c>
      <c r="AH37">
        <v>2</v>
      </c>
      <c r="AI37">
        <v>55873816</v>
      </c>
      <c r="AJ37">
        <v>34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ROW(Source!A34)</f>
        <v>34</v>
      </c>
      <c r="B38">
        <v>55873824</v>
      </c>
      <c r="C38">
        <v>55873810</v>
      </c>
      <c r="D38">
        <v>46086029</v>
      </c>
      <c r="E38">
        <v>111</v>
      </c>
      <c r="F38">
        <v>1</v>
      </c>
      <c r="G38">
        <v>1</v>
      </c>
      <c r="H38">
        <v>3</v>
      </c>
      <c r="I38" t="s">
        <v>431</v>
      </c>
      <c r="J38" t="s">
        <v>3</v>
      </c>
      <c r="K38" t="s">
        <v>432</v>
      </c>
      <c r="L38">
        <v>1339</v>
      </c>
      <c r="N38">
        <v>1007</v>
      </c>
      <c r="O38" t="s">
        <v>92</v>
      </c>
      <c r="P38" t="s">
        <v>92</v>
      </c>
      <c r="Q38">
        <v>1</v>
      </c>
      <c r="X38">
        <v>1.53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t="s">
        <v>77</v>
      </c>
      <c r="AG38">
        <v>0</v>
      </c>
      <c r="AH38">
        <v>3</v>
      </c>
      <c r="AI38">
        <v>-1</v>
      </c>
      <c r="AJ38" t="s">
        <v>3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ROW(Source!A34)</f>
        <v>34</v>
      </c>
      <c r="B39">
        <v>55873825</v>
      </c>
      <c r="C39">
        <v>55873810</v>
      </c>
      <c r="D39">
        <v>46170637</v>
      </c>
      <c r="E39">
        <v>1</v>
      </c>
      <c r="F39">
        <v>1</v>
      </c>
      <c r="G39">
        <v>1</v>
      </c>
      <c r="H39">
        <v>3</v>
      </c>
      <c r="I39" t="s">
        <v>389</v>
      </c>
      <c r="J39" t="s">
        <v>390</v>
      </c>
      <c r="K39" t="s">
        <v>391</v>
      </c>
      <c r="L39">
        <v>1327</v>
      </c>
      <c r="N39">
        <v>1005</v>
      </c>
      <c r="O39" t="s">
        <v>145</v>
      </c>
      <c r="P39" t="s">
        <v>145</v>
      </c>
      <c r="Q39">
        <v>1</v>
      </c>
      <c r="X39">
        <v>4.4000000000000004</v>
      </c>
      <c r="Y39">
        <v>26.93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77</v>
      </c>
      <c r="AG39">
        <v>0</v>
      </c>
      <c r="AH39">
        <v>2</v>
      </c>
      <c r="AI39">
        <v>55873817</v>
      </c>
      <c r="AJ39">
        <v>35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ROW(Source!A35)</f>
        <v>35</v>
      </c>
      <c r="B40">
        <v>55873831</v>
      </c>
      <c r="C40">
        <v>55873826</v>
      </c>
      <c r="D40">
        <v>35812913</v>
      </c>
      <c r="E40">
        <v>111</v>
      </c>
      <c r="F40">
        <v>1</v>
      </c>
      <c r="G40">
        <v>1</v>
      </c>
      <c r="H40">
        <v>1</v>
      </c>
      <c r="I40" t="s">
        <v>377</v>
      </c>
      <c r="J40" t="s">
        <v>3</v>
      </c>
      <c r="K40" t="s">
        <v>378</v>
      </c>
      <c r="L40">
        <v>1191</v>
      </c>
      <c r="N40">
        <v>1013</v>
      </c>
      <c r="O40" t="s">
        <v>346</v>
      </c>
      <c r="P40" t="s">
        <v>346</v>
      </c>
      <c r="Q40">
        <v>1</v>
      </c>
      <c r="X40">
        <v>1</v>
      </c>
      <c r="Y40">
        <v>0</v>
      </c>
      <c r="Z40">
        <v>0</v>
      </c>
      <c r="AA40">
        <v>0</v>
      </c>
      <c r="AB40">
        <v>288.89</v>
      </c>
      <c r="AC40">
        <v>0</v>
      </c>
      <c r="AD40">
        <v>1</v>
      </c>
      <c r="AE40">
        <v>1</v>
      </c>
      <c r="AF40" t="s">
        <v>88</v>
      </c>
      <c r="AG40">
        <v>48</v>
      </c>
      <c r="AH40">
        <v>2</v>
      </c>
      <c r="AI40">
        <v>55873827</v>
      </c>
      <c r="AJ40">
        <v>36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ROW(Source!A35)</f>
        <v>35</v>
      </c>
      <c r="B41">
        <v>55873832</v>
      </c>
      <c r="C41">
        <v>55873826</v>
      </c>
      <c r="D41">
        <v>35812888</v>
      </c>
      <c r="E41">
        <v>111</v>
      </c>
      <c r="F41">
        <v>1</v>
      </c>
      <c r="G41">
        <v>1</v>
      </c>
      <c r="H41">
        <v>1</v>
      </c>
      <c r="I41" t="s">
        <v>353</v>
      </c>
      <c r="J41" t="s">
        <v>3</v>
      </c>
      <c r="K41" t="s">
        <v>354</v>
      </c>
      <c r="L41">
        <v>1191</v>
      </c>
      <c r="N41">
        <v>1013</v>
      </c>
      <c r="O41" t="s">
        <v>346</v>
      </c>
      <c r="P41" t="s">
        <v>346</v>
      </c>
      <c r="Q41">
        <v>1</v>
      </c>
      <c r="X41">
        <v>0.03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2</v>
      </c>
      <c r="AF41" t="s">
        <v>88</v>
      </c>
      <c r="AG41">
        <v>1.44</v>
      </c>
      <c r="AH41">
        <v>2</v>
      </c>
      <c r="AI41">
        <v>55873828</v>
      </c>
      <c r="AJ41">
        <v>37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ROW(Source!A35)</f>
        <v>35</v>
      </c>
      <c r="B42">
        <v>55873833</v>
      </c>
      <c r="C42">
        <v>55873826</v>
      </c>
      <c r="D42">
        <v>46205366</v>
      </c>
      <c r="E42">
        <v>1</v>
      </c>
      <c r="F42">
        <v>1</v>
      </c>
      <c r="G42">
        <v>1</v>
      </c>
      <c r="H42">
        <v>2</v>
      </c>
      <c r="I42" t="s">
        <v>355</v>
      </c>
      <c r="J42" t="s">
        <v>356</v>
      </c>
      <c r="K42" t="s">
        <v>357</v>
      </c>
      <c r="L42">
        <v>1368</v>
      </c>
      <c r="N42">
        <v>1011</v>
      </c>
      <c r="O42" t="s">
        <v>350</v>
      </c>
      <c r="P42" t="s">
        <v>350</v>
      </c>
      <c r="Q42">
        <v>1</v>
      </c>
      <c r="X42">
        <v>0.01</v>
      </c>
      <c r="Y42">
        <v>0</v>
      </c>
      <c r="Z42">
        <v>980.88</v>
      </c>
      <c r="AA42">
        <v>431.53</v>
      </c>
      <c r="AB42">
        <v>0</v>
      </c>
      <c r="AC42">
        <v>0</v>
      </c>
      <c r="AD42">
        <v>1</v>
      </c>
      <c r="AE42">
        <v>0</v>
      </c>
      <c r="AF42" t="s">
        <v>88</v>
      </c>
      <c r="AG42">
        <v>0.48</v>
      </c>
      <c r="AH42">
        <v>2</v>
      </c>
      <c r="AI42">
        <v>55873829</v>
      </c>
      <c r="AJ42">
        <v>38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ROW(Source!A35)</f>
        <v>35</v>
      </c>
      <c r="B43">
        <v>55873834</v>
      </c>
      <c r="C43">
        <v>55873826</v>
      </c>
      <c r="D43">
        <v>46205574</v>
      </c>
      <c r="E43">
        <v>1</v>
      </c>
      <c r="F43">
        <v>1</v>
      </c>
      <c r="G43">
        <v>1</v>
      </c>
      <c r="H43">
        <v>2</v>
      </c>
      <c r="I43" t="s">
        <v>379</v>
      </c>
      <c r="J43" t="s">
        <v>380</v>
      </c>
      <c r="K43" t="s">
        <v>381</v>
      </c>
      <c r="L43">
        <v>1368</v>
      </c>
      <c r="N43">
        <v>1011</v>
      </c>
      <c r="O43" t="s">
        <v>350</v>
      </c>
      <c r="P43" t="s">
        <v>350</v>
      </c>
      <c r="Q43">
        <v>1</v>
      </c>
      <c r="X43">
        <v>0.02</v>
      </c>
      <c r="Y43">
        <v>0</v>
      </c>
      <c r="Z43">
        <v>1612.23</v>
      </c>
      <c r="AA43">
        <v>369.2</v>
      </c>
      <c r="AB43">
        <v>0</v>
      </c>
      <c r="AC43">
        <v>0</v>
      </c>
      <c r="AD43">
        <v>1</v>
      </c>
      <c r="AE43">
        <v>0</v>
      </c>
      <c r="AF43" t="s">
        <v>88</v>
      </c>
      <c r="AG43">
        <v>0.96</v>
      </c>
      <c r="AH43">
        <v>2</v>
      </c>
      <c r="AI43">
        <v>55873830</v>
      </c>
      <c r="AJ43">
        <v>39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ROW(Source!A35)</f>
        <v>35</v>
      </c>
      <c r="B44">
        <v>55873835</v>
      </c>
      <c r="C44">
        <v>55873826</v>
      </c>
      <c r="D44">
        <v>46086029</v>
      </c>
      <c r="E44">
        <v>111</v>
      </c>
      <c r="F44">
        <v>1</v>
      </c>
      <c r="G44">
        <v>1</v>
      </c>
      <c r="H44">
        <v>3</v>
      </c>
      <c r="I44" t="s">
        <v>431</v>
      </c>
      <c r="J44" t="s">
        <v>3</v>
      </c>
      <c r="K44" t="s">
        <v>432</v>
      </c>
      <c r="L44">
        <v>1339</v>
      </c>
      <c r="N44">
        <v>1007</v>
      </c>
      <c r="O44" t="s">
        <v>92</v>
      </c>
      <c r="P44" t="s">
        <v>92</v>
      </c>
      <c r="Q44">
        <v>1</v>
      </c>
      <c r="X44">
        <v>0.10199999999999999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s">
        <v>77</v>
      </c>
      <c r="AG44">
        <v>0</v>
      </c>
      <c r="AH44">
        <v>3</v>
      </c>
      <c r="AI44">
        <v>-1</v>
      </c>
      <c r="AJ44" t="s">
        <v>3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ROW(Source!A36)</f>
        <v>36</v>
      </c>
      <c r="B45">
        <v>55873841</v>
      </c>
      <c r="C45">
        <v>55873836</v>
      </c>
      <c r="D45">
        <v>35812902</v>
      </c>
      <c r="E45">
        <v>111</v>
      </c>
      <c r="F45">
        <v>1</v>
      </c>
      <c r="G45">
        <v>1</v>
      </c>
      <c r="H45">
        <v>1</v>
      </c>
      <c r="I45" t="s">
        <v>344</v>
      </c>
      <c r="J45" t="s">
        <v>3</v>
      </c>
      <c r="K45" t="s">
        <v>392</v>
      </c>
      <c r="L45">
        <v>1191</v>
      </c>
      <c r="N45">
        <v>1013</v>
      </c>
      <c r="O45" t="s">
        <v>346</v>
      </c>
      <c r="P45" t="s">
        <v>346</v>
      </c>
      <c r="Q45">
        <v>1</v>
      </c>
      <c r="X45">
        <v>2.71</v>
      </c>
      <c r="Y45">
        <v>0</v>
      </c>
      <c r="Z45">
        <v>0</v>
      </c>
      <c r="AA45">
        <v>0</v>
      </c>
      <c r="AB45">
        <v>261.32</v>
      </c>
      <c r="AC45">
        <v>0</v>
      </c>
      <c r="AD45">
        <v>1</v>
      </c>
      <c r="AE45">
        <v>1</v>
      </c>
      <c r="AF45" t="s">
        <v>78</v>
      </c>
      <c r="AG45">
        <v>2.1680000000000001</v>
      </c>
      <c r="AH45">
        <v>2</v>
      </c>
      <c r="AI45">
        <v>55873837</v>
      </c>
      <c r="AJ45">
        <v>40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ROW(Source!A36)</f>
        <v>36</v>
      </c>
      <c r="B46">
        <v>55873842</v>
      </c>
      <c r="C46">
        <v>55873836</v>
      </c>
      <c r="D46">
        <v>35812888</v>
      </c>
      <c r="E46">
        <v>111</v>
      </c>
      <c r="F46">
        <v>1</v>
      </c>
      <c r="G46">
        <v>1</v>
      </c>
      <c r="H46">
        <v>1</v>
      </c>
      <c r="I46" t="s">
        <v>353</v>
      </c>
      <c r="J46" t="s">
        <v>3</v>
      </c>
      <c r="K46" t="s">
        <v>354</v>
      </c>
      <c r="L46">
        <v>1191</v>
      </c>
      <c r="N46">
        <v>1013</v>
      </c>
      <c r="O46" t="s">
        <v>346</v>
      </c>
      <c r="P46" t="s">
        <v>346</v>
      </c>
      <c r="Q46">
        <v>1</v>
      </c>
      <c r="X46">
        <v>0.34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2</v>
      </c>
      <c r="AF46" t="s">
        <v>78</v>
      </c>
      <c r="AG46">
        <v>0.27200000000000002</v>
      </c>
      <c r="AH46">
        <v>2</v>
      </c>
      <c r="AI46">
        <v>55873838</v>
      </c>
      <c r="AJ46">
        <v>41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ROW(Source!A36)</f>
        <v>36</v>
      </c>
      <c r="B47">
        <v>55873843</v>
      </c>
      <c r="C47">
        <v>55873836</v>
      </c>
      <c r="D47">
        <v>46205366</v>
      </c>
      <c r="E47">
        <v>1</v>
      </c>
      <c r="F47">
        <v>1</v>
      </c>
      <c r="G47">
        <v>1</v>
      </c>
      <c r="H47">
        <v>2</v>
      </c>
      <c r="I47" t="s">
        <v>355</v>
      </c>
      <c r="J47" t="s">
        <v>356</v>
      </c>
      <c r="K47" t="s">
        <v>357</v>
      </c>
      <c r="L47">
        <v>1368</v>
      </c>
      <c r="N47">
        <v>1011</v>
      </c>
      <c r="O47" t="s">
        <v>350</v>
      </c>
      <c r="P47" t="s">
        <v>350</v>
      </c>
      <c r="Q47">
        <v>1</v>
      </c>
      <c r="X47">
        <v>0.12</v>
      </c>
      <c r="Y47">
        <v>0</v>
      </c>
      <c r="Z47">
        <v>980.88</v>
      </c>
      <c r="AA47">
        <v>431.53</v>
      </c>
      <c r="AB47">
        <v>0</v>
      </c>
      <c r="AC47">
        <v>0</v>
      </c>
      <c r="AD47">
        <v>1</v>
      </c>
      <c r="AE47">
        <v>0</v>
      </c>
      <c r="AF47" t="s">
        <v>78</v>
      </c>
      <c r="AG47">
        <v>9.6000000000000002E-2</v>
      </c>
      <c r="AH47">
        <v>2</v>
      </c>
      <c r="AI47">
        <v>55873839</v>
      </c>
      <c r="AJ47">
        <v>42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ROW(Source!A36)</f>
        <v>36</v>
      </c>
      <c r="B48">
        <v>55873844</v>
      </c>
      <c r="C48">
        <v>55873836</v>
      </c>
      <c r="D48">
        <v>46205574</v>
      </c>
      <c r="E48">
        <v>1</v>
      </c>
      <c r="F48">
        <v>1</v>
      </c>
      <c r="G48">
        <v>1</v>
      </c>
      <c r="H48">
        <v>2</v>
      </c>
      <c r="I48" t="s">
        <v>379</v>
      </c>
      <c r="J48" t="s">
        <v>380</v>
      </c>
      <c r="K48" t="s">
        <v>381</v>
      </c>
      <c r="L48">
        <v>1368</v>
      </c>
      <c r="N48">
        <v>1011</v>
      </c>
      <c r="O48" t="s">
        <v>350</v>
      </c>
      <c r="P48" t="s">
        <v>350</v>
      </c>
      <c r="Q48">
        <v>1</v>
      </c>
      <c r="X48">
        <v>0.22</v>
      </c>
      <c r="Y48">
        <v>0</v>
      </c>
      <c r="Z48">
        <v>1612.23</v>
      </c>
      <c r="AA48">
        <v>369.2</v>
      </c>
      <c r="AB48">
        <v>0</v>
      </c>
      <c r="AC48">
        <v>0</v>
      </c>
      <c r="AD48">
        <v>1</v>
      </c>
      <c r="AE48">
        <v>0</v>
      </c>
      <c r="AF48" t="s">
        <v>78</v>
      </c>
      <c r="AG48">
        <v>0.17600000000000002</v>
      </c>
      <c r="AH48">
        <v>2</v>
      </c>
      <c r="AI48">
        <v>55873840</v>
      </c>
      <c r="AJ48">
        <v>43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ROW(Source!A36)</f>
        <v>36</v>
      </c>
      <c r="B49">
        <v>55873845</v>
      </c>
      <c r="C49">
        <v>55873836</v>
      </c>
      <c r="D49">
        <v>46085780</v>
      </c>
      <c r="E49">
        <v>111</v>
      </c>
      <c r="F49">
        <v>1</v>
      </c>
      <c r="G49">
        <v>1</v>
      </c>
      <c r="H49">
        <v>3</v>
      </c>
      <c r="I49" t="s">
        <v>433</v>
      </c>
      <c r="J49" t="s">
        <v>3</v>
      </c>
      <c r="K49" t="s">
        <v>434</v>
      </c>
      <c r="L49">
        <v>1339</v>
      </c>
      <c r="N49">
        <v>1007</v>
      </c>
      <c r="O49" t="s">
        <v>92</v>
      </c>
      <c r="P49" t="s">
        <v>92</v>
      </c>
      <c r="Q49">
        <v>1</v>
      </c>
      <c r="X49">
        <v>1.03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t="s">
        <v>77</v>
      </c>
      <c r="AG49">
        <v>0</v>
      </c>
      <c r="AH49">
        <v>3</v>
      </c>
      <c r="AI49">
        <v>-1</v>
      </c>
      <c r="AJ49" t="s">
        <v>3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ROW(Source!A37)</f>
        <v>37</v>
      </c>
      <c r="B50">
        <v>55873852</v>
      </c>
      <c r="C50">
        <v>55873846</v>
      </c>
      <c r="D50">
        <v>35812902</v>
      </c>
      <c r="E50">
        <v>111</v>
      </c>
      <c r="F50">
        <v>1</v>
      </c>
      <c r="G50">
        <v>1</v>
      </c>
      <c r="H50">
        <v>1</v>
      </c>
      <c r="I50" t="s">
        <v>344</v>
      </c>
      <c r="J50" t="s">
        <v>3</v>
      </c>
      <c r="K50" t="s">
        <v>392</v>
      </c>
      <c r="L50">
        <v>1191</v>
      </c>
      <c r="N50">
        <v>1013</v>
      </c>
      <c r="O50" t="s">
        <v>346</v>
      </c>
      <c r="P50" t="s">
        <v>346</v>
      </c>
      <c r="Q50">
        <v>1</v>
      </c>
      <c r="X50">
        <v>2.71</v>
      </c>
      <c r="Y50">
        <v>0</v>
      </c>
      <c r="Z50">
        <v>0</v>
      </c>
      <c r="AA50">
        <v>0</v>
      </c>
      <c r="AB50">
        <v>261.32</v>
      </c>
      <c r="AC50">
        <v>0</v>
      </c>
      <c r="AD50">
        <v>1</v>
      </c>
      <c r="AE50">
        <v>1</v>
      </c>
      <c r="AF50" t="s">
        <v>99</v>
      </c>
      <c r="AG50">
        <v>3.1164999999999998</v>
      </c>
      <c r="AH50">
        <v>2</v>
      </c>
      <c r="AI50">
        <v>55873847</v>
      </c>
      <c r="AJ50">
        <v>44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ROW(Source!A37)</f>
        <v>37</v>
      </c>
      <c r="B51">
        <v>55873853</v>
      </c>
      <c r="C51">
        <v>55873846</v>
      </c>
      <c r="D51">
        <v>35812888</v>
      </c>
      <c r="E51">
        <v>111</v>
      </c>
      <c r="F51">
        <v>1</v>
      </c>
      <c r="G51">
        <v>1</v>
      </c>
      <c r="H51">
        <v>1</v>
      </c>
      <c r="I51" t="s">
        <v>353</v>
      </c>
      <c r="J51" t="s">
        <v>3</v>
      </c>
      <c r="K51" t="s">
        <v>354</v>
      </c>
      <c r="L51">
        <v>1191</v>
      </c>
      <c r="N51">
        <v>1013</v>
      </c>
      <c r="O51" t="s">
        <v>346</v>
      </c>
      <c r="P51" t="s">
        <v>346</v>
      </c>
      <c r="Q51">
        <v>1</v>
      </c>
      <c r="X51">
        <v>0.34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2</v>
      </c>
      <c r="AF51" t="s">
        <v>98</v>
      </c>
      <c r="AG51">
        <v>0.42500000000000004</v>
      </c>
      <c r="AH51">
        <v>2</v>
      </c>
      <c r="AI51">
        <v>55873848</v>
      </c>
      <c r="AJ51">
        <v>45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ROW(Source!A37)</f>
        <v>37</v>
      </c>
      <c r="B52">
        <v>55873854</v>
      </c>
      <c r="C52">
        <v>55873846</v>
      </c>
      <c r="D52">
        <v>46205366</v>
      </c>
      <c r="E52">
        <v>1</v>
      </c>
      <c r="F52">
        <v>1</v>
      </c>
      <c r="G52">
        <v>1</v>
      </c>
      <c r="H52">
        <v>2</v>
      </c>
      <c r="I52" t="s">
        <v>355</v>
      </c>
      <c r="J52" t="s">
        <v>356</v>
      </c>
      <c r="K52" t="s">
        <v>357</v>
      </c>
      <c r="L52">
        <v>1368</v>
      </c>
      <c r="N52">
        <v>1011</v>
      </c>
      <c r="O52" t="s">
        <v>350</v>
      </c>
      <c r="P52" t="s">
        <v>350</v>
      </c>
      <c r="Q52">
        <v>1</v>
      </c>
      <c r="X52">
        <v>0.12</v>
      </c>
      <c r="Y52">
        <v>0</v>
      </c>
      <c r="Z52">
        <v>980.88</v>
      </c>
      <c r="AA52">
        <v>431.53</v>
      </c>
      <c r="AB52">
        <v>0</v>
      </c>
      <c r="AC52">
        <v>0</v>
      </c>
      <c r="AD52">
        <v>1</v>
      </c>
      <c r="AE52">
        <v>0</v>
      </c>
      <c r="AF52" t="s">
        <v>98</v>
      </c>
      <c r="AG52">
        <v>0.15</v>
      </c>
      <c r="AH52">
        <v>2</v>
      </c>
      <c r="AI52">
        <v>55873849</v>
      </c>
      <c r="AJ52">
        <v>46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ROW(Source!A37)</f>
        <v>37</v>
      </c>
      <c r="B53">
        <v>55873855</v>
      </c>
      <c r="C53">
        <v>55873846</v>
      </c>
      <c r="D53">
        <v>46205574</v>
      </c>
      <c r="E53">
        <v>1</v>
      </c>
      <c r="F53">
        <v>1</v>
      </c>
      <c r="G53">
        <v>1</v>
      </c>
      <c r="H53">
        <v>2</v>
      </c>
      <c r="I53" t="s">
        <v>379</v>
      </c>
      <c r="J53" t="s">
        <v>380</v>
      </c>
      <c r="K53" t="s">
        <v>381</v>
      </c>
      <c r="L53">
        <v>1368</v>
      </c>
      <c r="N53">
        <v>1011</v>
      </c>
      <c r="O53" t="s">
        <v>350</v>
      </c>
      <c r="P53" t="s">
        <v>350</v>
      </c>
      <c r="Q53">
        <v>1</v>
      </c>
      <c r="X53">
        <v>0.22</v>
      </c>
      <c r="Y53">
        <v>0</v>
      </c>
      <c r="Z53">
        <v>1612.23</v>
      </c>
      <c r="AA53">
        <v>369.2</v>
      </c>
      <c r="AB53">
        <v>0</v>
      </c>
      <c r="AC53">
        <v>0</v>
      </c>
      <c r="AD53">
        <v>1</v>
      </c>
      <c r="AE53">
        <v>0</v>
      </c>
      <c r="AF53" t="s">
        <v>98</v>
      </c>
      <c r="AG53">
        <v>0.27500000000000002</v>
      </c>
      <c r="AH53">
        <v>2</v>
      </c>
      <c r="AI53">
        <v>55873850</v>
      </c>
      <c r="AJ53">
        <v>47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ROW(Source!A37)</f>
        <v>37</v>
      </c>
      <c r="B54">
        <v>55873856</v>
      </c>
      <c r="C54">
        <v>55873846</v>
      </c>
      <c r="D54">
        <v>46085780</v>
      </c>
      <c r="E54">
        <v>111</v>
      </c>
      <c r="F54">
        <v>1</v>
      </c>
      <c r="G54">
        <v>1</v>
      </c>
      <c r="H54">
        <v>3</v>
      </c>
      <c r="I54" t="s">
        <v>433</v>
      </c>
      <c r="J54" t="s">
        <v>3</v>
      </c>
      <c r="K54" t="s">
        <v>434</v>
      </c>
      <c r="L54">
        <v>1339</v>
      </c>
      <c r="N54">
        <v>1007</v>
      </c>
      <c r="O54" t="s">
        <v>92</v>
      </c>
      <c r="P54" t="s">
        <v>92</v>
      </c>
      <c r="Q54">
        <v>1</v>
      </c>
      <c r="X54">
        <v>1.03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 t="s">
        <v>3</v>
      </c>
      <c r="AG54">
        <v>1.03</v>
      </c>
      <c r="AH54">
        <v>3</v>
      </c>
      <c r="AI54">
        <v>-1</v>
      </c>
      <c r="AJ54" t="s">
        <v>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ROW(Source!A39)</f>
        <v>39</v>
      </c>
      <c r="B55">
        <v>55873862</v>
      </c>
      <c r="C55">
        <v>55873858</v>
      </c>
      <c r="D55">
        <v>35812892</v>
      </c>
      <c r="E55">
        <v>111</v>
      </c>
      <c r="F55">
        <v>1</v>
      </c>
      <c r="G55">
        <v>1</v>
      </c>
      <c r="H55">
        <v>1</v>
      </c>
      <c r="I55" t="s">
        <v>393</v>
      </c>
      <c r="J55" t="s">
        <v>3</v>
      </c>
      <c r="K55" t="s">
        <v>394</v>
      </c>
      <c r="L55">
        <v>1191</v>
      </c>
      <c r="N55">
        <v>1013</v>
      </c>
      <c r="O55" t="s">
        <v>346</v>
      </c>
      <c r="P55" t="s">
        <v>346</v>
      </c>
      <c r="Q55">
        <v>1</v>
      </c>
      <c r="X55">
        <v>6.1</v>
      </c>
      <c r="Y55">
        <v>0</v>
      </c>
      <c r="Z55">
        <v>0</v>
      </c>
      <c r="AA55">
        <v>0</v>
      </c>
      <c r="AB55">
        <v>239.74</v>
      </c>
      <c r="AC55">
        <v>0</v>
      </c>
      <c r="AD55">
        <v>1</v>
      </c>
      <c r="AE55">
        <v>1</v>
      </c>
      <c r="AF55" t="s">
        <v>99</v>
      </c>
      <c r="AG55">
        <v>7.0149999999999988</v>
      </c>
      <c r="AH55">
        <v>2</v>
      </c>
      <c r="AI55">
        <v>55873859</v>
      </c>
      <c r="AJ55">
        <v>49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ROW(Source!A39)</f>
        <v>39</v>
      </c>
      <c r="B56">
        <v>55873863</v>
      </c>
      <c r="C56">
        <v>55873858</v>
      </c>
      <c r="D56">
        <v>46159042</v>
      </c>
      <c r="E56">
        <v>1</v>
      </c>
      <c r="F56">
        <v>1</v>
      </c>
      <c r="G56">
        <v>1</v>
      </c>
      <c r="H56">
        <v>3</v>
      </c>
      <c r="I56" t="s">
        <v>386</v>
      </c>
      <c r="J56" t="s">
        <v>387</v>
      </c>
      <c r="K56" t="s">
        <v>388</v>
      </c>
      <c r="L56">
        <v>1339</v>
      </c>
      <c r="N56">
        <v>1007</v>
      </c>
      <c r="O56" t="s">
        <v>92</v>
      </c>
      <c r="P56" t="s">
        <v>92</v>
      </c>
      <c r="Q56">
        <v>1</v>
      </c>
      <c r="X56">
        <v>2</v>
      </c>
      <c r="Y56">
        <v>35.71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</v>
      </c>
      <c r="AG56">
        <v>2</v>
      </c>
      <c r="AH56">
        <v>2</v>
      </c>
      <c r="AI56">
        <v>55873860</v>
      </c>
      <c r="AJ56">
        <v>50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ROW(Source!A41)</f>
        <v>41</v>
      </c>
      <c r="B57">
        <v>55873874</v>
      </c>
      <c r="C57">
        <v>55873865</v>
      </c>
      <c r="D57">
        <v>35812913</v>
      </c>
      <c r="E57">
        <v>111</v>
      </c>
      <c r="F57">
        <v>1</v>
      </c>
      <c r="G57">
        <v>1</v>
      </c>
      <c r="H57">
        <v>1</v>
      </c>
      <c r="I57" t="s">
        <v>377</v>
      </c>
      <c r="J57" t="s">
        <v>3</v>
      </c>
      <c r="K57" t="s">
        <v>378</v>
      </c>
      <c r="L57">
        <v>1191</v>
      </c>
      <c r="N57">
        <v>1013</v>
      </c>
      <c r="O57" t="s">
        <v>346</v>
      </c>
      <c r="P57" t="s">
        <v>346</v>
      </c>
      <c r="Q57">
        <v>1</v>
      </c>
      <c r="X57">
        <v>24.3</v>
      </c>
      <c r="Y57">
        <v>0</v>
      </c>
      <c r="Z57">
        <v>0</v>
      </c>
      <c r="AA57">
        <v>0</v>
      </c>
      <c r="AB57">
        <v>288.89</v>
      </c>
      <c r="AC57">
        <v>0</v>
      </c>
      <c r="AD57">
        <v>1</v>
      </c>
      <c r="AE57">
        <v>1</v>
      </c>
      <c r="AF57" t="s">
        <v>99</v>
      </c>
      <c r="AG57">
        <v>27.945</v>
      </c>
      <c r="AH57">
        <v>2</v>
      </c>
      <c r="AI57">
        <v>55873866</v>
      </c>
      <c r="AJ57">
        <v>52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ROW(Source!A41)</f>
        <v>41</v>
      </c>
      <c r="B58">
        <v>55873875</v>
      </c>
      <c r="C58">
        <v>55873865</v>
      </c>
      <c r="D58">
        <v>35812888</v>
      </c>
      <c r="E58">
        <v>111</v>
      </c>
      <c r="F58">
        <v>1</v>
      </c>
      <c r="G58">
        <v>1</v>
      </c>
      <c r="H58">
        <v>1</v>
      </c>
      <c r="I58" t="s">
        <v>353</v>
      </c>
      <c r="J58" t="s">
        <v>3</v>
      </c>
      <c r="K58" t="s">
        <v>354</v>
      </c>
      <c r="L58">
        <v>1191</v>
      </c>
      <c r="N58">
        <v>1013</v>
      </c>
      <c r="O58" t="s">
        <v>346</v>
      </c>
      <c r="P58" t="s">
        <v>346</v>
      </c>
      <c r="Q58">
        <v>1</v>
      </c>
      <c r="X58">
        <v>1.94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2</v>
      </c>
      <c r="AF58" t="s">
        <v>98</v>
      </c>
      <c r="AG58">
        <v>2.4249999999999998</v>
      </c>
      <c r="AH58">
        <v>2</v>
      </c>
      <c r="AI58">
        <v>55873867</v>
      </c>
      <c r="AJ58">
        <v>53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ROW(Source!A41)</f>
        <v>41</v>
      </c>
      <c r="B59">
        <v>55873876</v>
      </c>
      <c r="C59">
        <v>55873865</v>
      </c>
      <c r="D59">
        <v>46205366</v>
      </c>
      <c r="E59">
        <v>1</v>
      </c>
      <c r="F59">
        <v>1</v>
      </c>
      <c r="G59">
        <v>1</v>
      </c>
      <c r="H59">
        <v>2</v>
      </c>
      <c r="I59" t="s">
        <v>355</v>
      </c>
      <c r="J59" t="s">
        <v>356</v>
      </c>
      <c r="K59" t="s">
        <v>357</v>
      </c>
      <c r="L59">
        <v>1368</v>
      </c>
      <c r="N59">
        <v>1011</v>
      </c>
      <c r="O59" t="s">
        <v>350</v>
      </c>
      <c r="P59" t="s">
        <v>350</v>
      </c>
      <c r="Q59">
        <v>1</v>
      </c>
      <c r="X59">
        <v>0.68</v>
      </c>
      <c r="Y59">
        <v>0</v>
      </c>
      <c r="Z59">
        <v>980.88</v>
      </c>
      <c r="AA59">
        <v>431.53</v>
      </c>
      <c r="AB59">
        <v>0</v>
      </c>
      <c r="AC59">
        <v>0</v>
      </c>
      <c r="AD59">
        <v>1</v>
      </c>
      <c r="AE59">
        <v>0</v>
      </c>
      <c r="AF59" t="s">
        <v>98</v>
      </c>
      <c r="AG59">
        <v>0.85000000000000009</v>
      </c>
      <c r="AH59">
        <v>2</v>
      </c>
      <c r="AI59">
        <v>55873868</v>
      </c>
      <c r="AJ59">
        <v>54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ROW(Source!A41)</f>
        <v>41</v>
      </c>
      <c r="B60">
        <v>55873877</v>
      </c>
      <c r="C60">
        <v>55873865</v>
      </c>
      <c r="D60">
        <v>46205574</v>
      </c>
      <c r="E60">
        <v>1</v>
      </c>
      <c r="F60">
        <v>1</v>
      </c>
      <c r="G60">
        <v>1</v>
      </c>
      <c r="H60">
        <v>2</v>
      </c>
      <c r="I60" t="s">
        <v>379</v>
      </c>
      <c r="J60" t="s">
        <v>380</v>
      </c>
      <c r="K60" t="s">
        <v>381</v>
      </c>
      <c r="L60">
        <v>1368</v>
      </c>
      <c r="N60">
        <v>1011</v>
      </c>
      <c r="O60" t="s">
        <v>350</v>
      </c>
      <c r="P60" t="s">
        <v>350</v>
      </c>
      <c r="Q60">
        <v>1</v>
      </c>
      <c r="X60">
        <v>1.26</v>
      </c>
      <c r="Y60">
        <v>0</v>
      </c>
      <c r="Z60">
        <v>1612.23</v>
      </c>
      <c r="AA60">
        <v>369.2</v>
      </c>
      <c r="AB60">
        <v>0</v>
      </c>
      <c r="AC60">
        <v>0</v>
      </c>
      <c r="AD60">
        <v>1</v>
      </c>
      <c r="AE60">
        <v>0</v>
      </c>
      <c r="AF60" t="s">
        <v>98</v>
      </c>
      <c r="AG60">
        <v>1.575</v>
      </c>
      <c r="AH60">
        <v>2</v>
      </c>
      <c r="AI60">
        <v>55873869</v>
      </c>
      <c r="AJ60">
        <v>55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ROW(Source!A41)</f>
        <v>41</v>
      </c>
      <c r="B61">
        <v>55873878</v>
      </c>
      <c r="C61">
        <v>55873865</v>
      </c>
      <c r="D61">
        <v>46205695</v>
      </c>
      <c r="E61">
        <v>1</v>
      </c>
      <c r="F61">
        <v>1</v>
      </c>
      <c r="G61">
        <v>1</v>
      </c>
      <c r="H61">
        <v>2</v>
      </c>
      <c r="I61" t="s">
        <v>383</v>
      </c>
      <c r="J61" t="s">
        <v>384</v>
      </c>
      <c r="K61" t="s">
        <v>385</v>
      </c>
      <c r="L61">
        <v>1368</v>
      </c>
      <c r="N61">
        <v>1011</v>
      </c>
      <c r="O61" t="s">
        <v>350</v>
      </c>
      <c r="P61" t="s">
        <v>350</v>
      </c>
      <c r="Q61">
        <v>1</v>
      </c>
      <c r="X61">
        <v>2.29</v>
      </c>
      <c r="Y61">
        <v>0</v>
      </c>
      <c r="Z61">
        <v>13.69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98</v>
      </c>
      <c r="AG61">
        <v>2.8624999999999998</v>
      </c>
      <c r="AH61">
        <v>2</v>
      </c>
      <c r="AI61">
        <v>55873870</v>
      </c>
      <c r="AJ61">
        <v>56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ROW(Source!A41)</f>
        <v>41</v>
      </c>
      <c r="B62">
        <v>55873879</v>
      </c>
      <c r="C62">
        <v>55873865</v>
      </c>
      <c r="D62">
        <v>46159042</v>
      </c>
      <c r="E62">
        <v>1</v>
      </c>
      <c r="F62">
        <v>1</v>
      </c>
      <c r="G62">
        <v>1</v>
      </c>
      <c r="H62">
        <v>3</v>
      </c>
      <c r="I62" t="s">
        <v>386</v>
      </c>
      <c r="J62" t="s">
        <v>387</v>
      </c>
      <c r="K62" t="s">
        <v>388</v>
      </c>
      <c r="L62">
        <v>1339</v>
      </c>
      <c r="N62">
        <v>1007</v>
      </c>
      <c r="O62" t="s">
        <v>92</v>
      </c>
      <c r="P62" t="s">
        <v>92</v>
      </c>
      <c r="Q62">
        <v>1</v>
      </c>
      <c r="X62">
        <v>3.85</v>
      </c>
      <c r="Y62">
        <v>35.71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3.85</v>
      </c>
      <c r="AH62">
        <v>2</v>
      </c>
      <c r="AI62">
        <v>55873871</v>
      </c>
      <c r="AJ62">
        <v>57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ROW(Source!A41)</f>
        <v>41</v>
      </c>
      <c r="B63">
        <v>55873880</v>
      </c>
      <c r="C63">
        <v>55873865</v>
      </c>
      <c r="D63">
        <v>46086029</v>
      </c>
      <c r="E63">
        <v>111</v>
      </c>
      <c r="F63">
        <v>1</v>
      </c>
      <c r="G63">
        <v>1</v>
      </c>
      <c r="H63">
        <v>3</v>
      </c>
      <c r="I63" t="s">
        <v>431</v>
      </c>
      <c r="J63" t="s">
        <v>3</v>
      </c>
      <c r="K63" t="s">
        <v>432</v>
      </c>
      <c r="L63">
        <v>1339</v>
      </c>
      <c r="N63">
        <v>1007</v>
      </c>
      <c r="O63" t="s">
        <v>92</v>
      </c>
      <c r="P63" t="s">
        <v>92</v>
      </c>
      <c r="Q63">
        <v>1</v>
      </c>
      <c r="X63">
        <v>1.53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t="s">
        <v>3</v>
      </c>
      <c r="AG63">
        <v>1.53</v>
      </c>
      <c r="AH63">
        <v>3</v>
      </c>
      <c r="AI63">
        <v>-1</v>
      </c>
      <c r="AJ63" t="s">
        <v>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ROW(Source!A41)</f>
        <v>41</v>
      </c>
      <c r="B64">
        <v>55873881</v>
      </c>
      <c r="C64">
        <v>55873865</v>
      </c>
      <c r="D64">
        <v>46170637</v>
      </c>
      <c r="E64">
        <v>1</v>
      </c>
      <c r="F64">
        <v>1</v>
      </c>
      <c r="G64">
        <v>1</v>
      </c>
      <c r="H64">
        <v>3</v>
      </c>
      <c r="I64" t="s">
        <v>389</v>
      </c>
      <c r="J64" t="s">
        <v>390</v>
      </c>
      <c r="K64" t="s">
        <v>391</v>
      </c>
      <c r="L64">
        <v>1327</v>
      </c>
      <c r="N64">
        <v>1005</v>
      </c>
      <c r="O64" t="s">
        <v>145</v>
      </c>
      <c r="P64" t="s">
        <v>145</v>
      </c>
      <c r="Q64">
        <v>1</v>
      </c>
      <c r="X64">
        <v>4.4000000000000004</v>
      </c>
      <c r="Y64">
        <v>26.93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3</v>
      </c>
      <c r="AG64">
        <v>4.4000000000000004</v>
      </c>
      <c r="AH64">
        <v>2</v>
      </c>
      <c r="AI64">
        <v>55873873</v>
      </c>
      <c r="AJ64">
        <v>59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ROW(Source!A43)</f>
        <v>43</v>
      </c>
      <c r="B65">
        <v>55873889</v>
      </c>
      <c r="C65">
        <v>55873883</v>
      </c>
      <c r="D65">
        <v>35812913</v>
      </c>
      <c r="E65">
        <v>111</v>
      </c>
      <c r="F65">
        <v>1</v>
      </c>
      <c r="G65">
        <v>1</v>
      </c>
      <c r="H65">
        <v>1</v>
      </c>
      <c r="I65" t="s">
        <v>377</v>
      </c>
      <c r="J65" t="s">
        <v>3</v>
      </c>
      <c r="K65" t="s">
        <v>378</v>
      </c>
      <c r="L65">
        <v>1191</v>
      </c>
      <c r="N65">
        <v>1013</v>
      </c>
      <c r="O65" t="s">
        <v>346</v>
      </c>
      <c r="P65" t="s">
        <v>346</v>
      </c>
      <c r="Q65">
        <v>1</v>
      </c>
      <c r="X65">
        <v>1</v>
      </c>
      <c r="Y65">
        <v>0</v>
      </c>
      <c r="Z65">
        <v>0</v>
      </c>
      <c r="AA65">
        <v>0</v>
      </c>
      <c r="AB65">
        <v>285.10000000000002</v>
      </c>
      <c r="AC65">
        <v>0</v>
      </c>
      <c r="AD65">
        <v>1</v>
      </c>
      <c r="AE65">
        <v>1</v>
      </c>
      <c r="AF65" t="s">
        <v>132</v>
      </c>
      <c r="AG65">
        <v>74.75</v>
      </c>
      <c r="AH65">
        <v>2</v>
      </c>
      <c r="AI65">
        <v>55873884</v>
      </c>
      <c r="AJ65">
        <v>60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ROW(Source!A43)</f>
        <v>43</v>
      </c>
      <c r="B66">
        <v>55873890</v>
      </c>
      <c r="C66">
        <v>55873883</v>
      </c>
      <c r="D66">
        <v>35812888</v>
      </c>
      <c r="E66">
        <v>111</v>
      </c>
      <c r="F66">
        <v>1</v>
      </c>
      <c r="G66">
        <v>1</v>
      </c>
      <c r="H66">
        <v>1</v>
      </c>
      <c r="I66" t="s">
        <v>353</v>
      </c>
      <c r="J66" t="s">
        <v>3</v>
      </c>
      <c r="K66" t="s">
        <v>354</v>
      </c>
      <c r="L66">
        <v>1191</v>
      </c>
      <c r="N66">
        <v>1013</v>
      </c>
      <c r="O66" t="s">
        <v>346</v>
      </c>
      <c r="P66" t="s">
        <v>346</v>
      </c>
      <c r="Q66">
        <v>1</v>
      </c>
      <c r="X66">
        <v>0.03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2</v>
      </c>
      <c r="AF66" t="s">
        <v>131</v>
      </c>
      <c r="AG66">
        <v>2.4375</v>
      </c>
      <c r="AH66">
        <v>2</v>
      </c>
      <c r="AI66">
        <v>55873885</v>
      </c>
      <c r="AJ66">
        <v>61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ROW(Source!A43)</f>
        <v>43</v>
      </c>
      <c r="B67">
        <v>55873891</v>
      </c>
      <c r="C67">
        <v>55873883</v>
      </c>
      <c r="D67">
        <v>46205366</v>
      </c>
      <c r="E67">
        <v>1</v>
      </c>
      <c r="F67">
        <v>1</v>
      </c>
      <c r="G67">
        <v>1</v>
      </c>
      <c r="H67">
        <v>2</v>
      </c>
      <c r="I67" t="s">
        <v>355</v>
      </c>
      <c r="J67" t="s">
        <v>356</v>
      </c>
      <c r="K67" t="s">
        <v>357</v>
      </c>
      <c r="L67">
        <v>1368</v>
      </c>
      <c r="N67">
        <v>1011</v>
      </c>
      <c r="O67" t="s">
        <v>350</v>
      </c>
      <c r="P67" t="s">
        <v>350</v>
      </c>
      <c r="Q67">
        <v>1</v>
      </c>
      <c r="X67">
        <v>0.01</v>
      </c>
      <c r="Y67">
        <v>0</v>
      </c>
      <c r="Z67">
        <v>962.85</v>
      </c>
      <c r="AA67">
        <v>425.88</v>
      </c>
      <c r="AB67">
        <v>0</v>
      </c>
      <c r="AC67">
        <v>0</v>
      </c>
      <c r="AD67">
        <v>1</v>
      </c>
      <c r="AE67">
        <v>0</v>
      </c>
      <c r="AF67" t="s">
        <v>131</v>
      </c>
      <c r="AG67">
        <v>0.8125</v>
      </c>
      <c r="AH67">
        <v>2</v>
      </c>
      <c r="AI67">
        <v>55873886</v>
      </c>
      <c r="AJ67">
        <v>62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ROW(Source!A43)</f>
        <v>43</v>
      </c>
      <c r="B68">
        <v>55873892</v>
      </c>
      <c r="C68">
        <v>55873883</v>
      </c>
      <c r="D68">
        <v>46205574</v>
      </c>
      <c r="E68">
        <v>1</v>
      </c>
      <c r="F68">
        <v>1</v>
      </c>
      <c r="G68">
        <v>1</v>
      </c>
      <c r="H68">
        <v>2</v>
      </c>
      <c r="I68" t="s">
        <v>379</v>
      </c>
      <c r="J68" t="s">
        <v>380</v>
      </c>
      <c r="K68" t="s">
        <v>381</v>
      </c>
      <c r="L68">
        <v>1368</v>
      </c>
      <c r="N68">
        <v>1011</v>
      </c>
      <c r="O68" t="s">
        <v>350</v>
      </c>
      <c r="P68" t="s">
        <v>350</v>
      </c>
      <c r="Q68">
        <v>1</v>
      </c>
      <c r="X68">
        <v>0.02</v>
      </c>
      <c r="Y68">
        <v>0</v>
      </c>
      <c r="Z68">
        <v>1641.59</v>
      </c>
      <c r="AA68">
        <v>364.36</v>
      </c>
      <c r="AB68">
        <v>0</v>
      </c>
      <c r="AC68">
        <v>0</v>
      </c>
      <c r="AD68">
        <v>1</v>
      </c>
      <c r="AE68">
        <v>0</v>
      </c>
      <c r="AF68" t="s">
        <v>131</v>
      </c>
      <c r="AG68">
        <v>1.625</v>
      </c>
      <c r="AH68">
        <v>2</v>
      </c>
      <c r="AI68">
        <v>55873887</v>
      </c>
      <c r="AJ68">
        <v>63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ROW(Source!A43)</f>
        <v>43</v>
      </c>
      <c r="B69">
        <v>55873893</v>
      </c>
      <c r="C69">
        <v>55873883</v>
      </c>
      <c r="D69">
        <v>46086029</v>
      </c>
      <c r="E69">
        <v>111</v>
      </c>
      <c r="F69">
        <v>1</v>
      </c>
      <c r="G69">
        <v>1</v>
      </c>
      <c r="H69">
        <v>3</v>
      </c>
      <c r="I69" t="s">
        <v>431</v>
      </c>
      <c r="J69" t="s">
        <v>3</v>
      </c>
      <c r="K69" t="s">
        <v>432</v>
      </c>
      <c r="L69">
        <v>1339</v>
      </c>
      <c r="N69">
        <v>1007</v>
      </c>
      <c r="O69" t="s">
        <v>92</v>
      </c>
      <c r="P69" t="s">
        <v>92</v>
      </c>
      <c r="Q69">
        <v>1</v>
      </c>
      <c r="X69">
        <v>0.10199999999999999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t="s">
        <v>130</v>
      </c>
      <c r="AG69">
        <v>6.63</v>
      </c>
      <c r="AH69">
        <v>3</v>
      </c>
      <c r="AI69">
        <v>-1</v>
      </c>
      <c r="AJ69" t="s">
        <v>3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ROW(Source!A45)</f>
        <v>45</v>
      </c>
      <c r="B70">
        <v>55873902</v>
      </c>
      <c r="C70">
        <v>55873895</v>
      </c>
      <c r="D70">
        <v>35812915</v>
      </c>
      <c r="E70">
        <v>111</v>
      </c>
      <c r="F70">
        <v>1</v>
      </c>
      <c r="G70">
        <v>1</v>
      </c>
      <c r="H70">
        <v>1</v>
      </c>
      <c r="I70" t="s">
        <v>395</v>
      </c>
      <c r="J70" t="s">
        <v>3</v>
      </c>
      <c r="K70" t="s">
        <v>396</v>
      </c>
      <c r="L70">
        <v>1191</v>
      </c>
      <c r="N70">
        <v>1013</v>
      </c>
      <c r="O70" t="s">
        <v>346</v>
      </c>
      <c r="P70" t="s">
        <v>346</v>
      </c>
      <c r="Q70">
        <v>1</v>
      </c>
      <c r="X70">
        <v>11.6</v>
      </c>
      <c r="Y70">
        <v>0</v>
      </c>
      <c r="Z70">
        <v>0</v>
      </c>
      <c r="AA70">
        <v>0</v>
      </c>
      <c r="AB70">
        <v>292.2</v>
      </c>
      <c r="AC70">
        <v>0</v>
      </c>
      <c r="AD70">
        <v>1</v>
      </c>
      <c r="AE70">
        <v>1</v>
      </c>
      <c r="AF70" t="s">
        <v>99</v>
      </c>
      <c r="AG70">
        <v>13.339999999999998</v>
      </c>
      <c r="AH70">
        <v>2</v>
      </c>
      <c r="AI70">
        <v>55873896</v>
      </c>
      <c r="AJ70">
        <v>65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ROW(Source!A45)</f>
        <v>45</v>
      </c>
      <c r="B71">
        <v>55873903</v>
      </c>
      <c r="C71">
        <v>55873895</v>
      </c>
      <c r="D71">
        <v>35812888</v>
      </c>
      <c r="E71">
        <v>111</v>
      </c>
      <c r="F71">
        <v>1</v>
      </c>
      <c r="G71">
        <v>1</v>
      </c>
      <c r="H71">
        <v>1</v>
      </c>
      <c r="I71" t="s">
        <v>353</v>
      </c>
      <c r="J71" t="s">
        <v>3</v>
      </c>
      <c r="K71" t="s">
        <v>354</v>
      </c>
      <c r="L71">
        <v>1191</v>
      </c>
      <c r="N71">
        <v>1013</v>
      </c>
      <c r="O71" t="s">
        <v>346</v>
      </c>
      <c r="P71" t="s">
        <v>346</v>
      </c>
      <c r="Q71">
        <v>1</v>
      </c>
      <c r="X71">
        <v>0.35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2</v>
      </c>
      <c r="AF71" t="s">
        <v>98</v>
      </c>
      <c r="AG71">
        <v>0.4375</v>
      </c>
      <c r="AH71">
        <v>2</v>
      </c>
      <c r="AI71">
        <v>55873897</v>
      </c>
      <c r="AJ71">
        <v>66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ROW(Source!A45)</f>
        <v>45</v>
      </c>
      <c r="B72">
        <v>55873904</v>
      </c>
      <c r="C72">
        <v>55873895</v>
      </c>
      <c r="D72">
        <v>46205418</v>
      </c>
      <c r="E72">
        <v>1</v>
      </c>
      <c r="F72">
        <v>1</v>
      </c>
      <c r="G72">
        <v>1</v>
      </c>
      <c r="H72">
        <v>2</v>
      </c>
      <c r="I72" t="s">
        <v>397</v>
      </c>
      <c r="J72" t="s">
        <v>398</v>
      </c>
      <c r="K72" t="s">
        <v>399</v>
      </c>
      <c r="L72">
        <v>1368</v>
      </c>
      <c r="N72">
        <v>1011</v>
      </c>
      <c r="O72" t="s">
        <v>350</v>
      </c>
      <c r="P72" t="s">
        <v>350</v>
      </c>
      <c r="Q72">
        <v>1</v>
      </c>
      <c r="X72">
        <v>0.15</v>
      </c>
      <c r="Y72">
        <v>0</v>
      </c>
      <c r="Z72">
        <v>1528.24</v>
      </c>
      <c r="AA72">
        <v>425.88</v>
      </c>
      <c r="AB72">
        <v>0</v>
      </c>
      <c r="AC72">
        <v>0</v>
      </c>
      <c r="AD72">
        <v>1</v>
      </c>
      <c r="AE72">
        <v>0</v>
      </c>
      <c r="AF72" t="s">
        <v>98</v>
      </c>
      <c r="AG72">
        <v>0.1875</v>
      </c>
      <c r="AH72">
        <v>2</v>
      </c>
      <c r="AI72">
        <v>55873898</v>
      </c>
      <c r="AJ72">
        <v>67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ROW(Source!A45)</f>
        <v>45</v>
      </c>
      <c r="B73">
        <v>55873905</v>
      </c>
      <c r="C73">
        <v>55873895</v>
      </c>
      <c r="D73">
        <v>46206301</v>
      </c>
      <c r="E73">
        <v>1</v>
      </c>
      <c r="F73">
        <v>1</v>
      </c>
      <c r="G73">
        <v>1</v>
      </c>
      <c r="H73">
        <v>2</v>
      </c>
      <c r="I73" t="s">
        <v>363</v>
      </c>
      <c r="J73" t="s">
        <v>364</v>
      </c>
      <c r="K73" t="s">
        <v>365</v>
      </c>
      <c r="L73">
        <v>1368</v>
      </c>
      <c r="N73">
        <v>1011</v>
      </c>
      <c r="O73" t="s">
        <v>350</v>
      </c>
      <c r="P73" t="s">
        <v>350</v>
      </c>
      <c r="Q73">
        <v>1</v>
      </c>
      <c r="X73">
        <v>0.2</v>
      </c>
      <c r="Y73">
        <v>0</v>
      </c>
      <c r="Z73">
        <v>477.92</v>
      </c>
      <c r="AA73">
        <v>317.04000000000002</v>
      </c>
      <c r="AB73">
        <v>0</v>
      </c>
      <c r="AC73">
        <v>0</v>
      </c>
      <c r="AD73">
        <v>1</v>
      </c>
      <c r="AE73">
        <v>0</v>
      </c>
      <c r="AF73" t="s">
        <v>98</v>
      </c>
      <c r="AG73">
        <v>0.25</v>
      </c>
      <c r="AH73">
        <v>2</v>
      </c>
      <c r="AI73">
        <v>55873899</v>
      </c>
      <c r="AJ73">
        <v>68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ROW(Source!A45)</f>
        <v>45</v>
      </c>
      <c r="B74">
        <v>55873906</v>
      </c>
      <c r="C74">
        <v>55873895</v>
      </c>
      <c r="D74">
        <v>46167110</v>
      </c>
      <c r="E74">
        <v>1</v>
      </c>
      <c r="F74">
        <v>1</v>
      </c>
      <c r="G74">
        <v>1</v>
      </c>
      <c r="H74">
        <v>3</v>
      </c>
      <c r="I74" t="s">
        <v>400</v>
      </c>
      <c r="J74" t="s">
        <v>401</v>
      </c>
      <c r="K74" t="s">
        <v>402</v>
      </c>
      <c r="L74">
        <v>1348</v>
      </c>
      <c r="N74">
        <v>1009</v>
      </c>
      <c r="O74" t="s">
        <v>41</v>
      </c>
      <c r="P74" t="s">
        <v>41</v>
      </c>
      <c r="Q74">
        <v>1000</v>
      </c>
      <c r="X74">
        <v>2.8000000000000001E-2</v>
      </c>
      <c r="Y74">
        <v>88783.86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2.8000000000000001E-2</v>
      </c>
      <c r="AH74">
        <v>2</v>
      </c>
      <c r="AI74">
        <v>55873901</v>
      </c>
      <c r="AJ74">
        <v>70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ROW(Source!A45)</f>
        <v>45</v>
      </c>
      <c r="B75">
        <v>55873907</v>
      </c>
      <c r="C75">
        <v>55873895</v>
      </c>
      <c r="D75">
        <v>46087473</v>
      </c>
      <c r="E75">
        <v>111</v>
      </c>
      <c r="F75">
        <v>1</v>
      </c>
      <c r="G75">
        <v>1</v>
      </c>
      <c r="H75">
        <v>3</v>
      </c>
      <c r="I75" t="s">
        <v>435</v>
      </c>
      <c r="J75" t="s">
        <v>3</v>
      </c>
      <c r="K75" t="s">
        <v>436</v>
      </c>
      <c r="L75">
        <v>1348</v>
      </c>
      <c r="N75">
        <v>1009</v>
      </c>
      <c r="O75" t="s">
        <v>41</v>
      </c>
      <c r="P75" t="s">
        <v>41</v>
      </c>
      <c r="Q75">
        <v>1000</v>
      </c>
      <c r="X75">
        <v>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 t="s">
        <v>3</v>
      </c>
      <c r="AG75">
        <v>1</v>
      </c>
      <c r="AH75">
        <v>3</v>
      </c>
      <c r="AI75">
        <v>-1</v>
      </c>
      <c r="AJ75" t="s">
        <v>3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ROW(Source!A47)</f>
        <v>47</v>
      </c>
      <c r="B76">
        <v>55873914</v>
      </c>
      <c r="C76">
        <v>55873909</v>
      </c>
      <c r="D76">
        <v>35812914</v>
      </c>
      <c r="E76">
        <v>111</v>
      </c>
      <c r="F76">
        <v>1</v>
      </c>
      <c r="G76">
        <v>1</v>
      </c>
      <c r="H76">
        <v>1</v>
      </c>
      <c r="I76" t="s">
        <v>403</v>
      </c>
      <c r="J76" t="s">
        <v>3</v>
      </c>
      <c r="K76" t="s">
        <v>404</v>
      </c>
      <c r="L76">
        <v>1191</v>
      </c>
      <c r="N76">
        <v>1013</v>
      </c>
      <c r="O76" t="s">
        <v>346</v>
      </c>
      <c r="P76" t="s">
        <v>346</v>
      </c>
      <c r="Q76">
        <v>1</v>
      </c>
      <c r="X76">
        <v>2.8</v>
      </c>
      <c r="Y76">
        <v>0</v>
      </c>
      <c r="Z76">
        <v>0</v>
      </c>
      <c r="AA76">
        <v>0</v>
      </c>
      <c r="AB76">
        <v>288.64999999999998</v>
      </c>
      <c r="AC76">
        <v>0</v>
      </c>
      <c r="AD76">
        <v>1</v>
      </c>
      <c r="AE76">
        <v>1</v>
      </c>
      <c r="AF76" t="s">
        <v>99</v>
      </c>
      <c r="AG76">
        <v>3.2199999999999998</v>
      </c>
      <c r="AH76">
        <v>2</v>
      </c>
      <c r="AI76">
        <v>55873910</v>
      </c>
      <c r="AJ76">
        <v>71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ROW(Source!A47)</f>
        <v>47</v>
      </c>
      <c r="B77">
        <v>55873915</v>
      </c>
      <c r="C77">
        <v>55873909</v>
      </c>
      <c r="D77">
        <v>35812888</v>
      </c>
      <c r="E77">
        <v>111</v>
      </c>
      <c r="F77">
        <v>1</v>
      </c>
      <c r="G77">
        <v>1</v>
      </c>
      <c r="H77">
        <v>1</v>
      </c>
      <c r="I77" t="s">
        <v>353</v>
      </c>
      <c r="J77" t="s">
        <v>3</v>
      </c>
      <c r="K77" t="s">
        <v>354</v>
      </c>
      <c r="L77">
        <v>1191</v>
      </c>
      <c r="N77">
        <v>1013</v>
      </c>
      <c r="O77" t="s">
        <v>346</v>
      </c>
      <c r="P77" t="s">
        <v>346</v>
      </c>
      <c r="Q77">
        <v>1</v>
      </c>
      <c r="X77">
        <v>0.04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2</v>
      </c>
      <c r="AF77" t="s">
        <v>98</v>
      </c>
      <c r="AG77">
        <v>0.05</v>
      </c>
      <c r="AH77">
        <v>2</v>
      </c>
      <c r="AI77">
        <v>55873911</v>
      </c>
      <c r="AJ77">
        <v>72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ROW(Source!A47)</f>
        <v>47</v>
      </c>
      <c r="B78">
        <v>55873916</v>
      </c>
      <c r="C78">
        <v>55873909</v>
      </c>
      <c r="D78">
        <v>46206301</v>
      </c>
      <c r="E78">
        <v>1</v>
      </c>
      <c r="F78">
        <v>1</v>
      </c>
      <c r="G78">
        <v>1</v>
      </c>
      <c r="H78">
        <v>2</v>
      </c>
      <c r="I78" t="s">
        <v>363</v>
      </c>
      <c r="J78" t="s">
        <v>364</v>
      </c>
      <c r="K78" t="s">
        <v>365</v>
      </c>
      <c r="L78">
        <v>1368</v>
      </c>
      <c r="N78">
        <v>1011</v>
      </c>
      <c r="O78" t="s">
        <v>350</v>
      </c>
      <c r="P78" t="s">
        <v>350</v>
      </c>
      <c r="Q78">
        <v>1</v>
      </c>
      <c r="X78">
        <v>0.04</v>
      </c>
      <c r="Y78">
        <v>0</v>
      </c>
      <c r="Z78">
        <v>477.92</v>
      </c>
      <c r="AA78">
        <v>317.04000000000002</v>
      </c>
      <c r="AB78">
        <v>0</v>
      </c>
      <c r="AC78">
        <v>0</v>
      </c>
      <c r="AD78">
        <v>1</v>
      </c>
      <c r="AE78">
        <v>0</v>
      </c>
      <c r="AF78" t="s">
        <v>98</v>
      </c>
      <c r="AG78">
        <v>0.05</v>
      </c>
      <c r="AH78">
        <v>2</v>
      </c>
      <c r="AI78">
        <v>55873912</v>
      </c>
      <c r="AJ78">
        <v>73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ROW(Source!A47)</f>
        <v>47</v>
      </c>
      <c r="B79">
        <v>55873917</v>
      </c>
      <c r="C79">
        <v>55873909</v>
      </c>
      <c r="D79">
        <v>46084746</v>
      </c>
      <c r="E79">
        <v>111</v>
      </c>
      <c r="F79">
        <v>1</v>
      </c>
      <c r="G79">
        <v>1</v>
      </c>
      <c r="H79">
        <v>3</v>
      </c>
      <c r="I79" t="s">
        <v>437</v>
      </c>
      <c r="J79" t="s">
        <v>3</v>
      </c>
      <c r="K79" t="s">
        <v>438</v>
      </c>
      <c r="L79">
        <v>1348</v>
      </c>
      <c r="N79">
        <v>1009</v>
      </c>
      <c r="O79" t="s">
        <v>41</v>
      </c>
      <c r="P79" t="s">
        <v>41</v>
      </c>
      <c r="Q79">
        <v>1000</v>
      </c>
      <c r="X79">
        <v>4.4999999999999998E-2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 t="s">
        <v>3</v>
      </c>
      <c r="AG79">
        <v>4.4999999999999998E-2</v>
      </c>
      <c r="AH79">
        <v>3</v>
      </c>
      <c r="AI79">
        <v>-1</v>
      </c>
      <c r="AJ79" t="s">
        <v>3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ROW(Source!A49)</f>
        <v>49</v>
      </c>
      <c r="B80">
        <v>55873928</v>
      </c>
      <c r="C80">
        <v>55873919</v>
      </c>
      <c r="D80">
        <v>35812920</v>
      </c>
      <c r="E80">
        <v>111</v>
      </c>
      <c r="F80">
        <v>1</v>
      </c>
      <c r="G80">
        <v>1</v>
      </c>
      <c r="H80">
        <v>1</v>
      </c>
      <c r="I80" t="s">
        <v>405</v>
      </c>
      <c r="J80" t="s">
        <v>3</v>
      </c>
      <c r="K80" t="s">
        <v>406</v>
      </c>
      <c r="L80">
        <v>1191</v>
      </c>
      <c r="N80">
        <v>1013</v>
      </c>
      <c r="O80" t="s">
        <v>346</v>
      </c>
      <c r="P80" t="s">
        <v>346</v>
      </c>
      <c r="Q80">
        <v>1</v>
      </c>
      <c r="X80">
        <v>14.36</v>
      </c>
      <c r="Y80">
        <v>0</v>
      </c>
      <c r="Z80">
        <v>0</v>
      </c>
      <c r="AA80">
        <v>0</v>
      </c>
      <c r="AB80">
        <v>309.95</v>
      </c>
      <c r="AC80">
        <v>0</v>
      </c>
      <c r="AD80">
        <v>1</v>
      </c>
      <c r="AE80">
        <v>1</v>
      </c>
      <c r="AF80" t="s">
        <v>99</v>
      </c>
      <c r="AG80">
        <v>16.513999999999999</v>
      </c>
      <c r="AH80">
        <v>2</v>
      </c>
      <c r="AI80">
        <v>55873920</v>
      </c>
      <c r="AJ80">
        <v>75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ROW(Source!A49)</f>
        <v>49</v>
      </c>
      <c r="B81">
        <v>55873929</v>
      </c>
      <c r="C81">
        <v>55873919</v>
      </c>
      <c r="D81">
        <v>35812888</v>
      </c>
      <c r="E81">
        <v>111</v>
      </c>
      <c r="F81">
        <v>1</v>
      </c>
      <c r="G81">
        <v>1</v>
      </c>
      <c r="H81">
        <v>1</v>
      </c>
      <c r="I81" t="s">
        <v>353</v>
      </c>
      <c r="J81" t="s">
        <v>3</v>
      </c>
      <c r="K81" t="s">
        <v>354</v>
      </c>
      <c r="L81">
        <v>1191</v>
      </c>
      <c r="N81">
        <v>1013</v>
      </c>
      <c r="O81" t="s">
        <v>346</v>
      </c>
      <c r="P81" t="s">
        <v>346</v>
      </c>
      <c r="Q81">
        <v>1</v>
      </c>
      <c r="X81">
        <v>0.28999999999999998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2</v>
      </c>
      <c r="AF81" t="s">
        <v>98</v>
      </c>
      <c r="AG81">
        <v>0.36249999999999999</v>
      </c>
      <c r="AH81">
        <v>2</v>
      </c>
      <c r="AI81">
        <v>55873921</v>
      </c>
      <c r="AJ81">
        <v>76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ROW(Source!A49)</f>
        <v>49</v>
      </c>
      <c r="B82">
        <v>55873930</v>
      </c>
      <c r="C82">
        <v>55873919</v>
      </c>
      <c r="D82">
        <v>46205366</v>
      </c>
      <c r="E82">
        <v>1</v>
      </c>
      <c r="F82">
        <v>1</v>
      </c>
      <c r="G82">
        <v>1</v>
      </c>
      <c r="H82">
        <v>2</v>
      </c>
      <c r="I82" t="s">
        <v>355</v>
      </c>
      <c r="J82" t="s">
        <v>356</v>
      </c>
      <c r="K82" t="s">
        <v>357</v>
      </c>
      <c r="L82">
        <v>1368</v>
      </c>
      <c r="N82">
        <v>1011</v>
      </c>
      <c r="O82" t="s">
        <v>350</v>
      </c>
      <c r="P82" t="s">
        <v>350</v>
      </c>
      <c r="Q82">
        <v>1</v>
      </c>
      <c r="X82">
        <v>0.15</v>
      </c>
      <c r="Y82">
        <v>0</v>
      </c>
      <c r="Z82">
        <v>962.85</v>
      </c>
      <c r="AA82">
        <v>425.88</v>
      </c>
      <c r="AB82">
        <v>0</v>
      </c>
      <c r="AC82">
        <v>0</v>
      </c>
      <c r="AD82">
        <v>1</v>
      </c>
      <c r="AE82">
        <v>0</v>
      </c>
      <c r="AF82" t="s">
        <v>98</v>
      </c>
      <c r="AG82">
        <v>0.1875</v>
      </c>
      <c r="AH82">
        <v>2</v>
      </c>
      <c r="AI82">
        <v>55873922</v>
      </c>
      <c r="AJ82">
        <v>77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ROW(Source!A49)</f>
        <v>49</v>
      </c>
      <c r="B83">
        <v>55873931</v>
      </c>
      <c r="C83">
        <v>55873919</v>
      </c>
      <c r="D83">
        <v>46205418</v>
      </c>
      <c r="E83">
        <v>1</v>
      </c>
      <c r="F83">
        <v>1</v>
      </c>
      <c r="G83">
        <v>1</v>
      </c>
      <c r="H83">
        <v>2</v>
      </c>
      <c r="I83" t="s">
        <v>397</v>
      </c>
      <c r="J83" t="s">
        <v>398</v>
      </c>
      <c r="K83" t="s">
        <v>399</v>
      </c>
      <c r="L83">
        <v>1368</v>
      </c>
      <c r="N83">
        <v>1011</v>
      </c>
      <c r="O83" t="s">
        <v>350</v>
      </c>
      <c r="P83" t="s">
        <v>350</v>
      </c>
      <c r="Q83">
        <v>1</v>
      </c>
      <c r="X83">
        <v>0.05</v>
      </c>
      <c r="Y83">
        <v>0</v>
      </c>
      <c r="Z83">
        <v>1528.24</v>
      </c>
      <c r="AA83">
        <v>425.88</v>
      </c>
      <c r="AB83">
        <v>0</v>
      </c>
      <c r="AC83">
        <v>0</v>
      </c>
      <c r="AD83">
        <v>1</v>
      </c>
      <c r="AE83">
        <v>0</v>
      </c>
      <c r="AF83" t="s">
        <v>98</v>
      </c>
      <c r="AG83">
        <v>6.25E-2</v>
      </c>
      <c r="AH83">
        <v>2</v>
      </c>
      <c r="AI83">
        <v>55873923</v>
      </c>
      <c r="AJ83">
        <v>78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ROW(Source!A49)</f>
        <v>49</v>
      </c>
      <c r="B84">
        <v>55873932</v>
      </c>
      <c r="C84">
        <v>55873919</v>
      </c>
      <c r="D84">
        <v>46206301</v>
      </c>
      <c r="E84">
        <v>1</v>
      </c>
      <c r="F84">
        <v>1</v>
      </c>
      <c r="G84">
        <v>1</v>
      </c>
      <c r="H84">
        <v>2</v>
      </c>
      <c r="I84" t="s">
        <v>363</v>
      </c>
      <c r="J84" t="s">
        <v>364</v>
      </c>
      <c r="K84" t="s">
        <v>365</v>
      </c>
      <c r="L84">
        <v>1368</v>
      </c>
      <c r="N84">
        <v>1011</v>
      </c>
      <c r="O84" t="s">
        <v>350</v>
      </c>
      <c r="P84" t="s">
        <v>350</v>
      </c>
      <c r="Q84">
        <v>1</v>
      </c>
      <c r="X84">
        <v>0.09</v>
      </c>
      <c r="Y84">
        <v>0</v>
      </c>
      <c r="Z84">
        <v>477.92</v>
      </c>
      <c r="AA84">
        <v>317.04000000000002</v>
      </c>
      <c r="AB84">
        <v>0</v>
      </c>
      <c r="AC84">
        <v>0</v>
      </c>
      <c r="AD84">
        <v>1</v>
      </c>
      <c r="AE84">
        <v>0</v>
      </c>
      <c r="AF84" t="s">
        <v>98</v>
      </c>
      <c r="AG84">
        <v>0.11249999999999999</v>
      </c>
      <c r="AH84">
        <v>2</v>
      </c>
      <c r="AI84">
        <v>55873924</v>
      </c>
      <c r="AJ84">
        <v>79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ROW(Source!A49)</f>
        <v>49</v>
      </c>
      <c r="B85">
        <v>55873933</v>
      </c>
      <c r="C85">
        <v>55873919</v>
      </c>
      <c r="D85">
        <v>46157415</v>
      </c>
      <c r="E85">
        <v>1</v>
      </c>
      <c r="F85">
        <v>1</v>
      </c>
      <c r="G85">
        <v>1</v>
      </c>
      <c r="H85">
        <v>3</v>
      </c>
      <c r="I85" t="s">
        <v>407</v>
      </c>
      <c r="J85" t="s">
        <v>408</v>
      </c>
      <c r="K85" t="s">
        <v>409</v>
      </c>
      <c r="L85">
        <v>1346</v>
      </c>
      <c r="N85">
        <v>1009</v>
      </c>
      <c r="O85" t="s">
        <v>154</v>
      </c>
      <c r="P85" t="s">
        <v>154</v>
      </c>
      <c r="Q85">
        <v>1</v>
      </c>
      <c r="X85">
        <v>29.94</v>
      </c>
      <c r="Y85">
        <v>41.38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29.94</v>
      </c>
      <c r="AH85">
        <v>2</v>
      </c>
      <c r="AI85">
        <v>55873925</v>
      </c>
      <c r="AJ85">
        <v>80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ROW(Source!A49)</f>
        <v>49</v>
      </c>
      <c r="B86">
        <v>55873934</v>
      </c>
      <c r="C86">
        <v>55873919</v>
      </c>
      <c r="D86">
        <v>46088020</v>
      </c>
      <c r="E86">
        <v>111</v>
      </c>
      <c r="F86">
        <v>1</v>
      </c>
      <c r="G86">
        <v>1</v>
      </c>
      <c r="H86">
        <v>3</v>
      </c>
      <c r="I86" t="s">
        <v>439</v>
      </c>
      <c r="J86" t="s">
        <v>3</v>
      </c>
      <c r="K86" t="s">
        <v>440</v>
      </c>
      <c r="L86">
        <v>1327</v>
      </c>
      <c r="N86">
        <v>1005</v>
      </c>
      <c r="O86" t="s">
        <v>145</v>
      </c>
      <c r="P86" t="s">
        <v>145</v>
      </c>
      <c r="Q86">
        <v>1</v>
      </c>
      <c r="X86">
        <v>114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 t="s">
        <v>3</v>
      </c>
      <c r="AG86">
        <v>114</v>
      </c>
      <c r="AH86">
        <v>3</v>
      </c>
      <c r="AI86">
        <v>-1</v>
      </c>
      <c r="AJ86" t="s">
        <v>3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ROW(Source!A49)</f>
        <v>49</v>
      </c>
      <c r="B87">
        <v>55873935</v>
      </c>
      <c r="C87">
        <v>55873919</v>
      </c>
      <c r="D87">
        <v>46088020</v>
      </c>
      <c r="E87">
        <v>111</v>
      </c>
      <c r="F87">
        <v>1</v>
      </c>
      <c r="G87">
        <v>1</v>
      </c>
      <c r="H87">
        <v>3</v>
      </c>
      <c r="I87" t="s">
        <v>439</v>
      </c>
      <c r="J87" t="s">
        <v>3</v>
      </c>
      <c r="K87" t="s">
        <v>441</v>
      </c>
      <c r="L87">
        <v>1327</v>
      </c>
      <c r="N87">
        <v>1005</v>
      </c>
      <c r="O87" t="s">
        <v>145</v>
      </c>
      <c r="P87" t="s">
        <v>145</v>
      </c>
      <c r="Q87">
        <v>1</v>
      </c>
      <c r="X87">
        <v>116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 t="s">
        <v>3</v>
      </c>
      <c r="AG87">
        <v>116</v>
      </c>
      <c r="AH87">
        <v>3</v>
      </c>
      <c r="AI87">
        <v>-1</v>
      </c>
      <c r="AJ87" t="s">
        <v>3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ROW(Source!A52)</f>
        <v>52</v>
      </c>
      <c r="B88">
        <v>55873945</v>
      </c>
      <c r="C88">
        <v>55873941</v>
      </c>
      <c r="D88">
        <v>35812902</v>
      </c>
      <c r="E88">
        <v>111</v>
      </c>
      <c r="F88">
        <v>1</v>
      </c>
      <c r="G88">
        <v>1</v>
      </c>
      <c r="H88">
        <v>1</v>
      </c>
      <c r="I88" t="s">
        <v>344</v>
      </c>
      <c r="J88" t="s">
        <v>3</v>
      </c>
      <c r="K88" t="s">
        <v>392</v>
      </c>
      <c r="L88">
        <v>1191</v>
      </c>
      <c r="N88">
        <v>1013</v>
      </c>
      <c r="O88" t="s">
        <v>346</v>
      </c>
      <c r="P88" t="s">
        <v>346</v>
      </c>
      <c r="Q88">
        <v>1</v>
      </c>
      <c r="X88">
        <v>9.1</v>
      </c>
      <c r="Y88">
        <v>0</v>
      </c>
      <c r="Z88">
        <v>0</v>
      </c>
      <c r="AA88">
        <v>0</v>
      </c>
      <c r="AB88">
        <v>261.32</v>
      </c>
      <c r="AC88">
        <v>0</v>
      </c>
      <c r="AD88">
        <v>1</v>
      </c>
      <c r="AE88">
        <v>1</v>
      </c>
      <c r="AF88" t="s">
        <v>3</v>
      </c>
      <c r="AG88">
        <v>9.1</v>
      </c>
      <c r="AH88">
        <v>2</v>
      </c>
      <c r="AI88">
        <v>55873942</v>
      </c>
      <c r="AJ88">
        <v>83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ROW(Source!A52)</f>
        <v>52</v>
      </c>
      <c r="B89">
        <v>55873946</v>
      </c>
      <c r="C89">
        <v>55873941</v>
      </c>
      <c r="D89">
        <v>46205557</v>
      </c>
      <c r="E89">
        <v>1</v>
      </c>
      <c r="F89">
        <v>1</v>
      </c>
      <c r="G89">
        <v>1</v>
      </c>
      <c r="H89">
        <v>2</v>
      </c>
      <c r="I89" t="s">
        <v>410</v>
      </c>
      <c r="J89" t="s">
        <v>411</v>
      </c>
      <c r="K89" t="s">
        <v>412</v>
      </c>
      <c r="L89">
        <v>1368</v>
      </c>
      <c r="N89">
        <v>1011</v>
      </c>
      <c r="O89" t="s">
        <v>350</v>
      </c>
      <c r="P89" t="s">
        <v>350</v>
      </c>
      <c r="Q89">
        <v>1</v>
      </c>
      <c r="X89">
        <v>0.12</v>
      </c>
      <c r="Y89">
        <v>0</v>
      </c>
      <c r="Z89">
        <v>6.62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0.12</v>
      </c>
      <c r="AH89">
        <v>2</v>
      </c>
      <c r="AI89">
        <v>55873943</v>
      </c>
      <c r="AJ89">
        <v>84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ROW(Source!A52)</f>
        <v>52</v>
      </c>
      <c r="B90">
        <v>55873947</v>
      </c>
      <c r="C90">
        <v>55873941</v>
      </c>
      <c r="D90">
        <v>46090489</v>
      </c>
      <c r="E90">
        <v>111</v>
      </c>
      <c r="F90">
        <v>1</v>
      </c>
      <c r="G90">
        <v>1</v>
      </c>
      <c r="H90">
        <v>3</v>
      </c>
      <c r="I90" t="s">
        <v>39</v>
      </c>
      <c r="J90" t="s">
        <v>3</v>
      </c>
      <c r="K90" t="s">
        <v>40</v>
      </c>
      <c r="L90">
        <v>1348</v>
      </c>
      <c r="N90">
        <v>1009</v>
      </c>
      <c r="O90" t="s">
        <v>41</v>
      </c>
      <c r="P90" t="s">
        <v>41</v>
      </c>
      <c r="Q90">
        <v>1000</v>
      </c>
      <c r="X90">
        <v>0.12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t="s">
        <v>3</v>
      </c>
      <c r="AG90">
        <v>0.12</v>
      </c>
      <c r="AH90">
        <v>2</v>
      </c>
      <c r="AI90">
        <v>55873944</v>
      </c>
      <c r="AJ90">
        <v>85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ROW(Source!A54)</f>
        <v>54</v>
      </c>
      <c r="B91">
        <v>55873952</v>
      </c>
      <c r="C91">
        <v>55873949</v>
      </c>
      <c r="D91">
        <v>35812902</v>
      </c>
      <c r="E91">
        <v>111</v>
      </c>
      <c r="F91">
        <v>1</v>
      </c>
      <c r="G91">
        <v>1</v>
      </c>
      <c r="H91">
        <v>1</v>
      </c>
      <c r="I91" t="s">
        <v>344</v>
      </c>
      <c r="J91" t="s">
        <v>3</v>
      </c>
      <c r="K91" t="s">
        <v>392</v>
      </c>
      <c r="L91">
        <v>1191</v>
      </c>
      <c r="N91">
        <v>1013</v>
      </c>
      <c r="O91" t="s">
        <v>346</v>
      </c>
      <c r="P91" t="s">
        <v>346</v>
      </c>
      <c r="Q91">
        <v>1</v>
      </c>
      <c r="X91">
        <v>14.38</v>
      </c>
      <c r="Y91">
        <v>0</v>
      </c>
      <c r="Z91">
        <v>0</v>
      </c>
      <c r="AA91">
        <v>0</v>
      </c>
      <c r="AB91">
        <v>257.89</v>
      </c>
      <c r="AC91">
        <v>0</v>
      </c>
      <c r="AD91">
        <v>1</v>
      </c>
      <c r="AE91">
        <v>1</v>
      </c>
      <c r="AF91" t="s">
        <v>3</v>
      </c>
      <c r="AG91">
        <v>14.38</v>
      </c>
      <c r="AH91">
        <v>2</v>
      </c>
      <c r="AI91">
        <v>55873950</v>
      </c>
      <c r="AJ91">
        <v>86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ROW(Source!A54)</f>
        <v>54</v>
      </c>
      <c r="B92">
        <v>55873953</v>
      </c>
      <c r="C92">
        <v>55873949</v>
      </c>
      <c r="D92">
        <v>46205552</v>
      </c>
      <c r="E92">
        <v>1</v>
      </c>
      <c r="F92">
        <v>1</v>
      </c>
      <c r="G92">
        <v>1</v>
      </c>
      <c r="H92">
        <v>2</v>
      </c>
      <c r="I92" t="s">
        <v>347</v>
      </c>
      <c r="J92" t="s">
        <v>348</v>
      </c>
      <c r="K92" t="s">
        <v>349</v>
      </c>
      <c r="L92">
        <v>1368</v>
      </c>
      <c r="N92">
        <v>1011</v>
      </c>
      <c r="O92" t="s">
        <v>350</v>
      </c>
      <c r="P92" t="s">
        <v>350</v>
      </c>
      <c r="Q92">
        <v>1</v>
      </c>
      <c r="X92">
        <v>6.22</v>
      </c>
      <c r="Y92">
        <v>0</v>
      </c>
      <c r="Z92">
        <v>15.98</v>
      </c>
      <c r="AA92">
        <v>0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6.22</v>
      </c>
      <c r="AH92">
        <v>2</v>
      </c>
      <c r="AI92">
        <v>55873951</v>
      </c>
      <c r="AJ92">
        <v>87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ROW(Source!A55)</f>
        <v>55</v>
      </c>
      <c r="B93">
        <v>55873963</v>
      </c>
      <c r="C93">
        <v>55873954</v>
      </c>
      <c r="D93">
        <v>35812918</v>
      </c>
      <c r="E93">
        <v>111</v>
      </c>
      <c r="F93">
        <v>1</v>
      </c>
      <c r="G93">
        <v>1</v>
      </c>
      <c r="H93">
        <v>1</v>
      </c>
      <c r="I93" t="s">
        <v>413</v>
      </c>
      <c r="J93" t="s">
        <v>3</v>
      </c>
      <c r="K93" t="s">
        <v>414</v>
      </c>
      <c r="L93">
        <v>1191</v>
      </c>
      <c r="N93">
        <v>1013</v>
      </c>
      <c r="O93" t="s">
        <v>346</v>
      </c>
      <c r="P93" t="s">
        <v>346</v>
      </c>
      <c r="Q93">
        <v>1</v>
      </c>
      <c r="X93">
        <v>35.5</v>
      </c>
      <c r="Y93">
        <v>0</v>
      </c>
      <c r="Z93">
        <v>0</v>
      </c>
      <c r="AA93">
        <v>0</v>
      </c>
      <c r="AB93">
        <v>302.85000000000002</v>
      </c>
      <c r="AC93">
        <v>0</v>
      </c>
      <c r="AD93">
        <v>1</v>
      </c>
      <c r="AE93">
        <v>1</v>
      </c>
      <c r="AF93" t="s">
        <v>3</v>
      </c>
      <c r="AG93">
        <v>35.5</v>
      </c>
      <c r="AH93">
        <v>2</v>
      </c>
      <c r="AI93">
        <v>55873955</v>
      </c>
      <c r="AJ93">
        <v>88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ROW(Source!A55)</f>
        <v>55</v>
      </c>
      <c r="B94">
        <v>55873964</v>
      </c>
      <c r="C94">
        <v>55873954</v>
      </c>
      <c r="D94">
        <v>35812888</v>
      </c>
      <c r="E94">
        <v>111</v>
      </c>
      <c r="F94">
        <v>1</v>
      </c>
      <c r="G94">
        <v>1</v>
      </c>
      <c r="H94">
        <v>1</v>
      </c>
      <c r="I94" t="s">
        <v>353</v>
      </c>
      <c r="J94" t="s">
        <v>3</v>
      </c>
      <c r="K94" t="s">
        <v>354</v>
      </c>
      <c r="L94">
        <v>1191</v>
      </c>
      <c r="N94">
        <v>1013</v>
      </c>
      <c r="O94" t="s">
        <v>346</v>
      </c>
      <c r="P94" t="s">
        <v>346</v>
      </c>
      <c r="Q94">
        <v>1</v>
      </c>
      <c r="X94">
        <v>0.86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2</v>
      </c>
      <c r="AF94" t="s">
        <v>3</v>
      </c>
      <c r="AG94">
        <v>0.86</v>
      </c>
      <c r="AH94">
        <v>2</v>
      </c>
      <c r="AI94">
        <v>55873956</v>
      </c>
      <c r="AJ94">
        <v>89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ROW(Source!A55)</f>
        <v>55</v>
      </c>
      <c r="B95">
        <v>55873965</v>
      </c>
      <c r="C95">
        <v>55873954</v>
      </c>
      <c r="D95">
        <v>46205366</v>
      </c>
      <c r="E95">
        <v>1</v>
      </c>
      <c r="F95">
        <v>1</v>
      </c>
      <c r="G95">
        <v>1</v>
      </c>
      <c r="H95">
        <v>2</v>
      </c>
      <c r="I95" t="s">
        <v>355</v>
      </c>
      <c r="J95" t="s">
        <v>356</v>
      </c>
      <c r="K95" t="s">
        <v>357</v>
      </c>
      <c r="L95">
        <v>1368</v>
      </c>
      <c r="N95">
        <v>1011</v>
      </c>
      <c r="O95" t="s">
        <v>350</v>
      </c>
      <c r="P95" t="s">
        <v>350</v>
      </c>
      <c r="Q95">
        <v>1</v>
      </c>
      <c r="X95">
        <v>0.61</v>
      </c>
      <c r="Y95">
        <v>0</v>
      </c>
      <c r="Z95">
        <v>962.85</v>
      </c>
      <c r="AA95">
        <v>425.88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0.61</v>
      </c>
      <c r="AH95">
        <v>2</v>
      </c>
      <c r="AI95">
        <v>55873957</v>
      </c>
      <c r="AJ95">
        <v>90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ROW(Source!A55)</f>
        <v>55</v>
      </c>
      <c r="B96">
        <v>55873966</v>
      </c>
      <c r="C96">
        <v>55873954</v>
      </c>
      <c r="D96">
        <v>46205418</v>
      </c>
      <c r="E96">
        <v>1</v>
      </c>
      <c r="F96">
        <v>1</v>
      </c>
      <c r="G96">
        <v>1</v>
      </c>
      <c r="H96">
        <v>2</v>
      </c>
      <c r="I96" t="s">
        <v>397</v>
      </c>
      <c r="J96" t="s">
        <v>398</v>
      </c>
      <c r="K96" t="s">
        <v>399</v>
      </c>
      <c r="L96">
        <v>1368</v>
      </c>
      <c r="N96">
        <v>1011</v>
      </c>
      <c r="O96" t="s">
        <v>350</v>
      </c>
      <c r="P96" t="s">
        <v>350</v>
      </c>
      <c r="Q96">
        <v>1</v>
      </c>
      <c r="X96">
        <v>0.1</v>
      </c>
      <c r="Y96">
        <v>0</v>
      </c>
      <c r="Z96">
        <v>1528.24</v>
      </c>
      <c r="AA96">
        <v>425.88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0.1</v>
      </c>
      <c r="AH96">
        <v>2</v>
      </c>
      <c r="AI96">
        <v>55873958</v>
      </c>
      <c r="AJ96">
        <v>91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ROW(Source!A55)</f>
        <v>55</v>
      </c>
      <c r="B97">
        <v>55873967</v>
      </c>
      <c r="C97">
        <v>55873954</v>
      </c>
      <c r="D97">
        <v>46206301</v>
      </c>
      <c r="E97">
        <v>1</v>
      </c>
      <c r="F97">
        <v>1</v>
      </c>
      <c r="G97">
        <v>1</v>
      </c>
      <c r="H97">
        <v>2</v>
      </c>
      <c r="I97" t="s">
        <v>363</v>
      </c>
      <c r="J97" t="s">
        <v>364</v>
      </c>
      <c r="K97" t="s">
        <v>365</v>
      </c>
      <c r="L97">
        <v>1368</v>
      </c>
      <c r="N97">
        <v>1011</v>
      </c>
      <c r="O97" t="s">
        <v>350</v>
      </c>
      <c r="P97" t="s">
        <v>350</v>
      </c>
      <c r="Q97">
        <v>1</v>
      </c>
      <c r="X97">
        <v>0.15</v>
      </c>
      <c r="Y97">
        <v>0</v>
      </c>
      <c r="Z97">
        <v>477.92</v>
      </c>
      <c r="AA97">
        <v>317.04000000000002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0.15</v>
      </c>
      <c r="AH97">
        <v>2</v>
      </c>
      <c r="AI97">
        <v>55873959</v>
      </c>
      <c r="AJ97">
        <v>92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ROW(Source!A55)</f>
        <v>55</v>
      </c>
      <c r="B98">
        <v>55873968</v>
      </c>
      <c r="C98">
        <v>55873954</v>
      </c>
      <c r="D98">
        <v>46157415</v>
      </c>
      <c r="E98">
        <v>1</v>
      </c>
      <c r="F98">
        <v>1</v>
      </c>
      <c r="G98">
        <v>1</v>
      </c>
      <c r="H98">
        <v>3</v>
      </c>
      <c r="I98" t="s">
        <v>407</v>
      </c>
      <c r="J98" t="s">
        <v>408</v>
      </c>
      <c r="K98" t="s">
        <v>409</v>
      </c>
      <c r="L98">
        <v>1346</v>
      </c>
      <c r="N98">
        <v>1009</v>
      </c>
      <c r="O98" t="s">
        <v>154</v>
      </c>
      <c r="P98" t="s">
        <v>154</v>
      </c>
      <c r="Q98">
        <v>1</v>
      </c>
      <c r="X98">
        <v>32.49</v>
      </c>
      <c r="Y98">
        <v>41.38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3</v>
      </c>
      <c r="AG98">
        <v>32.49</v>
      </c>
      <c r="AH98">
        <v>2</v>
      </c>
      <c r="AI98">
        <v>55873960</v>
      </c>
      <c r="AJ98">
        <v>93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ROW(Source!A55)</f>
        <v>55</v>
      </c>
      <c r="B99">
        <v>55873969</v>
      </c>
      <c r="C99">
        <v>55873954</v>
      </c>
      <c r="D99">
        <v>46162523</v>
      </c>
      <c r="E99">
        <v>1</v>
      </c>
      <c r="F99">
        <v>1</v>
      </c>
      <c r="G99">
        <v>1</v>
      </c>
      <c r="H99">
        <v>3</v>
      </c>
      <c r="I99" t="s">
        <v>415</v>
      </c>
      <c r="J99" t="s">
        <v>416</v>
      </c>
      <c r="K99" t="s">
        <v>417</v>
      </c>
      <c r="L99">
        <v>1339</v>
      </c>
      <c r="N99">
        <v>1007</v>
      </c>
      <c r="O99" t="s">
        <v>92</v>
      </c>
      <c r="P99" t="s">
        <v>92</v>
      </c>
      <c r="Q99">
        <v>1</v>
      </c>
      <c r="X99">
        <v>0.51</v>
      </c>
      <c r="Y99">
        <v>5563.57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3</v>
      </c>
      <c r="AG99">
        <v>0.51</v>
      </c>
      <c r="AH99">
        <v>2</v>
      </c>
      <c r="AI99">
        <v>55873961</v>
      </c>
      <c r="AJ99">
        <v>94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ROW(Source!A55)</f>
        <v>55</v>
      </c>
      <c r="B100">
        <v>55873970</v>
      </c>
      <c r="C100">
        <v>55873954</v>
      </c>
      <c r="D100">
        <v>46088020</v>
      </c>
      <c r="E100">
        <v>111</v>
      </c>
      <c r="F100">
        <v>1</v>
      </c>
      <c r="G100">
        <v>1</v>
      </c>
      <c r="H100">
        <v>3</v>
      </c>
      <c r="I100" t="s">
        <v>439</v>
      </c>
      <c r="J100" t="s">
        <v>3</v>
      </c>
      <c r="K100" t="s">
        <v>442</v>
      </c>
      <c r="L100">
        <v>1327</v>
      </c>
      <c r="N100">
        <v>1005</v>
      </c>
      <c r="O100" t="s">
        <v>145</v>
      </c>
      <c r="P100" t="s">
        <v>145</v>
      </c>
      <c r="Q100">
        <v>1</v>
      </c>
      <c r="X100">
        <v>252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3</v>
      </c>
      <c r="AG100">
        <v>252</v>
      </c>
      <c r="AH100">
        <v>3</v>
      </c>
      <c r="AI100">
        <v>-1</v>
      </c>
      <c r="AJ100" t="s">
        <v>3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ROW(Source!A57)</f>
        <v>57</v>
      </c>
      <c r="B101">
        <v>55873980</v>
      </c>
      <c r="C101">
        <v>55873972</v>
      </c>
      <c r="D101">
        <v>35812912</v>
      </c>
      <c r="E101">
        <v>111</v>
      </c>
      <c r="F101">
        <v>1</v>
      </c>
      <c r="G101">
        <v>1</v>
      </c>
      <c r="H101">
        <v>1</v>
      </c>
      <c r="I101" t="s">
        <v>361</v>
      </c>
      <c r="J101" t="s">
        <v>3</v>
      </c>
      <c r="K101" t="s">
        <v>418</v>
      </c>
      <c r="L101">
        <v>1191</v>
      </c>
      <c r="N101">
        <v>1013</v>
      </c>
      <c r="O101" t="s">
        <v>346</v>
      </c>
      <c r="P101" t="s">
        <v>346</v>
      </c>
      <c r="Q101">
        <v>1</v>
      </c>
      <c r="X101">
        <v>97.2</v>
      </c>
      <c r="Y101">
        <v>0</v>
      </c>
      <c r="Z101">
        <v>0</v>
      </c>
      <c r="AA101">
        <v>0</v>
      </c>
      <c r="AB101">
        <v>281.55</v>
      </c>
      <c r="AC101">
        <v>0</v>
      </c>
      <c r="AD101">
        <v>1</v>
      </c>
      <c r="AE101">
        <v>1</v>
      </c>
      <c r="AF101" t="s">
        <v>99</v>
      </c>
      <c r="AG101">
        <v>111.78</v>
      </c>
      <c r="AH101">
        <v>2</v>
      </c>
      <c r="AI101">
        <v>55873973</v>
      </c>
      <c r="AJ101">
        <v>96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ROW(Source!A57)</f>
        <v>57</v>
      </c>
      <c r="B102">
        <v>55873981</v>
      </c>
      <c r="C102">
        <v>55873972</v>
      </c>
      <c r="D102">
        <v>35812888</v>
      </c>
      <c r="E102">
        <v>111</v>
      </c>
      <c r="F102">
        <v>1</v>
      </c>
      <c r="G102">
        <v>1</v>
      </c>
      <c r="H102">
        <v>1</v>
      </c>
      <c r="I102" t="s">
        <v>353</v>
      </c>
      <c r="J102" t="s">
        <v>3</v>
      </c>
      <c r="K102" t="s">
        <v>354</v>
      </c>
      <c r="L102">
        <v>1191</v>
      </c>
      <c r="N102">
        <v>1013</v>
      </c>
      <c r="O102" t="s">
        <v>346</v>
      </c>
      <c r="P102" t="s">
        <v>346</v>
      </c>
      <c r="Q102">
        <v>1</v>
      </c>
      <c r="X102">
        <v>0.27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2</v>
      </c>
      <c r="AF102" t="s">
        <v>98</v>
      </c>
      <c r="AG102">
        <v>0.33750000000000002</v>
      </c>
      <c r="AH102">
        <v>2</v>
      </c>
      <c r="AI102">
        <v>55873974</v>
      </c>
      <c r="AJ102">
        <v>97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ROW(Source!A57)</f>
        <v>57</v>
      </c>
      <c r="B103">
        <v>55873982</v>
      </c>
      <c r="C103">
        <v>55873972</v>
      </c>
      <c r="D103">
        <v>46205366</v>
      </c>
      <c r="E103">
        <v>1</v>
      </c>
      <c r="F103">
        <v>1</v>
      </c>
      <c r="G103">
        <v>1</v>
      </c>
      <c r="H103">
        <v>2</v>
      </c>
      <c r="I103" t="s">
        <v>355</v>
      </c>
      <c r="J103" t="s">
        <v>356</v>
      </c>
      <c r="K103" t="s">
        <v>357</v>
      </c>
      <c r="L103">
        <v>1368</v>
      </c>
      <c r="N103">
        <v>1011</v>
      </c>
      <c r="O103" t="s">
        <v>350</v>
      </c>
      <c r="P103" t="s">
        <v>350</v>
      </c>
      <c r="Q103">
        <v>1</v>
      </c>
      <c r="X103">
        <v>0.2</v>
      </c>
      <c r="Y103">
        <v>0</v>
      </c>
      <c r="Z103">
        <v>962.85</v>
      </c>
      <c r="AA103">
        <v>425.88</v>
      </c>
      <c r="AB103">
        <v>0</v>
      </c>
      <c r="AC103">
        <v>0</v>
      </c>
      <c r="AD103">
        <v>1</v>
      </c>
      <c r="AE103">
        <v>0</v>
      </c>
      <c r="AF103" t="s">
        <v>98</v>
      </c>
      <c r="AG103">
        <v>0.25</v>
      </c>
      <c r="AH103">
        <v>2</v>
      </c>
      <c r="AI103">
        <v>55873975</v>
      </c>
      <c r="AJ103">
        <v>98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ROW(Source!A57)</f>
        <v>57</v>
      </c>
      <c r="B104">
        <v>55873983</v>
      </c>
      <c r="C104">
        <v>55873972</v>
      </c>
      <c r="D104">
        <v>46206301</v>
      </c>
      <c r="E104">
        <v>1</v>
      </c>
      <c r="F104">
        <v>1</v>
      </c>
      <c r="G104">
        <v>1</v>
      </c>
      <c r="H104">
        <v>2</v>
      </c>
      <c r="I104" t="s">
        <v>363</v>
      </c>
      <c r="J104" t="s">
        <v>364</v>
      </c>
      <c r="K104" t="s">
        <v>365</v>
      </c>
      <c r="L104">
        <v>1368</v>
      </c>
      <c r="N104">
        <v>1011</v>
      </c>
      <c r="O104" t="s">
        <v>350</v>
      </c>
      <c r="P104" t="s">
        <v>350</v>
      </c>
      <c r="Q104">
        <v>1</v>
      </c>
      <c r="X104">
        <v>7.0000000000000007E-2</v>
      </c>
      <c r="Y104">
        <v>0</v>
      </c>
      <c r="Z104">
        <v>477.92</v>
      </c>
      <c r="AA104">
        <v>317.04000000000002</v>
      </c>
      <c r="AB104">
        <v>0</v>
      </c>
      <c r="AC104">
        <v>0</v>
      </c>
      <c r="AD104">
        <v>1</v>
      </c>
      <c r="AE104">
        <v>0</v>
      </c>
      <c r="AF104" t="s">
        <v>98</v>
      </c>
      <c r="AG104">
        <v>8.7500000000000008E-2</v>
      </c>
      <c r="AH104">
        <v>2</v>
      </c>
      <c r="AI104">
        <v>55873976</v>
      </c>
      <c r="AJ104">
        <v>99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ROW(Source!A57)</f>
        <v>57</v>
      </c>
      <c r="B105">
        <v>55873984</v>
      </c>
      <c r="C105">
        <v>55873972</v>
      </c>
      <c r="D105">
        <v>46160416</v>
      </c>
      <c r="E105">
        <v>1</v>
      </c>
      <c r="F105">
        <v>1</v>
      </c>
      <c r="G105">
        <v>1</v>
      </c>
      <c r="H105">
        <v>3</v>
      </c>
      <c r="I105" t="s">
        <v>419</v>
      </c>
      <c r="J105" t="s">
        <v>420</v>
      </c>
      <c r="K105" t="s">
        <v>421</v>
      </c>
      <c r="L105">
        <v>1346</v>
      </c>
      <c r="N105">
        <v>1009</v>
      </c>
      <c r="O105" t="s">
        <v>154</v>
      </c>
      <c r="P105" t="s">
        <v>154</v>
      </c>
      <c r="Q105">
        <v>1</v>
      </c>
      <c r="X105">
        <v>4</v>
      </c>
      <c r="Y105">
        <v>72.97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4</v>
      </c>
      <c r="AH105">
        <v>2</v>
      </c>
      <c r="AI105">
        <v>55873977</v>
      </c>
      <c r="AJ105">
        <v>100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ROW(Source!A57)</f>
        <v>57</v>
      </c>
      <c r="B106">
        <v>55873985</v>
      </c>
      <c r="C106">
        <v>55873972</v>
      </c>
      <c r="D106">
        <v>46167125</v>
      </c>
      <c r="E106">
        <v>1</v>
      </c>
      <c r="F106">
        <v>1</v>
      </c>
      <c r="G106">
        <v>1</v>
      </c>
      <c r="H106">
        <v>3</v>
      </c>
      <c r="I106" t="s">
        <v>422</v>
      </c>
      <c r="J106" t="s">
        <v>423</v>
      </c>
      <c r="K106" t="s">
        <v>424</v>
      </c>
      <c r="L106">
        <v>1348</v>
      </c>
      <c r="N106">
        <v>1009</v>
      </c>
      <c r="O106" t="s">
        <v>41</v>
      </c>
      <c r="P106" t="s">
        <v>41</v>
      </c>
      <c r="Q106">
        <v>1000</v>
      </c>
      <c r="X106">
        <v>1.2E-2</v>
      </c>
      <c r="Y106">
        <v>149930.17000000001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3</v>
      </c>
      <c r="AG106">
        <v>1.2E-2</v>
      </c>
      <c r="AH106">
        <v>2</v>
      </c>
      <c r="AI106">
        <v>55873978</v>
      </c>
      <c r="AJ106">
        <v>101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ROW(Source!A57)</f>
        <v>57</v>
      </c>
      <c r="B107">
        <v>55873986</v>
      </c>
      <c r="C107">
        <v>55873972</v>
      </c>
      <c r="D107">
        <v>46167283</v>
      </c>
      <c r="E107">
        <v>1</v>
      </c>
      <c r="F107">
        <v>1</v>
      </c>
      <c r="G107">
        <v>1</v>
      </c>
      <c r="H107">
        <v>3</v>
      </c>
      <c r="I107" t="s">
        <v>425</v>
      </c>
      <c r="J107" t="s">
        <v>426</v>
      </c>
      <c r="K107" t="s">
        <v>427</v>
      </c>
      <c r="L107">
        <v>1348</v>
      </c>
      <c r="N107">
        <v>1009</v>
      </c>
      <c r="O107" t="s">
        <v>41</v>
      </c>
      <c r="P107" t="s">
        <v>41</v>
      </c>
      <c r="Q107">
        <v>1000</v>
      </c>
      <c r="X107">
        <v>0.56999999999999995</v>
      </c>
      <c r="Y107">
        <v>91285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0.56999999999999995</v>
      </c>
      <c r="AH107">
        <v>2</v>
      </c>
      <c r="AI107">
        <v>55873979</v>
      </c>
      <c r="AJ107">
        <v>102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31</v>
      </c>
      <c r="B1">
        <v>1</v>
      </c>
      <c r="C1" t="s">
        <v>3</v>
      </c>
      <c r="D1" t="s">
        <v>57</v>
      </c>
      <c r="E1" t="s">
        <v>58</v>
      </c>
      <c r="F1" t="s">
        <v>58</v>
      </c>
      <c r="G1" t="s">
        <v>58</v>
      </c>
      <c r="H1" t="s">
        <v>3</v>
      </c>
      <c r="I1" t="s">
        <v>58</v>
      </c>
      <c r="J1" t="s">
        <v>58</v>
      </c>
      <c r="K1" t="s">
        <v>3</v>
      </c>
      <c r="L1" t="s">
        <v>3</v>
      </c>
      <c r="M1" t="s">
        <v>3</v>
      </c>
      <c r="N1" t="s">
        <v>57</v>
      </c>
      <c r="O1" t="s">
        <v>58</v>
      </c>
      <c r="P1" t="s">
        <v>3</v>
      </c>
      <c r="Q1" t="s">
        <v>3</v>
      </c>
      <c r="R1" t="s">
        <v>3</v>
      </c>
      <c r="S1" t="s">
        <v>443</v>
      </c>
      <c r="T1" t="s">
        <v>444</v>
      </c>
      <c r="U1" t="s">
        <v>445</v>
      </c>
    </row>
    <row r="2" spans="1:21" x14ac:dyDescent="0.2">
      <c r="A2">
        <v>32</v>
      </c>
      <c r="B2">
        <v>1</v>
      </c>
      <c r="C2" t="s">
        <v>3</v>
      </c>
      <c r="D2" t="s">
        <v>57</v>
      </c>
      <c r="E2" t="s">
        <v>58</v>
      </c>
      <c r="F2" t="s">
        <v>58</v>
      </c>
      <c r="G2" t="s">
        <v>58</v>
      </c>
      <c r="H2" t="s">
        <v>3</v>
      </c>
      <c r="I2" t="s">
        <v>58</v>
      </c>
      <c r="J2" t="s">
        <v>58</v>
      </c>
      <c r="K2" t="s">
        <v>3</v>
      </c>
      <c r="L2" t="s">
        <v>3</v>
      </c>
      <c r="M2" t="s">
        <v>3</v>
      </c>
      <c r="N2" t="s">
        <v>57</v>
      </c>
      <c r="O2" t="s">
        <v>58</v>
      </c>
      <c r="P2" t="s">
        <v>3</v>
      </c>
      <c r="Q2" t="s">
        <v>3</v>
      </c>
      <c r="R2" t="s">
        <v>3</v>
      </c>
      <c r="S2" t="s">
        <v>443</v>
      </c>
      <c r="T2" t="s">
        <v>444</v>
      </c>
      <c r="U2" t="s">
        <v>445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26294</v>
      </c>
      <c r="M1">
        <v>10</v>
      </c>
      <c r="N1">
        <v>12</v>
      </c>
      <c r="O1">
        <v>1</v>
      </c>
      <c r="P1">
        <v>0</v>
      </c>
      <c r="Q1">
        <v>2</v>
      </c>
    </row>
    <row r="12" spans="1:103" x14ac:dyDescent="0.2">
      <c r="F12" t="str">
        <f>Source!F12</f>
        <v>Новый объект_(Копия)</v>
      </c>
      <c r="G12" t="str">
        <f>Source!G12</f>
        <v>Ремонт кровли ОПС Красные Четаи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02-01-01</vt:lpstr>
      <vt:lpstr>Source</vt:lpstr>
      <vt:lpstr>SourceObSm</vt:lpstr>
      <vt:lpstr>SmtRes</vt:lpstr>
      <vt:lpstr>EtalonRes</vt:lpstr>
      <vt:lpstr>SrcPoprs</vt:lpstr>
      <vt:lpstr>SrcKA</vt:lpstr>
      <vt:lpstr>'02-01-01'!Заголовки_для_печати</vt:lpstr>
      <vt:lpstr>'02-01-01'!Область_печати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 Ольга Ивановна</dc:creator>
  <cp:lastModifiedBy>Сорокина Наталия Валерьевна</cp:lastModifiedBy>
  <cp:lastPrinted>2026-08-07T08:15:30Z</cp:lastPrinted>
  <dcterms:created xsi:type="dcterms:W3CDTF">2026-08-06T12:30:44Z</dcterms:created>
  <dcterms:modified xsi:type="dcterms:W3CDTF">2026-08-26T05:32:55Z</dcterms:modified>
</cp:coreProperties>
</file>